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g.michel.ctr\Desktop\"/>
    </mc:Choice>
  </mc:AlternateContent>
  <xr:revisionPtr revIDLastSave="0" documentId="8_{24A1F46D-AE2F-451E-ADF7-420C7195586B}" xr6:coauthVersionLast="47" xr6:coauthVersionMax="47" xr10:uidLastSave="{00000000-0000-0000-0000-000000000000}"/>
  <workbookProtection workbookPassword="C8D7" lockStructure="1"/>
  <bookViews>
    <workbookView xWindow="1560" yWindow="1560" windowWidth="14750" windowHeight="6480" tabRatio="574" firstSheet="4" activeTab="4" xr2:uid="{00000000-000D-0000-FFFF-FFFF00000000}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21" l="1"/>
  <c r="C4" i="21"/>
  <c r="C5" i="21"/>
  <c r="D3" i="21" l="1"/>
  <c r="D4" i="21"/>
  <c r="D5" i="21"/>
  <c r="M3" i="29"/>
  <c r="L3" i="29"/>
  <c r="C4" i="22"/>
  <c r="D5" i="31"/>
  <c r="C5" i="31"/>
  <c r="B5" i="31"/>
  <c r="D4" i="31"/>
  <c r="C4" i="31"/>
  <c r="B4" i="31"/>
  <c r="M5" i="29"/>
  <c r="L5" i="29"/>
  <c r="F5" i="29"/>
  <c r="D5" i="29"/>
  <c r="C5" i="29"/>
  <c r="M4" i="29"/>
  <c r="L4" i="29"/>
  <c r="F4" i="29"/>
  <c r="D4" i="29"/>
  <c r="C4" i="29"/>
  <c r="V5" i="22"/>
  <c r="U5" i="22"/>
  <c r="T5" i="22"/>
  <c r="S5" i="22"/>
  <c r="R5" i="22"/>
  <c r="Q5" i="22"/>
  <c r="F5" i="22"/>
  <c r="D5" i="22"/>
  <c r="C5" i="22"/>
  <c r="V4" i="22"/>
  <c r="U4" i="22"/>
  <c r="T4" i="22"/>
  <c r="S4" i="22"/>
  <c r="R4" i="22"/>
  <c r="Q4" i="22"/>
  <c r="F4" i="22"/>
  <c r="D4" i="22"/>
  <c r="AO5" i="21"/>
  <c r="AN5" i="21"/>
  <c r="AL5" i="21"/>
  <c r="AM5" i="21" s="1"/>
  <c r="AJ5" i="21"/>
  <c r="AI5" i="21"/>
  <c r="AH5" i="21"/>
  <c r="AG5" i="21"/>
  <c r="AE5" i="21"/>
  <c r="AD5" i="21"/>
  <c r="AB5" i="21"/>
  <c r="AC5" i="21" s="1"/>
  <c r="Z5" i="21"/>
  <c r="Y5" i="21"/>
  <c r="X5" i="21"/>
  <c r="W5" i="21"/>
  <c r="F5" i="21"/>
  <c r="AO4" i="21"/>
  <c r="AN4" i="21"/>
  <c r="AL4" i="21"/>
  <c r="AM4" i="21" s="1"/>
  <c r="AJ4" i="21"/>
  <c r="AI4" i="21"/>
  <c r="AH4" i="21"/>
  <c r="AG4" i="21"/>
  <c r="AE4" i="21"/>
  <c r="AD4" i="21"/>
  <c r="AB4" i="21"/>
  <c r="AC4" i="21" s="1"/>
  <c r="Z4" i="21"/>
  <c r="Y4" i="21"/>
  <c r="X4" i="21"/>
  <c r="W4" i="21"/>
  <c r="F4" i="21"/>
  <c r="G5" i="24"/>
  <c r="H5" i="24" s="1"/>
  <c r="I5" i="24" s="1"/>
  <c r="J5" i="24" s="1"/>
  <c r="N5" i="31" s="1"/>
  <c r="G4" i="24"/>
  <c r="H4" i="24" s="1"/>
  <c r="I4" i="24" s="1"/>
  <c r="J4" i="24" s="1"/>
  <c r="N4" i="31" s="1"/>
  <c r="F3" i="29"/>
  <c r="D3" i="29"/>
  <c r="C3" i="29"/>
  <c r="F3" i="21"/>
  <c r="D3" i="31"/>
  <c r="C3" i="31"/>
  <c r="B3" i="31"/>
  <c r="V3" i="22"/>
  <c r="U3" i="22"/>
  <c r="T3" i="22"/>
  <c r="S3" i="22"/>
  <c r="R3" i="22"/>
  <c r="Q3" i="22"/>
  <c r="F3" i="22"/>
  <c r="D3" i="22"/>
  <c r="C3" i="22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G3" i="24"/>
  <c r="H3" i="24" s="1"/>
  <c r="I3" i="24" s="1"/>
  <c r="J3" i="24" s="1"/>
  <c r="N3" i="31" s="1"/>
  <c r="X3" i="22" l="1"/>
  <c r="AA3" i="22" s="1"/>
  <c r="AD3" i="22" s="1"/>
  <c r="I3" i="31" s="1"/>
  <c r="N3" i="29"/>
  <c r="O3" i="29" s="1"/>
  <c r="P3" i="29" s="1"/>
  <c r="K3" i="31" s="1"/>
  <c r="AP3" i="21"/>
  <c r="AA3" i="21"/>
  <c r="AP4" i="21"/>
  <c r="AP5" i="21"/>
  <c r="X5" i="22"/>
  <c r="AA5" i="22" s="1"/>
  <c r="AD5" i="22" s="1"/>
  <c r="I5" i="31" s="1"/>
  <c r="AF3" i="21"/>
  <c r="AK3" i="21"/>
  <c r="W3" i="22"/>
  <c r="X4" i="22"/>
  <c r="AA4" i="22" s="1"/>
  <c r="AD4" i="22" s="1"/>
  <c r="I4" i="31" s="1"/>
  <c r="N5" i="29"/>
  <c r="O5" i="29" s="1"/>
  <c r="P5" i="29" s="1"/>
  <c r="K5" i="31" s="1"/>
  <c r="AF4" i="21"/>
  <c r="AK4" i="21"/>
  <c r="AA5" i="21"/>
  <c r="AF5" i="21"/>
  <c r="AK5" i="21"/>
  <c r="W5" i="22"/>
  <c r="N4" i="29"/>
  <c r="O4" i="29" s="1"/>
  <c r="P4" i="29" s="1"/>
  <c r="K4" i="31" s="1"/>
  <c r="AA4" i="21"/>
  <c r="W4" i="22"/>
  <c r="Y5" i="22" l="1"/>
  <c r="AB5" i="22" s="1"/>
  <c r="AE5" i="22" s="1"/>
  <c r="J5" i="31" s="1"/>
  <c r="AQ4" i="21"/>
  <c r="AT4" i="21" s="1"/>
  <c r="AW4" i="21" s="1"/>
  <c r="E4" i="31" s="1"/>
  <c r="AR3" i="21"/>
  <c r="AQ3" i="21"/>
  <c r="AT3" i="21" s="1"/>
  <c r="AW3" i="21" s="1"/>
  <c r="E3" i="31" s="1"/>
  <c r="AR4" i="21"/>
  <c r="AS4" i="21" s="1"/>
  <c r="AV4" i="21" s="1"/>
  <c r="AR5" i="21"/>
  <c r="AU5" i="21" s="1"/>
  <c r="AX5" i="21" s="1"/>
  <c r="F5" i="31" s="1"/>
  <c r="AQ5" i="21"/>
  <c r="AT5" i="21" s="1"/>
  <c r="AW5" i="21" s="1"/>
  <c r="E5" i="31" s="1"/>
  <c r="Q5" i="29"/>
  <c r="R5" i="29" s="1"/>
  <c r="S5" i="29" s="1"/>
  <c r="L5" i="31" s="1"/>
  <c r="T5" i="29"/>
  <c r="U5" i="29" s="1"/>
  <c r="V5" i="29" s="1"/>
  <c r="M5" i="31" s="1"/>
  <c r="Z5" i="22"/>
  <c r="AC5" i="22" s="1"/>
  <c r="H5" i="31" s="1"/>
  <c r="Y3" i="22"/>
  <c r="AB3" i="22" s="1"/>
  <c r="AE3" i="22" s="1"/>
  <c r="J3" i="31" s="1"/>
  <c r="T3" i="29"/>
  <c r="U3" i="29" s="1"/>
  <c r="V3" i="29" s="1"/>
  <c r="M3" i="31" s="1"/>
  <c r="Q3" i="29"/>
  <c r="R3" i="29" s="1"/>
  <c r="S3" i="29" s="1"/>
  <c r="L3" i="31" s="1"/>
  <c r="Z3" i="22"/>
  <c r="AC3" i="22" s="1"/>
  <c r="H3" i="31" s="1"/>
  <c r="T4" i="29"/>
  <c r="U4" i="29" s="1"/>
  <c r="V4" i="29" s="1"/>
  <c r="M4" i="31" s="1"/>
  <c r="Y4" i="22"/>
  <c r="AB4" i="22" s="1"/>
  <c r="AE4" i="22" s="1"/>
  <c r="J4" i="31" s="1"/>
  <c r="Q4" i="29"/>
  <c r="R4" i="29" s="1"/>
  <c r="S4" i="29" s="1"/>
  <c r="L4" i="31" s="1"/>
  <c r="Z4" i="22"/>
  <c r="AC4" i="22" s="1"/>
  <c r="H4" i="31" s="1"/>
  <c r="AS3" i="21" l="1"/>
  <c r="AV3" i="21" s="1"/>
  <c r="AY3" i="21" s="1"/>
  <c r="G3" i="31" s="1"/>
  <c r="AU3" i="21"/>
  <c r="AX3" i="21" s="1"/>
  <c r="F3" i="31" s="1"/>
  <c r="AU4" i="21"/>
  <c r="AX4" i="21" s="1"/>
  <c r="F4" i="31" s="1"/>
  <c r="AS5" i="21"/>
  <c r="AV5" i="21" s="1"/>
  <c r="AY5" i="21" s="1"/>
  <c r="G5" i="31" s="1"/>
  <c r="AY4" i="21"/>
  <c r="G4" i="31" s="1"/>
  <c r="O4" i="31"/>
  <c r="P4" i="31" s="1"/>
  <c r="O3" i="31" l="1"/>
  <c r="P3" i="31" s="1"/>
  <c r="O5" i="31"/>
  <c r="P5" i="31" s="1"/>
</calcChain>
</file>

<file path=xl/sharedStrings.xml><?xml version="1.0" encoding="utf-8"?>
<sst xmlns="http://schemas.openxmlformats.org/spreadsheetml/2006/main" count="200" uniqueCount="95">
  <si>
    <t>Rollover</t>
  </si>
  <si>
    <t>Make</t>
  </si>
  <si>
    <t>Model</t>
  </si>
  <si>
    <t>Year</t>
  </si>
  <si>
    <t>SSF</t>
  </si>
  <si>
    <t>Dynamic Test (Y or N)</t>
  </si>
  <si>
    <t>TIP UP? (Y or N)</t>
  </si>
  <si>
    <t>P(roll)</t>
  </si>
  <si>
    <t>P(AIS3+)</t>
  </si>
  <si>
    <t>RRS(roll)</t>
  </si>
  <si>
    <t>Stars</t>
  </si>
  <si>
    <t>Subaru</t>
  </si>
  <si>
    <t>Crosstrek SW AWD</t>
  </si>
  <si>
    <t>Crosstrek Wilderness SW AWD</t>
  </si>
  <si>
    <t>Impreza SW AWD</t>
  </si>
  <si>
    <t>Driver HIII 50M</t>
  </si>
  <si>
    <t>Front Passenger HIII 5F</t>
  </si>
  <si>
    <t>Driver AIS 3+ injury to different body regions</t>
  </si>
  <si>
    <t>Front Passenger AIS 3+ injury to different body regions</t>
  </si>
  <si>
    <t>Driver</t>
  </si>
  <si>
    <t>Passenger</t>
  </si>
  <si>
    <t>Average</t>
  </si>
  <si>
    <t>comb.</t>
  </si>
  <si>
    <t>Test No.</t>
  </si>
  <si>
    <t>NHTSA No.</t>
  </si>
  <si>
    <t>Lab</t>
  </si>
  <si>
    <t>HIC15</t>
  </si>
  <si>
    <t>Nij</t>
  </si>
  <si>
    <t>Neck Tension N</t>
  </si>
  <si>
    <t>Neck Comprsn N</t>
  </si>
  <si>
    <t>Chest Deflection mm</t>
  </si>
  <si>
    <t>3 ms clip gs</t>
  </si>
  <si>
    <t>Left Femur Force N</t>
  </si>
  <si>
    <t>Right Femur Force N</t>
  </si>
  <si>
    <t>P(HIC15)</t>
  </si>
  <si>
    <t>P(Nij)</t>
  </si>
  <si>
    <t>P(Ntension)</t>
  </si>
  <si>
    <t>P(Ncomprsn)</t>
  </si>
  <si>
    <t>P(Neck)</t>
  </si>
  <si>
    <t>P(chest)</t>
  </si>
  <si>
    <t>P(Lfemur)</t>
  </si>
  <si>
    <t>P(Rfemur)</t>
  </si>
  <si>
    <t>P(femur)</t>
  </si>
  <si>
    <t>P(NComprsn)</t>
  </si>
  <si>
    <t>p(AIS 3+)</t>
  </si>
  <si>
    <t>RRS (front)</t>
  </si>
  <si>
    <t>O20245500</t>
  </si>
  <si>
    <t>KAR</t>
  </si>
  <si>
    <t>Driver ES-2re</t>
  </si>
  <si>
    <t>Rear Passenger SID-IIs</t>
  </si>
  <si>
    <t>Driver Es-2re</t>
  </si>
  <si>
    <t>Passenger*</t>
  </si>
  <si>
    <t>Combined</t>
  </si>
  <si>
    <t>Comb.</t>
  </si>
  <si>
    <t>Side MDB</t>
  </si>
  <si>
    <t>HIC36</t>
  </si>
  <si>
    <t>Rib Defl
(mm)</t>
  </si>
  <si>
    <t>Lower Spine (G's)</t>
  </si>
  <si>
    <t>Abd'm Force (N)</t>
  </si>
  <si>
    <t>Pubic Force (N)</t>
  </si>
  <si>
    <t>Abd'm defl (mm)</t>
  </si>
  <si>
    <t>Iliac+acet Force (N)</t>
  </si>
  <si>
    <t>P(head)</t>
  </si>
  <si>
    <t>P(abdm)</t>
  </si>
  <si>
    <t>P(pelvs)</t>
  </si>
  <si>
    <t>P(AIS 3+)</t>
  </si>
  <si>
    <t>RRS (MDB)</t>
  </si>
  <si>
    <t>O20245502</t>
  </si>
  <si>
    <t>KARCO</t>
  </si>
  <si>
    <t>O20245503</t>
  </si>
  <si>
    <t>Driver SID-IIs</t>
  </si>
  <si>
    <t>Side pole</t>
  </si>
  <si>
    <t>Overall Side</t>
  </si>
  <si>
    <t xml:space="preserve">RRS </t>
  </si>
  <si>
    <t>Max. Thor. rib defl
(mm)</t>
  </si>
  <si>
    <t>Lower Spine result. (G's)</t>
  </si>
  <si>
    <t>Max. Abd'm rib defl (mm)</t>
  </si>
  <si>
    <t>RRS(pole)</t>
  </si>
  <si>
    <t>stars</t>
  </si>
  <si>
    <t>P(Overall MDB+pole Driver)</t>
  </si>
  <si>
    <t>RRS(Overall MDB+pole Driver)</t>
  </si>
  <si>
    <t>overall Driver stars</t>
  </si>
  <si>
    <t>P(Overall side)</t>
  </si>
  <si>
    <t>RRS(Overall side)</t>
  </si>
  <si>
    <t>Overall Side stars</t>
  </si>
  <si>
    <t>O20245501</t>
  </si>
  <si>
    <t>Date on Web</t>
  </si>
  <si>
    <t>Front (STARS)</t>
  </si>
  <si>
    <t>Side MDB (STARS)</t>
  </si>
  <si>
    <t>Side Pole (STARS)</t>
  </si>
  <si>
    <t>Overall Driver Star</t>
  </si>
  <si>
    <t>Overall Side Star</t>
  </si>
  <si>
    <t>Pass</t>
  </si>
  <si>
    <t>STARS</t>
  </si>
  <si>
    <t>VSS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</si>
</sst>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[$-409]mmmm\-yy;@"/>
    <numFmt numFmtId="166" formatCode="_-* #,##0_-;\-* #,##0_-;_-* &quot;-&quot;_-;_-@_-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16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166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</cellStyleXfs>
  <cellXfs count="162">
    <xf numFmtId="0" fontId="0" fillId="0" borderId="0" xfId="0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0" fontId="3" fillId="0" borderId="0" xfId="0" applyFont="1" applyFill="1" applyBorder="1"/>
    <xf numFmtId="2" fontId="4" fillId="0" borderId="1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1" xfId="1" applyFont="1" applyFill="1" applyBorder="1" applyAlignment="1" applyProtection="1">
      <alignment horizontal="center"/>
      <protection locked="0"/>
    </xf>
    <xf numFmtId="164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0" fontId="4" fillId="0" borderId="3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wrapText="1"/>
    </xf>
    <xf numFmtId="1" fontId="4" fillId="0" borderId="7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" fontId="5" fillId="0" borderId="1" xfId="0" applyNumberFormat="1" applyFont="1" applyFill="1" applyBorder="1"/>
    <xf numFmtId="1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/>
    <xf numFmtId="1" fontId="4" fillId="0" borderId="0" xfId="0" applyNumberFormat="1" applyFont="1" applyFill="1"/>
    <xf numFmtId="0" fontId="4" fillId="0" borderId="0" xfId="0" applyFont="1" applyFill="1"/>
    <xf numFmtId="2" fontId="5" fillId="0" borderId="0" xfId="0" applyNumberFormat="1" applyFont="1" applyFill="1"/>
    <xf numFmtId="0" fontId="2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9" fillId="0" borderId="0" xfId="0" applyNumberFormat="1" applyFont="1" applyFill="1"/>
    <xf numFmtId="0" fontId="4" fillId="0" borderId="1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" fontId="4" fillId="0" borderId="3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/>
    <xf numFmtId="164" fontId="4" fillId="0" borderId="4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5" fillId="0" borderId="0" xfId="0" applyNumberFormat="1" applyFont="1" applyFill="1"/>
    <xf numFmtId="0" fontId="2" fillId="0" borderId="1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/>
    <xf numFmtId="0" fontId="5" fillId="0" borderId="0" xfId="0" applyNumberFormat="1" applyFont="1" applyFill="1" applyProtection="1"/>
    <xf numFmtId="164" fontId="5" fillId="0" borderId="0" xfId="0" applyNumberFormat="1" applyFont="1" applyFill="1" applyProtection="1"/>
    <xf numFmtId="1" fontId="5" fillId="0" borderId="0" xfId="0" applyNumberFormat="1" applyFont="1" applyFill="1" applyProtection="1"/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/>
    </xf>
    <xf numFmtId="0" fontId="5" fillId="0" borderId="0" xfId="0" applyFont="1" applyFill="1" applyProtection="1">
      <protection locked="0"/>
    </xf>
    <xf numFmtId="0" fontId="4" fillId="0" borderId="1" xfId="0" applyFont="1" applyFill="1" applyBorder="1"/>
    <xf numFmtId="0" fontId="4" fillId="0" borderId="3" xfId="0" applyFont="1" applyFill="1" applyBorder="1"/>
    <xf numFmtId="0" fontId="4" fillId="0" borderId="2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2" fillId="0" borderId="3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</xf>
    <xf numFmtId="164" fontId="4" fillId="0" borderId="0" xfId="0" applyNumberFormat="1" applyFont="1" applyFill="1"/>
    <xf numFmtId="2" fontId="5" fillId="0" borderId="15" xfId="0" applyNumberFormat="1" applyFont="1" applyFill="1" applyBorder="1"/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5" fillId="0" borderId="15" xfId="0" applyFont="1" applyFill="1" applyBorder="1"/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8" fillId="0" borderId="0" xfId="0" applyNumberFormat="1" applyFont="1" applyFill="1"/>
    <xf numFmtId="164" fontId="4" fillId="0" borderId="6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16">
    <cellStyle name="Normal" xfId="0" builtinId="0"/>
    <cellStyle name="Normal 10 2" xfId="8" xr:uid="{00000000-0005-0000-0000-000001000000}"/>
    <cellStyle name="Normal 2" xfId="1" xr:uid="{00000000-0005-0000-0000-000002000000}"/>
    <cellStyle name="Normal 3" xfId="2" xr:uid="{00000000-0005-0000-0000-000003000000}"/>
    <cellStyle name="Normal 3 2" xfId="3" xr:uid="{00000000-0005-0000-0000-000004000000}"/>
    <cellStyle name="Normal 71" xfId="9" xr:uid="{00000000-0005-0000-0000-000005000000}"/>
    <cellStyle name="Normal 74" xfId="15" xr:uid="{00000000-0005-0000-0000-000006000000}"/>
    <cellStyle name="Normal 75" xfId="5" xr:uid="{00000000-0005-0000-0000-000007000000}"/>
    <cellStyle name="Normal 77" xfId="13" xr:uid="{00000000-0005-0000-0000-000008000000}"/>
    <cellStyle name="Normal 78" xfId="4" xr:uid="{00000000-0005-0000-0000-000009000000}"/>
    <cellStyle name="Normal 81" xfId="6" xr:uid="{00000000-0005-0000-0000-00000A000000}"/>
    <cellStyle name="Normal 82" xfId="10" xr:uid="{00000000-0005-0000-0000-00000B000000}"/>
    <cellStyle name="Standard 3 3" xfId="14" xr:uid="{00000000-0005-0000-0000-00000C000000}"/>
    <cellStyle name="쉼표 [0] 2 4" xfId="12" xr:uid="{00000000-0005-0000-0000-00000D000000}"/>
    <cellStyle name="표준 10" xfId="7" xr:uid="{00000000-0005-0000-0000-00000E000000}"/>
    <cellStyle name="표준_Sheet1" xfId="11" xr:uid="{00000000-0005-0000-0000-00000F000000}"/>
  </cellStyles>
  <dxfs count="0"/>
  <tableStyles count="0" defaultTableStyle="TableStyleMedium9" defaultPivotStyle="PivotStyleLight16"/>
  <colors>
    <mruColors>
      <color rgb="FFCCCCFF"/>
      <color rgb="FF0000FF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"/>
  <sheetViews>
    <sheetView zoomScaleNormal="100" workbookViewId="0"/>
  </sheetViews>
  <sheetFormatPr defaultColWidth="9.140625" defaultRowHeight="13.15" customHeight="1"/>
  <cols>
    <col min="1" max="1" width="15.5703125" style="48" customWidth="1"/>
    <col min="2" max="2" width="26.5703125" style="48" customWidth="1"/>
    <col min="3" max="3" width="4.5703125" style="47" bestFit="1" customWidth="1"/>
    <col min="4" max="4" width="4.42578125" style="47" bestFit="1" customWidth="1"/>
    <col min="5" max="5" width="18" style="47" bestFit="1" customWidth="1"/>
    <col min="6" max="6" width="13.140625" style="47" bestFit="1" customWidth="1"/>
    <col min="7" max="7" width="7.7109375" style="49" customWidth="1"/>
    <col min="8" max="8" width="7.42578125" style="49" bestFit="1" customWidth="1"/>
    <col min="9" max="9" width="7.7109375" style="50" bestFit="1" customWidth="1"/>
    <col min="10" max="10" width="7.140625" style="49" bestFit="1" customWidth="1"/>
    <col min="11" max="16384" width="9.140625" style="47"/>
  </cols>
  <sheetData>
    <row r="1" spans="1:10" s="42" customFormat="1" ht="13.15" customHeight="1">
      <c r="A1" s="100"/>
      <c r="B1" s="100"/>
      <c r="C1" s="100"/>
      <c r="D1" s="100"/>
      <c r="E1" s="100"/>
      <c r="F1" s="100"/>
      <c r="G1" s="40"/>
      <c r="H1" s="40"/>
      <c r="I1" s="41"/>
      <c r="J1" s="40" t="s">
        <v>0</v>
      </c>
    </row>
    <row r="2" spans="1:10" s="42" customFormat="1" ht="13.15" customHeight="1">
      <c r="A2" s="100" t="s">
        <v>1</v>
      </c>
      <c r="B2" s="100" t="s">
        <v>2</v>
      </c>
      <c r="C2" s="100" t="s">
        <v>3</v>
      </c>
      <c r="D2" s="100" t="s">
        <v>4</v>
      </c>
      <c r="E2" s="100" t="s">
        <v>5</v>
      </c>
      <c r="F2" s="100" t="s">
        <v>6</v>
      </c>
      <c r="G2" s="40" t="s">
        <v>7</v>
      </c>
      <c r="H2" s="40" t="s">
        <v>8</v>
      </c>
      <c r="I2" s="41" t="s">
        <v>9</v>
      </c>
      <c r="J2" s="40" t="s">
        <v>10</v>
      </c>
    </row>
    <row r="3" spans="1:10" ht="13.15" customHeight="1">
      <c r="A3" s="26" t="s">
        <v>11</v>
      </c>
      <c r="B3" s="43" t="s">
        <v>12</v>
      </c>
      <c r="C3" s="44">
        <v>2024</v>
      </c>
      <c r="D3" s="21"/>
      <c r="E3" s="25"/>
      <c r="F3" s="25"/>
      <c r="G3" s="45" t="e">
        <f t="shared" ref="G3" si="0">IF(F3="Y",((1/(1+EXP(2.6968+(1.1686*LN(D3-0.9)))))),((1/(1+EXP(2.8891+(1.1686*(LN(D3-0.9))))))))</f>
        <v>#NUM!</v>
      </c>
      <c r="H3" s="45" t="e">
        <f t="shared" ref="H3" si="1">ROUND(G3,3)</f>
        <v>#NUM!</v>
      </c>
      <c r="I3" s="46" t="e">
        <f t="shared" ref="I3" si="2">ROUND(H3/0.15,2)</f>
        <v>#NUM!</v>
      </c>
      <c r="J3" s="40" t="e">
        <f t="shared" ref="J3" si="3">IF(I3&lt;0.673,5,IF(I3&lt;1.33,4,IF(I3&lt;2,3,IF(I3&lt;2.67,2,1))))</f>
        <v>#NUM!</v>
      </c>
    </row>
    <row r="4" spans="1:10" ht="13.15" customHeight="1">
      <c r="A4" s="25" t="s">
        <v>11</v>
      </c>
      <c r="B4" s="25" t="s">
        <v>13</v>
      </c>
      <c r="C4" s="44">
        <v>2024</v>
      </c>
      <c r="D4" s="21"/>
      <c r="E4" s="25"/>
      <c r="F4" s="25"/>
      <c r="G4" s="45" t="e">
        <f t="shared" ref="G4:G5" si="4">IF(F4="Y",((1/(1+EXP(2.6968+(1.1686*LN(D4-0.9)))))),((1/(1+EXP(2.8891+(1.1686*(LN(D4-0.9))))))))</f>
        <v>#NUM!</v>
      </c>
      <c r="H4" s="45" t="e">
        <f t="shared" ref="H4:H5" si="5">ROUND(G4,3)</f>
        <v>#NUM!</v>
      </c>
      <c r="I4" s="46" t="e">
        <f t="shared" ref="I4:I5" si="6">ROUND(H4/0.15,2)</f>
        <v>#NUM!</v>
      </c>
      <c r="J4" s="40" t="e">
        <f t="shared" ref="J4:J5" si="7">IF(I4&lt;0.673,5,IF(I4&lt;1.33,4,IF(I4&lt;2,3,IF(I4&lt;2.67,2,1))))</f>
        <v>#NUM!</v>
      </c>
    </row>
    <row r="5" spans="1:10" ht="13.15" customHeight="1">
      <c r="A5" s="11" t="s">
        <v>11</v>
      </c>
      <c r="B5" s="11" t="s">
        <v>14</v>
      </c>
      <c r="C5" s="44">
        <v>2024</v>
      </c>
      <c r="D5" s="21"/>
      <c r="E5" s="25"/>
      <c r="F5" s="25"/>
      <c r="G5" s="45" t="e">
        <f t="shared" si="4"/>
        <v>#NUM!</v>
      </c>
      <c r="H5" s="45" t="e">
        <f t="shared" si="5"/>
        <v>#NUM!</v>
      </c>
      <c r="I5" s="46" t="e">
        <f t="shared" si="6"/>
        <v>#NUM!</v>
      </c>
      <c r="J5" s="40" t="e">
        <f t="shared" si="7"/>
        <v>#NUM!</v>
      </c>
    </row>
  </sheetData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44"/>
  <sheetViews>
    <sheetView zoomScaleNormal="100" workbookViewId="0">
      <pane xSplit="6" ySplit="2" topLeftCell="G3" activePane="bottomRight" state="frozen"/>
      <selection pane="topRight" sqref="A1:XFD1048576"/>
      <selection pane="bottomLeft" sqref="A1:XFD1048576"/>
      <selection pane="bottomRight" activeCell="A2" sqref="A2"/>
    </sheetView>
  </sheetViews>
  <sheetFormatPr defaultRowHeight="12.75"/>
  <cols>
    <col min="1" max="1" width="8.140625" style="76" customWidth="1"/>
    <col min="2" max="2" width="9.85546875" style="76" bestFit="1" customWidth="1"/>
    <col min="3" max="3" width="13.5703125" style="72" bestFit="1" customWidth="1"/>
    <col min="4" max="4" width="29" style="72" bestFit="1" customWidth="1"/>
    <col min="5" max="5" width="7.42578125" style="72" customWidth="1"/>
    <col min="6" max="6" width="4.42578125" style="72" bestFit="1" customWidth="1"/>
    <col min="7" max="9" width="8.7109375" style="125" customWidth="1"/>
    <col min="10" max="10" width="8.42578125" style="125" bestFit="1" customWidth="1"/>
    <col min="11" max="21" width="8.7109375" style="125" customWidth="1"/>
    <col min="22" max="22" width="9.28515625" style="125" customWidth="1"/>
    <col min="23" max="23" width="7" style="119" customWidth="1"/>
    <col min="24" max="24" width="5.42578125" style="75" customWidth="1"/>
    <col min="25" max="25" width="9" style="75" customWidth="1"/>
    <col min="26" max="26" width="10" style="75" customWidth="1"/>
    <col min="27" max="27" width="7.28515625" style="75" customWidth="1"/>
    <col min="28" max="28" width="6.85546875" style="75" customWidth="1"/>
    <col min="29" max="29" width="6.85546875" style="47" customWidth="1"/>
    <col min="30" max="30" width="7.85546875" style="47" customWidth="1"/>
    <col min="31" max="31" width="8" style="47" customWidth="1"/>
    <col min="32" max="33" width="7" style="47" customWidth="1"/>
    <col min="34" max="34" width="4.85546875" style="47" customWidth="1"/>
    <col min="35" max="35" width="9" style="47" customWidth="1"/>
    <col min="36" max="36" width="10.140625" style="47" customWidth="1"/>
    <col min="37" max="37" width="6.42578125" style="47" customWidth="1"/>
    <col min="38" max="39" width="6.85546875" style="47" customWidth="1"/>
    <col min="40" max="40" width="7.85546875" style="47" customWidth="1"/>
    <col min="41" max="41" width="8" style="47" customWidth="1"/>
    <col min="42" max="42" width="7" style="47" customWidth="1"/>
    <col min="43" max="43" width="7.5703125" style="47" customWidth="1"/>
    <col min="44" max="44" width="9.5703125" style="47" bestFit="1" customWidth="1"/>
    <col min="45" max="45" width="7.140625" style="47" bestFit="1" customWidth="1"/>
    <col min="46" max="46" width="5.7109375" style="75" bestFit="1" customWidth="1"/>
    <col min="47" max="47" width="9.5703125" style="75" bestFit="1" customWidth="1"/>
    <col min="48" max="48" width="5.85546875" style="75" bestFit="1" customWidth="1"/>
    <col min="49" max="49" width="5.7109375" style="120" bestFit="1" customWidth="1"/>
    <col min="50" max="50" width="9.5703125" style="120" bestFit="1" customWidth="1"/>
    <col min="51" max="51" width="5.85546875" style="121" bestFit="1" customWidth="1"/>
    <col min="52" max="16384" width="9.140625" style="47"/>
  </cols>
  <sheetData>
    <row r="1" spans="1:51" s="42" customFormat="1" ht="18.75" customHeight="1">
      <c r="A1" s="100"/>
      <c r="B1" s="100"/>
      <c r="C1" s="104"/>
      <c r="D1" s="104"/>
      <c r="E1" s="105"/>
      <c r="F1" s="105"/>
      <c r="G1" s="140" t="s">
        <v>15</v>
      </c>
      <c r="H1" s="141"/>
      <c r="I1" s="141"/>
      <c r="J1" s="141"/>
      <c r="K1" s="141"/>
      <c r="L1" s="141"/>
      <c r="M1" s="141"/>
      <c r="N1" s="142"/>
      <c r="O1" s="133" t="s">
        <v>16</v>
      </c>
      <c r="P1" s="134"/>
      <c r="Q1" s="134"/>
      <c r="R1" s="134"/>
      <c r="S1" s="134"/>
      <c r="T1" s="134"/>
      <c r="U1" s="134"/>
      <c r="V1" s="135"/>
      <c r="W1" s="136" t="s">
        <v>17</v>
      </c>
      <c r="X1" s="137"/>
      <c r="Y1" s="137"/>
      <c r="Z1" s="137"/>
      <c r="AA1" s="137"/>
      <c r="AB1" s="137"/>
      <c r="AC1" s="137"/>
      <c r="AD1" s="137"/>
      <c r="AE1" s="137"/>
      <c r="AF1" s="138"/>
      <c r="AG1" s="139" t="s">
        <v>18</v>
      </c>
      <c r="AH1" s="137"/>
      <c r="AI1" s="137"/>
      <c r="AJ1" s="137"/>
      <c r="AK1" s="137"/>
      <c r="AL1" s="137"/>
      <c r="AM1" s="137"/>
      <c r="AN1" s="137"/>
      <c r="AO1" s="137"/>
      <c r="AP1" s="138"/>
      <c r="AQ1" s="106" t="s">
        <v>19</v>
      </c>
      <c r="AR1" s="100" t="s">
        <v>20</v>
      </c>
      <c r="AS1" s="100" t="s">
        <v>21</v>
      </c>
      <c r="AT1" s="4" t="s">
        <v>19</v>
      </c>
      <c r="AU1" s="4" t="s">
        <v>20</v>
      </c>
      <c r="AV1" s="4" t="s">
        <v>22</v>
      </c>
      <c r="AW1" s="19" t="s">
        <v>19</v>
      </c>
      <c r="AX1" s="19" t="s">
        <v>20</v>
      </c>
      <c r="AY1" s="19" t="s">
        <v>22</v>
      </c>
    </row>
    <row r="2" spans="1:51" s="42" customFormat="1" ht="33.75">
      <c r="A2" s="100" t="s">
        <v>23</v>
      </c>
      <c r="B2" s="100" t="s">
        <v>24</v>
      </c>
      <c r="C2" s="100" t="s">
        <v>1</v>
      </c>
      <c r="D2" s="100" t="s">
        <v>2</v>
      </c>
      <c r="E2" s="29" t="s">
        <v>25</v>
      </c>
      <c r="F2" s="105" t="s">
        <v>3</v>
      </c>
      <c r="G2" s="98" t="s">
        <v>26</v>
      </c>
      <c r="H2" s="99" t="s">
        <v>27</v>
      </c>
      <c r="I2" s="33" t="s">
        <v>28</v>
      </c>
      <c r="J2" s="33" t="s">
        <v>29</v>
      </c>
      <c r="K2" s="33" t="s">
        <v>30</v>
      </c>
      <c r="L2" s="32" t="s">
        <v>31</v>
      </c>
      <c r="M2" s="33" t="s">
        <v>32</v>
      </c>
      <c r="N2" s="107" t="s">
        <v>33</v>
      </c>
      <c r="O2" s="98" t="s">
        <v>26</v>
      </c>
      <c r="P2" s="99" t="s">
        <v>27</v>
      </c>
      <c r="Q2" s="33" t="s">
        <v>28</v>
      </c>
      <c r="R2" s="33" t="s">
        <v>29</v>
      </c>
      <c r="S2" s="33" t="s">
        <v>30</v>
      </c>
      <c r="T2" s="32" t="s">
        <v>31</v>
      </c>
      <c r="U2" s="33" t="s">
        <v>32</v>
      </c>
      <c r="V2" s="108" t="s">
        <v>33</v>
      </c>
      <c r="W2" s="109" t="s">
        <v>34</v>
      </c>
      <c r="X2" s="110" t="s">
        <v>35</v>
      </c>
      <c r="Y2" s="4" t="s">
        <v>36</v>
      </c>
      <c r="Z2" s="4" t="s">
        <v>37</v>
      </c>
      <c r="AA2" s="110" t="s">
        <v>38</v>
      </c>
      <c r="AB2" s="4" t="s">
        <v>39</v>
      </c>
      <c r="AC2" s="100" t="s">
        <v>39</v>
      </c>
      <c r="AD2" s="100" t="s">
        <v>40</v>
      </c>
      <c r="AE2" s="100" t="s">
        <v>41</v>
      </c>
      <c r="AF2" s="70" t="s">
        <v>42</v>
      </c>
      <c r="AG2" s="98" t="s">
        <v>34</v>
      </c>
      <c r="AH2" s="99" t="s">
        <v>35</v>
      </c>
      <c r="AI2" s="99" t="s">
        <v>36</v>
      </c>
      <c r="AJ2" s="99" t="s">
        <v>43</v>
      </c>
      <c r="AK2" s="99" t="s">
        <v>38</v>
      </c>
      <c r="AL2" s="99" t="s">
        <v>39</v>
      </c>
      <c r="AM2" s="99" t="s">
        <v>39</v>
      </c>
      <c r="AN2" s="99" t="s">
        <v>40</v>
      </c>
      <c r="AO2" s="99" t="s">
        <v>41</v>
      </c>
      <c r="AP2" s="111" t="s">
        <v>42</v>
      </c>
      <c r="AQ2" s="106" t="s">
        <v>44</v>
      </c>
      <c r="AR2" s="100" t="s">
        <v>8</v>
      </c>
      <c r="AS2" s="100" t="s">
        <v>8</v>
      </c>
      <c r="AT2" s="6" t="s">
        <v>45</v>
      </c>
      <c r="AU2" s="6" t="s">
        <v>45</v>
      </c>
      <c r="AV2" s="6" t="s">
        <v>45</v>
      </c>
      <c r="AW2" s="7" t="s">
        <v>10</v>
      </c>
      <c r="AX2" s="7" t="s">
        <v>10</v>
      </c>
      <c r="AY2" s="19" t="s">
        <v>10</v>
      </c>
    </row>
    <row r="3" spans="1:51">
      <c r="A3" s="21">
        <v>14438</v>
      </c>
      <c r="B3" s="21" t="s">
        <v>46</v>
      </c>
      <c r="C3" s="40" t="str">
        <f>Rollover!A3</f>
        <v>Subaru</v>
      </c>
      <c r="D3" s="40" t="str">
        <f>Rollover!B3</f>
        <v>Crosstrek SW AWD</v>
      </c>
      <c r="E3" s="112" t="s">
        <v>47</v>
      </c>
      <c r="F3" s="113">
        <f>Rollover!C3</f>
        <v>2024</v>
      </c>
      <c r="G3" s="22">
        <v>222.48</v>
      </c>
      <c r="H3" s="23">
        <v>0.224</v>
      </c>
      <c r="I3" s="23">
        <v>1189.5899999999999</v>
      </c>
      <c r="J3" s="23">
        <v>441.255</v>
      </c>
      <c r="K3" s="23">
        <v>19.454999999999998</v>
      </c>
      <c r="L3" s="23">
        <v>43.277000000000001</v>
      </c>
      <c r="M3" s="23">
        <v>1177.258</v>
      </c>
      <c r="N3" s="24">
        <v>1292.2639999999999</v>
      </c>
      <c r="O3" s="22">
        <v>169.52</v>
      </c>
      <c r="P3" s="23">
        <v>0.28799999999999998</v>
      </c>
      <c r="Q3" s="23">
        <v>703.28300000000002</v>
      </c>
      <c r="R3" s="23">
        <v>227.35599999999999</v>
      </c>
      <c r="S3" s="23">
        <v>11.619</v>
      </c>
      <c r="T3" s="23">
        <v>38.066000000000003</v>
      </c>
      <c r="U3" s="23">
        <v>1293.2719999999999</v>
      </c>
      <c r="V3" s="114">
        <v>1214.1400000000001</v>
      </c>
      <c r="W3" s="115">
        <f t="shared" ref="W3:W5" si="0">NORMDIST(LN(G3),7.45231,0.73998,1)</f>
        <v>2.8293460404394612E-3</v>
      </c>
      <c r="X3" s="8">
        <f t="shared" ref="X3:X5" si="1">1/(1+EXP(3.2269-1.9688*H3))</f>
        <v>5.8091499038581192E-2</v>
      </c>
      <c r="Y3" s="8">
        <f t="shared" ref="Y3:Y5" si="2">1/(1+EXP(10.9745-2.375*I3/1000))</f>
        <v>2.8887610394746688E-4</v>
      </c>
      <c r="Z3" s="8">
        <f t="shared" ref="Z3:Z5" si="3">1/(1+EXP(10.9745-2.375*J3/1000))</f>
        <v>4.8859181932098063E-5</v>
      </c>
      <c r="AA3" s="8">
        <f t="shared" ref="AA3:AA5" si="4">MAX(X3,Y3,Z3)</f>
        <v>5.8091499038581192E-2</v>
      </c>
      <c r="AB3" s="8">
        <f t="shared" ref="AB3:AB5" si="5">1/(1+EXP(12.597-0.05861*35-1.568*(K3^0.4612)))</f>
        <v>1.2347612356102459E-2</v>
      </c>
      <c r="AC3" s="8">
        <f t="shared" ref="AC3:AC5" si="6">AB3</f>
        <v>1.2347612356102459E-2</v>
      </c>
      <c r="AD3" s="8">
        <f t="shared" ref="AD3:AD5" si="7">1/(1+EXP(5.7949-0.5196*M3/1000))</f>
        <v>5.5787468349516901E-3</v>
      </c>
      <c r="AE3" s="8">
        <f t="shared" ref="AE3:AE5" si="8">1/(1+EXP(5.7949-0.5196*N3/1000))</f>
        <v>5.9202448886615557E-3</v>
      </c>
      <c r="AF3" s="116">
        <f t="shared" ref="AF3:AF5" si="9">MAX(AD3,AE3)</f>
        <v>5.9202448886615557E-3</v>
      </c>
      <c r="AG3" s="36">
        <f t="shared" ref="AG3:AG5" si="10">NORMDIST(LN(O3),7.45231,0.73998,1)</f>
        <v>8.6124476356152569E-4</v>
      </c>
      <c r="AH3" s="8">
        <f t="shared" ref="AH3:AH5" si="11">1/(1+EXP(3.2269-1.9688*P3))</f>
        <v>6.5382323773201578E-2</v>
      </c>
      <c r="AI3" s="8">
        <f t="shared" ref="AI3:AI5" si="12">1/(1+EXP(10.958-3.77*Q3/1000))</f>
        <v>2.4681538354454172E-4</v>
      </c>
      <c r="AJ3" s="8">
        <f t="shared" ref="AJ3:AJ5" si="13">1/(1+EXP(10.958-3.77*R3/1000))</f>
        <v>4.104223403320846E-5</v>
      </c>
      <c r="AK3" s="8">
        <f t="shared" ref="AK3:AK5" si="14">MAX(AH3,AI3,AJ3)</f>
        <v>6.5382323773201578E-2</v>
      </c>
      <c r="AL3" s="8">
        <f t="shared" ref="AL3:AL5" si="15">1/(1+EXP(12.597-0.05861*35-1.568*((S3/0.817)^0.4612)))</f>
        <v>5.4252234912184529E-3</v>
      </c>
      <c r="AM3" s="8">
        <f t="shared" ref="AM3:AM5" si="16">AL3</f>
        <v>5.4252234912184529E-3</v>
      </c>
      <c r="AN3" s="8">
        <f t="shared" ref="AN3:AN5" si="17">1/(1+EXP(5.7949-0.7619*U3/1000))</f>
        <v>8.0855683062313142E-3</v>
      </c>
      <c r="AO3" s="8">
        <f t="shared" ref="AO3:AO5" si="18">1/(1+EXP(5.7949-0.7619*V3/1000))</f>
        <v>7.6160914346728552E-3</v>
      </c>
      <c r="AP3" s="116">
        <f t="shared" ref="AP3:AP5" si="19">MAX(AN3,AO3)</f>
        <v>8.0855683062313142E-3</v>
      </c>
      <c r="AQ3" s="102">
        <f t="shared" ref="AQ3:AQ5" si="20">ROUND(1-(1-W3)*(1-AA3)*(1-AC3)*(1-AF3),3)</f>
        <v>7.8E-2</v>
      </c>
      <c r="AR3" s="8">
        <f t="shared" ref="AR3:AR5" si="21">ROUND(1-(1-AG3)*(1-AK3)*(1-AM3)*(1-AP3),3)</f>
        <v>7.9000000000000001E-2</v>
      </c>
      <c r="AS3" s="8">
        <f t="shared" ref="AS3:AS5" si="22">ROUND(AVERAGE(AR3,AQ3),3)</f>
        <v>7.9000000000000001E-2</v>
      </c>
      <c r="AT3" s="18">
        <f t="shared" ref="AT3:AT5" si="23">ROUND(AQ3/0.15,2)</f>
        <v>0.52</v>
      </c>
      <c r="AU3" s="18">
        <f t="shared" ref="AU3:AU5" si="24">ROUND(AR3/0.15,2)</f>
        <v>0.53</v>
      </c>
      <c r="AV3" s="18">
        <f t="shared" ref="AV3:AV5" si="25">ROUND(AS3/0.15,2)</f>
        <v>0.53</v>
      </c>
      <c r="AW3" s="19">
        <f t="shared" ref="AW3:AW5" si="26">IF(AT3&lt;0.67,5,IF(AT3&lt;1,4,IF(AT3&lt;1.33,3,IF(AT3&lt;2.67,2,1))))</f>
        <v>5</v>
      </c>
      <c r="AX3" s="19">
        <f t="shared" ref="AX3:AX5" si="27">IF(AU3&lt;0.67,5,IF(AU3&lt;1,4,IF(AU3&lt;1.33,3,IF(AU3&lt;2.67,2,1))))</f>
        <v>5</v>
      </c>
      <c r="AY3" s="19">
        <f t="shared" ref="AY3:AY5" si="28">IF(AV3&lt;0.67,5,IF(AV3&lt;1,4,IF(AV3&lt;1.33,3,IF(AV3&lt;2.67,2,1))))</f>
        <v>5</v>
      </c>
    </row>
    <row r="4" spans="1:51">
      <c r="A4" s="21">
        <v>14438</v>
      </c>
      <c r="B4" s="21" t="s">
        <v>46</v>
      </c>
      <c r="C4" s="117" t="str">
        <f>Rollover!A4</f>
        <v>Subaru</v>
      </c>
      <c r="D4" s="117" t="str">
        <f>Rollover!B4</f>
        <v>Crosstrek Wilderness SW AWD</v>
      </c>
      <c r="E4" s="112" t="s">
        <v>47</v>
      </c>
      <c r="F4" s="113">
        <f>Rollover!C4</f>
        <v>2024</v>
      </c>
      <c r="G4" s="13">
        <v>222.48</v>
      </c>
      <c r="H4" s="14">
        <v>0.224</v>
      </c>
      <c r="I4" s="14">
        <v>1189.5899999999999</v>
      </c>
      <c r="J4" s="14">
        <v>441.255</v>
      </c>
      <c r="K4" s="14">
        <v>19.454999999999998</v>
      </c>
      <c r="L4" s="14">
        <v>43.277000000000001</v>
      </c>
      <c r="M4" s="14">
        <v>1177.258</v>
      </c>
      <c r="N4" s="15">
        <v>1292.2639999999999</v>
      </c>
      <c r="O4" s="13">
        <v>169.52</v>
      </c>
      <c r="P4" s="14">
        <v>0.28799999999999998</v>
      </c>
      <c r="Q4" s="14">
        <v>703.28300000000002</v>
      </c>
      <c r="R4" s="14">
        <v>227.35599999999999</v>
      </c>
      <c r="S4" s="14">
        <v>11.619</v>
      </c>
      <c r="T4" s="14">
        <v>38.066000000000003</v>
      </c>
      <c r="U4" s="14">
        <v>1293.2719999999999</v>
      </c>
      <c r="V4" s="35">
        <v>1214.1400000000001</v>
      </c>
      <c r="W4" s="115">
        <f t="shared" si="0"/>
        <v>2.8293460404394612E-3</v>
      </c>
      <c r="X4" s="8">
        <f t="shared" si="1"/>
        <v>5.8091499038581192E-2</v>
      </c>
      <c r="Y4" s="8">
        <f t="shared" si="2"/>
        <v>2.8887610394746688E-4</v>
      </c>
      <c r="Z4" s="8">
        <f t="shared" si="3"/>
        <v>4.8859181932098063E-5</v>
      </c>
      <c r="AA4" s="8">
        <f t="shared" si="4"/>
        <v>5.8091499038581192E-2</v>
      </c>
      <c r="AB4" s="8">
        <f t="shared" si="5"/>
        <v>1.2347612356102459E-2</v>
      </c>
      <c r="AC4" s="8">
        <f t="shared" si="6"/>
        <v>1.2347612356102459E-2</v>
      </c>
      <c r="AD4" s="8">
        <f t="shared" si="7"/>
        <v>5.5787468349516901E-3</v>
      </c>
      <c r="AE4" s="8">
        <f t="shared" si="8"/>
        <v>5.9202448886615557E-3</v>
      </c>
      <c r="AF4" s="116">
        <f t="shared" si="9"/>
        <v>5.9202448886615557E-3</v>
      </c>
      <c r="AG4" s="36">
        <f t="shared" si="10"/>
        <v>8.6124476356152569E-4</v>
      </c>
      <c r="AH4" s="8">
        <f t="shared" si="11"/>
        <v>6.5382323773201578E-2</v>
      </c>
      <c r="AI4" s="8">
        <f t="shared" si="12"/>
        <v>2.4681538354454172E-4</v>
      </c>
      <c r="AJ4" s="8">
        <f t="shared" si="13"/>
        <v>4.104223403320846E-5</v>
      </c>
      <c r="AK4" s="8">
        <f t="shared" si="14"/>
        <v>6.5382323773201578E-2</v>
      </c>
      <c r="AL4" s="8">
        <f t="shared" si="15"/>
        <v>5.4252234912184529E-3</v>
      </c>
      <c r="AM4" s="8">
        <f t="shared" si="16"/>
        <v>5.4252234912184529E-3</v>
      </c>
      <c r="AN4" s="8">
        <f t="shared" si="17"/>
        <v>8.0855683062313142E-3</v>
      </c>
      <c r="AO4" s="8">
        <f t="shared" si="18"/>
        <v>7.6160914346728552E-3</v>
      </c>
      <c r="AP4" s="116">
        <f t="shared" si="19"/>
        <v>8.0855683062313142E-3</v>
      </c>
      <c r="AQ4" s="102">
        <f t="shared" si="20"/>
        <v>7.8E-2</v>
      </c>
      <c r="AR4" s="8">
        <f t="shared" si="21"/>
        <v>7.9000000000000001E-2</v>
      </c>
      <c r="AS4" s="8">
        <f t="shared" si="22"/>
        <v>7.9000000000000001E-2</v>
      </c>
      <c r="AT4" s="18">
        <f t="shared" si="23"/>
        <v>0.52</v>
      </c>
      <c r="AU4" s="18">
        <f t="shared" si="24"/>
        <v>0.53</v>
      </c>
      <c r="AV4" s="18">
        <f t="shared" si="25"/>
        <v>0.53</v>
      </c>
      <c r="AW4" s="19">
        <f t="shared" si="26"/>
        <v>5</v>
      </c>
      <c r="AX4" s="19">
        <f t="shared" si="27"/>
        <v>5</v>
      </c>
      <c r="AY4" s="19">
        <f t="shared" si="28"/>
        <v>5</v>
      </c>
    </row>
    <row r="5" spans="1:51">
      <c r="A5" s="21">
        <v>14438</v>
      </c>
      <c r="B5" s="21" t="s">
        <v>46</v>
      </c>
      <c r="C5" s="40" t="str">
        <f>Rollover!A5</f>
        <v>Subaru</v>
      </c>
      <c r="D5" s="40" t="str">
        <f>Rollover!B5</f>
        <v>Impreza SW AWD</v>
      </c>
      <c r="E5" s="112" t="s">
        <v>47</v>
      </c>
      <c r="F5" s="113">
        <f>Rollover!C5</f>
        <v>2024</v>
      </c>
      <c r="G5" s="13">
        <v>222.48</v>
      </c>
      <c r="H5" s="14">
        <v>0.224</v>
      </c>
      <c r="I5" s="14">
        <v>1189.5899999999999</v>
      </c>
      <c r="J5" s="14">
        <v>441.255</v>
      </c>
      <c r="K5" s="14">
        <v>19.454999999999998</v>
      </c>
      <c r="L5" s="14">
        <v>43.277000000000001</v>
      </c>
      <c r="M5" s="14">
        <v>1177.258</v>
      </c>
      <c r="N5" s="15">
        <v>1292.2639999999999</v>
      </c>
      <c r="O5" s="13">
        <v>169.52</v>
      </c>
      <c r="P5" s="14">
        <v>0.28799999999999998</v>
      </c>
      <c r="Q5" s="14">
        <v>703.28300000000002</v>
      </c>
      <c r="R5" s="14">
        <v>227.35599999999999</v>
      </c>
      <c r="S5" s="14">
        <v>11.619</v>
      </c>
      <c r="T5" s="14">
        <v>38.066000000000003</v>
      </c>
      <c r="U5" s="14">
        <v>1293.2719999999999</v>
      </c>
      <c r="V5" s="35">
        <v>1214.1400000000001</v>
      </c>
      <c r="W5" s="115">
        <f t="shared" si="0"/>
        <v>2.8293460404394612E-3</v>
      </c>
      <c r="X5" s="8">
        <f t="shared" si="1"/>
        <v>5.8091499038581192E-2</v>
      </c>
      <c r="Y5" s="8">
        <f t="shared" si="2"/>
        <v>2.8887610394746688E-4</v>
      </c>
      <c r="Z5" s="8">
        <f t="shared" si="3"/>
        <v>4.8859181932098063E-5</v>
      </c>
      <c r="AA5" s="8">
        <f t="shared" si="4"/>
        <v>5.8091499038581192E-2</v>
      </c>
      <c r="AB5" s="8">
        <f t="shared" si="5"/>
        <v>1.2347612356102459E-2</v>
      </c>
      <c r="AC5" s="8">
        <f t="shared" si="6"/>
        <v>1.2347612356102459E-2</v>
      </c>
      <c r="AD5" s="8">
        <f t="shared" si="7"/>
        <v>5.5787468349516901E-3</v>
      </c>
      <c r="AE5" s="8">
        <f t="shared" si="8"/>
        <v>5.9202448886615557E-3</v>
      </c>
      <c r="AF5" s="116">
        <f t="shared" si="9"/>
        <v>5.9202448886615557E-3</v>
      </c>
      <c r="AG5" s="36">
        <f t="shared" si="10"/>
        <v>8.6124476356152569E-4</v>
      </c>
      <c r="AH5" s="8">
        <f t="shared" si="11"/>
        <v>6.5382323773201578E-2</v>
      </c>
      <c r="AI5" s="8">
        <f t="shared" si="12"/>
        <v>2.4681538354454172E-4</v>
      </c>
      <c r="AJ5" s="8">
        <f t="shared" si="13"/>
        <v>4.104223403320846E-5</v>
      </c>
      <c r="AK5" s="8">
        <f t="shared" si="14"/>
        <v>6.5382323773201578E-2</v>
      </c>
      <c r="AL5" s="8">
        <f t="shared" si="15"/>
        <v>5.4252234912184529E-3</v>
      </c>
      <c r="AM5" s="8">
        <f t="shared" si="16"/>
        <v>5.4252234912184529E-3</v>
      </c>
      <c r="AN5" s="8">
        <f t="shared" si="17"/>
        <v>8.0855683062313142E-3</v>
      </c>
      <c r="AO5" s="8">
        <f t="shared" si="18"/>
        <v>7.6160914346728552E-3</v>
      </c>
      <c r="AP5" s="116">
        <f t="shared" si="19"/>
        <v>8.0855683062313142E-3</v>
      </c>
      <c r="AQ5" s="102">
        <f t="shared" si="20"/>
        <v>7.8E-2</v>
      </c>
      <c r="AR5" s="8">
        <f t="shared" si="21"/>
        <v>7.9000000000000001E-2</v>
      </c>
      <c r="AS5" s="8">
        <f t="shared" si="22"/>
        <v>7.9000000000000001E-2</v>
      </c>
      <c r="AT5" s="18">
        <f t="shared" si="23"/>
        <v>0.52</v>
      </c>
      <c r="AU5" s="18">
        <f t="shared" si="24"/>
        <v>0.53</v>
      </c>
      <c r="AV5" s="18">
        <f t="shared" si="25"/>
        <v>0.53</v>
      </c>
      <c r="AW5" s="19">
        <f t="shared" si="26"/>
        <v>5</v>
      </c>
      <c r="AX5" s="19">
        <f t="shared" si="27"/>
        <v>5</v>
      </c>
      <c r="AY5" s="19">
        <f t="shared" si="28"/>
        <v>5</v>
      </c>
    </row>
    <row r="6" spans="1:51">
      <c r="A6" s="71"/>
      <c r="B6" s="71"/>
      <c r="C6" s="71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</row>
    <row r="7" spans="1:51">
      <c r="A7" s="71"/>
      <c r="B7" s="71"/>
      <c r="C7" s="71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51">
      <c r="A8" s="71"/>
      <c r="B8" s="71"/>
      <c r="C8" s="71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51">
      <c r="A9" s="71"/>
      <c r="B9" s="71"/>
      <c r="C9" s="71"/>
      <c r="D9" s="71"/>
      <c r="E9" s="71"/>
      <c r="F9" s="71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</row>
    <row r="10" spans="1:51">
      <c r="A10" s="71"/>
      <c r="B10" s="71"/>
      <c r="C10" s="71"/>
      <c r="D10" s="71"/>
      <c r="E10" s="71"/>
      <c r="F10" s="71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</row>
    <row r="11" spans="1:51">
      <c r="A11" s="71"/>
      <c r="B11" s="71"/>
      <c r="C11" s="71"/>
      <c r="D11" s="71"/>
      <c r="E11" s="71"/>
      <c r="F11" s="71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51">
      <c r="A12" s="71"/>
      <c r="B12" s="71"/>
      <c r="C12" s="71"/>
      <c r="D12" s="71"/>
      <c r="E12" s="71"/>
      <c r="F12" s="71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</row>
    <row r="13" spans="1:51">
      <c r="A13" s="71"/>
      <c r="B13" s="71"/>
      <c r="C13" s="71"/>
      <c r="D13" s="71"/>
      <c r="E13" s="71"/>
      <c r="F13" s="71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</row>
    <row r="14" spans="1:51">
      <c r="A14" s="71"/>
      <c r="B14" s="71"/>
      <c r="C14" s="71"/>
      <c r="D14" s="71"/>
      <c r="E14" s="71"/>
      <c r="F14" s="71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</row>
    <row r="15" spans="1:51">
      <c r="A15" s="122"/>
      <c r="B15" s="122"/>
      <c r="C15" s="71"/>
      <c r="D15" s="71"/>
      <c r="E15" s="71"/>
      <c r="F15" s="71"/>
      <c r="G15" s="118"/>
      <c r="H15" s="118"/>
      <c r="I15" s="118"/>
      <c r="J15" s="118"/>
      <c r="K15" s="118"/>
      <c r="L15" s="123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124"/>
      <c r="X15" s="47"/>
      <c r="Y15" s="47"/>
      <c r="Z15" s="47"/>
    </row>
    <row r="16" spans="1:51">
      <c r="L16" s="123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124"/>
      <c r="X16" s="47"/>
      <c r="Y16" s="47"/>
      <c r="Z16" s="47"/>
    </row>
    <row r="17" spans="1:26">
      <c r="L17" s="123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124"/>
      <c r="X17" s="47"/>
      <c r="Y17" s="47"/>
      <c r="Z17" s="47"/>
    </row>
    <row r="18" spans="1:26">
      <c r="C18" s="76"/>
      <c r="D18" s="76"/>
      <c r="E18" s="76"/>
      <c r="F18" s="76"/>
      <c r="G18" s="126"/>
      <c r="H18" s="126"/>
      <c r="K18" s="126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124"/>
      <c r="X18" s="47"/>
      <c r="Y18" s="47"/>
      <c r="Z18" s="47"/>
    </row>
    <row r="19" spans="1:26">
      <c r="C19" s="76"/>
      <c r="D19" s="76"/>
      <c r="E19" s="76"/>
      <c r="F19" s="76"/>
      <c r="G19" s="126"/>
      <c r="H19" s="126"/>
      <c r="K19" s="127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124"/>
      <c r="X19" s="47"/>
      <c r="Y19" s="47"/>
      <c r="Z19" s="47"/>
    </row>
    <row r="20" spans="1:26">
      <c r="C20" s="76"/>
      <c r="D20" s="76"/>
      <c r="E20" s="76"/>
      <c r="F20" s="76"/>
      <c r="G20" s="126"/>
      <c r="H20" s="126"/>
      <c r="K20" s="126"/>
      <c r="L20" s="123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124"/>
      <c r="X20" s="47"/>
      <c r="Y20" s="47"/>
      <c r="Z20" s="47"/>
    </row>
    <row r="21" spans="1:26">
      <c r="C21" s="76"/>
      <c r="D21" s="76"/>
      <c r="E21" s="76"/>
      <c r="F21" s="76"/>
      <c r="G21" s="126"/>
      <c r="H21" s="126"/>
      <c r="K21" s="126"/>
      <c r="L21" s="123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124"/>
      <c r="X21" s="47"/>
      <c r="Y21" s="47"/>
      <c r="Z21" s="47"/>
    </row>
    <row r="22" spans="1:26">
      <c r="C22" s="76"/>
      <c r="D22" s="76"/>
      <c r="E22" s="76"/>
      <c r="F22" s="76"/>
      <c r="G22" s="126"/>
      <c r="H22" s="126"/>
      <c r="K22" s="127"/>
      <c r="L22" s="123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124"/>
      <c r="X22" s="47"/>
      <c r="Y22" s="47"/>
      <c r="Z22" s="47"/>
    </row>
    <row r="23" spans="1:26">
      <c r="C23" s="76"/>
      <c r="D23" s="76"/>
      <c r="E23" s="76"/>
      <c r="F23" s="76"/>
      <c r="G23" s="126"/>
      <c r="H23" s="126"/>
      <c r="K23" s="126"/>
      <c r="L23" s="123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124"/>
      <c r="X23" s="47"/>
      <c r="Y23" s="47"/>
      <c r="Z23" s="47"/>
    </row>
    <row r="24" spans="1:26">
      <c r="C24" s="76"/>
      <c r="D24" s="76"/>
      <c r="E24" s="76"/>
      <c r="F24" s="76"/>
      <c r="G24" s="126"/>
      <c r="H24" s="126"/>
      <c r="K24" s="126"/>
    </row>
    <row r="25" spans="1:26">
      <c r="C25" s="76"/>
      <c r="D25" s="76"/>
      <c r="E25" s="76"/>
      <c r="F25" s="76"/>
      <c r="G25" s="126"/>
      <c r="H25" s="126"/>
      <c r="K25" s="126"/>
    </row>
    <row r="26" spans="1:26">
      <c r="C26" s="76"/>
      <c r="D26" s="76"/>
      <c r="E26" s="76"/>
      <c r="F26" s="76"/>
      <c r="G26" s="126"/>
      <c r="H26" s="126"/>
      <c r="K26" s="127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</row>
    <row r="27" spans="1:26">
      <c r="C27" s="76"/>
      <c r="D27" s="76"/>
      <c r="E27" s="76"/>
      <c r="F27" s="76"/>
      <c r="G27" s="126"/>
      <c r="H27" s="126"/>
      <c r="K27" s="126"/>
    </row>
    <row r="28" spans="1:26">
      <c r="G28" s="126"/>
      <c r="H28" s="126"/>
      <c r="K28" s="126"/>
    </row>
    <row r="29" spans="1:26">
      <c r="G29" s="126"/>
      <c r="H29" s="126"/>
      <c r="K29" s="126"/>
    </row>
    <row r="30" spans="1:26">
      <c r="C30" s="76"/>
      <c r="D30" s="76"/>
      <c r="E30" s="76"/>
      <c r="F30" s="76"/>
      <c r="G30" s="126"/>
      <c r="H30" s="126"/>
      <c r="K30" s="126"/>
    </row>
    <row r="31" spans="1:26">
      <c r="A31" s="71"/>
      <c r="B31" s="71"/>
      <c r="C31" s="76"/>
      <c r="D31" s="76"/>
      <c r="E31" s="76"/>
      <c r="F31" s="76"/>
      <c r="G31" s="126"/>
      <c r="H31" s="126"/>
      <c r="K31" s="126"/>
    </row>
    <row r="32" spans="1:26">
      <c r="A32" s="71"/>
      <c r="B32" s="71"/>
      <c r="C32" s="76"/>
      <c r="D32" s="76"/>
      <c r="E32" s="76"/>
      <c r="F32" s="76"/>
      <c r="G32" s="126"/>
      <c r="H32" s="126"/>
      <c r="K32" s="126"/>
    </row>
    <row r="33" spans="1:31">
      <c r="A33" s="71"/>
      <c r="B33" s="71"/>
      <c r="C33" s="76"/>
      <c r="D33" s="76"/>
      <c r="E33" s="76"/>
      <c r="F33" s="76"/>
      <c r="G33" s="126"/>
      <c r="H33" s="126"/>
      <c r="K33" s="126"/>
      <c r="N33" s="126"/>
      <c r="O33" s="126"/>
      <c r="P33" s="126"/>
      <c r="Q33" s="126"/>
      <c r="R33" s="126"/>
      <c r="S33" s="126"/>
      <c r="T33" s="126"/>
      <c r="U33" s="126"/>
      <c r="V33" s="126"/>
      <c r="W33" s="128"/>
      <c r="X33" s="129"/>
      <c r="Y33" s="130"/>
      <c r="Z33" s="130"/>
      <c r="AA33" s="76"/>
      <c r="AB33" s="76"/>
      <c r="AC33" s="76"/>
      <c r="AD33" s="76"/>
      <c r="AE33" s="76"/>
    </row>
    <row r="34" spans="1:31">
      <c r="C34" s="76"/>
      <c r="D34" s="76"/>
      <c r="E34" s="76"/>
      <c r="F34" s="76"/>
      <c r="H34" s="90"/>
      <c r="I34" s="90"/>
      <c r="J34" s="90"/>
      <c r="K34" s="90"/>
      <c r="L34" s="90"/>
      <c r="M34" s="90"/>
      <c r="N34" s="126"/>
      <c r="O34" s="126"/>
      <c r="P34" s="126"/>
      <c r="Q34" s="126"/>
      <c r="R34" s="126"/>
      <c r="S34" s="126"/>
      <c r="T34" s="126"/>
      <c r="U34" s="126"/>
      <c r="V34" s="126"/>
      <c r="W34" s="128"/>
      <c r="X34" s="129"/>
      <c r="Y34" s="130"/>
      <c r="Z34" s="130"/>
      <c r="AA34" s="48"/>
      <c r="AB34" s="48"/>
      <c r="AC34" s="48"/>
      <c r="AD34" s="48"/>
      <c r="AE34" s="48"/>
    </row>
    <row r="35" spans="1:31">
      <c r="C35" s="76"/>
      <c r="D35" s="76"/>
      <c r="E35" s="76"/>
      <c r="F35" s="76"/>
      <c r="H35" s="90"/>
      <c r="I35" s="90"/>
      <c r="J35" s="90"/>
      <c r="K35" s="90"/>
      <c r="L35" s="90"/>
      <c r="M35" s="90"/>
      <c r="N35" s="126"/>
      <c r="O35" s="126"/>
      <c r="P35" s="126"/>
      <c r="Q35" s="126"/>
      <c r="R35" s="126"/>
      <c r="S35" s="126"/>
      <c r="T35" s="126"/>
      <c r="U35" s="126"/>
      <c r="V35" s="126"/>
      <c r="W35" s="128"/>
      <c r="X35" s="129"/>
      <c r="Y35" s="130"/>
      <c r="Z35" s="130"/>
      <c r="AA35" s="39"/>
      <c r="AB35" s="130"/>
      <c r="AC35" s="130"/>
      <c r="AD35" s="39"/>
      <c r="AE35" s="39"/>
    </row>
    <row r="36" spans="1:31">
      <c r="A36" s="131"/>
      <c r="B36" s="131"/>
      <c r="C36" s="79"/>
      <c r="D36" s="79"/>
      <c r="E36" s="79"/>
      <c r="F36" s="79"/>
      <c r="G36" s="132"/>
      <c r="H36" s="90"/>
      <c r="I36" s="90"/>
      <c r="J36" s="90"/>
      <c r="K36" s="90"/>
      <c r="L36" s="90"/>
      <c r="M36" s="90"/>
      <c r="N36" s="126"/>
      <c r="O36" s="126"/>
      <c r="P36" s="126"/>
      <c r="Q36" s="126"/>
      <c r="R36" s="126"/>
      <c r="S36" s="126"/>
      <c r="T36" s="126"/>
      <c r="U36" s="126"/>
      <c r="V36" s="126"/>
      <c r="W36" s="128"/>
      <c r="X36" s="129"/>
      <c r="Y36" s="130"/>
      <c r="Z36" s="130"/>
      <c r="AA36" s="39"/>
      <c r="AB36" s="130"/>
      <c r="AC36" s="130"/>
      <c r="AD36" s="39"/>
      <c r="AE36" s="39"/>
    </row>
    <row r="37" spans="1:31">
      <c r="A37" s="71"/>
      <c r="B37" s="71"/>
      <c r="C37" s="71"/>
      <c r="D37" s="71"/>
      <c r="E37" s="71"/>
      <c r="F37" s="71"/>
      <c r="G37" s="118"/>
      <c r="H37" s="90"/>
      <c r="I37" s="90"/>
      <c r="J37" s="90"/>
      <c r="K37" s="90"/>
      <c r="L37" s="90"/>
      <c r="M37" s="90"/>
      <c r="N37" s="126"/>
      <c r="O37" s="126"/>
      <c r="P37" s="126"/>
      <c r="Q37" s="126"/>
      <c r="R37" s="126"/>
      <c r="S37" s="126"/>
      <c r="T37" s="126"/>
      <c r="U37" s="126"/>
      <c r="V37" s="126"/>
      <c r="W37" s="128"/>
      <c r="X37" s="129"/>
      <c r="Y37" s="130"/>
      <c r="Z37" s="130"/>
      <c r="AA37" s="39"/>
      <c r="AB37" s="130"/>
      <c r="AC37" s="130"/>
      <c r="AD37" s="39"/>
      <c r="AE37" s="39"/>
    </row>
    <row r="38" spans="1:31">
      <c r="C38" s="76"/>
      <c r="D38" s="76"/>
      <c r="E38" s="76"/>
      <c r="F38" s="76"/>
      <c r="H38" s="90"/>
      <c r="I38" s="90"/>
      <c r="J38" s="90"/>
      <c r="K38" s="90"/>
      <c r="L38" s="90"/>
      <c r="M38" s="90"/>
      <c r="N38" s="126"/>
      <c r="O38" s="126"/>
      <c r="P38" s="126"/>
      <c r="Q38" s="126"/>
      <c r="R38" s="126"/>
      <c r="S38" s="126"/>
      <c r="T38" s="126"/>
      <c r="U38" s="126"/>
      <c r="V38" s="126"/>
      <c r="W38" s="128"/>
      <c r="X38" s="129"/>
      <c r="Y38" s="130"/>
      <c r="Z38" s="130"/>
      <c r="AA38" s="39"/>
      <c r="AB38" s="130"/>
      <c r="AC38" s="130"/>
      <c r="AD38" s="39"/>
      <c r="AE38" s="39"/>
    </row>
    <row r="39" spans="1:31">
      <c r="A39" s="71"/>
      <c r="B39" s="71"/>
      <c r="C39" s="76"/>
      <c r="D39" s="76"/>
      <c r="E39" s="76"/>
      <c r="F39" s="76"/>
      <c r="H39" s="90"/>
      <c r="I39" s="90"/>
      <c r="J39" s="90"/>
      <c r="K39" s="90"/>
      <c r="L39" s="90"/>
      <c r="M39" s="90"/>
      <c r="N39" s="126"/>
      <c r="O39" s="126"/>
      <c r="P39" s="126"/>
      <c r="Q39" s="126"/>
      <c r="R39" s="126"/>
      <c r="S39" s="126"/>
      <c r="T39" s="126"/>
      <c r="U39" s="126"/>
      <c r="V39" s="126"/>
      <c r="W39" s="128"/>
      <c r="X39" s="129"/>
      <c r="Y39" s="130"/>
      <c r="Z39" s="130"/>
      <c r="AA39" s="39"/>
      <c r="AB39" s="130"/>
      <c r="AC39" s="130"/>
      <c r="AD39" s="39"/>
      <c r="AE39" s="39"/>
    </row>
    <row r="40" spans="1:31">
      <c r="C40" s="76"/>
      <c r="D40" s="76"/>
      <c r="E40" s="76"/>
      <c r="F40" s="76"/>
      <c r="H40" s="90"/>
      <c r="I40" s="90"/>
      <c r="J40" s="90"/>
      <c r="K40" s="90"/>
      <c r="L40" s="90"/>
      <c r="M40" s="90"/>
      <c r="N40" s="126"/>
      <c r="O40" s="126"/>
      <c r="P40" s="126"/>
      <c r="Q40" s="126"/>
      <c r="R40" s="126"/>
      <c r="S40" s="126"/>
      <c r="T40" s="126"/>
      <c r="U40" s="126"/>
      <c r="V40" s="126"/>
      <c r="W40" s="128"/>
      <c r="X40" s="129"/>
      <c r="Y40" s="130"/>
      <c r="Z40" s="130"/>
      <c r="AA40" s="39"/>
      <c r="AB40" s="130"/>
      <c r="AC40" s="130"/>
      <c r="AD40" s="39"/>
      <c r="AE40" s="39"/>
    </row>
    <row r="41" spans="1:31">
      <c r="C41" s="76"/>
      <c r="D41" s="76"/>
      <c r="E41" s="76"/>
      <c r="F41" s="76"/>
      <c r="H41" s="90"/>
      <c r="I41" s="90"/>
      <c r="J41" s="90"/>
      <c r="K41" s="90"/>
      <c r="L41" s="90"/>
      <c r="M41" s="90"/>
      <c r="N41" s="126"/>
      <c r="O41" s="126"/>
      <c r="P41" s="126"/>
      <c r="Q41" s="126"/>
      <c r="R41" s="126"/>
      <c r="S41" s="126"/>
      <c r="T41" s="126"/>
      <c r="U41" s="126"/>
      <c r="V41" s="126"/>
      <c r="W41" s="128"/>
      <c r="X41" s="129"/>
      <c r="Y41" s="130"/>
      <c r="Z41" s="130"/>
      <c r="AA41" s="39"/>
      <c r="AB41" s="130"/>
      <c r="AC41" s="130"/>
      <c r="AD41" s="39"/>
      <c r="AE41" s="39"/>
    </row>
    <row r="42" spans="1:31">
      <c r="A42" s="71"/>
      <c r="B42" s="71"/>
      <c r="C42" s="71"/>
      <c r="D42" s="71"/>
      <c r="E42" s="71"/>
      <c r="F42" s="71"/>
      <c r="G42" s="118"/>
      <c r="H42" s="90"/>
      <c r="I42" s="90"/>
      <c r="J42" s="90"/>
      <c r="K42" s="90"/>
      <c r="L42" s="90"/>
      <c r="M42" s="90"/>
      <c r="N42" s="126"/>
      <c r="O42" s="126"/>
      <c r="P42" s="126"/>
      <c r="Q42" s="126"/>
      <c r="R42" s="126"/>
      <c r="S42" s="126"/>
      <c r="T42" s="126"/>
      <c r="U42" s="126"/>
      <c r="V42" s="126"/>
      <c r="W42" s="128"/>
      <c r="X42" s="129"/>
      <c r="Y42" s="130"/>
      <c r="Z42" s="130"/>
      <c r="AA42" s="39"/>
      <c r="AB42" s="130"/>
      <c r="AC42" s="130"/>
      <c r="AD42" s="39"/>
      <c r="AE42" s="39"/>
    </row>
    <row r="43" spans="1:31">
      <c r="H43" s="90"/>
      <c r="I43" s="90"/>
      <c r="J43" s="90"/>
      <c r="K43" s="90"/>
      <c r="L43" s="90"/>
      <c r="M43" s="90"/>
      <c r="N43" s="126"/>
      <c r="O43" s="126"/>
      <c r="P43" s="126"/>
      <c r="Q43" s="126"/>
      <c r="R43" s="126"/>
      <c r="S43" s="126"/>
      <c r="T43" s="126"/>
      <c r="U43" s="126"/>
      <c r="V43" s="126"/>
      <c r="W43" s="128"/>
      <c r="X43" s="129"/>
      <c r="Y43" s="130"/>
      <c r="Z43" s="130"/>
      <c r="AA43" s="39"/>
      <c r="AB43" s="130"/>
      <c r="AC43" s="130"/>
      <c r="AD43" s="39"/>
      <c r="AE43" s="39"/>
    </row>
    <row r="44" spans="1:31">
      <c r="H44" s="90"/>
      <c r="I44" s="90"/>
      <c r="J44" s="90"/>
      <c r="K44" s="90"/>
      <c r="L44" s="90"/>
      <c r="M44" s="90"/>
      <c r="N44" s="126"/>
      <c r="O44" s="126"/>
      <c r="P44" s="126"/>
      <c r="Q44" s="126"/>
      <c r="R44" s="126"/>
      <c r="S44" s="126"/>
      <c r="T44" s="126"/>
      <c r="U44" s="126"/>
      <c r="V44" s="126"/>
      <c r="W44" s="128"/>
      <c r="X44" s="129"/>
      <c r="Y44" s="130"/>
      <c r="Z44" s="130"/>
      <c r="AA44" s="39"/>
      <c r="AB44" s="130"/>
      <c r="AC44" s="130"/>
      <c r="AD44" s="39"/>
      <c r="AE44" s="39"/>
    </row>
  </sheetData>
  <mergeCells count="4">
    <mergeCell ref="O1:V1"/>
    <mergeCell ref="W1:AF1"/>
    <mergeCell ref="AG1:AP1"/>
    <mergeCell ref="G1:N1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163"/>
  <sheetViews>
    <sheetView workbookViewId="0">
      <pane xSplit="6" ySplit="2" topLeftCell="G3" activePane="bottomRight" state="frozen"/>
      <selection pane="topRight" sqref="A1:XFD1048576"/>
      <selection pane="bottomLeft" sqref="A1:XFD1048576"/>
      <selection pane="bottomRight" activeCell="A2" sqref="A2"/>
    </sheetView>
  </sheetViews>
  <sheetFormatPr defaultRowHeight="12.75"/>
  <cols>
    <col min="1" max="1" width="7.28515625" style="103" customWidth="1"/>
    <col min="2" max="2" width="9" style="103" bestFit="1" customWidth="1"/>
    <col min="3" max="3" width="13.5703125" style="47" bestFit="1" customWidth="1"/>
    <col min="4" max="4" width="28" style="47" bestFit="1" customWidth="1"/>
    <col min="5" max="5" width="6.5703125" style="47" bestFit="1" customWidth="1"/>
    <col min="6" max="6" width="5.7109375" style="47" customWidth="1"/>
    <col min="7" max="16" width="8.7109375" style="90" customWidth="1"/>
    <col min="17" max="20" width="9.140625" style="47" customWidth="1"/>
    <col min="21" max="21" width="10.7109375" style="47" customWidth="1"/>
    <col min="22" max="22" width="8.140625" style="47" customWidth="1"/>
    <col min="23" max="23" width="8" style="39" customWidth="1"/>
    <col min="24" max="24" width="10.140625" style="39" customWidth="1"/>
    <col min="25" max="25" width="9.140625" style="39" customWidth="1"/>
    <col min="26" max="26" width="8" style="39" customWidth="1"/>
    <col min="27" max="27" width="9.5703125" style="39" customWidth="1"/>
    <col min="28" max="28" width="6.140625" style="39" customWidth="1"/>
    <col min="29" max="29" width="5.7109375" style="2" customWidth="1"/>
    <col min="30" max="30" width="9" style="2" customWidth="1"/>
    <col min="31" max="31" width="8" style="1" customWidth="1"/>
    <col min="32" max="16384" width="9.140625" style="47"/>
  </cols>
  <sheetData>
    <row r="1" spans="1:48" s="42" customFormat="1">
      <c r="A1" s="11"/>
      <c r="B1" s="11"/>
      <c r="C1" s="100"/>
      <c r="D1" s="100"/>
      <c r="E1" s="29"/>
      <c r="F1" s="29"/>
      <c r="G1" s="143" t="s">
        <v>48</v>
      </c>
      <c r="H1" s="144"/>
      <c r="I1" s="144"/>
      <c r="J1" s="144"/>
      <c r="K1" s="145"/>
      <c r="L1" s="146" t="s">
        <v>49</v>
      </c>
      <c r="M1" s="147"/>
      <c r="N1" s="147"/>
      <c r="O1" s="147"/>
      <c r="P1" s="148"/>
      <c r="Q1" s="149" t="s">
        <v>50</v>
      </c>
      <c r="R1" s="150"/>
      <c r="S1" s="150"/>
      <c r="T1" s="150"/>
      <c r="U1" s="151" t="s">
        <v>49</v>
      </c>
      <c r="V1" s="152"/>
      <c r="W1" s="4" t="s">
        <v>19</v>
      </c>
      <c r="X1" s="4" t="s">
        <v>51</v>
      </c>
      <c r="Y1" s="4" t="s">
        <v>52</v>
      </c>
      <c r="Z1" s="4" t="s">
        <v>19</v>
      </c>
      <c r="AA1" s="4" t="s">
        <v>20</v>
      </c>
      <c r="AB1" s="4" t="s">
        <v>53</v>
      </c>
      <c r="AC1" s="19" t="s">
        <v>19</v>
      </c>
      <c r="AD1" s="19" t="s">
        <v>20</v>
      </c>
      <c r="AE1" s="19" t="s">
        <v>54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33.75">
      <c r="A2" s="11" t="s">
        <v>23</v>
      </c>
      <c r="B2" s="11" t="s">
        <v>24</v>
      </c>
      <c r="C2" s="100" t="s">
        <v>1</v>
      </c>
      <c r="D2" s="100" t="s">
        <v>2</v>
      </c>
      <c r="E2" s="29" t="s">
        <v>25</v>
      </c>
      <c r="F2" s="29" t="s">
        <v>3</v>
      </c>
      <c r="G2" s="85" t="s">
        <v>55</v>
      </c>
      <c r="H2" s="32" t="s">
        <v>56</v>
      </c>
      <c r="I2" s="32" t="s">
        <v>57</v>
      </c>
      <c r="J2" s="32" t="s">
        <v>58</v>
      </c>
      <c r="K2" s="101" t="s">
        <v>59</v>
      </c>
      <c r="L2" s="85" t="s">
        <v>55</v>
      </c>
      <c r="M2" s="32" t="s">
        <v>56</v>
      </c>
      <c r="N2" s="32" t="s">
        <v>57</v>
      </c>
      <c r="O2" s="32" t="s">
        <v>60</v>
      </c>
      <c r="P2" s="101" t="s">
        <v>61</v>
      </c>
      <c r="Q2" s="5" t="s">
        <v>62</v>
      </c>
      <c r="R2" s="19" t="s">
        <v>39</v>
      </c>
      <c r="S2" s="19" t="s">
        <v>63</v>
      </c>
      <c r="T2" s="19" t="s">
        <v>64</v>
      </c>
      <c r="U2" s="19" t="s">
        <v>62</v>
      </c>
      <c r="V2" s="19" t="s">
        <v>64</v>
      </c>
      <c r="W2" s="4" t="s">
        <v>65</v>
      </c>
      <c r="X2" s="4" t="s">
        <v>65</v>
      </c>
      <c r="Y2" s="4" t="s">
        <v>65</v>
      </c>
      <c r="Z2" s="6" t="s">
        <v>66</v>
      </c>
      <c r="AA2" s="6" t="s">
        <v>66</v>
      </c>
      <c r="AB2" s="6" t="s">
        <v>66</v>
      </c>
      <c r="AC2" s="7" t="s">
        <v>10</v>
      </c>
      <c r="AD2" s="7" t="s">
        <v>10</v>
      </c>
      <c r="AE2" s="19" t="s">
        <v>10</v>
      </c>
      <c r="AF2" s="27"/>
      <c r="AG2" s="27"/>
      <c r="AH2" s="27"/>
      <c r="AI2" s="16"/>
      <c r="AJ2" s="16"/>
      <c r="AK2" s="16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</row>
    <row r="3" spans="1:48">
      <c r="A3" s="25">
        <v>14440</v>
      </c>
      <c r="B3" s="25" t="s">
        <v>67</v>
      </c>
      <c r="C3" s="100" t="str">
        <f>Rollover!A3</f>
        <v>Subaru</v>
      </c>
      <c r="D3" s="100" t="str">
        <f>Rollover!B3</f>
        <v>Crosstrek SW AWD</v>
      </c>
      <c r="E3" s="12" t="s">
        <v>68</v>
      </c>
      <c r="F3" s="100">
        <f>Rollover!C3</f>
        <v>2024</v>
      </c>
      <c r="G3" s="13">
        <v>112.803</v>
      </c>
      <c r="H3" s="14">
        <v>11.792999999999999</v>
      </c>
      <c r="I3" s="14">
        <v>23.404</v>
      </c>
      <c r="J3" s="14">
        <v>656.72900000000004</v>
      </c>
      <c r="K3" s="15">
        <v>1320.4549999999999</v>
      </c>
      <c r="L3" s="13">
        <v>115.82</v>
      </c>
      <c r="M3" s="14">
        <v>16.776</v>
      </c>
      <c r="N3" s="14">
        <v>51.999000000000002</v>
      </c>
      <c r="O3" s="14">
        <v>19.427</v>
      </c>
      <c r="P3" s="15">
        <v>2992.1030000000001</v>
      </c>
      <c r="Q3" s="102">
        <f t="shared" ref="Q3:Q4" si="0">NORMDIST(LN(G3),7.45231,0.73998,1)</f>
        <v>1.1444797157666657E-4</v>
      </c>
      <c r="R3" s="8">
        <f t="shared" ref="R3:R4" si="1">1/(1+EXP(5.3895-0.0919*H3))</f>
        <v>1.331153629677985E-2</v>
      </c>
      <c r="S3" s="8">
        <f t="shared" ref="S3:S4" si="2">1/(1+EXP(6.04044-0.002133*J3))</f>
        <v>9.5687578747569637E-3</v>
      </c>
      <c r="T3" s="8">
        <f t="shared" ref="T3:T4" si="3">1/(1+EXP(7.5969-0.0011*K3))</f>
        <v>2.1408706955108108E-3</v>
      </c>
      <c r="U3" s="8">
        <f t="shared" ref="U3:U4" si="4">NORMDIST(LN(L3),7.45231,0.73998,1)</f>
        <v>1.3157221687217147E-4</v>
      </c>
      <c r="V3" s="8">
        <f t="shared" ref="V3:V4" si="5">1/(1+EXP(6.3055-0.00094*P3))</f>
        <v>2.9514259789847317E-2</v>
      </c>
      <c r="W3" s="8">
        <f t="shared" ref="W3:W4" si="6">ROUND(1-(1-Q3)*(1-R3)*(1-S3)*(1-T3),3)</f>
        <v>2.5000000000000001E-2</v>
      </c>
      <c r="X3" s="8">
        <f t="shared" ref="X3:X4" si="7">IF(L3="N/A",L3,ROUND(1-(1-U3)*(1-V3),3))</f>
        <v>0.03</v>
      </c>
      <c r="Y3" s="8">
        <f t="shared" ref="Y3:Y4" si="8">ROUND(AVERAGE(W3:X3),3)</f>
        <v>2.8000000000000001E-2</v>
      </c>
      <c r="Z3" s="18">
        <f t="shared" ref="Z3:Z4" si="9">ROUND(W3/0.15,2)</f>
        <v>0.17</v>
      </c>
      <c r="AA3" s="18">
        <f t="shared" ref="AA3:AA4" si="10">IF(L3="N/A", L3, ROUND(X3/0.15,2))</f>
        <v>0.2</v>
      </c>
      <c r="AB3" s="18">
        <f t="shared" ref="AB3:AB4" si="11">ROUND(Y3/0.15,2)</f>
        <v>0.19</v>
      </c>
      <c r="AC3" s="19">
        <f t="shared" ref="AC3:AC4" si="12">IF(Z3&lt;0.67,5,IF(Z3&lt;1,4,IF(Z3&lt;1.33,3,IF(Z3&lt;2.67,2,1))))</f>
        <v>5</v>
      </c>
      <c r="AD3" s="19">
        <f t="shared" ref="AD3:AD4" si="13">IF(L3="N/A",L3,IF(AA3&lt;0.67,5,IF(AA3&lt;1,4,IF(AA3&lt;1.33,3,IF(AA3&lt;2.67,2,1)))))</f>
        <v>5</v>
      </c>
      <c r="AE3" s="19">
        <f t="shared" ref="AE3:AE4" si="14">IF(AB3&lt;0.67,5,IF(AB3&lt;1,4,IF(AB3&lt;1.33,3,IF(AB3&lt;2.67,2,1))))</f>
        <v>5</v>
      </c>
      <c r="AF3" s="17"/>
      <c r="AG3" s="17"/>
      <c r="AH3" s="17"/>
      <c r="AI3" s="16"/>
      <c r="AJ3" s="16"/>
      <c r="AK3" s="16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</row>
    <row r="4" spans="1:48">
      <c r="A4" s="25">
        <v>14440</v>
      </c>
      <c r="B4" s="25" t="s">
        <v>67</v>
      </c>
      <c r="C4" s="12" t="str">
        <f>Rollover!A4</f>
        <v>Subaru</v>
      </c>
      <c r="D4" s="12" t="str">
        <f>Rollover!B4</f>
        <v>Crosstrek Wilderness SW AWD</v>
      </c>
      <c r="E4" s="12" t="s">
        <v>68</v>
      </c>
      <c r="F4" s="100">
        <f>Rollover!C4</f>
        <v>2024</v>
      </c>
      <c r="G4" s="13">
        <v>112.803</v>
      </c>
      <c r="H4" s="14">
        <v>11.792999999999999</v>
      </c>
      <c r="I4" s="14">
        <v>23.404</v>
      </c>
      <c r="J4" s="14">
        <v>656.72900000000004</v>
      </c>
      <c r="K4" s="15">
        <v>1320.4549999999999</v>
      </c>
      <c r="L4" s="13">
        <v>115.82</v>
      </c>
      <c r="M4" s="14">
        <v>16.776</v>
      </c>
      <c r="N4" s="14">
        <v>51.999000000000002</v>
      </c>
      <c r="O4" s="14">
        <v>19.427</v>
      </c>
      <c r="P4" s="15">
        <v>2992.1030000000001</v>
      </c>
      <c r="Q4" s="102">
        <f t="shared" si="0"/>
        <v>1.1444797157666657E-4</v>
      </c>
      <c r="R4" s="8">
        <f t="shared" si="1"/>
        <v>1.331153629677985E-2</v>
      </c>
      <c r="S4" s="8">
        <f t="shared" si="2"/>
        <v>9.5687578747569637E-3</v>
      </c>
      <c r="T4" s="8">
        <f t="shared" si="3"/>
        <v>2.1408706955108108E-3</v>
      </c>
      <c r="U4" s="8">
        <f t="shared" si="4"/>
        <v>1.3157221687217147E-4</v>
      </c>
      <c r="V4" s="8">
        <f t="shared" si="5"/>
        <v>2.9514259789847317E-2</v>
      </c>
      <c r="W4" s="8">
        <f t="shared" si="6"/>
        <v>2.5000000000000001E-2</v>
      </c>
      <c r="X4" s="8">
        <f t="shared" si="7"/>
        <v>0.03</v>
      </c>
      <c r="Y4" s="8">
        <f t="shared" si="8"/>
        <v>2.8000000000000001E-2</v>
      </c>
      <c r="Z4" s="18">
        <f t="shared" si="9"/>
        <v>0.17</v>
      </c>
      <c r="AA4" s="18">
        <f t="shared" si="10"/>
        <v>0.2</v>
      </c>
      <c r="AB4" s="18">
        <f t="shared" si="11"/>
        <v>0.19</v>
      </c>
      <c r="AC4" s="19">
        <f t="shared" si="12"/>
        <v>5</v>
      </c>
      <c r="AD4" s="19">
        <f t="shared" si="13"/>
        <v>5</v>
      </c>
      <c r="AE4" s="19">
        <f t="shared" si="14"/>
        <v>5</v>
      </c>
      <c r="AF4" s="17"/>
      <c r="AG4" s="17"/>
      <c r="AH4" s="17"/>
      <c r="AI4" s="16"/>
      <c r="AJ4" s="16"/>
      <c r="AK4" s="16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</row>
    <row r="5" spans="1:48">
      <c r="A5" s="25">
        <v>14463</v>
      </c>
      <c r="B5" s="25" t="s">
        <v>69</v>
      </c>
      <c r="C5" s="100" t="str">
        <f>Rollover!A5</f>
        <v>Subaru</v>
      </c>
      <c r="D5" s="100" t="str">
        <f>Rollover!B5</f>
        <v>Impreza SW AWD</v>
      </c>
      <c r="E5" s="12" t="s">
        <v>68</v>
      </c>
      <c r="F5" s="100">
        <f>Rollover!C5</f>
        <v>2024</v>
      </c>
      <c r="G5" s="13">
        <v>194.39599999999999</v>
      </c>
      <c r="H5" s="14">
        <v>23.079000000000001</v>
      </c>
      <c r="I5" s="14">
        <v>25.053999999999998</v>
      </c>
      <c r="J5" s="14">
        <v>641.20500000000004</v>
      </c>
      <c r="K5" s="15">
        <v>1300.6179999999999</v>
      </c>
      <c r="L5" s="13">
        <v>290.94900000000001</v>
      </c>
      <c r="M5" s="14">
        <v>32.064999999999998</v>
      </c>
      <c r="N5" s="14">
        <v>58.503</v>
      </c>
      <c r="O5" s="14">
        <v>28.204999999999998</v>
      </c>
      <c r="P5" s="15">
        <v>1881.4960000000001</v>
      </c>
      <c r="Q5" s="102">
        <f t="shared" ref="Q5" si="15">NORMDIST(LN(G5),7.45231,0.73998,1)</f>
        <v>1.5925451532035444E-3</v>
      </c>
      <c r="R5" s="8">
        <f t="shared" ref="R5" si="16">1/(1+EXP(5.3895-0.0919*H5))</f>
        <v>3.6666366969882645E-2</v>
      </c>
      <c r="S5" s="8">
        <f t="shared" ref="S5" si="17">1/(1+EXP(6.04044-0.002133*J5))</f>
        <v>9.2599849083477622E-3</v>
      </c>
      <c r="T5" s="8">
        <f t="shared" ref="T5" si="18">1/(1+EXP(7.5969-0.0011*K5))</f>
        <v>2.0947581888281076E-3</v>
      </c>
      <c r="U5" s="8">
        <f t="shared" ref="U5" si="19">NORMDIST(LN(L5),7.45231,0.73998,1)</f>
        <v>8.1008935331558785E-3</v>
      </c>
      <c r="V5" s="8">
        <f t="shared" ref="V5" si="20">1/(1+EXP(6.3055-0.00094*P5))</f>
        <v>1.0593195029849158E-2</v>
      </c>
      <c r="W5" s="8">
        <f t="shared" ref="W5" si="21">ROUND(1-(1-Q5)*(1-R5)*(1-S5)*(1-T5),3)</f>
        <v>4.9000000000000002E-2</v>
      </c>
      <c r="X5" s="8">
        <f t="shared" ref="X5" si="22">IF(L5="N/A",L5,ROUND(1-(1-U5)*(1-V5),3))</f>
        <v>1.9E-2</v>
      </c>
      <c r="Y5" s="8">
        <f t="shared" ref="Y5" si="23">ROUND(AVERAGE(W5:X5),3)</f>
        <v>3.4000000000000002E-2</v>
      </c>
      <c r="Z5" s="18">
        <f t="shared" ref="Z5" si="24">ROUND(W5/0.15,2)</f>
        <v>0.33</v>
      </c>
      <c r="AA5" s="18">
        <f t="shared" ref="AA5" si="25">IF(L5="N/A", L5, ROUND(X5/0.15,2))</f>
        <v>0.13</v>
      </c>
      <c r="AB5" s="18">
        <f t="shared" ref="AB5" si="26">ROUND(Y5/0.15,2)</f>
        <v>0.23</v>
      </c>
      <c r="AC5" s="19">
        <f t="shared" ref="AC5" si="27">IF(Z5&lt;0.67,5,IF(Z5&lt;1,4,IF(Z5&lt;1.33,3,IF(Z5&lt;2.67,2,1))))</f>
        <v>5</v>
      </c>
      <c r="AD5" s="19">
        <f t="shared" ref="AD5" si="28">IF(L5="N/A",L5,IF(AA5&lt;0.67,5,IF(AA5&lt;1,4,IF(AA5&lt;1.33,3,IF(AA5&lt;2.67,2,1)))))</f>
        <v>5</v>
      </c>
      <c r="AE5" s="19">
        <f t="shared" ref="AE5" si="29">IF(AB5&lt;0.67,5,IF(AB5&lt;1,4,IF(AB5&lt;1.33,3,IF(AB5&lt;2.67,2,1))))</f>
        <v>5</v>
      </c>
      <c r="AF5" s="17"/>
      <c r="AG5" s="17"/>
      <c r="AH5" s="17"/>
      <c r="AI5" s="16"/>
      <c r="AJ5" s="16"/>
      <c r="AK5" s="16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</row>
    <row r="6" spans="1:48">
      <c r="AE6" s="2"/>
    </row>
    <row r="7" spans="1:48">
      <c r="AE7" s="2"/>
    </row>
    <row r="8" spans="1:48">
      <c r="AE8" s="2"/>
    </row>
    <row r="9" spans="1:48">
      <c r="AE9" s="2"/>
    </row>
    <row r="10" spans="1:48">
      <c r="AE10" s="2"/>
    </row>
    <row r="11" spans="1:48">
      <c r="AE11" s="2"/>
    </row>
    <row r="12" spans="1:48">
      <c r="AE12" s="2"/>
    </row>
    <row r="13" spans="1:48">
      <c r="AE13" s="2"/>
    </row>
    <row r="14" spans="1:48">
      <c r="AE14" s="2"/>
    </row>
    <row r="15" spans="1:48">
      <c r="AE15" s="2"/>
    </row>
    <row r="16" spans="1:48">
      <c r="AE16" s="2"/>
    </row>
    <row r="17" spans="31:31">
      <c r="AE17" s="2"/>
    </row>
    <row r="18" spans="31:31">
      <c r="AE18" s="2"/>
    </row>
    <row r="19" spans="31:31">
      <c r="AE19" s="2"/>
    </row>
    <row r="20" spans="31:31">
      <c r="AE20" s="2"/>
    </row>
    <row r="21" spans="31:31">
      <c r="AE21" s="2"/>
    </row>
    <row r="22" spans="31:31">
      <c r="AE22" s="2"/>
    </row>
    <row r="23" spans="31:31">
      <c r="AE23" s="2"/>
    </row>
    <row r="24" spans="31:31">
      <c r="AE24" s="2"/>
    </row>
    <row r="25" spans="31:31">
      <c r="AE25" s="2"/>
    </row>
    <row r="26" spans="31:31">
      <c r="AE26" s="2"/>
    </row>
    <row r="27" spans="31:31">
      <c r="AE27" s="2"/>
    </row>
    <row r="28" spans="31:31">
      <c r="AE28" s="2"/>
    </row>
    <row r="29" spans="31:31">
      <c r="AE29" s="2"/>
    </row>
    <row r="30" spans="31:31">
      <c r="AE30" s="2"/>
    </row>
    <row r="31" spans="31:31">
      <c r="AE31" s="2"/>
    </row>
    <row r="32" spans="31:31">
      <c r="AE32" s="2"/>
    </row>
    <row r="33" spans="31:31">
      <c r="AE33" s="2"/>
    </row>
    <row r="34" spans="31:31">
      <c r="AE34" s="2"/>
    </row>
    <row r="35" spans="31:31">
      <c r="AE35" s="2"/>
    </row>
    <row r="36" spans="31:31">
      <c r="AE36" s="2"/>
    </row>
    <row r="37" spans="31:31">
      <c r="AE37" s="2"/>
    </row>
    <row r="38" spans="31:31">
      <c r="AE38" s="2"/>
    </row>
    <row r="39" spans="31:31">
      <c r="AE39" s="2"/>
    </row>
    <row r="40" spans="31:31">
      <c r="AE40" s="2"/>
    </row>
    <row r="41" spans="31:31">
      <c r="AE41" s="2"/>
    </row>
    <row r="42" spans="31:31">
      <c r="AE42" s="2"/>
    </row>
    <row r="43" spans="31:31">
      <c r="AE43" s="2"/>
    </row>
    <row r="44" spans="31:31">
      <c r="AE44" s="2"/>
    </row>
    <row r="45" spans="31:31">
      <c r="AE45" s="2"/>
    </row>
    <row r="46" spans="31:31">
      <c r="AE46" s="2"/>
    </row>
    <row r="47" spans="31:31">
      <c r="AE47" s="2"/>
    </row>
    <row r="48" spans="31:31">
      <c r="AE48" s="2"/>
    </row>
    <row r="49" spans="31:31">
      <c r="AE49" s="2"/>
    </row>
    <row r="50" spans="31:31">
      <c r="AE50" s="2"/>
    </row>
    <row r="51" spans="31:31">
      <c r="AE51" s="2"/>
    </row>
    <row r="52" spans="31:31">
      <c r="AE52" s="2"/>
    </row>
    <row r="53" spans="31:31">
      <c r="AE53" s="2"/>
    </row>
    <row r="54" spans="31:31">
      <c r="AE54" s="2"/>
    </row>
    <row r="55" spans="31:31">
      <c r="AE55" s="2"/>
    </row>
    <row r="56" spans="31:31">
      <c r="AE56" s="2"/>
    </row>
    <row r="57" spans="31:31">
      <c r="AE57" s="2"/>
    </row>
    <row r="58" spans="31:31">
      <c r="AE58" s="2"/>
    </row>
    <row r="59" spans="31:31">
      <c r="AE59" s="2"/>
    </row>
    <row r="60" spans="31:31">
      <c r="AE60" s="2"/>
    </row>
    <row r="61" spans="31:31">
      <c r="AE61" s="2"/>
    </row>
    <row r="62" spans="31:31">
      <c r="AE62" s="2"/>
    </row>
    <row r="63" spans="31:31">
      <c r="AE63" s="2"/>
    </row>
    <row r="64" spans="31:31">
      <c r="AE64" s="2"/>
    </row>
    <row r="65" spans="31:31">
      <c r="AE65" s="2"/>
    </row>
    <row r="66" spans="31:31">
      <c r="AE66" s="2"/>
    </row>
    <row r="67" spans="31:31">
      <c r="AE67" s="2"/>
    </row>
    <row r="68" spans="31:31">
      <c r="AE68" s="2"/>
    </row>
    <row r="69" spans="31:31">
      <c r="AE69" s="2"/>
    </row>
    <row r="70" spans="31:31">
      <c r="AE70" s="2"/>
    </row>
    <row r="71" spans="31:31">
      <c r="AE71" s="2"/>
    </row>
    <row r="72" spans="31:31">
      <c r="AE72" s="2"/>
    </row>
    <row r="73" spans="31:31">
      <c r="AE73" s="2"/>
    </row>
    <row r="74" spans="31:31">
      <c r="AE74" s="2"/>
    </row>
    <row r="75" spans="31:31">
      <c r="AE75" s="2"/>
    </row>
    <row r="76" spans="31:31">
      <c r="AE76" s="2"/>
    </row>
    <row r="77" spans="31:31">
      <c r="AE77" s="2"/>
    </row>
    <row r="78" spans="31:31">
      <c r="AE78" s="2"/>
    </row>
    <row r="79" spans="31:31">
      <c r="AE79" s="2"/>
    </row>
    <row r="80" spans="31:3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</sheetData>
  <mergeCells count="4">
    <mergeCell ref="G1:K1"/>
    <mergeCell ref="L1:P1"/>
    <mergeCell ref="Q1:T1"/>
    <mergeCell ref="U1:V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133"/>
  <sheetViews>
    <sheetView zoomScaleNormal="100" workbookViewId="0">
      <pane xSplit="6" ySplit="2" topLeftCell="G3" activePane="bottomRight" state="frozen"/>
      <selection pane="topRight" sqref="A1:XFD1048576"/>
      <selection pane="bottomLeft" sqref="A1:XFD1048576"/>
      <selection pane="bottomRight" activeCell="A2" sqref="A2"/>
    </sheetView>
  </sheetViews>
  <sheetFormatPr defaultColWidth="9.140625" defaultRowHeight="13.9" customHeight="1"/>
  <cols>
    <col min="1" max="1" width="8.5703125" style="92" bestFit="1" customWidth="1"/>
    <col min="2" max="2" width="9" style="92" bestFit="1" customWidth="1"/>
    <col min="3" max="3" width="12" style="93" bestFit="1" customWidth="1"/>
    <col min="4" max="4" width="28.140625" style="93" customWidth="1"/>
    <col min="5" max="5" width="6.5703125" style="94" customWidth="1"/>
    <col min="6" max="6" width="7.42578125" style="95" bestFit="1" customWidth="1"/>
    <col min="7" max="10" width="8.7109375" style="90" customWidth="1"/>
    <col min="11" max="11" width="9.85546875" style="90" customWidth="1"/>
    <col min="12" max="12" width="7" style="90" customWidth="1"/>
    <col min="13" max="13" width="7.42578125" style="90" customWidth="1"/>
    <col min="14" max="14" width="7.85546875" style="96" customWidth="1"/>
    <col min="15" max="15" width="8" style="96" customWidth="1"/>
    <col min="16" max="16" width="8.28515625" style="97" customWidth="1"/>
    <col min="17" max="17" width="9.28515625" style="96" customWidth="1"/>
    <col min="18" max="18" width="10.140625" style="90" customWidth="1"/>
    <col min="19" max="19" width="6" style="92" customWidth="1"/>
    <col min="20" max="20" width="10.28515625" style="92" bestFit="1" customWidth="1"/>
    <col min="21" max="21" width="10.140625" style="92" customWidth="1"/>
    <col min="22" max="22" width="10.28515625" style="92" bestFit="1" customWidth="1"/>
    <col min="23" max="16384" width="9.140625" style="90"/>
  </cols>
  <sheetData>
    <row r="1" spans="1:35" s="84" customFormat="1" ht="13.9" customHeight="1">
      <c r="A1" s="19"/>
      <c r="B1" s="19"/>
      <c r="C1" s="81"/>
      <c r="D1" s="81"/>
      <c r="E1" s="82"/>
      <c r="F1" s="83"/>
      <c r="G1" s="153" t="s">
        <v>70</v>
      </c>
      <c r="H1" s="154"/>
      <c r="I1" s="154"/>
      <c r="J1" s="154"/>
      <c r="K1" s="155"/>
      <c r="L1" s="133" t="s">
        <v>70</v>
      </c>
      <c r="M1" s="135"/>
      <c r="N1" s="98" t="s">
        <v>19</v>
      </c>
      <c r="O1" s="99" t="s">
        <v>19</v>
      </c>
      <c r="P1" s="19" t="s">
        <v>71</v>
      </c>
      <c r="Q1" s="99" t="s">
        <v>19</v>
      </c>
      <c r="R1" s="30" t="s">
        <v>19</v>
      </c>
      <c r="S1" s="19" t="s">
        <v>19</v>
      </c>
      <c r="T1" s="19" t="s">
        <v>72</v>
      </c>
      <c r="U1" s="19" t="s">
        <v>73</v>
      </c>
      <c r="V1" s="19" t="s">
        <v>72</v>
      </c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s="84" customFormat="1" ht="13.9" customHeight="1">
      <c r="A2" s="19" t="s">
        <v>23</v>
      </c>
      <c r="B2" s="19" t="s">
        <v>24</v>
      </c>
      <c r="C2" s="81" t="s">
        <v>1</v>
      </c>
      <c r="D2" s="81" t="s">
        <v>2</v>
      </c>
      <c r="E2" s="82" t="s">
        <v>25</v>
      </c>
      <c r="F2" s="83" t="s">
        <v>3</v>
      </c>
      <c r="G2" s="85" t="s">
        <v>55</v>
      </c>
      <c r="H2" s="32" t="s">
        <v>74</v>
      </c>
      <c r="I2" s="32" t="s">
        <v>75</v>
      </c>
      <c r="J2" s="32" t="s">
        <v>76</v>
      </c>
      <c r="K2" s="86" t="s">
        <v>61</v>
      </c>
      <c r="L2" s="98" t="s">
        <v>62</v>
      </c>
      <c r="M2" s="31" t="s">
        <v>64</v>
      </c>
      <c r="N2" s="98" t="s">
        <v>65</v>
      </c>
      <c r="O2" s="99" t="s">
        <v>77</v>
      </c>
      <c r="P2" s="19" t="s">
        <v>78</v>
      </c>
      <c r="Q2" s="32" t="s">
        <v>79</v>
      </c>
      <c r="R2" s="33" t="s">
        <v>80</v>
      </c>
      <c r="S2" s="7" t="s">
        <v>81</v>
      </c>
      <c r="T2" s="32" t="s">
        <v>82</v>
      </c>
      <c r="U2" s="32" t="s">
        <v>83</v>
      </c>
      <c r="V2" s="7" t="s">
        <v>84</v>
      </c>
      <c r="W2" s="10"/>
      <c r="X2" s="10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3.9" customHeight="1">
      <c r="A3" s="87">
        <v>14432</v>
      </c>
      <c r="B3" s="87" t="s">
        <v>85</v>
      </c>
      <c r="C3" s="81" t="str">
        <f>Rollover!A3</f>
        <v>Subaru</v>
      </c>
      <c r="D3" s="81" t="str">
        <f>Rollover!B3</f>
        <v>Crosstrek SW AWD</v>
      </c>
      <c r="E3" s="45" t="s">
        <v>47</v>
      </c>
      <c r="F3" s="88">
        <f>Rollover!C3</f>
        <v>2024</v>
      </c>
      <c r="G3" s="34">
        <v>254.02</v>
      </c>
      <c r="H3" s="14">
        <v>16.678000000000001</v>
      </c>
      <c r="I3" s="14">
        <v>46.826999999999998</v>
      </c>
      <c r="J3" s="35">
        <v>23.082000000000001</v>
      </c>
      <c r="K3" s="35">
        <v>3208.4989999999998</v>
      </c>
      <c r="L3" s="36">
        <f>NORMDIST(LN(G3),7.45231,0.73998,1)</f>
        <v>4.8299927217630755E-3</v>
      </c>
      <c r="M3" s="89">
        <f t="shared" ref="M3" si="0">1/(1+EXP(6.3055-0.00094*K3))</f>
        <v>3.5932783868379579E-2</v>
      </c>
      <c r="N3" s="36">
        <f t="shared" ref="N3" si="1">ROUND(1-(1-L3)*(1-M3),3)</f>
        <v>4.1000000000000002E-2</v>
      </c>
      <c r="O3" s="8">
        <f t="shared" ref="O3" si="2">ROUND(N3/0.15,2)</f>
        <v>0.27</v>
      </c>
      <c r="P3" s="19">
        <f t="shared" ref="P3" si="3">IF(O3&lt;0.67,5,IF(O3&lt;1,4,IF(O3&lt;1.33,3,IF(O3&lt;2.67,2,1))))</f>
        <v>5</v>
      </c>
      <c r="Q3" s="37">
        <f>ROUND((0.8*'Side MDB'!W3+0.2*'Side Pole'!N3),3)</f>
        <v>2.8000000000000001E-2</v>
      </c>
      <c r="R3" s="37">
        <f t="shared" ref="R3" si="4">ROUND((Q3)/0.15,2)</f>
        <v>0.19</v>
      </c>
      <c r="S3" s="19">
        <f t="shared" ref="S3" si="5">IF(R3&lt;0.67,5,IF(R3&lt;1,4,IF(R3&lt;1.33,3,IF(R3&lt;2.67,2,1))))</f>
        <v>5</v>
      </c>
      <c r="T3" s="37">
        <f>ROUND(((0.8*'Side MDB'!W3+0.2*'Side Pole'!N3)+(IF('Side MDB'!X3="N/A",(0.8*'Side MDB'!W3+0.2*'Side Pole'!N3),'Side MDB'!X3)))/2,3)</f>
        <v>2.9000000000000001E-2</v>
      </c>
      <c r="U3" s="37">
        <f t="shared" ref="U3" si="6">ROUND((T3)/0.15,2)</f>
        <v>0.19</v>
      </c>
      <c r="V3" s="19">
        <f t="shared" ref="V3" si="7">IF(U3&lt;0.67,5,IF(U3&lt;1,4,IF(U3&lt;1.33,3,IF(U3&lt;2.67,2,1))))</f>
        <v>5</v>
      </c>
      <c r="W3" s="28"/>
      <c r="X3" s="2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</row>
    <row r="4" spans="1:35" ht="13.9" customHeight="1">
      <c r="A4" s="87">
        <v>14432</v>
      </c>
      <c r="B4" s="87" t="s">
        <v>85</v>
      </c>
      <c r="C4" s="91" t="str">
        <f>Rollover!A4</f>
        <v>Subaru</v>
      </c>
      <c r="D4" s="91" t="str">
        <f>Rollover!B4</f>
        <v>Crosstrek Wilderness SW AWD</v>
      </c>
      <c r="E4" s="45" t="s">
        <v>47</v>
      </c>
      <c r="F4" s="88">
        <f>Rollover!C4</f>
        <v>2024</v>
      </c>
      <c r="G4" s="34">
        <v>254.02</v>
      </c>
      <c r="H4" s="14">
        <v>16.678000000000001</v>
      </c>
      <c r="I4" s="14">
        <v>46.826999999999998</v>
      </c>
      <c r="J4" s="35">
        <v>23.082000000000001</v>
      </c>
      <c r="K4" s="35">
        <v>3208.4989999999998</v>
      </c>
      <c r="L4" s="36">
        <f t="shared" ref="L4:L5" si="8">NORMDIST(LN(G4),7.45231,0.73998,1)</f>
        <v>4.8299927217630755E-3</v>
      </c>
      <c r="M4" s="89">
        <f t="shared" ref="M4:M5" si="9">1/(1+EXP(6.3055-0.00094*K4))</f>
        <v>3.5932783868379579E-2</v>
      </c>
      <c r="N4" s="36">
        <f t="shared" ref="N4:N5" si="10">ROUND(1-(1-L4)*(1-M4),3)</f>
        <v>4.1000000000000002E-2</v>
      </c>
      <c r="O4" s="8">
        <f t="shared" ref="O4:O5" si="11">ROUND(N4/0.15,2)</f>
        <v>0.27</v>
      </c>
      <c r="P4" s="19">
        <f t="shared" ref="P4:P5" si="12">IF(O4&lt;0.67,5,IF(O4&lt;1,4,IF(O4&lt;1.33,3,IF(O4&lt;2.67,2,1))))</f>
        <v>5</v>
      </c>
      <c r="Q4" s="37">
        <f>ROUND((0.8*'Side MDB'!W4+0.2*'Side Pole'!N4),3)</f>
        <v>2.8000000000000001E-2</v>
      </c>
      <c r="R4" s="37">
        <f t="shared" ref="R4:R5" si="13">ROUND((Q4)/0.15,2)</f>
        <v>0.19</v>
      </c>
      <c r="S4" s="19">
        <f t="shared" ref="S4:S5" si="14">IF(R4&lt;0.67,5,IF(R4&lt;1,4,IF(R4&lt;1.33,3,IF(R4&lt;2.67,2,1))))</f>
        <v>5</v>
      </c>
      <c r="T4" s="37">
        <f>ROUND(((0.8*'Side MDB'!W4+0.2*'Side Pole'!N4)+(IF('Side MDB'!X4="N/A",(0.8*'Side MDB'!W4+0.2*'Side Pole'!N4),'Side MDB'!X4)))/2,3)</f>
        <v>2.9000000000000001E-2</v>
      </c>
      <c r="U4" s="37">
        <f t="shared" ref="U4:U5" si="15">ROUND((T4)/0.15,2)</f>
        <v>0.19</v>
      </c>
      <c r="V4" s="19">
        <f t="shared" ref="V4:V5" si="16">IF(U4&lt;0.67,5,IF(U4&lt;1,4,IF(U4&lt;1.33,3,IF(U4&lt;2.67,2,1))))</f>
        <v>5</v>
      </c>
      <c r="W4" s="28"/>
      <c r="X4" s="2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</row>
    <row r="5" spans="1:35" ht="13.9" customHeight="1">
      <c r="A5" s="87">
        <v>14432</v>
      </c>
      <c r="B5" s="87" t="s">
        <v>85</v>
      </c>
      <c r="C5" s="91" t="str">
        <f>Rollover!A5</f>
        <v>Subaru</v>
      </c>
      <c r="D5" s="91" t="str">
        <f>Rollover!B5</f>
        <v>Impreza SW AWD</v>
      </c>
      <c r="E5" s="45" t="s">
        <v>47</v>
      </c>
      <c r="F5" s="88">
        <f>Rollover!C5</f>
        <v>2024</v>
      </c>
      <c r="G5" s="34">
        <v>254.02</v>
      </c>
      <c r="H5" s="14">
        <v>16.678000000000001</v>
      </c>
      <c r="I5" s="14">
        <v>46.826999999999998</v>
      </c>
      <c r="J5" s="35">
        <v>23.082000000000001</v>
      </c>
      <c r="K5" s="35">
        <v>3208.4989999999998</v>
      </c>
      <c r="L5" s="36">
        <f t="shared" si="8"/>
        <v>4.8299927217630755E-3</v>
      </c>
      <c r="M5" s="89">
        <f t="shared" si="9"/>
        <v>3.5932783868379579E-2</v>
      </c>
      <c r="N5" s="36">
        <f t="shared" si="10"/>
        <v>4.1000000000000002E-2</v>
      </c>
      <c r="O5" s="8">
        <f t="shared" si="11"/>
        <v>0.27</v>
      </c>
      <c r="P5" s="19">
        <f t="shared" si="12"/>
        <v>5</v>
      </c>
      <c r="Q5" s="37">
        <f>ROUND((0.8*'Side MDB'!W5+0.2*'Side Pole'!N5),3)</f>
        <v>4.7E-2</v>
      </c>
      <c r="R5" s="37">
        <f t="shared" si="13"/>
        <v>0.31</v>
      </c>
      <c r="S5" s="19">
        <f t="shared" si="14"/>
        <v>5</v>
      </c>
      <c r="T5" s="37">
        <f>ROUND(((0.8*'Side MDB'!W5+0.2*'Side Pole'!N5)+(IF('Side MDB'!X5="N/A",(0.8*'Side MDB'!W5+0.2*'Side Pole'!N5),'Side MDB'!X5)))/2,3)</f>
        <v>3.3000000000000002E-2</v>
      </c>
      <c r="U5" s="37">
        <f t="shared" si="15"/>
        <v>0.22</v>
      </c>
      <c r="V5" s="19">
        <f t="shared" si="16"/>
        <v>5</v>
      </c>
      <c r="W5" s="28"/>
      <c r="X5" s="2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</row>
    <row r="6" spans="1:35" ht="13.9" customHeight="1">
      <c r="N6" s="90"/>
      <c r="O6" s="90"/>
      <c r="P6" s="92"/>
      <c r="Q6" s="90"/>
    </row>
    <row r="7" spans="1:35" ht="13.9" customHeight="1">
      <c r="N7" s="90"/>
      <c r="O7" s="90"/>
      <c r="P7" s="92"/>
      <c r="Q7" s="90"/>
    </row>
    <row r="8" spans="1:35" ht="13.9" customHeight="1">
      <c r="N8" s="90"/>
      <c r="O8" s="90"/>
      <c r="P8" s="92"/>
      <c r="Q8" s="90"/>
    </row>
    <row r="9" spans="1:35" ht="13.9" customHeight="1">
      <c r="N9" s="90"/>
      <c r="O9" s="90"/>
      <c r="P9" s="92"/>
      <c r="Q9" s="90"/>
    </row>
    <row r="10" spans="1:35" ht="13.9" customHeight="1">
      <c r="N10" s="90"/>
      <c r="O10" s="90"/>
      <c r="P10" s="92"/>
      <c r="Q10" s="90"/>
    </row>
    <row r="11" spans="1:35" ht="13.9" customHeight="1">
      <c r="N11" s="90"/>
      <c r="O11" s="90"/>
      <c r="P11" s="92"/>
      <c r="Q11" s="90"/>
    </row>
    <row r="12" spans="1:35" ht="13.9" customHeight="1">
      <c r="N12" s="90"/>
      <c r="O12" s="90"/>
      <c r="P12" s="92"/>
      <c r="Q12" s="90"/>
    </row>
    <row r="13" spans="1:35" ht="13.9" customHeight="1">
      <c r="N13" s="90"/>
      <c r="O13" s="90"/>
      <c r="P13" s="92"/>
      <c r="Q13" s="90"/>
    </row>
    <row r="14" spans="1:35" ht="13.9" customHeight="1">
      <c r="N14" s="90"/>
      <c r="O14" s="90"/>
      <c r="P14" s="92"/>
      <c r="Q14" s="90"/>
    </row>
    <row r="15" spans="1:35" ht="13.9" customHeight="1">
      <c r="N15" s="90"/>
      <c r="O15" s="90"/>
      <c r="P15" s="92"/>
      <c r="Q15" s="90"/>
    </row>
    <row r="16" spans="1:35" ht="13.9" customHeight="1">
      <c r="N16" s="90"/>
      <c r="O16" s="90"/>
      <c r="P16" s="92"/>
      <c r="Q16" s="90"/>
    </row>
    <row r="17" spans="14:17" ht="13.9" customHeight="1">
      <c r="N17" s="90"/>
      <c r="O17" s="90"/>
      <c r="P17" s="92"/>
      <c r="Q17" s="90"/>
    </row>
    <row r="18" spans="14:17" ht="13.9" customHeight="1">
      <c r="N18" s="90"/>
      <c r="O18" s="90"/>
      <c r="P18" s="92"/>
      <c r="Q18" s="90"/>
    </row>
    <row r="19" spans="14:17" ht="13.9" customHeight="1">
      <c r="N19" s="90"/>
      <c r="O19" s="90"/>
      <c r="P19" s="92"/>
      <c r="Q19" s="90"/>
    </row>
    <row r="20" spans="14:17" ht="13.9" customHeight="1">
      <c r="N20" s="90"/>
      <c r="O20" s="90"/>
      <c r="P20" s="92"/>
      <c r="Q20" s="90"/>
    </row>
    <row r="21" spans="14:17" ht="13.9" customHeight="1">
      <c r="N21" s="90"/>
      <c r="O21" s="90"/>
      <c r="P21" s="92"/>
      <c r="Q21" s="90"/>
    </row>
    <row r="22" spans="14:17" ht="13.9" customHeight="1">
      <c r="N22" s="90"/>
      <c r="O22" s="90"/>
      <c r="P22" s="92"/>
      <c r="Q22" s="90"/>
    </row>
    <row r="23" spans="14:17" ht="13.9" customHeight="1">
      <c r="N23" s="90"/>
      <c r="O23" s="90"/>
      <c r="P23" s="92"/>
      <c r="Q23" s="90"/>
    </row>
    <row r="24" spans="14:17" ht="13.9" customHeight="1">
      <c r="N24" s="90"/>
      <c r="O24" s="90"/>
      <c r="P24" s="92"/>
      <c r="Q24" s="90"/>
    </row>
    <row r="25" spans="14:17" ht="13.9" customHeight="1">
      <c r="N25" s="90"/>
      <c r="O25" s="90"/>
      <c r="P25" s="92"/>
      <c r="Q25" s="90"/>
    </row>
    <row r="26" spans="14:17" ht="13.9" customHeight="1">
      <c r="N26" s="90"/>
      <c r="O26" s="90"/>
      <c r="P26" s="92"/>
      <c r="Q26" s="90"/>
    </row>
    <row r="27" spans="14:17" ht="13.9" customHeight="1">
      <c r="N27" s="90"/>
      <c r="O27" s="90"/>
      <c r="P27" s="92"/>
      <c r="Q27" s="90"/>
    </row>
    <row r="28" spans="14:17" ht="13.9" customHeight="1">
      <c r="N28" s="90"/>
      <c r="O28" s="90"/>
      <c r="P28" s="92"/>
      <c r="Q28" s="90"/>
    </row>
    <row r="29" spans="14:17" ht="13.9" customHeight="1">
      <c r="N29" s="90"/>
      <c r="O29" s="90"/>
      <c r="P29" s="92"/>
      <c r="Q29" s="90"/>
    </row>
    <row r="30" spans="14:17" ht="13.9" customHeight="1">
      <c r="N30" s="90"/>
      <c r="O30" s="90"/>
      <c r="P30" s="92"/>
      <c r="Q30" s="90"/>
    </row>
    <row r="31" spans="14:17" ht="13.9" customHeight="1">
      <c r="N31" s="90"/>
      <c r="O31" s="90"/>
      <c r="P31" s="92"/>
      <c r="Q31" s="90"/>
    </row>
    <row r="32" spans="14:17" ht="13.9" customHeight="1">
      <c r="N32" s="90"/>
      <c r="O32" s="90"/>
      <c r="P32" s="92"/>
      <c r="Q32" s="90"/>
    </row>
    <row r="33" spans="14:17" ht="13.9" customHeight="1">
      <c r="N33" s="90"/>
      <c r="O33" s="90"/>
      <c r="P33" s="92"/>
      <c r="Q33" s="90"/>
    </row>
    <row r="34" spans="14:17" ht="13.9" customHeight="1">
      <c r="N34" s="90"/>
      <c r="O34" s="90"/>
      <c r="P34" s="92"/>
      <c r="Q34" s="90"/>
    </row>
    <row r="35" spans="14:17" ht="13.9" customHeight="1">
      <c r="N35" s="90"/>
      <c r="O35" s="90"/>
      <c r="P35" s="92"/>
      <c r="Q35" s="90"/>
    </row>
    <row r="36" spans="14:17" ht="13.9" customHeight="1">
      <c r="N36" s="90"/>
      <c r="O36" s="90"/>
      <c r="P36" s="92"/>
      <c r="Q36" s="90"/>
    </row>
    <row r="37" spans="14:17" ht="13.9" customHeight="1">
      <c r="N37" s="90"/>
      <c r="O37" s="90"/>
      <c r="P37" s="92"/>
      <c r="Q37" s="90"/>
    </row>
    <row r="38" spans="14:17" ht="13.9" customHeight="1">
      <c r="N38" s="90"/>
      <c r="O38" s="90"/>
      <c r="P38" s="92"/>
      <c r="Q38" s="90"/>
    </row>
    <row r="39" spans="14:17" ht="13.9" customHeight="1">
      <c r="N39" s="90"/>
      <c r="O39" s="90"/>
      <c r="P39" s="92"/>
      <c r="Q39" s="90"/>
    </row>
    <row r="40" spans="14:17" ht="13.9" customHeight="1">
      <c r="N40" s="90"/>
      <c r="O40" s="90"/>
      <c r="P40" s="92"/>
      <c r="Q40" s="90"/>
    </row>
    <row r="41" spans="14:17" ht="13.9" customHeight="1">
      <c r="N41" s="90"/>
      <c r="O41" s="90"/>
      <c r="P41" s="92"/>
      <c r="Q41" s="90"/>
    </row>
    <row r="42" spans="14:17" ht="13.9" customHeight="1">
      <c r="N42" s="90"/>
      <c r="O42" s="90"/>
      <c r="P42" s="92"/>
      <c r="Q42" s="90"/>
    </row>
    <row r="43" spans="14:17" ht="13.9" customHeight="1">
      <c r="N43" s="90"/>
      <c r="O43" s="90"/>
      <c r="P43" s="92"/>
      <c r="Q43" s="90"/>
    </row>
    <row r="44" spans="14:17" ht="13.9" customHeight="1">
      <c r="N44" s="90"/>
      <c r="O44" s="90"/>
      <c r="P44" s="92"/>
      <c r="Q44" s="90"/>
    </row>
    <row r="45" spans="14:17" ht="13.9" customHeight="1">
      <c r="N45" s="90"/>
      <c r="O45" s="90"/>
      <c r="P45" s="92"/>
      <c r="Q45" s="90"/>
    </row>
    <row r="46" spans="14:17" ht="13.9" customHeight="1">
      <c r="N46" s="90"/>
      <c r="O46" s="90"/>
      <c r="P46" s="92"/>
      <c r="Q46" s="90"/>
    </row>
    <row r="47" spans="14:17" ht="13.9" customHeight="1">
      <c r="N47" s="90"/>
      <c r="O47" s="90"/>
      <c r="P47" s="92"/>
      <c r="Q47" s="90"/>
    </row>
    <row r="48" spans="14:17" ht="13.9" customHeight="1">
      <c r="N48" s="90"/>
      <c r="O48" s="90"/>
      <c r="P48" s="92"/>
      <c r="Q48" s="90"/>
    </row>
    <row r="49" spans="14:17" ht="13.9" customHeight="1">
      <c r="N49" s="90"/>
      <c r="O49" s="90"/>
      <c r="P49" s="92"/>
      <c r="Q49" s="90"/>
    </row>
    <row r="50" spans="14:17" ht="13.9" customHeight="1">
      <c r="N50" s="90"/>
      <c r="O50" s="90"/>
      <c r="P50" s="92"/>
      <c r="Q50" s="90"/>
    </row>
    <row r="51" spans="14:17" ht="13.9" customHeight="1">
      <c r="N51" s="90"/>
      <c r="O51" s="90"/>
      <c r="P51" s="92"/>
      <c r="Q51" s="90"/>
    </row>
    <row r="52" spans="14:17" ht="13.9" customHeight="1">
      <c r="N52" s="90"/>
      <c r="O52" s="90"/>
      <c r="P52" s="92"/>
      <c r="Q52" s="90"/>
    </row>
    <row r="53" spans="14:17" ht="13.9" customHeight="1">
      <c r="N53" s="90"/>
      <c r="O53" s="90"/>
      <c r="P53" s="92"/>
      <c r="Q53" s="90"/>
    </row>
    <row r="54" spans="14:17" ht="13.9" customHeight="1">
      <c r="N54" s="90"/>
      <c r="O54" s="90"/>
      <c r="P54" s="92"/>
      <c r="Q54" s="90"/>
    </row>
    <row r="55" spans="14:17" ht="13.9" customHeight="1">
      <c r="N55" s="90"/>
      <c r="O55" s="90"/>
      <c r="P55" s="92"/>
      <c r="Q55" s="90"/>
    </row>
    <row r="56" spans="14:17" ht="13.9" customHeight="1">
      <c r="N56" s="90"/>
      <c r="O56" s="90"/>
      <c r="P56" s="92"/>
      <c r="Q56" s="90"/>
    </row>
    <row r="57" spans="14:17" ht="13.9" customHeight="1">
      <c r="N57" s="90"/>
      <c r="O57" s="90"/>
      <c r="P57" s="92"/>
      <c r="Q57" s="90"/>
    </row>
    <row r="58" spans="14:17" ht="13.9" customHeight="1">
      <c r="N58" s="90"/>
      <c r="O58" s="90"/>
      <c r="P58" s="92"/>
      <c r="Q58" s="90"/>
    </row>
    <row r="59" spans="14:17" ht="13.9" customHeight="1">
      <c r="N59" s="90"/>
      <c r="O59" s="90"/>
      <c r="P59" s="92"/>
      <c r="Q59" s="90"/>
    </row>
    <row r="60" spans="14:17" ht="13.9" customHeight="1">
      <c r="N60" s="90"/>
      <c r="O60" s="90"/>
      <c r="P60" s="92"/>
      <c r="Q60" s="90"/>
    </row>
    <row r="61" spans="14:17" ht="13.9" customHeight="1">
      <c r="N61" s="90"/>
      <c r="O61" s="90"/>
      <c r="P61" s="92"/>
      <c r="Q61" s="90"/>
    </row>
    <row r="62" spans="14:17" ht="13.9" customHeight="1">
      <c r="N62" s="90"/>
      <c r="O62" s="90"/>
      <c r="P62" s="92"/>
      <c r="Q62" s="90"/>
    </row>
    <row r="63" spans="14:17" ht="13.9" customHeight="1">
      <c r="N63" s="90"/>
      <c r="O63" s="90"/>
      <c r="P63" s="92"/>
      <c r="Q63" s="90"/>
    </row>
    <row r="64" spans="14:17" ht="13.9" customHeight="1">
      <c r="N64" s="90"/>
      <c r="O64" s="90"/>
      <c r="P64" s="92"/>
      <c r="Q64" s="90"/>
    </row>
    <row r="65" spans="14:17" ht="13.9" customHeight="1">
      <c r="N65" s="90"/>
      <c r="O65" s="90"/>
      <c r="P65" s="92"/>
      <c r="Q65" s="90"/>
    </row>
    <row r="66" spans="14:17" ht="13.9" customHeight="1">
      <c r="N66" s="90"/>
      <c r="O66" s="90"/>
      <c r="P66" s="92"/>
      <c r="Q66" s="90"/>
    </row>
    <row r="67" spans="14:17" ht="13.9" customHeight="1">
      <c r="N67" s="90"/>
      <c r="O67" s="90"/>
      <c r="P67" s="92"/>
      <c r="Q67" s="90"/>
    </row>
    <row r="68" spans="14:17" ht="13.9" customHeight="1">
      <c r="N68" s="90"/>
      <c r="O68" s="90"/>
      <c r="P68" s="92"/>
      <c r="Q68" s="90"/>
    </row>
    <row r="69" spans="14:17" ht="13.9" customHeight="1">
      <c r="N69" s="90"/>
      <c r="O69" s="90"/>
      <c r="P69" s="92"/>
      <c r="Q69" s="90"/>
    </row>
    <row r="70" spans="14:17" ht="13.9" customHeight="1">
      <c r="N70" s="90"/>
      <c r="O70" s="90"/>
      <c r="P70" s="92"/>
      <c r="Q70" s="90"/>
    </row>
    <row r="71" spans="14:17" ht="13.9" customHeight="1">
      <c r="N71" s="90"/>
      <c r="O71" s="90"/>
      <c r="P71" s="92"/>
      <c r="Q71" s="90"/>
    </row>
    <row r="72" spans="14:17" ht="13.9" customHeight="1">
      <c r="N72" s="90"/>
      <c r="O72" s="90"/>
      <c r="P72" s="92"/>
      <c r="Q72" s="90"/>
    </row>
    <row r="73" spans="14:17" ht="13.9" customHeight="1">
      <c r="N73" s="90"/>
      <c r="O73" s="90"/>
      <c r="P73" s="92"/>
      <c r="Q73" s="90"/>
    </row>
    <row r="74" spans="14:17" ht="13.9" customHeight="1">
      <c r="N74" s="90"/>
      <c r="O74" s="90"/>
      <c r="P74" s="92"/>
      <c r="Q74" s="90"/>
    </row>
    <row r="75" spans="14:17" ht="13.9" customHeight="1">
      <c r="N75" s="90"/>
      <c r="O75" s="90"/>
      <c r="P75" s="92"/>
      <c r="Q75" s="90"/>
    </row>
    <row r="76" spans="14:17" ht="13.9" customHeight="1">
      <c r="N76" s="90"/>
      <c r="O76" s="90"/>
      <c r="P76" s="92"/>
      <c r="Q76" s="90"/>
    </row>
    <row r="77" spans="14:17" ht="13.9" customHeight="1">
      <c r="N77" s="90"/>
      <c r="O77" s="90"/>
      <c r="P77" s="92"/>
      <c r="Q77" s="90"/>
    </row>
    <row r="78" spans="14:17" ht="13.9" customHeight="1">
      <c r="N78" s="90"/>
      <c r="O78" s="90"/>
      <c r="P78" s="92"/>
      <c r="Q78" s="90"/>
    </row>
    <row r="79" spans="14:17" ht="13.9" customHeight="1">
      <c r="N79" s="90"/>
      <c r="O79" s="90"/>
      <c r="P79" s="92"/>
      <c r="Q79" s="90"/>
    </row>
    <row r="80" spans="14:17" ht="13.9" customHeight="1">
      <c r="N80" s="90"/>
      <c r="O80" s="90"/>
      <c r="P80" s="92"/>
      <c r="Q80" s="90"/>
    </row>
    <row r="81" spans="14:17" ht="13.9" customHeight="1">
      <c r="N81" s="90"/>
      <c r="O81" s="90"/>
      <c r="P81" s="92"/>
      <c r="Q81" s="90"/>
    </row>
    <row r="82" spans="14:17" ht="13.9" customHeight="1">
      <c r="N82" s="90"/>
      <c r="O82" s="90"/>
      <c r="P82" s="92"/>
      <c r="Q82" s="90"/>
    </row>
    <row r="83" spans="14:17" ht="13.9" customHeight="1">
      <c r="N83" s="90"/>
      <c r="O83" s="90"/>
      <c r="P83" s="92"/>
      <c r="Q83" s="90"/>
    </row>
    <row r="84" spans="14:17" ht="13.9" customHeight="1">
      <c r="N84" s="90"/>
      <c r="O84" s="90"/>
      <c r="P84" s="92"/>
      <c r="Q84" s="90"/>
    </row>
    <row r="85" spans="14:17" ht="13.9" customHeight="1">
      <c r="N85" s="90"/>
      <c r="O85" s="90"/>
      <c r="P85" s="92"/>
      <c r="Q85" s="90"/>
    </row>
    <row r="86" spans="14:17" ht="13.9" customHeight="1">
      <c r="N86" s="90"/>
      <c r="O86" s="90"/>
      <c r="P86" s="92"/>
      <c r="Q86" s="90"/>
    </row>
    <row r="87" spans="14:17" ht="13.9" customHeight="1">
      <c r="N87" s="90"/>
      <c r="O87" s="90"/>
      <c r="P87" s="92"/>
      <c r="Q87" s="90"/>
    </row>
    <row r="88" spans="14:17" ht="13.9" customHeight="1">
      <c r="N88" s="90"/>
      <c r="O88" s="90"/>
      <c r="P88" s="92"/>
      <c r="Q88" s="90"/>
    </row>
    <row r="89" spans="14:17" ht="13.9" customHeight="1">
      <c r="N89" s="90"/>
      <c r="O89" s="90"/>
      <c r="P89" s="92"/>
      <c r="Q89" s="90"/>
    </row>
    <row r="90" spans="14:17" ht="13.9" customHeight="1">
      <c r="N90" s="90"/>
      <c r="O90" s="90"/>
      <c r="P90" s="92"/>
      <c r="Q90" s="90"/>
    </row>
    <row r="91" spans="14:17" ht="13.9" customHeight="1">
      <c r="N91" s="90"/>
      <c r="O91" s="90"/>
      <c r="P91" s="92"/>
      <c r="Q91" s="90"/>
    </row>
    <row r="92" spans="14:17" ht="13.9" customHeight="1">
      <c r="N92" s="90"/>
      <c r="O92" s="90"/>
      <c r="P92" s="92"/>
      <c r="Q92" s="90"/>
    </row>
    <row r="93" spans="14:17" ht="13.9" customHeight="1">
      <c r="N93" s="90"/>
      <c r="O93" s="90"/>
      <c r="P93" s="92"/>
      <c r="Q93" s="90"/>
    </row>
    <row r="94" spans="14:17" ht="13.9" customHeight="1">
      <c r="N94" s="90"/>
      <c r="O94" s="90"/>
      <c r="P94" s="92"/>
      <c r="Q94" s="90"/>
    </row>
    <row r="95" spans="14:17" ht="13.9" customHeight="1">
      <c r="N95" s="90"/>
      <c r="O95" s="90"/>
      <c r="P95" s="92"/>
      <c r="Q95" s="90"/>
    </row>
    <row r="96" spans="14:17" ht="13.9" customHeight="1">
      <c r="N96" s="90"/>
      <c r="O96" s="90"/>
      <c r="P96" s="92"/>
      <c r="Q96" s="90"/>
    </row>
    <row r="97" spans="14:17" ht="13.9" customHeight="1">
      <c r="N97" s="90"/>
      <c r="O97" s="90"/>
      <c r="P97" s="92"/>
      <c r="Q97" s="90"/>
    </row>
    <row r="98" spans="14:17" ht="13.9" customHeight="1">
      <c r="N98" s="90"/>
      <c r="O98" s="90"/>
      <c r="P98" s="92"/>
      <c r="Q98" s="90"/>
    </row>
    <row r="99" spans="14:17" ht="13.9" customHeight="1">
      <c r="N99" s="90"/>
      <c r="O99" s="90"/>
      <c r="P99" s="92"/>
      <c r="Q99" s="90"/>
    </row>
    <row r="100" spans="14:17" ht="13.9" customHeight="1">
      <c r="N100" s="90"/>
      <c r="O100" s="90"/>
      <c r="P100" s="92"/>
      <c r="Q100" s="90"/>
    </row>
    <row r="101" spans="14:17" ht="13.9" customHeight="1">
      <c r="N101" s="90"/>
      <c r="O101" s="90"/>
      <c r="P101" s="92"/>
      <c r="Q101" s="90"/>
    </row>
    <row r="102" spans="14:17" ht="13.9" customHeight="1">
      <c r="N102" s="90"/>
      <c r="O102" s="90"/>
      <c r="P102" s="92"/>
      <c r="Q102" s="90"/>
    </row>
    <row r="103" spans="14:17" ht="13.9" customHeight="1">
      <c r="N103" s="90"/>
      <c r="O103" s="90"/>
      <c r="P103" s="92"/>
      <c r="Q103" s="90"/>
    </row>
    <row r="104" spans="14:17" ht="13.9" customHeight="1">
      <c r="N104" s="90"/>
      <c r="O104" s="90"/>
      <c r="P104" s="92"/>
      <c r="Q104" s="90"/>
    </row>
    <row r="105" spans="14:17" ht="13.9" customHeight="1">
      <c r="N105" s="90"/>
      <c r="O105" s="90"/>
      <c r="P105" s="92"/>
      <c r="Q105" s="90"/>
    </row>
    <row r="106" spans="14:17" ht="13.9" customHeight="1">
      <c r="N106" s="90"/>
      <c r="O106" s="90"/>
      <c r="P106" s="92"/>
      <c r="Q106" s="90"/>
    </row>
    <row r="107" spans="14:17" ht="13.9" customHeight="1">
      <c r="N107" s="90"/>
      <c r="O107" s="90"/>
      <c r="P107" s="92"/>
      <c r="Q107" s="90"/>
    </row>
    <row r="108" spans="14:17" ht="13.9" customHeight="1">
      <c r="N108" s="90"/>
      <c r="O108" s="90"/>
      <c r="P108" s="92"/>
      <c r="Q108" s="90"/>
    </row>
    <row r="109" spans="14:17" ht="13.9" customHeight="1">
      <c r="N109" s="90"/>
      <c r="O109" s="90"/>
      <c r="P109" s="92"/>
      <c r="Q109" s="90"/>
    </row>
    <row r="110" spans="14:17" ht="13.9" customHeight="1">
      <c r="N110" s="90"/>
      <c r="O110" s="90"/>
      <c r="P110" s="92"/>
      <c r="Q110" s="90"/>
    </row>
    <row r="111" spans="14:17" ht="13.9" customHeight="1">
      <c r="N111" s="90"/>
      <c r="O111" s="90"/>
      <c r="P111" s="92"/>
      <c r="Q111" s="90"/>
    </row>
    <row r="112" spans="14:17" ht="13.9" customHeight="1">
      <c r="N112" s="90"/>
      <c r="O112" s="90"/>
      <c r="P112" s="92"/>
      <c r="Q112" s="90"/>
    </row>
    <row r="113" spans="14:17" ht="13.9" customHeight="1">
      <c r="N113" s="90"/>
      <c r="O113" s="90"/>
      <c r="P113" s="92"/>
      <c r="Q113" s="90"/>
    </row>
    <row r="114" spans="14:17" ht="13.9" customHeight="1">
      <c r="N114" s="90"/>
      <c r="O114" s="90"/>
      <c r="P114" s="92"/>
      <c r="Q114" s="90"/>
    </row>
    <row r="115" spans="14:17" ht="13.9" customHeight="1">
      <c r="N115" s="90"/>
      <c r="O115" s="90"/>
      <c r="P115" s="92"/>
      <c r="Q115" s="90"/>
    </row>
    <row r="116" spans="14:17" ht="13.9" customHeight="1">
      <c r="N116" s="90"/>
      <c r="O116" s="90"/>
      <c r="P116" s="92"/>
      <c r="Q116" s="90"/>
    </row>
    <row r="117" spans="14:17" ht="13.9" customHeight="1">
      <c r="N117" s="90"/>
      <c r="O117" s="90"/>
      <c r="P117" s="92"/>
      <c r="Q117" s="90"/>
    </row>
    <row r="118" spans="14:17" ht="13.9" customHeight="1">
      <c r="N118" s="90"/>
      <c r="O118" s="90"/>
      <c r="P118" s="92"/>
      <c r="Q118" s="90"/>
    </row>
    <row r="119" spans="14:17" ht="13.9" customHeight="1">
      <c r="N119" s="90"/>
      <c r="O119" s="90"/>
      <c r="P119" s="92"/>
      <c r="Q119" s="90"/>
    </row>
    <row r="120" spans="14:17" ht="13.9" customHeight="1">
      <c r="N120" s="90"/>
      <c r="O120" s="90"/>
      <c r="P120" s="92"/>
      <c r="Q120" s="90"/>
    </row>
    <row r="121" spans="14:17" ht="13.9" customHeight="1">
      <c r="N121" s="90"/>
      <c r="O121" s="90"/>
      <c r="P121" s="92"/>
      <c r="Q121" s="90"/>
    </row>
    <row r="122" spans="14:17" ht="13.9" customHeight="1">
      <c r="N122" s="90"/>
      <c r="O122" s="90"/>
      <c r="P122" s="92"/>
      <c r="Q122" s="90"/>
    </row>
    <row r="123" spans="14:17" ht="13.9" customHeight="1">
      <c r="N123" s="90"/>
      <c r="O123" s="90"/>
      <c r="P123" s="92"/>
      <c r="Q123" s="90"/>
    </row>
    <row r="124" spans="14:17" ht="13.9" customHeight="1">
      <c r="N124" s="90"/>
      <c r="O124" s="90"/>
      <c r="P124" s="92"/>
      <c r="Q124" s="90"/>
    </row>
    <row r="125" spans="14:17" ht="13.9" customHeight="1">
      <c r="N125" s="90"/>
      <c r="O125" s="90"/>
      <c r="P125" s="92"/>
      <c r="Q125" s="90"/>
    </row>
    <row r="126" spans="14:17" ht="13.9" customHeight="1">
      <c r="N126" s="90"/>
      <c r="O126" s="90"/>
      <c r="P126" s="92"/>
      <c r="Q126" s="90"/>
    </row>
    <row r="127" spans="14:17" ht="13.9" customHeight="1">
      <c r="N127" s="90"/>
      <c r="O127" s="90"/>
      <c r="P127" s="92"/>
      <c r="Q127" s="90"/>
    </row>
    <row r="128" spans="14:17" ht="13.9" customHeight="1">
      <c r="N128" s="90"/>
      <c r="O128" s="90"/>
      <c r="P128" s="92"/>
      <c r="Q128" s="90"/>
    </row>
    <row r="129" spans="14:17" ht="13.9" customHeight="1">
      <c r="N129" s="90"/>
      <c r="O129" s="90"/>
      <c r="P129" s="92"/>
      <c r="Q129" s="90"/>
    </row>
    <row r="130" spans="14:17" ht="13.9" customHeight="1">
      <c r="N130" s="90"/>
      <c r="O130" s="90"/>
      <c r="P130" s="92"/>
      <c r="Q130" s="90"/>
    </row>
    <row r="131" spans="14:17" ht="13.9" customHeight="1">
      <c r="N131" s="90"/>
      <c r="O131" s="90"/>
      <c r="P131" s="92"/>
      <c r="Q131" s="90"/>
    </row>
    <row r="132" spans="14:17" ht="13.9" customHeight="1">
      <c r="N132" s="90"/>
      <c r="O132" s="90"/>
      <c r="P132" s="92"/>
      <c r="Q132" s="90"/>
    </row>
    <row r="133" spans="14:17" ht="13.9" customHeight="1">
      <c r="N133" s="90"/>
      <c r="O133" s="90"/>
      <c r="P133" s="92"/>
      <c r="Q133" s="90"/>
    </row>
  </sheetData>
  <mergeCells count="2">
    <mergeCell ref="G1:K1"/>
    <mergeCell ref="L1:M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4"/>
  <sheetViews>
    <sheetView tabSelected="1" zoomScaleNormal="100" workbookViewId="0">
      <pane xSplit="4" ySplit="2" topLeftCell="E3" activePane="bottomRight" state="frozen"/>
      <selection pane="topRight" sqref="A1:XFD1048576"/>
      <selection pane="bottomLeft" sqref="A1:XFD1048576"/>
      <selection pane="bottomRight" sqref="A1:A2"/>
    </sheetView>
  </sheetViews>
  <sheetFormatPr defaultColWidth="9.140625" defaultRowHeight="14.45" customHeight="1"/>
  <cols>
    <col min="1" max="1" width="9.28515625" style="47" customWidth="1"/>
    <col min="2" max="2" width="11.140625" style="72" customWidth="1"/>
    <col min="3" max="3" width="31.5703125" style="72" customWidth="1"/>
    <col min="4" max="4" width="5.85546875" style="72" customWidth="1"/>
    <col min="5" max="5" width="6.140625" style="73" customWidth="1"/>
    <col min="6" max="6" width="6.140625" style="74" customWidth="1"/>
    <col min="7" max="7" width="6.28515625" style="74" customWidth="1"/>
    <col min="8" max="8" width="6.42578125" style="74" customWidth="1"/>
    <col min="9" max="9" width="5.7109375" style="74" bestFit="1" customWidth="1"/>
    <col min="10" max="10" width="7.140625" style="74" customWidth="1"/>
    <col min="11" max="12" width="9.28515625" style="42" customWidth="1"/>
    <col min="13" max="13" width="10" style="42" customWidth="1"/>
    <col min="14" max="14" width="7.42578125" style="73" customWidth="1"/>
    <col min="15" max="15" width="9" style="75" customWidth="1"/>
    <col min="16" max="16" width="9.7109375" style="47" customWidth="1"/>
    <col min="17" max="16384" width="9.140625" style="47"/>
  </cols>
  <sheetData>
    <row r="1" spans="1:16" s="57" customFormat="1" ht="24" customHeight="1">
      <c r="A1" s="161" t="s">
        <v>86</v>
      </c>
      <c r="B1" s="51"/>
      <c r="C1" s="51"/>
      <c r="D1" s="52"/>
      <c r="E1" s="156" t="s">
        <v>87</v>
      </c>
      <c r="F1" s="157"/>
      <c r="G1" s="158"/>
      <c r="H1" s="156" t="s">
        <v>88</v>
      </c>
      <c r="I1" s="159"/>
      <c r="J1" s="160"/>
      <c r="K1" s="53" t="s">
        <v>89</v>
      </c>
      <c r="L1" s="53" t="s">
        <v>90</v>
      </c>
      <c r="M1" s="53" t="s">
        <v>91</v>
      </c>
      <c r="N1" s="54" t="s">
        <v>0</v>
      </c>
      <c r="O1" s="55" t="s">
        <v>52</v>
      </c>
      <c r="P1" s="56" t="s">
        <v>52</v>
      </c>
    </row>
    <row r="2" spans="1:16" s="64" customFormat="1" ht="19.899999999999999" customHeight="1">
      <c r="A2" s="161"/>
      <c r="B2" s="43" t="s">
        <v>1</v>
      </c>
      <c r="C2" s="43" t="s">
        <v>2</v>
      </c>
      <c r="D2" s="58" t="s">
        <v>3</v>
      </c>
      <c r="E2" s="59" t="s">
        <v>19</v>
      </c>
      <c r="F2" s="43" t="s">
        <v>92</v>
      </c>
      <c r="G2" s="26" t="s">
        <v>53</v>
      </c>
      <c r="H2" s="59" t="s">
        <v>19</v>
      </c>
      <c r="I2" s="43" t="s">
        <v>92</v>
      </c>
      <c r="J2" s="26" t="s">
        <v>53</v>
      </c>
      <c r="K2" s="60" t="s">
        <v>19</v>
      </c>
      <c r="L2" s="60" t="s">
        <v>19</v>
      </c>
      <c r="M2" s="60" t="s">
        <v>52</v>
      </c>
      <c r="N2" s="61" t="s">
        <v>93</v>
      </c>
      <c r="O2" s="62" t="s">
        <v>94</v>
      </c>
      <c r="P2" s="63" t="s">
        <v>93</v>
      </c>
    </row>
    <row r="3" spans="1:16" ht="14.45" customHeight="1">
      <c r="A3" s="65">
        <v>45258</v>
      </c>
      <c r="B3" s="100" t="str">
        <f>Rollover!A3</f>
        <v>Subaru</v>
      </c>
      <c r="C3" s="100" t="str">
        <f>Rollover!B3</f>
        <v>Crosstrek SW AWD</v>
      </c>
      <c r="D3" s="12">
        <f>Rollover!C3</f>
        <v>2024</v>
      </c>
      <c r="E3" s="66">
        <f>Front!AW3</f>
        <v>5</v>
      </c>
      <c r="F3" s="100">
        <f>Front!AX3</f>
        <v>5</v>
      </c>
      <c r="G3" s="100">
        <f>Front!AY3</f>
        <v>5</v>
      </c>
      <c r="H3" s="66">
        <f>'Side MDB'!AC3</f>
        <v>5</v>
      </c>
      <c r="I3" s="66">
        <f>'Side MDB'!AD3</f>
        <v>5</v>
      </c>
      <c r="J3" s="66">
        <f>'Side MDB'!AE3</f>
        <v>5</v>
      </c>
      <c r="K3" s="67">
        <f>'Side Pole'!P3</f>
        <v>5</v>
      </c>
      <c r="L3" s="67">
        <f>'Side Pole'!S3</f>
        <v>5</v>
      </c>
      <c r="M3" s="67">
        <f>'Side Pole'!V3</f>
        <v>5</v>
      </c>
      <c r="N3" s="68" t="e">
        <f>Rollover!J3</f>
        <v>#NUM!</v>
      </c>
      <c r="O3" s="69" t="e">
        <f>ROUND(5/12*Front!AV3+4/12*'Side Pole'!U3+3/12*Rollover!I3,2)</f>
        <v>#NUM!</v>
      </c>
      <c r="P3" s="70" t="e">
        <f t="shared" ref="P3" si="0">IF(O3&lt;0.67,5,IF(O3&lt;1,4,IF(O3&lt;1.33,3,IF(O3&lt;2.67,2,1))))</f>
        <v>#NUM!</v>
      </c>
    </row>
    <row r="4" spans="1:16" ht="14.45" customHeight="1">
      <c r="A4" s="65">
        <v>45258</v>
      </c>
      <c r="B4" s="12" t="str">
        <f>Rollover!A4</f>
        <v>Subaru</v>
      </c>
      <c r="C4" s="12" t="str">
        <f>Rollover!B4</f>
        <v>Crosstrek Wilderness SW AWD</v>
      </c>
      <c r="D4" s="12">
        <f>Rollover!C4</f>
        <v>2024</v>
      </c>
      <c r="E4" s="66">
        <f>Front!AW4</f>
        <v>5</v>
      </c>
      <c r="F4" s="100">
        <f>Front!AX4</f>
        <v>5</v>
      </c>
      <c r="G4" s="100">
        <f>Front!AY4</f>
        <v>5</v>
      </c>
      <c r="H4" s="66">
        <f>'Side MDB'!AC4</f>
        <v>5</v>
      </c>
      <c r="I4" s="66">
        <f>'Side MDB'!AD4</f>
        <v>5</v>
      </c>
      <c r="J4" s="66">
        <f>'Side MDB'!AE4</f>
        <v>5</v>
      </c>
      <c r="K4" s="67">
        <f>'Side Pole'!P4</f>
        <v>5</v>
      </c>
      <c r="L4" s="67">
        <f>'Side Pole'!S4</f>
        <v>5</v>
      </c>
      <c r="M4" s="67">
        <f>'Side Pole'!V4</f>
        <v>5</v>
      </c>
      <c r="N4" s="68" t="e">
        <f>Rollover!J4</f>
        <v>#NUM!</v>
      </c>
      <c r="O4" s="69" t="e">
        <f>ROUND(5/12*Front!AV4+4/12*'Side Pole'!U4+3/12*Rollover!I4,2)</f>
        <v>#NUM!</v>
      </c>
      <c r="P4" s="70" t="e">
        <f t="shared" ref="P4:P5" si="1">IF(O4&lt;0.67,5,IF(O4&lt;1,4,IF(O4&lt;1.33,3,IF(O4&lt;2.67,2,1))))</f>
        <v>#NUM!</v>
      </c>
    </row>
    <row r="5" spans="1:16" ht="14.45" customHeight="1">
      <c r="A5" s="65">
        <v>45258</v>
      </c>
      <c r="B5" s="100" t="str">
        <f>Rollover!A5</f>
        <v>Subaru</v>
      </c>
      <c r="C5" s="100" t="str">
        <f>Rollover!B5</f>
        <v>Impreza SW AWD</v>
      </c>
      <c r="D5" s="12">
        <f>Rollover!C5</f>
        <v>2024</v>
      </c>
      <c r="E5" s="66">
        <f>Front!AW5</f>
        <v>5</v>
      </c>
      <c r="F5" s="100">
        <f>Front!AX5</f>
        <v>5</v>
      </c>
      <c r="G5" s="100">
        <f>Front!AY5</f>
        <v>5</v>
      </c>
      <c r="H5" s="66">
        <f>'Side MDB'!AC5</f>
        <v>5</v>
      </c>
      <c r="I5" s="66">
        <f>'Side MDB'!AD5</f>
        <v>5</v>
      </c>
      <c r="J5" s="66">
        <f>'Side MDB'!AE5</f>
        <v>5</v>
      </c>
      <c r="K5" s="67">
        <f>'Side Pole'!P5</f>
        <v>5</v>
      </c>
      <c r="L5" s="67">
        <f>'Side Pole'!S5</f>
        <v>5</v>
      </c>
      <c r="M5" s="67">
        <f>'Side Pole'!V5</f>
        <v>5</v>
      </c>
      <c r="N5" s="68" t="e">
        <f>Rollover!J5</f>
        <v>#NUM!</v>
      </c>
      <c r="O5" s="69" t="e">
        <f>ROUND(5/12*Front!AV5+4/12*'Side Pole'!U5+3/12*Rollover!I5,2)</f>
        <v>#NUM!</v>
      </c>
      <c r="P5" s="70" t="e">
        <f t="shared" si="1"/>
        <v>#NUM!</v>
      </c>
    </row>
    <row r="6" spans="1:16" ht="14.45" customHeight="1">
      <c r="B6" s="71"/>
    </row>
    <row r="7" spans="1:16" ht="14.45" customHeight="1">
      <c r="B7" s="71"/>
    </row>
    <row r="8" spans="1:16" ht="14.45" customHeight="1">
      <c r="B8" s="71"/>
    </row>
    <row r="9" spans="1:16" ht="14.45" customHeight="1">
      <c r="B9" s="71"/>
      <c r="C9" s="71"/>
      <c r="D9" s="71"/>
    </row>
    <row r="10" spans="1:16" ht="14.45" customHeight="1">
      <c r="B10" s="71"/>
      <c r="C10" s="71"/>
      <c r="D10" s="71"/>
    </row>
    <row r="11" spans="1:16" ht="14.45" customHeight="1">
      <c r="B11" s="71"/>
      <c r="C11" s="71"/>
      <c r="D11" s="71"/>
    </row>
    <row r="12" spans="1:16" ht="14.45" customHeight="1">
      <c r="B12" s="71"/>
      <c r="C12" s="71"/>
      <c r="D12" s="71"/>
    </row>
    <row r="13" spans="1:16" ht="14.45" customHeight="1">
      <c r="B13" s="71"/>
      <c r="C13" s="71"/>
      <c r="D13" s="71"/>
    </row>
    <row r="14" spans="1:16" ht="14.45" customHeight="1">
      <c r="B14" s="71"/>
      <c r="C14" s="71"/>
      <c r="D14" s="71"/>
    </row>
    <row r="15" spans="1:16" ht="14.45" customHeight="1">
      <c r="B15" s="71"/>
      <c r="C15" s="71"/>
      <c r="D15" s="71"/>
      <c r="H15" s="42"/>
      <c r="I15" s="42"/>
      <c r="J15" s="42"/>
    </row>
    <row r="16" spans="1:16" ht="14.45" customHeight="1">
      <c r="H16" s="42"/>
      <c r="I16" s="42"/>
      <c r="J16" s="42"/>
    </row>
    <row r="17" spans="2:10" ht="14.45" customHeight="1">
      <c r="H17" s="42"/>
      <c r="I17" s="42"/>
      <c r="J17" s="42"/>
    </row>
    <row r="18" spans="2:10" ht="14.45" customHeight="1">
      <c r="B18" s="76"/>
      <c r="C18" s="76"/>
      <c r="D18" s="76"/>
      <c r="E18" s="77"/>
      <c r="F18" s="71"/>
      <c r="H18" s="42"/>
      <c r="I18" s="42"/>
      <c r="J18" s="42"/>
    </row>
    <row r="19" spans="2:10" ht="14.45" customHeight="1">
      <c r="B19" s="76"/>
      <c r="C19" s="76"/>
      <c r="D19" s="76"/>
      <c r="E19" s="77"/>
      <c r="F19" s="71"/>
      <c r="H19" s="42"/>
      <c r="I19" s="42"/>
      <c r="J19" s="42"/>
    </row>
    <row r="20" spans="2:10" ht="14.45" customHeight="1">
      <c r="B20" s="76"/>
      <c r="C20" s="76"/>
      <c r="D20" s="76"/>
      <c r="E20" s="77"/>
      <c r="F20" s="71"/>
      <c r="H20" s="42"/>
      <c r="I20" s="42"/>
      <c r="J20" s="42"/>
    </row>
    <row r="21" spans="2:10" ht="14.45" customHeight="1">
      <c r="B21" s="76"/>
      <c r="C21" s="76"/>
      <c r="D21" s="76"/>
      <c r="E21" s="77"/>
      <c r="F21" s="71"/>
      <c r="H21" s="42"/>
      <c r="I21" s="42"/>
      <c r="J21" s="42"/>
    </row>
    <row r="22" spans="2:10" ht="14.45" customHeight="1">
      <c r="B22" s="76"/>
      <c r="C22" s="76"/>
      <c r="D22" s="76"/>
      <c r="E22" s="77"/>
      <c r="F22" s="71"/>
      <c r="H22" s="42"/>
      <c r="I22" s="42"/>
      <c r="J22" s="42"/>
    </row>
    <row r="23" spans="2:10" ht="14.45" customHeight="1">
      <c r="B23" s="76"/>
      <c r="C23" s="76"/>
      <c r="D23" s="76"/>
      <c r="E23" s="77"/>
      <c r="F23" s="71"/>
      <c r="H23" s="42"/>
      <c r="I23" s="42"/>
      <c r="J23" s="42"/>
    </row>
    <row r="24" spans="2:10" ht="14.45" customHeight="1">
      <c r="B24" s="76"/>
      <c r="C24" s="76"/>
      <c r="D24" s="76"/>
      <c r="E24" s="77"/>
      <c r="F24" s="71"/>
    </row>
    <row r="25" spans="2:10" ht="14.45" customHeight="1">
      <c r="B25" s="76"/>
      <c r="C25" s="76"/>
      <c r="D25" s="76"/>
      <c r="E25" s="77"/>
      <c r="F25" s="71"/>
    </row>
    <row r="26" spans="2:10" ht="14.45" customHeight="1">
      <c r="B26" s="76"/>
      <c r="C26" s="76"/>
      <c r="D26" s="76"/>
      <c r="E26" s="77"/>
      <c r="F26" s="71"/>
    </row>
    <row r="27" spans="2:10" ht="14.45" customHeight="1">
      <c r="B27" s="76"/>
      <c r="C27" s="76"/>
      <c r="D27" s="76"/>
      <c r="E27" s="77"/>
      <c r="F27" s="71"/>
    </row>
    <row r="28" spans="2:10" ht="14.45" customHeight="1">
      <c r="E28" s="77"/>
      <c r="F28" s="71"/>
    </row>
    <row r="29" spans="2:10" ht="14.45" customHeight="1">
      <c r="E29" s="77"/>
      <c r="F29" s="71"/>
    </row>
    <row r="30" spans="2:10" ht="14.45" customHeight="1">
      <c r="B30" s="76"/>
      <c r="C30" s="76"/>
      <c r="D30" s="76"/>
      <c r="E30" s="77"/>
      <c r="F30" s="71"/>
    </row>
    <row r="31" spans="2:10" ht="14.45" customHeight="1">
      <c r="B31" s="76"/>
      <c r="C31" s="76"/>
      <c r="D31" s="76"/>
      <c r="E31" s="77"/>
      <c r="F31" s="71"/>
    </row>
    <row r="32" spans="2:10" ht="14.45" customHeight="1">
      <c r="B32" s="76"/>
      <c r="C32" s="76"/>
      <c r="D32" s="76"/>
      <c r="E32" s="77"/>
      <c r="F32" s="71"/>
    </row>
    <row r="33" spans="2:10" ht="14.45" customHeight="1">
      <c r="B33" s="76"/>
      <c r="C33" s="76"/>
      <c r="D33" s="76"/>
      <c r="E33" s="77"/>
      <c r="F33" s="71"/>
      <c r="H33" s="78"/>
      <c r="I33" s="78"/>
      <c r="J33" s="78"/>
    </row>
    <row r="34" spans="2:10" ht="14.45" customHeight="1">
      <c r="B34" s="76"/>
      <c r="C34" s="76"/>
      <c r="D34" s="76"/>
      <c r="F34" s="42"/>
      <c r="G34" s="42"/>
      <c r="H34" s="78"/>
      <c r="I34" s="78"/>
      <c r="J34" s="78"/>
    </row>
    <row r="35" spans="2:10" ht="14.45" customHeight="1">
      <c r="B35" s="76"/>
      <c r="C35" s="76"/>
      <c r="D35" s="76"/>
      <c r="F35" s="42"/>
      <c r="G35" s="42"/>
      <c r="H35" s="78"/>
      <c r="I35" s="78"/>
      <c r="J35" s="78"/>
    </row>
    <row r="36" spans="2:10" ht="14.45" customHeight="1">
      <c r="B36" s="79"/>
      <c r="C36" s="79"/>
      <c r="D36" s="79"/>
      <c r="E36" s="80"/>
      <c r="F36" s="42"/>
      <c r="G36" s="42"/>
      <c r="H36" s="78"/>
      <c r="I36" s="78"/>
      <c r="J36" s="78"/>
    </row>
    <row r="37" spans="2:10" ht="14.45" customHeight="1">
      <c r="B37" s="71"/>
      <c r="C37" s="71"/>
      <c r="D37" s="71"/>
      <c r="F37" s="42"/>
      <c r="G37" s="42"/>
      <c r="H37" s="78"/>
      <c r="I37" s="78"/>
      <c r="J37" s="78"/>
    </row>
    <row r="38" spans="2:10" ht="14.45" customHeight="1">
      <c r="B38" s="76"/>
      <c r="C38" s="76"/>
      <c r="D38" s="76"/>
      <c r="F38" s="42"/>
      <c r="G38" s="42"/>
      <c r="H38" s="78"/>
      <c r="I38" s="78"/>
      <c r="J38" s="78"/>
    </row>
    <row r="39" spans="2:10" ht="14.45" customHeight="1">
      <c r="B39" s="76"/>
      <c r="C39" s="76"/>
      <c r="D39" s="76"/>
      <c r="F39" s="42"/>
      <c r="G39" s="42"/>
      <c r="H39" s="78"/>
      <c r="I39" s="78"/>
      <c r="J39" s="78"/>
    </row>
    <row r="40" spans="2:10" ht="14.45" customHeight="1">
      <c r="B40" s="76"/>
      <c r="C40" s="76"/>
      <c r="D40" s="76"/>
      <c r="F40" s="42"/>
      <c r="G40" s="42"/>
      <c r="H40" s="78"/>
      <c r="I40" s="78"/>
      <c r="J40" s="78"/>
    </row>
    <row r="41" spans="2:10" ht="14.45" customHeight="1">
      <c r="B41" s="76"/>
      <c r="C41" s="76"/>
      <c r="D41" s="76"/>
      <c r="F41" s="42"/>
      <c r="G41" s="42"/>
      <c r="H41" s="78"/>
      <c r="I41" s="78"/>
      <c r="J41" s="78"/>
    </row>
    <row r="42" spans="2:10" ht="14.45" customHeight="1">
      <c r="B42" s="71"/>
      <c r="C42" s="71"/>
      <c r="D42" s="71"/>
      <c r="F42" s="42"/>
      <c r="G42" s="42"/>
      <c r="H42" s="78"/>
      <c r="I42" s="78"/>
      <c r="J42" s="78"/>
    </row>
    <row r="43" spans="2:10" ht="14.45" customHeight="1">
      <c r="F43" s="42"/>
      <c r="G43" s="42"/>
      <c r="H43" s="78"/>
      <c r="I43" s="78"/>
      <c r="J43" s="78"/>
    </row>
    <row r="44" spans="2:10" ht="14.45" customHeight="1">
      <c r="F44" s="42"/>
      <c r="G44" s="42"/>
      <c r="H44" s="78"/>
      <c r="I44" s="78"/>
      <c r="J44" s="78"/>
    </row>
  </sheetData>
  <mergeCells count="3">
    <mergeCell ref="E1:G1"/>
    <mergeCell ref="H1:J1"/>
    <mergeCell ref="A1:A2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7560245691448BE983DF1D6134782" ma:contentTypeVersion="5" ma:contentTypeDescription="Create a new document." ma:contentTypeScope="" ma:versionID="d27778e11e5fc74c8f315331219eb63e">
  <xsd:schema xmlns:xsd="http://www.w3.org/2001/XMLSchema" xmlns:xs="http://www.w3.org/2001/XMLSchema" xmlns:p="http://schemas.microsoft.com/office/2006/metadata/properties" xmlns:ns2="7e32015e-0ffe-49b8-92ae-b8ce6fb0b285" xmlns:ns3="eb46a62a-161d-48d3-9b54-b42c8dfa8c78" targetNamespace="http://schemas.microsoft.com/office/2006/metadata/properties" ma:root="true" ma:fieldsID="5bc22f69ffa96a1888787dddfed1ae1b" ns2:_="" ns3:_="">
    <xsd:import namespace="7e32015e-0ffe-49b8-92ae-b8ce6fb0b285"/>
    <xsd:import namespace="eb46a62a-161d-48d3-9b54-b42c8dfa8c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2015e-0ffe-49b8-92ae-b8ce6fb0b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6a62a-161d-48d3-9b54-b42c8dfa8c7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B8E8DC-8780-4D31-87E2-58DD32DF8F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32015e-0ffe-49b8-92ae-b8ce6fb0b285"/>
    <ds:schemaRef ds:uri="eb46a62a-161d-48d3-9b54-b42c8dfa8c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893908-72D9-4E44-8468-989C961F10D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5330740-8C9C-4C52-A99C-CC9189052F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Manager/>
  <Company>USDOT\NHTSA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Felicia McKoy</dc:creator>
  <cp:keywords/>
  <dc:description/>
  <cp:lastModifiedBy>Michel, Greg CTR (OST)</cp:lastModifiedBy>
  <cp:revision/>
  <dcterms:created xsi:type="dcterms:W3CDTF">2007-06-14T17:31:50Z</dcterms:created>
  <dcterms:modified xsi:type="dcterms:W3CDTF">2023-11-29T14:40:10Z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0x0101005B67560245691448BE983DF1D6134782</vt:lpwstr>
  </property>
  <property fmtid="{D5CDD505-2E9C-101B-9397-08002B2CF9AE}" pid="4" name="MediaServiceImageTags">
    <vt:lpwstr/>
  </property>
</Properties>
</file>