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3 web and docket data\"/>
    </mc:Choice>
  </mc:AlternateContent>
  <xr:revisionPtr revIDLastSave="0" documentId="8_{0343A9CB-F6CB-42A9-97AA-C168FE587740}" xr6:coauthVersionLast="47" xr6:coauthVersionMax="47" xr10:uidLastSave="{00000000-0000-0000-0000-000000000000}"/>
  <bookViews>
    <workbookView xWindow="12915" yWindow="615" windowWidth="32085" windowHeight="18780" tabRatio="537" firstSheet="4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1" l="1"/>
  <c r="D12" i="21"/>
  <c r="C12" i="21"/>
  <c r="F12" i="22"/>
  <c r="D12" i="22"/>
  <c r="C12" i="22"/>
  <c r="F12" i="29"/>
  <c r="D12" i="29"/>
  <c r="C12" i="29"/>
  <c r="D12" i="31"/>
  <c r="C12" i="31"/>
  <c r="B12" i="31"/>
  <c r="G12" i="24"/>
  <c r="H12" i="24" s="1"/>
  <c r="I12" i="24" s="1"/>
  <c r="J12" i="24" s="1"/>
  <c r="N12" i="31" s="1"/>
  <c r="L12" i="29"/>
  <c r="M12" i="29"/>
  <c r="Q12" i="22"/>
  <c r="R12" i="22"/>
  <c r="S12" i="22"/>
  <c r="T12" i="22"/>
  <c r="U12" i="22"/>
  <c r="V12" i="22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W44" i="21"/>
  <c r="X44" i="21"/>
  <c r="Y44" i="21"/>
  <c r="Z44" i="21"/>
  <c r="AB44" i="21"/>
  <c r="AC44" i="21" s="1"/>
  <c r="AD44" i="21"/>
  <c r="AE44" i="21"/>
  <c r="AG44" i="21"/>
  <c r="AH44" i="21"/>
  <c r="AI44" i="21"/>
  <c r="AJ44" i="21"/>
  <c r="AL44" i="21"/>
  <c r="AM44" i="21" s="1"/>
  <c r="AN44" i="21"/>
  <c r="AO44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W48" i="21"/>
  <c r="X48" i="21"/>
  <c r="Y48" i="21"/>
  <c r="Z48" i="21"/>
  <c r="AB48" i="21"/>
  <c r="AC48" i="21" s="1"/>
  <c r="AD48" i="21"/>
  <c r="AE48" i="21"/>
  <c r="AG48" i="21"/>
  <c r="AH48" i="21"/>
  <c r="AI48" i="21"/>
  <c r="AJ48" i="21"/>
  <c r="AL48" i="21"/>
  <c r="AM48" i="21" s="1"/>
  <c r="AN48" i="21"/>
  <c r="AO48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D4" i="31"/>
  <c r="D5" i="31"/>
  <c r="D6" i="31"/>
  <c r="D7" i="31"/>
  <c r="D8" i="31"/>
  <c r="D9" i="31"/>
  <c r="D10" i="31"/>
  <c r="D11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F4" i="29"/>
  <c r="F5" i="29"/>
  <c r="F6" i="29"/>
  <c r="F7" i="29"/>
  <c r="F8" i="29"/>
  <c r="F9" i="29"/>
  <c r="F10" i="29"/>
  <c r="F11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4" i="22"/>
  <c r="F5" i="22"/>
  <c r="F6" i="22"/>
  <c r="F7" i="22"/>
  <c r="F8" i="22"/>
  <c r="F9" i="22"/>
  <c r="F10" i="22"/>
  <c r="F11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4" i="21"/>
  <c r="F5" i="21"/>
  <c r="F6" i="21"/>
  <c r="F7" i="21"/>
  <c r="F8" i="21"/>
  <c r="F9" i="21"/>
  <c r="F10" i="21"/>
  <c r="F11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C28" i="31"/>
  <c r="B28" i="31"/>
  <c r="M28" i="29"/>
  <c r="L28" i="29"/>
  <c r="D28" i="29"/>
  <c r="C28" i="29"/>
  <c r="V28" i="22"/>
  <c r="U28" i="22"/>
  <c r="T28" i="22"/>
  <c r="S28" i="22"/>
  <c r="R28" i="22"/>
  <c r="Q28" i="22"/>
  <c r="D28" i="22"/>
  <c r="C28" i="22"/>
  <c r="D28" i="21"/>
  <c r="C28" i="21"/>
  <c r="G28" i="24"/>
  <c r="H28" i="24" s="1"/>
  <c r="I28" i="24" s="1"/>
  <c r="J28" i="24" s="1"/>
  <c r="N28" i="31" s="1"/>
  <c r="N12" i="29" l="1"/>
  <c r="O12" i="29" s="1"/>
  <c r="P12" i="29" s="1"/>
  <c r="K12" i="31" s="1"/>
  <c r="X28" i="22"/>
  <c r="AA28" i="22" s="1"/>
  <c r="AD28" i="22" s="1"/>
  <c r="I28" i="31" s="1"/>
  <c r="AA30" i="21"/>
  <c r="AF53" i="21"/>
  <c r="AP20" i="21"/>
  <c r="AP47" i="21"/>
  <c r="AK28" i="21"/>
  <c r="AP54" i="21"/>
  <c r="AK24" i="21"/>
  <c r="AA15" i="21"/>
  <c r="AF8" i="21"/>
  <c r="AA6" i="21"/>
  <c r="AP27" i="21"/>
  <c r="AA12" i="21"/>
  <c r="AP36" i="21"/>
  <c r="AP49" i="21"/>
  <c r="AF38" i="21"/>
  <c r="W12" i="22"/>
  <c r="AK48" i="21"/>
  <c r="AF46" i="21"/>
  <c r="AP34" i="21"/>
  <c r="AF21" i="21"/>
  <c r="AP6" i="21"/>
  <c r="AK4" i="21"/>
  <c r="AF32" i="21"/>
  <c r="W28" i="22"/>
  <c r="AF50" i="21"/>
  <c r="AF34" i="21"/>
  <c r="AA26" i="21"/>
  <c r="AA44" i="21"/>
  <c r="AP30" i="21"/>
  <c r="AP8" i="21"/>
  <c r="X12" i="22"/>
  <c r="AA12" i="22" s="1"/>
  <c r="AD12" i="22" s="1"/>
  <c r="I12" i="31" s="1"/>
  <c r="AF51" i="21"/>
  <c r="AA42" i="21"/>
  <c r="AA23" i="21"/>
  <c r="AP40" i="21"/>
  <c r="AA39" i="21"/>
  <c r="AK13" i="21"/>
  <c r="AF10" i="21"/>
  <c r="AP52" i="21"/>
  <c r="AP48" i="21"/>
  <c r="AP16" i="21"/>
  <c r="AA4" i="21"/>
  <c r="AP45" i="21"/>
  <c r="AF33" i="21"/>
  <c r="AF13" i="21"/>
  <c r="AK54" i="21"/>
  <c r="AK37" i="21"/>
  <c r="AF35" i="21"/>
  <c r="AA11" i="21"/>
  <c r="AK55" i="21"/>
  <c r="AK50" i="21"/>
  <c r="AK49" i="21"/>
  <c r="AP41" i="21"/>
  <c r="AF29" i="21"/>
  <c r="AK21" i="21"/>
  <c r="AP9" i="21"/>
  <c r="AF9" i="21"/>
  <c r="AP11" i="21"/>
  <c r="AF55" i="21"/>
  <c r="AF49" i="21"/>
  <c r="AP37" i="21"/>
  <c r="AA34" i="21"/>
  <c r="AQ34" i="21" s="1"/>
  <c r="AT34" i="21" s="1"/>
  <c r="AW34" i="21" s="1"/>
  <c r="E34" i="31" s="1"/>
  <c r="AP31" i="21"/>
  <c r="AP23" i="21"/>
  <c r="AF23" i="21"/>
  <c r="AF14" i="21"/>
  <c r="AF5" i="21"/>
  <c r="AA47" i="21"/>
  <c r="AK17" i="21"/>
  <c r="AK7" i="21"/>
  <c r="AF39" i="21"/>
  <c r="AF25" i="21"/>
  <c r="AA19" i="21"/>
  <c r="AK9" i="21"/>
  <c r="Z12" i="22"/>
  <c r="AC12" i="22" s="1"/>
  <c r="H12" i="31" s="1"/>
  <c r="AP51" i="21"/>
  <c r="AF22" i="21"/>
  <c r="AA50" i="21"/>
  <c r="AQ50" i="21" s="1"/>
  <c r="AT50" i="21" s="1"/>
  <c r="AW50" i="21" s="1"/>
  <c r="E50" i="31" s="1"/>
  <c r="AF18" i="21"/>
  <c r="AA51" i="21"/>
  <c r="AQ51" i="21" s="1"/>
  <c r="AT51" i="21" s="1"/>
  <c r="AW51" i="21" s="1"/>
  <c r="E51" i="31" s="1"/>
  <c r="AK32" i="21"/>
  <c r="AK53" i="21"/>
  <c r="AF30" i="21"/>
  <c r="AQ30" i="21" s="1"/>
  <c r="AA40" i="21"/>
  <c r="AK38" i="21"/>
  <c r="AA36" i="21"/>
  <c r="AP28" i="21"/>
  <c r="AF26" i="21"/>
  <c r="AF24" i="21"/>
  <c r="AP55" i="21"/>
  <c r="AF44" i="21"/>
  <c r="AA43" i="21"/>
  <c r="AP21" i="21"/>
  <c r="AP19" i="21"/>
  <c r="AF19" i="21"/>
  <c r="AP17" i="21"/>
  <c r="AF15" i="21"/>
  <c r="AF11" i="21"/>
  <c r="AK12" i="21"/>
  <c r="AF6" i="21"/>
  <c r="AQ6" i="21" s="1"/>
  <c r="AT6" i="21" s="1"/>
  <c r="AW6" i="21" s="1"/>
  <c r="E6" i="31" s="1"/>
  <c r="AA52" i="21"/>
  <c r="AA45" i="21"/>
  <c r="AF42" i="21"/>
  <c r="AA16" i="21"/>
  <c r="AP12" i="21"/>
  <c r="AF12" i="21"/>
  <c r="Q12" i="29"/>
  <c r="R12" i="29" s="1"/>
  <c r="S12" i="29" s="1"/>
  <c r="L12" i="31" s="1"/>
  <c r="AA55" i="21"/>
  <c r="AP50" i="21"/>
  <c r="AF47" i="21"/>
  <c r="AP46" i="21"/>
  <c r="AA46" i="21"/>
  <c r="AK45" i="21"/>
  <c r="AP44" i="21"/>
  <c r="AK44" i="21"/>
  <c r="AP43" i="21"/>
  <c r="AK43" i="21"/>
  <c r="AP42" i="21"/>
  <c r="AK42" i="21"/>
  <c r="AK41" i="21"/>
  <c r="AF41" i="21"/>
  <c r="AA41" i="21"/>
  <c r="AK40" i="21"/>
  <c r="AR40" i="21" s="1"/>
  <c r="AU40" i="21" s="1"/>
  <c r="AX40" i="21" s="1"/>
  <c r="F40" i="31" s="1"/>
  <c r="AP39" i="21"/>
  <c r="AP38" i="21"/>
  <c r="AF37" i="21"/>
  <c r="AA37" i="21"/>
  <c r="AF36" i="21"/>
  <c r="AP35" i="21"/>
  <c r="AK35" i="21"/>
  <c r="AK34" i="21"/>
  <c r="AP33" i="21"/>
  <c r="AK33" i="21"/>
  <c r="AA33" i="21"/>
  <c r="AP32" i="21"/>
  <c r="AA32" i="21"/>
  <c r="AK31" i="21"/>
  <c r="AF31" i="21"/>
  <c r="AK30" i="21"/>
  <c r="AP29" i="21"/>
  <c r="AA29" i="21"/>
  <c r="AF28" i="21"/>
  <c r="AA28" i="21"/>
  <c r="AK27" i="21"/>
  <c r="AF27" i="21"/>
  <c r="AA27" i="21"/>
  <c r="AP26" i="21"/>
  <c r="AP25" i="21"/>
  <c r="AK25" i="21"/>
  <c r="AA25" i="21"/>
  <c r="AP24" i="21"/>
  <c r="AR24" i="21" s="1"/>
  <c r="AU24" i="21" s="1"/>
  <c r="AX24" i="21" s="1"/>
  <c r="F24" i="31" s="1"/>
  <c r="AA24" i="21"/>
  <c r="AK23" i="21"/>
  <c r="AP22" i="21"/>
  <c r="AA22" i="21"/>
  <c r="AA21" i="21"/>
  <c r="AK20" i="21"/>
  <c r="AR20" i="21" s="1"/>
  <c r="AF20" i="21"/>
  <c r="AA20" i="21"/>
  <c r="AP18" i="21"/>
  <c r="AK18" i="21"/>
  <c r="AA18" i="21"/>
  <c r="AF17" i="21"/>
  <c r="AA17" i="21"/>
  <c r="AK11" i="21"/>
  <c r="AP10" i="21"/>
  <c r="AK10" i="21"/>
  <c r="AA10" i="21"/>
  <c r="AA9" i="21"/>
  <c r="AK8" i="21"/>
  <c r="AA8" i="21"/>
  <c r="AQ8" i="21" s="1"/>
  <c r="AT8" i="21" s="1"/>
  <c r="AW8" i="21" s="1"/>
  <c r="E8" i="31" s="1"/>
  <c r="AP7" i="21"/>
  <c r="AF7" i="21"/>
  <c r="AA7" i="21"/>
  <c r="AP5" i="21"/>
  <c r="AK5" i="21"/>
  <c r="AA5" i="21"/>
  <c r="AP4" i="21"/>
  <c r="AR4" i="21" s="1"/>
  <c r="AF4" i="21"/>
  <c r="AQ4" i="21" s="1"/>
  <c r="AT4" i="21" s="1"/>
  <c r="AW4" i="21" s="1"/>
  <c r="E4" i="31" s="1"/>
  <c r="AK52" i="21"/>
  <c r="AF52" i="21"/>
  <c r="AK16" i="21"/>
  <c r="AF16" i="21"/>
  <c r="AP15" i="21"/>
  <c r="AK15" i="21"/>
  <c r="AP14" i="21"/>
  <c r="AA14" i="21"/>
  <c r="AA13" i="21"/>
  <c r="N28" i="29"/>
  <c r="AF54" i="21"/>
  <c r="AK51" i="21"/>
  <c r="AF45" i="21"/>
  <c r="AK39" i="21"/>
  <c r="AA53" i="21"/>
  <c r="AQ53" i="21" s="1"/>
  <c r="AT53" i="21" s="1"/>
  <c r="AW53" i="21" s="1"/>
  <c r="E53" i="31" s="1"/>
  <c r="AA48" i="21"/>
  <c r="AK47" i="21"/>
  <c r="AR47" i="21" s="1"/>
  <c r="AF40" i="21"/>
  <c r="AQ40" i="21" s="1"/>
  <c r="AK36" i="21"/>
  <c r="AP53" i="21"/>
  <c r="AA49" i="21"/>
  <c r="AR48" i="21"/>
  <c r="AA38" i="21"/>
  <c r="AA54" i="21"/>
  <c r="AF48" i="21"/>
  <c r="AK46" i="21"/>
  <c r="AF43" i="21"/>
  <c r="AA35" i="21"/>
  <c r="AK22" i="21"/>
  <c r="AK14" i="21"/>
  <c r="AK29" i="21"/>
  <c r="AK19" i="21"/>
  <c r="AP13" i="21"/>
  <c r="AK6" i="21"/>
  <c r="AA31" i="21"/>
  <c r="AK26" i="21"/>
  <c r="AQ45" i="21" l="1"/>
  <c r="AT45" i="21" s="1"/>
  <c r="AW45" i="21" s="1"/>
  <c r="E45" i="31" s="1"/>
  <c r="AR21" i="21"/>
  <c r="AQ32" i="21"/>
  <c r="AT32" i="21" s="1"/>
  <c r="AW32" i="21" s="1"/>
  <c r="E32" i="31" s="1"/>
  <c r="AR13" i="21"/>
  <c r="AR36" i="21"/>
  <c r="AQ7" i="21"/>
  <c r="AT7" i="21" s="1"/>
  <c r="AW7" i="21" s="1"/>
  <c r="E7" i="31" s="1"/>
  <c r="AQ33" i="21"/>
  <c r="AT33" i="21" s="1"/>
  <c r="AW33" i="21" s="1"/>
  <c r="E33" i="31" s="1"/>
  <c r="AQ12" i="21"/>
  <c r="AT12" i="21" s="1"/>
  <c r="AW12" i="21" s="1"/>
  <c r="E12" i="31" s="1"/>
  <c r="AR30" i="21"/>
  <c r="AU30" i="21" s="1"/>
  <c r="AX30" i="21" s="1"/>
  <c r="F30" i="31" s="1"/>
  <c r="AQ23" i="21"/>
  <c r="AT23" i="21" s="1"/>
  <c r="AW23" i="21" s="1"/>
  <c r="E23" i="31" s="1"/>
  <c r="AR28" i="21"/>
  <c r="AR31" i="21"/>
  <c r="AR49" i="21"/>
  <c r="AU49" i="21" s="1"/>
  <c r="AX49" i="21" s="1"/>
  <c r="F49" i="31" s="1"/>
  <c r="AQ5" i="21"/>
  <c r="AT5" i="21" s="1"/>
  <c r="AW5" i="21" s="1"/>
  <c r="E5" i="31" s="1"/>
  <c r="AQ16" i="21"/>
  <c r="AT16" i="21" s="1"/>
  <c r="AW16" i="21" s="1"/>
  <c r="E16" i="31" s="1"/>
  <c r="AQ42" i="21"/>
  <c r="AT42" i="21" s="1"/>
  <c r="AW42" i="21" s="1"/>
  <c r="E42" i="31" s="1"/>
  <c r="AR52" i="21"/>
  <c r="AU52" i="21" s="1"/>
  <c r="AX52" i="21" s="1"/>
  <c r="F52" i="31" s="1"/>
  <c r="AR34" i="21"/>
  <c r="AS34" i="21" s="1"/>
  <c r="AV34" i="21" s="1"/>
  <c r="AY34" i="21" s="1"/>
  <c r="G34" i="31" s="1"/>
  <c r="AQ49" i="21"/>
  <c r="AR45" i="21"/>
  <c r="AR16" i="21"/>
  <c r="AU16" i="21" s="1"/>
  <c r="AX16" i="21" s="1"/>
  <c r="F16" i="31" s="1"/>
  <c r="AQ15" i="21"/>
  <c r="AT15" i="21" s="1"/>
  <c r="AW15" i="21" s="1"/>
  <c r="E15" i="31" s="1"/>
  <c r="AQ13" i="21"/>
  <c r="AT13" i="21" s="1"/>
  <c r="AW13" i="21" s="1"/>
  <c r="E13" i="31" s="1"/>
  <c r="AR38" i="21"/>
  <c r="AU38" i="21" s="1"/>
  <c r="AX38" i="21" s="1"/>
  <c r="F38" i="31" s="1"/>
  <c r="AR7" i="21"/>
  <c r="AU7" i="21" s="1"/>
  <c r="AX7" i="21" s="1"/>
  <c r="F7" i="31" s="1"/>
  <c r="AR37" i="21"/>
  <c r="AU37" i="21" s="1"/>
  <c r="AX37" i="21" s="1"/>
  <c r="F37" i="31" s="1"/>
  <c r="AR41" i="21"/>
  <c r="AR14" i="21"/>
  <c r="AR8" i="21"/>
  <c r="AU8" i="21" s="1"/>
  <c r="AX8" i="21" s="1"/>
  <c r="F8" i="31" s="1"/>
  <c r="AQ27" i="21"/>
  <c r="AT27" i="21" s="1"/>
  <c r="AW27" i="21" s="1"/>
  <c r="E27" i="31" s="1"/>
  <c r="AR35" i="21"/>
  <c r="AU35" i="21" s="1"/>
  <c r="AX35" i="21" s="1"/>
  <c r="F35" i="31" s="1"/>
  <c r="AQ41" i="21"/>
  <c r="AT41" i="21" s="1"/>
  <c r="AW41" i="21" s="1"/>
  <c r="E41" i="31" s="1"/>
  <c r="AR50" i="21"/>
  <c r="AU50" i="21" s="1"/>
  <c r="AX50" i="21" s="1"/>
  <c r="F50" i="31" s="1"/>
  <c r="AR9" i="21"/>
  <c r="T28" i="29"/>
  <c r="U28" i="29" s="1"/>
  <c r="AQ24" i="21"/>
  <c r="AT24" i="21" s="1"/>
  <c r="AW24" i="21" s="1"/>
  <c r="E24" i="31" s="1"/>
  <c r="AR27" i="21"/>
  <c r="AU27" i="21" s="1"/>
  <c r="AX27" i="21" s="1"/>
  <c r="F27" i="31" s="1"/>
  <c r="AR12" i="21"/>
  <c r="AU12" i="21" s="1"/>
  <c r="AX12" i="21" s="1"/>
  <c r="F12" i="31" s="1"/>
  <c r="AR29" i="21"/>
  <c r="AU29" i="21" s="1"/>
  <c r="AX29" i="21" s="1"/>
  <c r="F29" i="31" s="1"/>
  <c r="AR19" i="21"/>
  <c r="AU19" i="21" s="1"/>
  <c r="AX19" i="21" s="1"/>
  <c r="F19" i="31" s="1"/>
  <c r="AQ46" i="21"/>
  <c r="AT46" i="21" s="1"/>
  <c r="AW46" i="21" s="1"/>
  <c r="E46" i="31" s="1"/>
  <c r="AQ25" i="21"/>
  <c r="AT25" i="21" s="1"/>
  <c r="AW25" i="21" s="1"/>
  <c r="E25" i="31" s="1"/>
  <c r="AR46" i="21"/>
  <c r="AQ44" i="21"/>
  <c r="AT44" i="21" s="1"/>
  <c r="AW44" i="21" s="1"/>
  <c r="E44" i="31" s="1"/>
  <c r="Q28" i="29"/>
  <c r="R28" i="29" s="1"/>
  <c r="S28" i="29" s="1"/>
  <c r="L28" i="31" s="1"/>
  <c r="AR54" i="21"/>
  <c r="AU54" i="21" s="1"/>
  <c r="AX54" i="21" s="1"/>
  <c r="F54" i="31" s="1"/>
  <c r="AR26" i="21"/>
  <c r="AR51" i="21"/>
  <c r="AS51" i="21" s="1"/>
  <c r="AV51" i="21" s="1"/>
  <c r="AY51" i="21" s="1"/>
  <c r="G51" i="31" s="1"/>
  <c r="AQ21" i="21"/>
  <c r="AT21" i="21" s="1"/>
  <c r="AW21" i="21" s="1"/>
  <c r="E21" i="31" s="1"/>
  <c r="Z28" i="22"/>
  <c r="AC28" i="22" s="1"/>
  <c r="H28" i="31" s="1"/>
  <c r="AQ43" i="21"/>
  <c r="AT43" i="21" s="1"/>
  <c r="AW43" i="21" s="1"/>
  <c r="E43" i="31" s="1"/>
  <c r="AQ26" i="21"/>
  <c r="AT26" i="21" s="1"/>
  <c r="AW26" i="21" s="1"/>
  <c r="E26" i="31" s="1"/>
  <c r="Y28" i="22"/>
  <c r="AB28" i="22" s="1"/>
  <c r="AE28" i="22" s="1"/>
  <c r="J28" i="31" s="1"/>
  <c r="AQ14" i="21"/>
  <c r="AT14" i="21" s="1"/>
  <c r="AW14" i="21" s="1"/>
  <c r="E14" i="31" s="1"/>
  <c r="AQ28" i="21"/>
  <c r="AT28" i="21" s="1"/>
  <c r="AW28" i="21" s="1"/>
  <c r="E28" i="31" s="1"/>
  <c r="AR32" i="21"/>
  <c r="AU32" i="21" s="1"/>
  <c r="AX32" i="21" s="1"/>
  <c r="F32" i="31" s="1"/>
  <c r="O28" i="29"/>
  <c r="P28" i="29" s="1"/>
  <c r="K28" i="31" s="1"/>
  <c r="AQ38" i="21"/>
  <c r="AT38" i="21" s="1"/>
  <c r="AW38" i="21" s="1"/>
  <c r="E38" i="31" s="1"/>
  <c r="AR33" i="21"/>
  <c r="AR43" i="21"/>
  <c r="AQ19" i="21"/>
  <c r="AT19" i="21" s="1"/>
  <c r="AW19" i="21" s="1"/>
  <c r="E19" i="31" s="1"/>
  <c r="AR6" i="21"/>
  <c r="AS6" i="21" s="1"/>
  <c r="AV6" i="21" s="1"/>
  <c r="AY6" i="21" s="1"/>
  <c r="G6" i="31" s="1"/>
  <c r="AR5" i="21"/>
  <c r="AU5" i="21" s="1"/>
  <c r="AX5" i="21" s="1"/>
  <c r="F5" i="31" s="1"/>
  <c r="AQ10" i="21"/>
  <c r="AT10" i="21" s="1"/>
  <c r="AW10" i="21" s="1"/>
  <c r="E10" i="31" s="1"/>
  <c r="AQ29" i="21"/>
  <c r="AT29" i="21" s="1"/>
  <c r="AW29" i="21" s="1"/>
  <c r="E29" i="31" s="1"/>
  <c r="AQ52" i="21"/>
  <c r="AT52" i="21" s="1"/>
  <c r="AW52" i="21" s="1"/>
  <c r="E52" i="31" s="1"/>
  <c r="AQ36" i="21"/>
  <c r="AT36" i="21" s="1"/>
  <c r="AW36" i="21" s="1"/>
  <c r="E36" i="31" s="1"/>
  <c r="AQ39" i="21"/>
  <c r="AT39" i="21" s="1"/>
  <c r="AW39" i="21" s="1"/>
  <c r="E39" i="31" s="1"/>
  <c r="AR22" i="21"/>
  <c r="AU22" i="21" s="1"/>
  <c r="AX22" i="21" s="1"/>
  <c r="F22" i="31" s="1"/>
  <c r="AQ17" i="21"/>
  <c r="AT17" i="21" s="1"/>
  <c r="AW17" i="21" s="1"/>
  <c r="E17" i="31" s="1"/>
  <c r="AQ55" i="21"/>
  <c r="AT55" i="21" s="1"/>
  <c r="AW55" i="21" s="1"/>
  <c r="E55" i="31" s="1"/>
  <c r="AQ47" i="21"/>
  <c r="AT47" i="21" s="1"/>
  <c r="AW47" i="21" s="1"/>
  <c r="E47" i="31" s="1"/>
  <c r="AQ18" i="21"/>
  <c r="AT18" i="21" s="1"/>
  <c r="AW18" i="21" s="1"/>
  <c r="E18" i="31" s="1"/>
  <c r="AR17" i="21"/>
  <c r="AU17" i="21" s="1"/>
  <c r="AX17" i="21" s="1"/>
  <c r="F17" i="31" s="1"/>
  <c r="AQ22" i="21"/>
  <c r="AT22" i="21" s="1"/>
  <c r="AW22" i="21" s="1"/>
  <c r="E22" i="31" s="1"/>
  <c r="AR55" i="21"/>
  <c r="AU55" i="21" s="1"/>
  <c r="AX55" i="21" s="1"/>
  <c r="F55" i="31" s="1"/>
  <c r="AQ11" i="21"/>
  <c r="AT11" i="21" s="1"/>
  <c r="AW11" i="21" s="1"/>
  <c r="E11" i="31" s="1"/>
  <c r="AR18" i="21"/>
  <c r="AU18" i="21" s="1"/>
  <c r="AX18" i="21" s="1"/>
  <c r="F18" i="31" s="1"/>
  <c r="Y12" i="22"/>
  <c r="AB12" i="22" s="1"/>
  <c r="AE12" i="22" s="1"/>
  <c r="J12" i="31" s="1"/>
  <c r="AR23" i="21"/>
  <c r="AQ54" i="21"/>
  <c r="AT54" i="21" s="1"/>
  <c r="AW54" i="21" s="1"/>
  <c r="E54" i="31" s="1"/>
  <c r="AR10" i="21"/>
  <c r="AS10" i="21" s="1"/>
  <c r="AV10" i="21" s="1"/>
  <c r="AY10" i="21" s="1"/>
  <c r="G10" i="31" s="1"/>
  <c r="AQ37" i="21"/>
  <c r="AT37" i="21" s="1"/>
  <c r="AW37" i="21" s="1"/>
  <c r="E37" i="31" s="1"/>
  <c r="T12" i="29"/>
  <c r="U12" i="29" s="1"/>
  <c r="AQ31" i="21"/>
  <c r="AT31" i="21" s="1"/>
  <c r="AW31" i="21" s="1"/>
  <c r="E31" i="31" s="1"/>
  <c r="AR11" i="21"/>
  <c r="AQ20" i="21"/>
  <c r="AT20" i="21" s="1"/>
  <c r="AW20" i="21" s="1"/>
  <c r="E20" i="31" s="1"/>
  <c r="AR53" i="21"/>
  <c r="AU53" i="21" s="1"/>
  <c r="AX53" i="21" s="1"/>
  <c r="F53" i="31" s="1"/>
  <c r="AQ35" i="21"/>
  <c r="AT35" i="21" s="1"/>
  <c r="AW35" i="21" s="1"/>
  <c r="E35" i="31" s="1"/>
  <c r="AQ9" i="21"/>
  <c r="AT9" i="21" s="1"/>
  <c r="AW9" i="21" s="1"/>
  <c r="E9" i="31" s="1"/>
  <c r="AR25" i="21"/>
  <c r="AU25" i="21" s="1"/>
  <c r="AX25" i="21" s="1"/>
  <c r="F25" i="31" s="1"/>
  <c r="AR44" i="21"/>
  <c r="AU44" i="21" s="1"/>
  <c r="AX44" i="21" s="1"/>
  <c r="F44" i="31" s="1"/>
  <c r="AR39" i="21"/>
  <c r="AS39" i="21" s="1"/>
  <c r="AV39" i="21" s="1"/>
  <c r="AY39" i="21" s="1"/>
  <c r="G39" i="31" s="1"/>
  <c r="AR15" i="21"/>
  <c r="AS15" i="21" s="1"/>
  <c r="AV15" i="21" s="1"/>
  <c r="AY15" i="21" s="1"/>
  <c r="G15" i="31" s="1"/>
  <c r="AR42" i="21"/>
  <c r="AT30" i="21"/>
  <c r="AW30" i="21" s="1"/>
  <c r="E30" i="31" s="1"/>
  <c r="AS30" i="21"/>
  <c r="AV30" i="21" s="1"/>
  <c r="AY30" i="21" s="1"/>
  <c r="G30" i="31" s="1"/>
  <c r="AQ48" i="21"/>
  <c r="AT48" i="21" s="1"/>
  <c r="AW48" i="21" s="1"/>
  <c r="E48" i="31" s="1"/>
  <c r="AT40" i="21"/>
  <c r="AW40" i="21" s="1"/>
  <c r="E40" i="31" s="1"/>
  <c r="AS40" i="21"/>
  <c r="AV40" i="21" s="1"/>
  <c r="AY40" i="21" s="1"/>
  <c r="G40" i="31" s="1"/>
  <c r="AU13" i="21"/>
  <c r="AX13" i="21" s="1"/>
  <c r="F13" i="31" s="1"/>
  <c r="AT49" i="21"/>
  <c r="AW49" i="21" s="1"/>
  <c r="E49" i="31" s="1"/>
  <c r="AS49" i="21"/>
  <c r="AV49" i="21" s="1"/>
  <c r="AY49" i="21" s="1"/>
  <c r="G49" i="31" s="1"/>
  <c r="AU9" i="21"/>
  <c r="AX9" i="21" s="1"/>
  <c r="F9" i="31" s="1"/>
  <c r="AU41" i="21"/>
  <c r="AX41" i="21" s="1"/>
  <c r="F41" i="31" s="1"/>
  <c r="AU36" i="21"/>
  <c r="AX36" i="21" s="1"/>
  <c r="F36" i="31" s="1"/>
  <c r="AU20" i="21"/>
  <c r="AX20" i="21" s="1"/>
  <c r="F20" i="31" s="1"/>
  <c r="AU23" i="21"/>
  <c r="AX23" i="21" s="1"/>
  <c r="F23" i="31" s="1"/>
  <c r="AU21" i="21"/>
  <c r="AX21" i="21" s="1"/>
  <c r="F21" i="31" s="1"/>
  <c r="AU28" i="21"/>
  <c r="AX28" i="21" s="1"/>
  <c r="F28" i="31" s="1"/>
  <c r="AU14" i="21"/>
  <c r="AX14" i="21" s="1"/>
  <c r="F14" i="31" s="1"/>
  <c r="AU48" i="21"/>
  <c r="AX48" i="21" s="1"/>
  <c r="F48" i="31" s="1"/>
  <c r="AU47" i="21"/>
  <c r="AX47" i="21" s="1"/>
  <c r="F47" i="31" s="1"/>
  <c r="AU4" i="21"/>
  <c r="AX4" i="21" s="1"/>
  <c r="F4" i="31" s="1"/>
  <c r="AS4" i="21"/>
  <c r="AV4" i="21" s="1"/>
  <c r="AY4" i="21" s="1"/>
  <c r="G4" i="31" s="1"/>
  <c r="AU31" i="21"/>
  <c r="AX31" i="21" s="1"/>
  <c r="F31" i="31" s="1"/>
  <c r="AU45" i="21"/>
  <c r="AX45" i="21" s="1"/>
  <c r="F45" i="31" s="1"/>
  <c r="AU43" i="21"/>
  <c r="AX43" i="21" s="1"/>
  <c r="F43" i="31" s="1"/>
  <c r="V28" i="29"/>
  <c r="M28" i="31" s="1"/>
  <c r="C33" i="31"/>
  <c r="AS13" i="21" l="1"/>
  <c r="AV13" i="21" s="1"/>
  <c r="AY13" i="21" s="1"/>
  <c r="G13" i="31" s="1"/>
  <c r="AS33" i="21"/>
  <c r="AV33" i="21" s="1"/>
  <c r="AY33" i="21" s="1"/>
  <c r="G33" i="31" s="1"/>
  <c r="AS45" i="21"/>
  <c r="AV45" i="21" s="1"/>
  <c r="AY45" i="21" s="1"/>
  <c r="G45" i="31" s="1"/>
  <c r="AS16" i="21"/>
  <c r="AV16" i="21" s="1"/>
  <c r="AY16" i="21" s="1"/>
  <c r="G16" i="31" s="1"/>
  <c r="AS32" i="21"/>
  <c r="AV32" i="21" s="1"/>
  <c r="AY32" i="21" s="1"/>
  <c r="G32" i="31" s="1"/>
  <c r="AS7" i="21"/>
  <c r="AV7" i="21" s="1"/>
  <c r="AY7" i="21" s="1"/>
  <c r="G7" i="31" s="1"/>
  <c r="AS50" i="21"/>
  <c r="AV50" i="21" s="1"/>
  <c r="AY50" i="21" s="1"/>
  <c r="G50" i="31" s="1"/>
  <c r="AS46" i="21"/>
  <c r="AV46" i="21" s="1"/>
  <c r="AY46" i="21" s="1"/>
  <c r="G46" i="31" s="1"/>
  <c r="AS23" i="21"/>
  <c r="AV23" i="21" s="1"/>
  <c r="AY23" i="21" s="1"/>
  <c r="G23" i="31" s="1"/>
  <c r="AS38" i="21"/>
  <c r="AV38" i="21" s="1"/>
  <c r="AY38" i="21" s="1"/>
  <c r="G38" i="31" s="1"/>
  <c r="AU34" i="21"/>
  <c r="AX34" i="21" s="1"/>
  <c r="F34" i="31" s="1"/>
  <c r="AU10" i="21"/>
  <c r="AX10" i="21" s="1"/>
  <c r="F10" i="31" s="1"/>
  <c r="AS22" i="21"/>
  <c r="AV22" i="21" s="1"/>
  <c r="AY22" i="21" s="1"/>
  <c r="G22" i="31" s="1"/>
  <c r="AS27" i="21"/>
  <c r="AV27" i="21" s="1"/>
  <c r="AY27" i="21" s="1"/>
  <c r="G27" i="31" s="1"/>
  <c r="AS19" i="21"/>
  <c r="AV19" i="21" s="1"/>
  <c r="AY19" i="21" s="1"/>
  <c r="G19" i="31" s="1"/>
  <c r="AU39" i="21"/>
  <c r="AX39" i="21" s="1"/>
  <c r="F39" i="31" s="1"/>
  <c r="AS20" i="21"/>
  <c r="AV20" i="21" s="1"/>
  <c r="AY20" i="21" s="1"/>
  <c r="G20" i="31" s="1"/>
  <c r="AS8" i="21"/>
  <c r="AV8" i="21" s="1"/>
  <c r="AY8" i="21" s="1"/>
  <c r="G8" i="31" s="1"/>
  <c r="AS41" i="21"/>
  <c r="AV41" i="21" s="1"/>
  <c r="AY41" i="21" s="1"/>
  <c r="G41" i="31" s="1"/>
  <c r="AU46" i="21"/>
  <c r="AX46" i="21" s="1"/>
  <c r="F46" i="31" s="1"/>
  <c r="AS24" i="21"/>
  <c r="AV24" i="21" s="1"/>
  <c r="AY24" i="21" s="1"/>
  <c r="G24" i="31" s="1"/>
  <c r="AS26" i="21"/>
  <c r="AV26" i="21" s="1"/>
  <c r="AY26" i="21" s="1"/>
  <c r="G26" i="31" s="1"/>
  <c r="AS28" i="21"/>
  <c r="AV28" i="21" s="1"/>
  <c r="O28" i="31" s="1"/>
  <c r="P28" i="31" s="1"/>
  <c r="AU26" i="21"/>
  <c r="AX26" i="21" s="1"/>
  <c r="F26" i="31" s="1"/>
  <c r="AU15" i="21"/>
  <c r="AX15" i="21" s="1"/>
  <c r="F15" i="31" s="1"/>
  <c r="AS47" i="21"/>
  <c r="AV47" i="21" s="1"/>
  <c r="AY47" i="21" s="1"/>
  <c r="G47" i="31" s="1"/>
  <c r="AS43" i="21"/>
  <c r="AV43" i="21" s="1"/>
  <c r="AY43" i="21" s="1"/>
  <c r="G43" i="31" s="1"/>
  <c r="AS25" i="21"/>
  <c r="AV25" i="21" s="1"/>
  <c r="AY25" i="21" s="1"/>
  <c r="G25" i="31" s="1"/>
  <c r="AU6" i="21"/>
  <c r="AX6" i="21" s="1"/>
  <c r="F6" i="31" s="1"/>
  <c r="AU51" i="21"/>
  <c r="AX51" i="21" s="1"/>
  <c r="F51" i="31" s="1"/>
  <c r="AS36" i="21"/>
  <c r="AV36" i="21" s="1"/>
  <c r="AY36" i="21" s="1"/>
  <c r="G36" i="31" s="1"/>
  <c r="AS12" i="21"/>
  <c r="AV12" i="21" s="1"/>
  <c r="AY12" i="21" s="1"/>
  <c r="G12" i="31" s="1"/>
  <c r="AS14" i="21"/>
  <c r="AV14" i="21" s="1"/>
  <c r="AY14" i="21" s="1"/>
  <c r="G14" i="31" s="1"/>
  <c r="AS5" i="21"/>
  <c r="AV5" i="21" s="1"/>
  <c r="AY5" i="21" s="1"/>
  <c r="G5" i="31" s="1"/>
  <c r="AU33" i="21"/>
  <c r="AX33" i="21" s="1"/>
  <c r="F33" i="31" s="1"/>
  <c r="AS21" i="21"/>
  <c r="AV21" i="21" s="1"/>
  <c r="AY21" i="21" s="1"/>
  <c r="G21" i="31" s="1"/>
  <c r="AS29" i="21"/>
  <c r="AV29" i="21" s="1"/>
  <c r="AY29" i="21" s="1"/>
  <c r="G29" i="31" s="1"/>
  <c r="AS17" i="21"/>
  <c r="AV17" i="21" s="1"/>
  <c r="AY17" i="21" s="1"/>
  <c r="G17" i="31" s="1"/>
  <c r="AS55" i="21"/>
  <c r="AV55" i="21" s="1"/>
  <c r="AY55" i="21" s="1"/>
  <c r="G55" i="31" s="1"/>
  <c r="AS31" i="21"/>
  <c r="AV31" i="21" s="1"/>
  <c r="AY31" i="21" s="1"/>
  <c r="G31" i="31" s="1"/>
  <c r="AS48" i="21"/>
  <c r="AV48" i="21" s="1"/>
  <c r="AY48" i="21" s="1"/>
  <c r="G48" i="31" s="1"/>
  <c r="AS37" i="21"/>
  <c r="AV37" i="21" s="1"/>
  <c r="AY37" i="21" s="1"/>
  <c r="G37" i="31" s="1"/>
  <c r="AS9" i="21"/>
  <c r="AV9" i="21" s="1"/>
  <c r="AY9" i="21" s="1"/>
  <c r="G9" i="31" s="1"/>
  <c r="AS52" i="21"/>
  <c r="AV52" i="21" s="1"/>
  <c r="AY52" i="21" s="1"/>
  <c r="G52" i="31" s="1"/>
  <c r="AS18" i="21"/>
  <c r="AV18" i="21" s="1"/>
  <c r="AY18" i="21" s="1"/>
  <c r="G18" i="31" s="1"/>
  <c r="V12" i="29"/>
  <c r="M12" i="31" s="1"/>
  <c r="AS54" i="21"/>
  <c r="AV54" i="21" s="1"/>
  <c r="AY54" i="21" s="1"/>
  <c r="G54" i="31" s="1"/>
  <c r="AS44" i="21"/>
  <c r="AV44" i="21" s="1"/>
  <c r="AY44" i="21" s="1"/>
  <c r="G44" i="31" s="1"/>
  <c r="AU11" i="21"/>
  <c r="AX11" i="21" s="1"/>
  <c r="F11" i="31" s="1"/>
  <c r="AS11" i="21"/>
  <c r="AV11" i="21" s="1"/>
  <c r="AY11" i="21" s="1"/>
  <c r="G11" i="31" s="1"/>
  <c r="AS53" i="21"/>
  <c r="AV53" i="21" s="1"/>
  <c r="AY53" i="21" s="1"/>
  <c r="G53" i="31" s="1"/>
  <c r="AS35" i="21"/>
  <c r="AV35" i="21" s="1"/>
  <c r="AY35" i="21" s="1"/>
  <c r="G35" i="31" s="1"/>
  <c r="AS42" i="21"/>
  <c r="AV42" i="21" s="1"/>
  <c r="AY42" i="21" s="1"/>
  <c r="G42" i="31" s="1"/>
  <c r="AU42" i="21"/>
  <c r="AX42" i="21" s="1"/>
  <c r="F42" i="31" s="1"/>
  <c r="AY28" i="21"/>
  <c r="G28" i="31" s="1"/>
  <c r="O12" i="31" l="1"/>
  <c r="P12" i="31" s="1"/>
  <c r="B33" i="31"/>
  <c r="C32" i="31"/>
  <c r="B32" i="31"/>
  <c r="C31" i="31"/>
  <c r="B31" i="31"/>
  <c r="C30" i="31"/>
  <c r="B30" i="31"/>
  <c r="M33" i="29"/>
  <c r="L33" i="29"/>
  <c r="D33" i="29"/>
  <c r="C33" i="29"/>
  <c r="M32" i="29"/>
  <c r="L32" i="29"/>
  <c r="D32" i="29"/>
  <c r="C32" i="29"/>
  <c r="M31" i="29"/>
  <c r="L31" i="29"/>
  <c r="D31" i="29"/>
  <c r="C31" i="29"/>
  <c r="M30" i="29"/>
  <c r="L30" i="29"/>
  <c r="D30" i="29"/>
  <c r="C30" i="29"/>
  <c r="V33" i="22"/>
  <c r="U33" i="22"/>
  <c r="T33" i="22"/>
  <c r="S33" i="22"/>
  <c r="R33" i="22"/>
  <c r="Q33" i="22"/>
  <c r="D33" i="22"/>
  <c r="C33" i="22"/>
  <c r="V32" i="22"/>
  <c r="U32" i="22"/>
  <c r="T32" i="22"/>
  <c r="S32" i="22"/>
  <c r="R32" i="22"/>
  <c r="Q32" i="22"/>
  <c r="D32" i="22"/>
  <c r="C32" i="22"/>
  <c r="V31" i="22"/>
  <c r="U31" i="22"/>
  <c r="T31" i="22"/>
  <c r="S31" i="22"/>
  <c r="R31" i="22"/>
  <c r="Q31" i="22"/>
  <c r="D31" i="22"/>
  <c r="C31" i="22"/>
  <c r="V30" i="22"/>
  <c r="U30" i="22"/>
  <c r="T30" i="22"/>
  <c r="S30" i="22"/>
  <c r="R30" i="22"/>
  <c r="Q30" i="22"/>
  <c r="D30" i="22"/>
  <c r="C30" i="22"/>
  <c r="D33" i="21"/>
  <c r="C33" i="21"/>
  <c r="D32" i="21"/>
  <c r="C32" i="21"/>
  <c r="D31" i="21"/>
  <c r="C31" i="21"/>
  <c r="D30" i="21"/>
  <c r="C30" i="21"/>
  <c r="G33" i="24"/>
  <c r="H33" i="24" s="1"/>
  <c r="I33" i="24" s="1"/>
  <c r="J33" i="24" s="1"/>
  <c r="N33" i="31" s="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G30" i="24"/>
  <c r="H30" i="24" s="1"/>
  <c r="I30" i="24" s="1"/>
  <c r="J30" i="24" s="1"/>
  <c r="N30" i="31" s="1"/>
  <c r="X31" i="22" l="1"/>
  <c r="AA31" i="22" s="1"/>
  <c r="AD31" i="22" s="1"/>
  <c r="I31" i="31" s="1"/>
  <c r="N31" i="29"/>
  <c r="O31" i="29" s="1"/>
  <c r="P31" i="29" s="1"/>
  <c r="K31" i="31" s="1"/>
  <c r="X33" i="22"/>
  <c r="AA33" i="22" s="1"/>
  <c r="AD33" i="22" s="1"/>
  <c r="I33" i="31" s="1"/>
  <c r="X32" i="22"/>
  <c r="AA32" i="22" s="1"/>
  <c r="AD32" i="22" s="1"/>
  <c r="I32" i="31" s="1"/>
  <c r="X30" i="22"/>
  <c r="AA30" i="22" s="1"/>
  <c r="AD30" i="22" s="1"/>
  <c r="I30" i="31" s="1"/>
  <c r="N30" i="29"/>
  <c r="O30" i="29" s="1"/>
  <c r="P30" i="29" s="1"/>
  <c r="K30" i="31" s="1"/>
  <c r="N32" i="29"/>
  <c r="O32" i="29" s="1"/>
  <c r="P32" i="29" s="1"/>
  <c r="K32" i="31" s="1"/>
  <c r="N33" i="29"/>
  <c r="O33" i="29" s="1"/>
  <c r="P33" i="29" s="1"/>
  <c r="K33" i="31" s="1"/>
  <c r="W32" i="22"/>
  <c r="Z32" i="22" s="1"/>
  <c r="AC32" i="22" s="1"/>
  <c r="H32" i="31" s="1"/>
  <c r="W33" i="22"/>
  <c r="W30" i="22"/>
  <c r="W31" i="22"/>
  <c r="Z31" i="22" s="1"/>
  <c r="AC31" i="22" s="1"/>
  <c r="H31" i="31" s="1"/>
  <c r="Y30" i="22" l="1"/>
  <c r="AB30" i="22" s="1"/>
  <c r="AE30" i="22" s="1"/>
  <c r="J30" i="31" s="1"/>
  <c r="Y33" i="22"/>
  <c r="AB33" i="22" s="1"/>
  <c r="AE33" i="22" s="1"/>
  <c r="J33" i="31" s="1"/>
  <c r="Y32" i="22"/>
  <c r="AB32" i="22" s="1"/>
  <c r="AE32" i="22" s="1"/>
  <c r="J32" i="31" s="1"/>
  <c r="Q33" i="29"/>
  <c r="R33" i="29" s="1"/>
  <c r="S33" i="29" s="1"/>
  <c r="L33" i="31" s="1"/>
  <c r="T33" i="29"/>
  <c r="U33" i="29" s="1"/>
  <c r="Y31" i="22"/>
  <c r="AB31" i="22" s="1"/>
  <c r="AE31" i="22" s="1"/>
  <c r="J31" i="31" s="1"/>
  <c r="Z33" i="22"/>
  <c r="AC33" i="22" s="1"/>
  <c r="H33" i="31" s="1"/>
  <c r="Q32" i="29"/>
  <c r="R32" i="29" s="1"/>
  <c r="S32" i="29" s="1"/>
  <c r="L32" i="31" s="1"/>
  <c r="Q30" i="29"/>
  <c r="R30" i="29" s="1"/>
  <c r="S30" i="29" s="1"/>
  <c r="L30" i="31" s="1"/>
  <c r="T32" i="29"/>
  <c r="U32" i="29" s="1"/>
  <c r="T31" i="29"/>
  <c r="U31" i="29" s="1"/>
  <c r="Q31" i="29"/>
  <c r="R31" i="29" s="1"/>
  <c r="S31" i="29" s="1"/>
  <c r="L31" i="31" s="1"/>
  <c r="T30" i="29"/>
  <c r="U30" i="29" s="1"/>
  <c r="Z30" i="22"/>
  <c r="AC30" i="22" s="1"/>
  <c r="H30" i="31" s="1"/>
  <c r="V33" i="29" l="1"/>
  <c r="M33" i="31" s="1"/>
  <c r="O33" i="31"/>
  <c r="P33" i="31" s="1"/>
  <c r="V31" i="29"/>
  <c r="M31" i="31" s="1"/>
  <c r="O31" i="31"/>
  <c r="P31" i="31" s="1"/>
  <c r="V30" i="29"/>
  <c r="M30" i="31" s="1"/>
  <c r="O30" i="31"/>
  <c r="P30" i="31" s="1"/>
  <c r="V32" i="29"/>
  <c r="M32" i="31" s="1"/>
  <c r="O32" i="31"/>
  <c r="P32" i="31" s="1"/>
  <c r="C6" i="31"/>
  <c r="B6" i="31"/>
  <c r="M6" i="29"/>
  <c r="L6" i="29"/>
  <c r="N6" i="29" s="1"/>
  <c r="D6" i="29"/>
  <c r="C6" i="29"/>
  <c r="V6" i="22"/>
  <c r="U6" i="22"/>
  <c r="X6" i="22" s="1"/>
  <c r="AA6" i="22" s="1"/>
  <c r="AD6" i="22" s="1"/>
  <c r="I6" i="31" s="1"/>
  <c r="T6" i="22"/>
  <c r="S6" i="22"/>
  <c r="R6" i="22"/>
  <c r="Q6" i="22"/>
  <c r="D6" i="22"/>
  <c r="C6" i="22"/>
  <c r="D6" i="21"/>
  <c r="C6" i="21"/>
  <c r="G6" i="24"/>
  <c r="H6" i="24" s="1"/>
  <c r="I6" i="24" s="1"/>
  <c r="J6" i="24" s="1"/>
  <c r="N6" i="31" s="1"/>
  <c r="W6" i="22" l="1"/>
  <c r="T6" i="29" s="1"/>
  <c r="U6" i="29" s="1"/>
  <c r="O6" i="31" s="1"/>
  <c r="P6" i="31" s="1"/>
  <c r="O6" i="29"/>
  <c r="P6" i="29" s="1"/>
  <c r="K6" i="31" s="1"/>
  <c r="Z6" i="22" l="1"/>
  <c r="AC6" i="22" s="1"/>
  <c r="H6" i="31" s="1"/>
  <c r="Q6" i="29"/>
  <c r="R6" i="29" s="1"/>
  <c r="S6" i="29" s="1"/>
  <c r="L6" i="31" s="1"/>
  <c r="Y6" i="22"/>
  <c r="AB6" i="22" s="1"/>
  <c r="AE6" i="22" s="1"/>
  <c r="J6" i="31" s="1"/>
  <c r="V6" i="29"/>
  <c r="M6" i="31" s="1"/>
  <c r="C23" i="31"/>
  <c r="B23" i="31"/>
  <c r="C22" i="31"/>
  <c r="B22" i="31"/>
  <c r="M23" i="29"/>
  <c r="L23" i="29"/>
  <c r="D23" i="29"/>
  <c r="C23" i="29"/>
  <c r="M22" i="29"/>
  <c r="L22" i="29"/>
  <c r="D22" i="29"/>
  <c r="C22" i="29"/>
  <c r="V23" i="22"/>
  <c r="U23" i="22"/>
  <c r="T23" i="22"/>
  <c r="S23" i="22"/>
  <c r="R23" i="22"/>
  <c r="Q23" i="22"/>
  <c r="D23" i="22"/>
  <c r="C23" i="22"/>
  <c r="V22" i="22"/>
  <c r="U22" i="22"/>
  <c r="T22" i="22"/>
  <c r="S22" i="22"/>
  <c r="R22" i="22"/>
  <c r="Q22" i="22"/>
  <c r="D22" i="22"/>
  <c r="C22" i="22"/>
  <c r="D23" i="21"/>
  <c r="C23" i="21"/>
  <c r="D22" i="21"/>
  <c r="C22" i="21"/>
  <c r="G23" i="24"/>
  <c r="H23" i="24" s="1"/>
  <c r="I23" i="24" s="1"/>
  <c r="J23" i="24" s="1"/>
  <c r="N23" i="31" s="1"/>
  <c r="G22" i="24"/>
  <c r="H22" i="24" s="1"/>
  <c r="I22" i="24" s="1"/>
  <c r="J22" i="24" s="1"/>
  <c r="N22" i="31" s="1"/>
  <c r="X23" i="22" l="1"/>
  <c r="AA23" i="22" s="1"/>
  <c r="AD23" i="22" s="1"/>
  <c r="I23" i="31" s="1"/>
  <c r="N23" i="29"/>
  <c r="O23" i="29" s="1"/>
  <c r="P23" i="29" s="1"/>
  <c r="K23" i="31" s="1"/>
  <c r="N22" i="29"/>
  <c r="O22" i="29" s="1"/>
  <c r="P22" i="29" s="1"/>
  <c r="K22" i="31" s="1"/>
  <c r="X22" i="22"/>
  <c r="AA22" i="22" s="1"/>
  <c r="AD22" i="22" s="1"/>
  <c r="I22" i="31" s="1"/>
  <c r="W23" i="22"/>
  <c r="W22" i="22"/>
  <c r="Q23" i="29" l="1"/>
  <c r="R23" i="29" s="1"/>
  <c r="S23" i="29" s="1"/>
  <c r="L23" i="31" s="1"/>
  <c r="Q22" i="29"/>
  <c r="R22" i="29" s="1"/>
  <c r="S22" i="29" s="1"/>
  <c r="L22" i="31" s="1"/>
  <c r="T22" i="29"/>
  <c r="U22" i="29" s="1"/>
  <c r="Y22" i="22"/>
  <c r="AB22" i="22" s="1"/>
  <c r="AE22" i="22" s="1"/>
  <c r="J22" i="31" s="1"/>
  <c r="T23" i="29"/>
  <c r="U23" i="29" s="1"/>
  <c r="O23" i="31" s="1"/>
  <c r="P23" i="31" s="1"/>
  <c r="Z23" i="22"/>
  <c r="AC23" i="22" s="1"/>
  <c r="H23" i="31" s="1"/>
  <c r="Y23" i="22"/>
  <c r="AB23" i="22" s="1"/>
  <c r="AE23" i="22" s="1"/>
  <c r="J23" i="31" s="1"/>
  <c r="Z22" i="22"/>
  <c r="AC22" i="22" s="1"/>
  <c r="H22" i="31" s="1"/>
  <c r="C19" i="31"/>
  <c r="B19" i="31"/>
  <c r="C18" i="31"/>
  <c r="B18" i="31"/>
  <c r="C17" i="31"/>
  <c r="B17" i="31"/>
  <c r="C16" i="31"/>
  <c r="B16" i="31"/>
  <c r="M19" i="29"/>
  <c r="L19" i="29"/>
  <c r="D19" i="29"/>
  <c r="C19" i="29"/>
  <c r="M18" i="29"/>
  <c r="L18" i="29"/>
  <c r="D18" i="29"/>
  <c r="C18" i="29"/>
  <c r="M17" i="29"/>
  <c r="L17" i="29"/>
  <c r="D17" i="29"/>
  <c r="C17" i="29"/>
  <c r="M16" i="29"/>
  <c r="L16" i="29"/>
  <c r="D16" i="29"/>
  <c r="C16" i="29"/>
  <c r="V19" i="22"/>
  <c r="U19" i="22"/>
  <c r="T19" i="22"/>
  <c r="S19" i="22"/>
  <c r="R19" i="22"/>
  <c r="Q19" i="22"/>
  <c r="D19" i="22"/>
  <c r="C19" i="22"/>
  <c r="V18" i="22"/>
  <c r="U18" i="22"/>
  <c r="T18" i="22"/>
  <c r="S18" i="22"/>
  <c r="R18" i="22"/>
  <c r="Q18" i="22"/>
  <c r="D18" i="22"/>
  <c r="C18" i="22"/>
  <c r="V17" i="22"/>
  <c r="U17" i="22"/>
  <c r="T17" i="22"/>
  <c r="S17" i="22"/>
  <c r="R17" i="22"/>
  <c r="Q17" i="22"/>
  <c r="D17" i="22"/>
  <c r="C17" i="22"/>
  <c r="V16" i="22"/>
  <c r="U16" i="22"/>
  <c r="T16" i="22"/>
  <c r="S16" i="22"/>
  <c r="R16" i="22"/>
  <c r="Q16" i="22"/>
  <c r="D16" i="22"/>
  <c r="C16" i="22"/>
  <c r="D19" i="21"/>
  <c r="C19" i="21"/>
  <c r="D18" i="21"/>
  <c r="C18" i="21"/>
  <c r="D17" i="21"/>
  <c r="C17" i="21"/>
  <c r="D16" i="21"/>
  <c r="C16" i="21"/>
  <c r="G19" i="24"/>
  <c r="H19" i="24" s="1"/>
  <c r="I19" i="24" s="1"/>
  <c r="J19" i="24" s="1"/>
  <c r="N19" i="31" s="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C45" i="31"/>
  <c r="B45" i="31"/>
  <c r="M45" i="29"/>
  <c r="L45" i="29"/>
  <c r="D45" i="29"/>
  <c r="C45" i="29"/>
  <c r="V45" i="22"/>
  <c r="U45" i="22"/>
  <c r="T45" i="22"/>
  <c r="S45" i="22"/>
  <c r="R45" i="22"/>
  <c r="Q45" i="22"/>
  <c r="D45" i="22"/>
  <c r="C45" i="22"/>
  <c r="D45" i="21"/>
  <c r="C45" i="21"/>
  <c r="G45" i="24"/>
  <c r="H45" i="24" s="1"/>
  <c r="I45" i="24" s="1"/>
  <c r="J45" i="24" s="1"/>
  <c r="N45" i="31" s="1"/>
  <c r="V22" i="29" l="1"/>
  <c r="M22" i="31" s="1"/>
  <c r="O22" i="31"/>
  <c r="P22" i="31" s="1"/>
  <c r="X19" i="22"/>
  <c r="AA19" i="22" s="1"/>
  <c r="AD19" i="22" s="1"/>
  <c r="I19" i="31" s="1"/>
  <c r="V23" i="29"/>
  <c r="M23" i="31" s="1"/>
  <c r="X45" i="22"/>
  <c r="AA45" i="22" s="1"/>
  <c r="AD45" i="22" s="1"/>
  <c r="I45" i="31" s="1"/>
  <c r="N45" i="29"/>
  <c r="O45" i="29" s="1"/>
  <c r="P45" i="29" s="1"/>
  <c r="K45" i="31" s="1"/>
  <c r="X16" i="22"/>
  <c r="AA16" i="22" s="1"/>
  <c r="AD16" i="22" s="1"/>
  <c r="I16" i="31" s="1"/>
  <c r="X17" i="22"/>
  <c r="AA17" i="22" s="1"/>
  <c r="AD17" i="22" s="1"/>
  <c r="I17" i="31" s="1"/>
  <c r="N16" i="29"/>
  <c r="O16" i="29" s="1"/>
  <c r="P16" i="29" s="1"/>
  <c r="K16" i="31" s="1"/>
  <c r="N19" i="29"/>
  <c r="O19" i="29" s="1"/>
  <c r="P19" i="29" s="1"/>
  <c r="K19" i="31" s="1"/>
  <c r="N17" i="29"/>
  <c r="O17" i="29" s="1"/>
  <c r="P17" i="29" s="1"/>
  <c r="K17" i="31" s="1"/>
  <c r="W45" i="22"/>
  <c r="X18" i="22"/>
  <c r="AA18" i="22" s="1"/>
  <c r="AD18" i="22" s="1"/>
  <c r="I18" i="31" s="1"/>
  <c r="W18" i="22"/>
  <c r="Z18" i="22" s="1"/>
  <c r="AC18" i="22" s="1"/>
  <c r="H18" i="31" s="1"/>
  <c r="W19" i="22"/>
  <c r="W17" i="22"/>
  <c r="W16" i="22"/>
  <c r="N18" i="29"/>
  <c r="Q18" i="29" l="1"/>
  <c r="R18" i="29" s="1"/>
  <c r="S18" i="29" s="1"/>
  <c r="L18" i="31" s="1"/>
  <c r="Q16" i="29"/>
  <c r="R16" i="29" s="1"/>
  <c r="S16" i="29" s="1"/>
  <c r="L16" i="31" s="1"/>
  <c r="Q19" i="29"/>
  <c r="R19" i="29" s="1"/>
  <c r="S19" i="29" s="1"/>
  <c r="L19" i="31" s="1"/>
  <c r="O18" i="29"/>
  <c r="P18" i="29" s="1"/>
  <c r="K18" i="31" s="1"/>
  <c r="Q45" i="29"/>
  <c r="R45" i="29" s="1"/>
  <c r="S45" i="29" s="1"/>
  <c r="L45" i="31" s="1"/>
  <c r="Y19" i="22"/>
  <c r="AB19" i="22" s="1"/>
  <c r="AE19" i="22" s="1"/>
  <c r="J19" i="31" s="1"/>
  <c r="Z45" i="22"/>
  <c r="AC45" i="22" s="1"/>
  <c r="H45" i="31" s="1"/>
  <c r="T19" i="29"/>
  <c r="U19" i="29" s="1"/>
  <c r="Q17" i="29"/>
  <c r="R17" i="29" s="1"/>
  <c r="S17" i="29" s="1"/>
  <c r="L17" i="31" s="1"/>
  <c r="T18" i="29"/>
  <c r="U18" i="29" s="1"/>
  <c r="Y18" i="22"/>
  <c r="AB18" i="22" s="1"/>
  <c r="AE18" i="22" s="1"/>
  <c r="J18" i="31" s="1"/>
  <c r="T45" i="29"/>
  <c r="U45" i="29" s="1"/>
  <c r="Y45" i="22"/>
  <c r="AB45" i="22" s="1"/>
  <c r="AE45" i="22" s="1"/>
  <c r="J45" i="31" s="1"/>
  <c r="Z19" i="22"/>
  <c r="AC19" i="22" s="1"/>
  <c r="H19" i="31" s="1"/>
  <c r="T17" i="29"/>
  <c r="U17" i="29" s="1"/>
  <c r="Z17" i="22"/>
  <c r="AC17" i="22" s="1"/>
  <c r="H17" i="31" s="1"/>
  <c r="Y17" i="22"/>
  <c r="AB17" i="22" s="1"/>
  <c r="AE17" i="22" s="1"/>
  <c r="J17" i="31" s="1"/>
  <c r="Y16" i="22"/>
  <c r="AB16" i="22" s="1"/>
  <c r="AE16" i="22" s="1"/>
  <c r="J16" i="31" s="1"/>
  <c r="T16" i="29"/>
  <c r="U16" i="29" s="1"/>
  <c r="Z16" i="22"/>
  <c r="AC16" i="22" s="1"/>
  <c r="H16" i="31" s="1"/>
  <c r="V17" i="29" l="1"/>
  <c r="M17" i="31" s="1"/>
  <c r="O17" i="31"/>
  <c r="P17" i="31" s="1"/>
  <c r="V45" i="29"/>
  <c r="M45" i="31" s="1"/>
  <c r="O45" i="31"/>
  <c r="P45" i="31" s="1"/>
  <c r="V16" i="29"/>
  <c r="M16" i="31" s="1"/>
  <c r="O16" i="31"/>
  <c r="P16" i="31" s="1"/>
  <c r="V18" i="29"/>
  <c r="M18" i="31" s="1"/>
  <c r="O18" i="31"/>
  <c r="P18" i="31" s="1"/>
  <c r="V19" i="29"/>
  <c r="M19" i="31" s="1"/>
  <c r="O19" i="31"/>
  <c r="P19" i="31" s="1"/>
  <c r="C44" i="31"/>
  <c r="B44" i="31"/>
  <c r="M44" i="29"/>
  <c r="L44" i="29"/>
  <c r="D44" i="29"/>
  <c r="C44" i="29"/>
  <c r="V44" i="22"/>
  <c r="U44" i="22"/>
  <c r="T44" i="22"/>
  <c r="S44" i="22"/>
  <c r="R44" i="22"/>
  <c r="Q44" i="22"/>
  <c r="D44" i="22"/>
  <c r="C44" i="22"/>
  <c r="D44" i="21"/>
  <c r="C44" i="21"/>
  <c r="G44" i="24"/>
  <c r="H44" i="24" s="1"/>
  <c r="I44" i="24" s="1"/>
  <c r="J44" i="24" s="1"/>
  <c r="N44" i="31" s="1"/>
  <c r="X44" i="22" l="1"/>
  <c r="AA44" i="22" s="1"/>
  <c r="AD44" i="22" s="1"/>
  <c r="I44" i="31" s="1"/>
  <c r="W44" i="22"/>
  <c r="N44" i="29"/>
  <c r="O44" i="29" s="1"/>
  <c r="P44" i="29" s="1"/>
  <c r="K44" i="31" s="1"/>
  <c r="Y44" i="22" l="1"/>
  <c r="AB44" i="22" s="1"/>
  <c r="AE44" i="22" s="1"/>
  <c r="J44" i="31" s="1"/>
  <c r="Q44" i="29"/>
  <c r="R44" i="29" s="1"/>
  <c r="S44" i="29" s="1"/>
  <c r="L44" i="31" s="1"/>
  <c r="T44" i="29"/>
  <c r="U44" i="29" s="1"/>
  <c r="Z44" i="22"/>
  <c r="AC44" i="22" s="1"/>
  <c r="H44" i="31" s="1"/>
  <c r="V44" i="29" l="1"/>
  <c r="M44" i="31" s="1"/>
  <c r="O44" i="31"/>
  <c r="P44" i="31" s="1"/>
  <c r="V35" i="22"/>
  <c r="D47" i="29" l="1"/>
  <c r="C4" i="31" l="1"/>
  <c r="B4" i="31"/>
  <c r="M4" i="29"/>
  <c r="L4" i="29"/>
  <c r="D4" i="29"/>
  <c r="C4" i="29"/>
  <c r="V4" i="22"/>
  <c r="U4" i="22"/>
  <c r="T4" i="22"/>
  <c r="S4" i="22"/>
  <c r="R4" i="22"/>
  <c r="Q4" i="22"/>
  <c r="D4" i="22"/>
  <c r="C4" i="22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X4" i="22"/>
  <c r="AA4" i="22" s="1"/>
  <c r="AD4" i="22" s="1"/>
  <c r="I4" i="31" s="1"/>
  <c r="N4" i="29"/>
  <c r="D35" i="22"/>
  <c r="Q4" i="29" l="1"/>
  <c r="R4" i="29" s="1"/>
  <c r="S4" i="29" s="1"/>
  <c r="L4" i="31" s="1"/>
  <c r="Y4" i="22"/>
  <c r="AB4" i="22" s="1"/>
  <c r="AE4" i="22" s="1"/>
  <c r="J4" i="31" s="1"/>
  <c r="O4" i="29"/>
  <c r="P4" i="29" s="1"/>
  <c r="K4" i="31" s="1"/>
  <c r="T4" i="29"/>
  <c r="U4" i="29" s="1"/>
  <c r="V4" i="29" l="1"/>
  <c r="M4" i="31" s="1"/>
  <c r="O4" i="31"/>
  <c r="P4" i="31" s="1"/>
  <c r="C42" i="31"/>
  <c r="B42" i="31"/>
  <c r="M42" i="29"/>
  <c r="L42" i="29"/>
  <c r="D42" i="29"/>
  <c r="C42" i="29"/>
  <c r="V42" i="22"/>
  <c r="U42" i="22"/>
  <c r="T42" i="22"/>
  <c r="S42" i="22"/>
  <c r="R42" i="22"/>
  <c r="Q42" i="22"/>
  <c r="D42" i="22"/>
  <c r="C42" i="22"/>
  <c r="D42" i="21"/>
  <c r="C42" i="21"/>
  <c r="G42" i="24"/>
  <c r="H42" i="24" s="1"/>
  <c r="I42" i="24" s="1"/>
  <c r="J42" i="24" s="1"/>
  <c r="N42" i="31" s="1"/>
  <c r="B55" i="31"/>
  <c r="X42" i="22" l="1"/>
  <c r="AA42" i="22" s="1"/>
  <c r="AD42" i="22" s="1"/>
  <c r="I42" i="31" s="1"/>
  <c r="N42" i="29"/>
  <c r="O42" i="29" s="1"/>
  <c r="P42" i="29" s="1"/>
  <c r="K42" i="31" s="1"/>
  <c r="W42" i="22"/>
  <c r="C11" i="31"/>
  <c r="B11" i="31"/>
  <c r="M11" i="29"/>
  <c r="L11" i="29"/>
  <c r="D11" i="29"/>
  <c r="C11" i="29"/>
  <c r="V11" i="22"/>
  <c r="U11" i="22"/>
  <c r="T11" i="22"/>
  <c r="S11" i="22"/>
  <c r="R11" i="22"/>
  <c r="Q11" i="22"/>
  <c r="D11" i="22"/>
  <c r="C11" i="22"/>
  <c r="D11" i="21"/>
  <c r="C11" i="21"/>
  <c r="G11" i="24"/>
  <c r="H11" i="24" s="1"/>
  <c r="I11" i="24" s="1"/>
  <c r="J11" i="24" s="1"/>
  <c r="N11" i="31" s="1"/>
  <c r="Q42" i="29" l="1"/>
  <c r="R42" i="29" s="1"/>
  <c r="S42" i="29" s="1"/>
  <c r="L42" i="31" s="1"/>
  <c r="T42" i="29"/>
  <c r="U42" i="29" s="1"/>
  <c r="N11" i="29"/>
  <c r="O11" i="29" s="1"/>
  <c r="P11" i="29" s="1"/>
  <c r="K11" i="31" s="1"/>
  <c r="Z42" i="22"/>
  <c r="AC42" i="22" s="1"/>
  <c r="H42" i="31" s="1"/>
  <c r="Y42" i="22"/>
  <c r="AB42" i="22" s="1"/>
  <c r="AE42" i="22" s="1"/>
  <c r="J42" i="31" s="1"/>
  <c r="X11" i="22"/>
  <c r="AA11" i="22" s="1"/>
  <c r="AD11" i="22" s="1"/>
  <c r="I11" i="31" s="1"/>
  <c r="W11" i="22"/>
  <c r="Z11" i="22" s="1"/>
  <c r="AC11" i="22" s="1"/>
  <c r="H11" i="31" s="1"/>
  <c r="V42" i="29" l="1"/>
  <c r="M42" i="31" s="1"/>
  <c r="O42" i="31"/>
  <c r="P42" i="31" s="1"/>
  <c r="T11" i="29"/>
  <c r="U11" i="29" s="1"/>
  <c r="Y11" i="22"/>
  <c r="AB11" i="22" s="1"/>
  <c r="AE11" i="22" s="1"/>
  <c r="J11" i="31" s="1"/>
  <c r="Q11" i="29"/>
  <c r="R11" i="29" s="1"/>
  <c r="S11" i="29" s="1"/>
  <c r="L11" i="31" s="1"/>
  <c r="C3" i="21"/>
  <c r="C5" i="21"/>
  <c r="C7" i="21"/>
  <c r="C8" i="21"/>
  <c r="C9" i="21"/>
  <c r="C10" i="21"/>
  <c r="C13" i="21"/>
  <c r="C14" i="21"/>
  <c r="C15" i="21"/>
  <c r="C20" i="21"/>
  <c r="C21" i="21"/>
  <c r="C24" i="21"/>
  <c r="C25" i="21"/>
  <c r="C26" i="21"/>
  <c r="C27" i="21"/>
  <c r="C29" i="21"/>
  <c r="C34" i="21"/>
  <c r="C35" i="21"/>
  <c r="C36" i="21"/>
  <c r="C37" i="21"/>
  <c r="C38" i="21"/>
  <c r="C39" i="21"/>
  <c r="C40" i="21"/>
  <c r="C41" i="21"/>
  <c r="C43" i="21"/>
  <c r="C46" i="21"/>
  <c r="C47" i="21"/>
  <c r="C48" i="21"/>
  <c r="C49" i="21"/>
  <c r="C50" i="21"/>
  <c r="C51" i="21"/>
  <c r="C52" i="21"/>
  <c r="C53" i="21"/>
  <c r="C54" i="21"/>
  <c r="C55" i="21"/>
  <c r="V11" i="29" l="1"/>
  <c r="M11" i="31" s="1"/>
  <c r="O11" i="31"/>
  <c r="P11" i="31" s="1"/>
  <c r="Q5" i="22" l="1"/>
  <c r="R5" i="22"/>
  <c r="S5" i="22"/>
  <c r="C5" i="31"/>
  <c r="B5" i="31"/>
  <c r="M5" i="29"/>
  <c r="L5" i="29"/>
  <c r="D5" i="29"/>
  <c r="C5" i="29"/>
  <c r="V5" i="22"/>
  <c r="U5" i="22"/>
  <c r="T5" i="22"/>
  <c r="D5" i="22"/>
  <c r="C5" i="22"/>
  <c r="C7" i="22"/>
  <c r="D7" i="22"/>
  <c r="Q7" i="22"/>
  <c r="R7" i="22"/>
  <c r="S7" i="22"/>
  <c r="T7" i="22"/>
  <c r="U7" i="22"/>
  <c r="V7" i="22"/>
  <c r="D5" i="21"/>
  <c r="G5" i="24"/>
  <c r="H5" i="24" s="1"/>
  <c r="I5" i="24" s="1"/>
  <c r="J5" i="24" s="1"/>
  <c r="N5" i="31" s="1"/>
  <c r="W5" i="22" l="1"/>
  <c r="Z5" i="22" s="1"/>
  <c r="AC5" i="22" s="1"/>
  <c r="H5" i="31" s="1"/>
  <c r="N5" i="29"/>
  <c r="X5" i="22"/>
  <c r="X7" i="22"/>
  <c r="AA7" i="22" s="1"/>
  <c r="AD7" i="22" s="1"/>
  <c r="I7" i="31" s="1"/>
  <c r="W7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C55" i="31"/>
  <c r="M55" i="29"/>
  <c r="L55" i="29"/>
  <c r="D55" i="29"/>
  <c r="C55" i="29"/>
  <c r="V55" i="22"/>
  <c r="U55" i="22"/>
  <c r="T55" i="22"/>
  <c r="S55" i="22"/>
  <c r="R55" i="22"/>
  <c r="Q55" i="22"/>
  <c r="D55" i="22"/>
  <c r="C55" i="22"/>
  <c r="D55" i="21"/>
  <c r="G55" i="24"/>
  <c r="H55" i="24" s="1"/>
  <c r="I55" i="24" s="1"/>
  <c r="J55" i="24" s="1"/>
  <c r="N55" i="31" s="1"/>
  <c r="C29" i="31"/>
  <c r="B29" i="31"/>
  <c r="C27" i="31"/>
  <c r="B27" i="31"/>
  <c r="C26" i="31"/>
  <c r="B26" i="31"/>
  <c r="M29" i="29"/>
  <c r="L29" i="29"/>
  <c r="D29" i="29"/>
  <c r="C29" i="29"/>
  <c r="M27" i="29"/>
  <c r="L27" i="29"/>
  <c r="D27" i="29"/>
  <c r="C27" i="29"/>
  <c r="M26" i="29"/>
  <c r="L26" i="29"/>
  <c r="D26" i="29"/>
  <c r="C26" i="29"/>
  <c r="V29" i="22"/>
  <c r="U29" i="22"/>
  <c r="T29" i="22"/>
  <c r="S29" i="22"/>
  <c r="R29" i="22"/>
  <c r="Q29" i="22"/>
  <c r="D29" i="22"/>
  <c r="C29" i="22"/>
  <c r="V27" i="22"/>
  <c r="U27" i="22"/>
  <c r="T27" i="22"/>
  <c r="S27" i="22"/>
  <c r="R27" i="22"/>
  <c r="Q27" i="22"/>
  <c r="D27" i="22"/>
  <c r="C27" i="22"/>
  <c r="V26" i="22"/>
  <c r="U26" i="22"/>
  <c r="T26" i="22"/>
  <c r="S26" i="22"/>
  <c r="R26" i="22"/>
  <c r="Q26" i="22"/>
  <c r="D26" i="22"/>
  <c r="C26" i="22"/>
  <c r="D29" i="21"/>
  <c r="D27" i="21"/>
  <c r="D26" i="21"/>
  <c r="G29" i="24"/>
  <c r="H29" i="24" s="1"/>
  <c r="I29" i="24" s="1"/>
  <c r="G27" i="24"/>
  <c r="H27" i="24" s="1"/>
  <c r="I27" i="24" s="1"/>
  <c r="J27" i="24" s="1"/>
  <c r="N27" i="31" s="1"/>
  <c r="G26" i="24"/>
  <c r="H26" i="24" s="1"/>
  <c r="I26" i="24" s="1"/>
  <c r="J26" i="24" s="1"/>
  <c r="N26" i="31" s="1"/>
  <c r="C21" i="31"/>
  <c r="B21" i="31"/>
  <c r="C20" i="31"/>
  <c r="B20" i="31"/>
  <c r="C15" i="31"/>
  <c r="B15" i="31"/>
  <c r="C14" i="31"/>
  <c r="B14" i="31"/>
  <c r="C13" i="31"/>
  <c r="B13" i="31"/>
  <c r="C10" i="31"/>
  <c r="B10" i="31"/>
  <c r="C9" i="31"/>
  <c r="B9" i="31"/>
  <c r="C8" i="31"/>
  <c r="B8" i="31"/>
  <c r="C7" i="31"/>
  <c r="B7" i="31"/>
  <c r="M21" i="29"/>
  <c r="L21" i="29"/>
  <c r="D21" i="29"/>
  <c r="C21" i="29"/>
  <c r="M20" i="29"/>
  <c r="L20" i="29"/>
  <c r="D20" i="29"/>
  <c r="C20" i="29"/>
  <c r="M15" i="29"/>
  <c r="L15" i="29"/>
  <c r="D15" i="29"/>
  <c r="C15" i="29"/>
  <c r="M14" i="29"/>
  <c r="L14" i="29"/>
  <c r="D14" i="29"/>
  <c r="C14" i="29"/>
  <c r="M13" i="29"/>
  <c r="L13" i="29"/>
  <c r="D13" i="29"/>
  <c r="C13" i="29"/>
  <c r="M10" i="29"/>
  <c r="L10" i="29"/>
  <c r="D10" i="29"/>
  <c r="C10" i="29"/>
  <c r="M9" i="29"/>
  <c r="L9" i="29"/>
  <c r="D9" i="29"/>
  <c r="C9" i="29"/>
  <c r="M8" i="29"/>
  <c r="L8" i="29"/>
  <c r="D8" i="29"/>
  <c r="C8" i="29"/>
  <c r="M7" i="29"/>
  <c r="L7" i="29"/>
  <c r="D7" i="29"/>
  <c r="C7" i="29"/>
  <c r="V21" i="22"/>
  <c r="U21" i="22"/>
  <c r="T21" i="22"/>
  <c r="S21" i="22"/>
  <c r="R21" i="22"/>
  <c r="Q21" i="22"/>
  <c r="D21" i="22"/>
  <c r="C21" i="22"/>
  <c r="V20" i="22"/>
  <c r="U20" i="22"/>
  <c r="T20" i="22"/>
  <c r="S20" i="22"/>
  <c r="R20" i="22"/>
  <c r="Q20" i="22"/>
  <c r="D20" i="22"/>
  <c r="C20" i="22"/>
  <c r="V15" i="22"/>
  <c r="U15" i="22"/>
  <c r="T15" i="22"/>
  <c r="S15" i="22"/>
  <c r="R15" i="22"/>
  <c r="Q15" i="22"/>
  <c r="D15" i="22"/>
  <c r="C15" i="22"/>
  <c r="V14" i="22"/>
  <c r="U14" i="22"/>
  <c r="T14" i="22"/>
  <c r="S14" i="22"/>
  <c r="R14" i="22"/>
  <c r="Q14" i="22"/>
  <c r="D14" i="22"/>
  <c r="C14" i="22"/>
  <c r="V13" i="22"/>
  <c r="U13" i="22"/>
  <c r="T13" i="22"/>
  <c r="S13" i="22"/>
  <c r="R13" i="22"/>
  <c r="Q13" i="22"/>
  <c r="D13" i="22"/>
  <c r="C13" i="22"/>
  <c r="V10" i="22"/>
  <c r="U10" i="22"/>
  <c r="T10" i="22"/>
  <c r="S10" i="22"/>
  <c r="R10" i="22"/>
  <c r="Q10" i="22"/>
  <c r="D10" i="22"/>
  <c r="C10" i="22"/>
  <c r="V9" i="22"/>
  <c r="U9" i="22"/>
  <c r="T9" i="22"/>
  <c r="S9" i="22"/>
  <c r="R9" i="22"/>
  <c r="Q9" i="22"/>
  <c r="D9" i="22"/>
  <c r="C9" i="22"/>
  <c r="V8" i="22"/>
  <c r="U8" i="22"/>
  <c r="T8" i="22"/>
  <c r="S8" i="22"/>
  <c r="R8" i="22"/>
  <c r="Q8" i="22"/>
  <c r="D8" i="22"/>
  <c r="C8" i="22"/>
  <c r="D21" i="21"/>
  <c r="D20" i="21"/>
  <c r="D15" i="21"/>
  <c r="D14" i="21"/>
  <c r="D13" i="21"/>
  <c r="D10" i="21"/>
  <c r="D9" i="21"/>
  <c r="D8" i="21"/>
  <c r="D7" i="21"/>
  <c r="G21" i="24"/>
  <c r="H21" i="24" s="1"/>
  <c r="I21" i="24" s="1"/>
  <c r="G20" i="24"/>
  <c r="H20" i="24" s="1"/>
  <c r="I20" i="24" s="1"/>
  <c r="J20" i="24" s="1"/>
  <c r="N20" i="31" s="1"/>
  <c r="G15" i="24"/>
  <c r="H15" i="24" s="1"/>
  <c r="I15" i="24" s="1"/>
  <c r="J15" i="24" s="1"/>
  <c r="N15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0" i="24"/>
  <c r="H10" i="24" s="1"/>
  <c r="I10" i="24" s="1"/>
  <c r="G9" i="24"/>
  <c r="H9" i="24" s="1"/>
  <c r="I9" i="24" s="1"/>
  <c r="J9" i="24" s="1"/>
  <c r="N9" i="31" s="1"/>
  <c r="G8" i="24"/>
  <c r="H8" i="24" s="1"/>
  <c r="I8" i="24" s="1"/>
  <c r="G7" i="24"/>
  <c r="H7" i="24" s="1"/>
  <c r="I7" i="24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D24" i="29"/>
  <c r="D24" i="21"/>
  <c r="D25" i="21"/>
  <c r="D34" i="21"/>
  <c r="D35" i="21"/>
  <c r="D36" i="21"/>
  <c r="D37" i="21"/>
  <c r="D38" i="21"/>
  <c r="D39" i="21"/>
  <c r="D40" i="21"/>
  <c r="D41" i="21"/>
  <c r="D43" i="21"/>
  <c r="D46" i="21"/>
  <c r="D47" i="21"/>
  <c r="D48" i="21"/>
  <c r="D49" i="21"/>
  <c r="D50" i="21"/>
  <c r="D51" i="21"/>
  <c r="D52" i="21"/>
  <c r="D53" i="21"/>
  <c r="D54" i="21"/>
  <c r="C47" i="31"/>
  <c r="B47" i="31"/>
  <c r="M47" i="29"/>
  <c r="L47" i="29"/>
  <c r="C47" i="29"/>
  <c r="V47" i="22"/>
  <c r="U47" i="22"/>
  <c r="T47" i="22"/>
  <c r="S47" i="22"/>
  <c r="R47" i="22"/>
  <c r="Q47" i="22"/>
  <c r="D47" i="22"/>
  <c r="C47" i="22"/>
  <c r="G47" i="24"/>
  <c r="H47" i="24" s="1"/>
  <c r="I47" i="24" s="1"/>
  <c r="J47" i="24" s="1"/>
  <c r="N47" i="31" s="1"/>
  <c r="C46" i="31"/>
  <c r="B46" i="31"/>
  <c r="M46" i="29"/>
  <c r="L46" i="29"/>
  <c r="D46" i="29"/>
  <c r="C46" i="29"/>
  <c r="V46" i="22"/>
  <c r="U46" i="22"/>
  <c r="T46" i="22"/>
  <c r="S46" i="22"/>
  <c r="R46" i="22"/>
  <c r="Q46" i="22"/>
  <c r="D46" i="22"/>
  <c r="C46" i="22"/>
  <c r="G46" i="24"/>
  <c r="H46" i="24" s="1"/>
  <c r="I46" i="24" s="1"/>
  <c r="J46" i="24" s="1"/>
  <c r="N46" i="31" s="1"/>
  <c r="C41" i="31"/>
  <c r="B41" i="31"/>
  <c r="C40" i="31"/>
  <c r="B40" i="31"/>
  <c r="C39" i="31"/>
  <c r="B39" i="31"/>
  <c r="M41" i="29"/>
  <c r="L41" i="29"/>
  <c r="D41" i="29"/>
  <c r="C41" i="29"/>
  <c r="M40" i="29"/>
  <c r="L40" i="29"/>
  <c r="D40" i="29"/>
  <c r="C40" i="29"/>
  <c r="M39" i="29"/>
  <c r="L39" i="29"/>
  <c r="D39" i="29"/>
  <c r="C39" i="29"/>
  <c r="V41" i="22"/>
  <c r="U41" i="22"/>
  <c r="T41" i="22"/>
  <c r="S41" i="22"/>
  <c r="R41" i="22"/>
  <c r="Q41" i="22"/>
  <c r="D41" i="22"/>
  <c r="C41" i="22"/>
  <c r="V40" i="22"/>
  <c r="U40" i="22"/>
  <c r="T40" i="22"/>
  <c r="S40" i="22"/>
  <c r="R40" i="22"/>
  <c r="Q40" i="22"/>
  <c r="D40" i="22"/>
  <c r="C40" i="22"/>
  <c r="V39" i="22"/>
  <c r="U39" i="22"/>
  <c r="T39" i="22"/>
  <c r="S39" i="22"/>
  <c r="R39" i="22"/>
  <c r="Q39" i="22"/>
  <c r="D39" i="22"/>
  <c r="C39" i="22"/>
  <c r="G41" i="24"/>
  <c r="H41" i="24" s="1"/>
  <c r="I41" i="24" s="1"/>
  <c r="J41" i="24" s="1"/>
  <c r="N41" i="31" s="1"/>
  <c r="G40" i="24"/>
  <c r="H40" i="24" s="1"/>
  <c r="I40" i="24" s="1"/>
  <c r="J40" i="24" s="1"/>
  <c r="N40" i="31" s="1"/>
  <c r="G39" i="24"/>
  <c r="H39" i="24" s="1"/>
  <c r="I39" i="24" s="1"/>
  <c r="C36" i="31"/>
  <c r="B36" i="31"/>
  <c r="D36" i="29"/>
  <c r="C36" i="29"/>
  <c r="M36" i="29"/>
  <c r="L36" i="29"/>
  <c r="V36" i="22"/>
  <c r="U36" i="22"/>
  <c r="T36" i="22"/>
  <c r="S36" i="22"/>
  <c r="R36" i="22"/>
  <c r="Q36" i="22"/>
  <c r="D36" i="22"/>
  <c r="C36" i="22"/>
  <c r="C24" i="22"/>
  <c r="C34" i="22"/>
  <c r="D34" i="22"/>
  <c r="Q34" i="22"/>
  <c r="R34" i="22"/>
  <c r="S34" i="22"/>
  <c r="T34" i="22"/>
  <c r="U34" i="22"/>
  <c r="V34" i="22"/>
  <c r="C35" i="22"/>
  <c r="Q35" i="22"/>
  <c r="R35" i="22"/>
  <c r="S35" i="22"/>
  <c r="T35" i="22"/>
  <c r="U35" i="22"/>
  <c r="C54" i="31"/>
  <c r="B54" i="31"/>
  <c r="C53" i="31"/>
  <c r="B53" i="31"/>
  <c r="C52" i="31"/>
  <c r="B52" i="31"/>
  <c r="C51" i="31"/>
  <c r="B51" i="31"/>
  <c r="C50" i="31"/>
  <c r="B50" i="31"/>
  <c r="M54" i="29"/>
  <c r="L54" i="29"/>
  <c r="D54" i="29"/>
  <c r="C54" i="29"/>
  <c r="M53" i="29"/>
  <c r="L53" i="29"/>
  <c r="D53" i="29"/>
  <c r="C53" i="29"/>
  <c r="M52" i="29"/>
  <c r="L52" i="29"/>
  <c r="D52" i="29"/>
  <c r="C52" i="29"/>
  <c r="M51" i="29"/>
  <c r="L51" i="29"/>
  <c r="D51" i="29"/>
  <c r="C51" i="29"/>
  <c r="M50" i="29"/>
  <c r="L50" i="29"/>
  <c r="D50" i="29"/>
  <c r="C50" i="29"/>
  <c r="V54" i="22"/>
  <c r="U54" i="22"/>
  <c r="T54" i="22"/>
  <c r="S54" i="22"/>
  <c r="R54" i="22"/>
  <c r="Q54" i="22"/>
  <c r="D54" i="22"/>
  <c r="C54" i="22"/>
  <c r="V53" i="22"/>
  <c r="U53" i="22"/>
  <c r="T53" i="22"/>
  <c r="S53" i="22"/>
  <c r="R53" i="22"/>
  <c r="Q53" i="22"/>
  <c r="D53" i="22"/>
  <c r="C53" i="22"/>
  <c r="V52" i="22"/>
  <c r="U52" i="22"/>
  <c r="T52" i="22"/>
  <c r="S52" i="22"/>
  <c r="R52" i="22"/>
  <c r="Q52" i="22"/>
  <c r="D52" i="22"/>
  <c r="C52" i="22"/>
  <c r="V51" i="22"/>
  <c r="U51" i="22"/>
  <c r="T51" i="22"/>
  <c r="S51" i="22"/>
  <c r="R51" i="22"/>
  <c r="Q51" i="22"/>
  <c r="D51" i="22"/>
  <c r="C51" i="22"/>
  <c r="V50" i="22"/>
  <c r="U50" i="22"/>
  <c r="T50" i="22"/>
  <c r="S50" i="22"/>
  <c r="R50" i="22"/>
  <c r="Q50" i="22"/>
  <c r="D50" i="22"/>
  <c r="C50" i="22"/>
  <c r="G54" i="24"/>
  <c r="H54" i="24" s="1"/>
  <c r="I54" i="24" s="1"/>
  <c r="J54" i="24" s="1"/>
  <c r="N54" i="31" s="1"/>
  <c r="G53" i="24"/>
  <c r="H53" i="24" s="1"/>
  <c r="I53" i="24" s="1"/>
  <c r="J53" i="24" s="1"/>
  <c r="N53" i="31" s="1"/>
  <c r="G52" i="24"/>
  <c r="H52" i="24" s="1"/>
  <c r="I52" i="24" s="1"/>
  <c r="J52" i="24" s="1"/>
  <c r="N52" i="31" s="1"/>
  <c r="G51" i="24"/>
  <c r="H51" i="24" s="1"/>
  <c r="I51" i="24" s="1"/>
  <c r="J51" i="24" s="1"/>
  <c r="N51" i="31" s="1"/>
  <c r="G50" i="24"/>
  <c r="H50" i="24" s="1"/>
  <c r="I50" i="24" s="1"/>
  <c r="J50" i="24" s="1"/>
  <c r="N50" i="31" s="1"/>
  <c r="C43" i="31"/>
  <c r="B43" i="31"/>
  <c r="C38" i="31"/>
  <c r="B38" i="31"/>
  <c r="C37" i="31"/>
  <c r="B37" i="31"/>
  <c r="C35" i="31"/>
  <c r="B35" i="31"/>
  <c r="C34" i="31"/>
  <c r="B34" i="31"/>
  <c r="C25" i="31"/>
  <c r="B25" i="31"/>
  <c r="C24" i="31"/>
  <c r="B24" i="31"/>
  <c r="M43" i="29"/>
  <c r="L43" i="29"/>
  <c r="D43" i="29"/>
  <c r="C43" i="29"/>
  <c r="M38" i="29"/>
  <c r="L38" i="29"/>
  <c r="D38" i="29"/>
  <c r="C38" i="29"/>
  <c r="M37" i="29"/>
  <c r="L37" i="29"/>
  <c r="D37" i="29"/>
  <c r="C37" i="29"/>
  <c r="M35" i="29"/>
  <c r="L35" i="29"/>
  <c r="D35" i="29"/>
  <c r="C35" i="29"/>
  <c r="M34" i="29"/>
  <c r="L34" i="29"/>
  <c r="D34" i="29"/>
  <c r="C34" i="29"/>
  <c r="M25" i="29"/>
  <c r="L25" i="29"/>
  <c r="D25" i="29"/>
  <c r="C25" i="29"/>
  <c r="M24" i="29"/>
  <c r="L24" i="29"/>
  <c r="C24" i="29"/>
  <c r="V43" i="22"/>
  <c r="U43" i="22"/>
  <c r="T43" i="22"/>
  <c r="S43" i="22"/>
  <c r="R43" i="22"/>
  <c r="Q43" i="22"/>
  <c r="D43" i="22"/>
  <c r="C43" i="22"/>
  <c r="V38" i="22"/>
  <c r="U38" i="22"/>
  <c r="T38" i="22"/>
  <c r="S38" i="22"/>
  <c r="R38" i="22"/>
  <c r="Q38" i="22"/>
  <c r="D38" i="22"/>
  <c r="C38" i="22"/>
  <c r="V37" i="22"/>
  <c r="U37" i="22"/>
  <c r="T37" i="22"/>
  <c r="S37" i="22"/>
  <c r="R37" i="22"/>
  <c r="Q37" i="22"/>
  <c r="D37" i="22"/>
  <c r="C37" i="22"/>
  <c r="V25" i="22"/>
  <c r="U25" i="22"/>
  <c r="T25" i="22"/>
  <c r="S25" i="22"/>
  <c r="R25" i="22"/>
  <c r="Q25" i="22"/>
  <c r="D25" i="22"/>
  <c r="C25" i="22"/>
  <c r="V24" i="22"/>
  <c r="U24" i="22"/>
  <c r="T24" i="22"/>
  <c r="S24" i="22"/>
  <c r="R24" i="22"/>
  <c r="Q24" i="22"/>
  <c r="D24" i="22"/>
  <c r="G43" i="24"/>
  <c r="H43" i="24" s="1"/>
  <c r="I43" i="24" s="1"/>
  <c r="J43" i="24" s="1"/>
  <c r="N43" i="31" s="1"/>
  <c r="G38" i="24"/>
  <c r="H38" i="24" s="1"/>
  <c r="I38" i="24" s="1"/>
  <c r="J38" i="24" s="1"/>
  <c r="N38" i="31" s="1"/>
  <c r="C49" i="31"/>
  <c r="B49" i="31"/>
  <c r="M49" i="29"/>
  <c r="L49" i="29"/>
  <c r="D49" i="29"/>
  <c r="C49" i="29"/>
  <c r="V49" i="22"/>
  <c r="U49" i="22"/>
  <c r="T49" i="22"/>
  <c r="S49" i="22"/>
  <c r="R49" i="22"/>
  <c r="Q49" i="22"/>
  <c r="D49" i="22"/>
  <c r="C49" i="22"/>
  <c r="G49" i="24"/>
  <c r="H49" i="24" s="1"/>
  <c r="I49" i="24" s="1"/>
  <c r="J49" i="24" s="1"/>
  <c r="N49" i="31" s="1"/>
  <c r="B48" i="31"/>
  <c r="M48" i="29"/>
  <c r="L48" i="29"/>
  <c r="D48" i="29"/>
  <c r="C48" i="29"/>
  <c r="V48" i="22"/>
  <c r="U48" i="22"/>
  <c r="T48" i="22"/>
  <c r="S48" i="22"/>
  <c r="R48" i="22"/>
  <c r="Q48" i="22"/>
  <c r="D48" i="22"/>
  <c r="C48" i="22"/>
  <c r="G48" i="24"/>
  <c r="H48" i="24" s="1"/>
  <c r="I48" i="24" s="1"/>
  <c r="J48" i="24" s="1"/>
  <c r="N48" i="31" s="1"/>
  <c r="C48" i="31"/>
  <c r="X29" i="22" l="1"/>
  <c r="AA29" i="22" s="1"/>
  <c r="AD29" i="22" s="1"/>
  <c r="I29" i="31" s="1"/>
  <c r="N20" i="29"/>
  <c r="O20" i="29" s="1"/>
  <c r="P20" i="29" s="1"/>
  <c r="K20" i="31" s="1"/>
  <c r="N9" i="29"/>
  <c r="O9" i="29" s="1"/>
  <c r="P9" i="29" s="1"/>
  <c r="K9" i="31" s="1"/>
  <c r="N14" i="29"/>
  <c r="O14" i="29" s="1"/>
  <c r="P14" i="29" s="1"/>
  <c r="K14" i="31" s="1"/>
  <c r="X55" i="22"/>
  <c r="AA55" i="22" s="1"/>
  <c r="AD55" i="22" s="1"/>
  <c r="I55" i="31" s="1"/>
  <c r="AK3" i="21"/>
  <c r="N10" i="29"/>
  <c r="O10" i="29" s="1"/>
  <c r="P10" i="29" s="1"/>
  <c r="K10" i="31" s="1"/>
  <c r="N48" i="29"/>
  <c r="O48" i="29" s="1"/>
  <c r="P48" i="29" s="1"/>
  <c r="K48" i="31" s="1"/>
  <c r="N52" i="29"/>
  <c r="O52" i="29" s="1"/>
  <c r="P52" i="29" s="1"/>
  <c r="K52" i="31" s="1"/>
  <c r="X36" i="22"/>
  <c r="AA36" i="22" s="1"/>
  <c r="AD36" i="22" s="1"/>
  <c r="I36" i="31" s="1"/>
  <c r="X53" i="22"/>
  <c r="AA53" i="22" s="1"/>
  <c r="AD53" i="22" s="1"/>
  <c r="I53" i="31" s="1"/>
  <c r="X54" i="22"/>
  <c r="AA54" i="22" s="1"/>
  <c r="AD54" i="22" s="1"/>
  <c r="I54" i="31" s="1"/>
  <c r="N51" i="29"/>
  <c r="O51" i="29" s="1"/>
  <c r="P51" i="29" s="1"/>
  <c r="K51" i="31" s="1"/>
  <c r="N54" i="29"/>
  <c r="O54" i="29" s="1"/>
  <c r="P54" i="29" s="1"/>
  <c r="K54" i="31" s="1"/>
  <c r="N21" i="29"/>
  <c r="O21" i="29" s="1"/>
  <c r="P21" i="29" s="1"/>
  <c r="K21" i="31" s="1"/>
  <c r="X38" i="22"/>
  <c r="AA38" i="22" s="1"/>
  <c r="AD38" i="22" s="1"/>
  <c r="I38" i="31" s="1"/>
  <c r="N24" i="29"/>
  <c r="N25" i="29"/>
  <c r="O25" i="29" s="1"/>
  <c r="P25" i="29" s="1"/>
  <c r="K25" i="31" s="1"/>
  <c r="N37" i="29"/>
  <c r="O37" i="29" s="1"/>
  <c r="P37" i="29" s="1"/>
  <c r="K37" i="31" s="1"/>
  <c r="N38" i="29"/>
  <c r="O38" i="29" s="1"/>
  <c r="P38" i="29" s="1"/>
  <c r="K38" i="31" s="1"/>
  <c r="X51" i="22"/>
  <c r="N50" i="29"/>
  <c r="W48" i="22"/>
  <c r="X48" i="22"/>
  <c r="AA48" i="22" s="1"/>
  <c r="AD48" i="22" s="1"/>
  <c r="I48" i="31" s="1"/>
  <c r="X27" i="22"/>
  <c r="AA27" i="22" s="1"/>
  <c r="AD27" i="22" s="1"/>
  <c r="I27" i="31" s="1"/>
  <c r="W50" i="22"/>
  <c r="Z50" i="22" s="1"/>
  <c r="AC50" i="22" s="1"/>
  <c r="H50" i="31" s="1"/>
  <c r="X50" i="22"/>
  <c r="AA50" i="22" s="1"/>
  <c r="AD50" i="22" s="1"/>
  <c r="I50" i="31" s="1"/>
  <c r="W52" i="22"/>
  <c r="N53" i="29"/>
  <c r="O53" i="29" s="1"/>
  <c r="P53" i="29" s="1"/>
  <c r="K53" i="31" s="1"/>
  <c r="X39" i="22"/>
  <c r="AA39" i="22" s="1"/>
  <c r="AD39" i="22" s="1"/>
  <c r="I39" i="31" s="1"/>
  <c r="W41" i="22"/>
  <c r="N39" i="29"/>
  <c r="O39" i="29" s="1"/>
  <c r="P39" i="29" s="1"/>
  <c r="K39" i="31" s="1"/>
  <c r="X37" i="22"/>
  <c r="AA37" i="22" s="1"/>
  <c r="AD37" i="22" s="1"/>
  <c r="I37" i="31" s="1"/>
  <c r="N35" i="29"/>
  <c r="N43" i="29"/>
  <c r="O43" i="29" s="1"/>
  <c r="P43" i="29" s="1"/>
  <c r="K43" i="31" s="1"/>
  <c r="X26" i="22"/>
  <c r="AA26" i="22" s="1"/>
  <c r="AD26" i="22" s="1"/>
  <c r="I26" i="31" s="1"/>
  <c r="N29" i="29"/>
  <c r="O29" i="29" s="1"/>
  <c r="P29" i="29" s="1"/>
  <c r="K29" i="31" s="1"/>
  <c r="X35" i="22"/>
  <c r="AA35" i="22" s="1"/>
  <c r="AD35" i="22" s="1"/>
  <c r="I35" i="31" s="1"/>
  <c r="X34" i="22"/>
  <c r="AA34" i="22" s="1"/>
  <c r="AD34" i="22" s="1"/>
  <c r="I34" i="31" s="1"/>
  <c r="W36" i="22"/>
  <c r="N36" i="29"/>
  <c r="O36" i="29" s="1"/>
  <c r="P36" i="29" s="1"/>
  <c r="K36" i="31" s="1"/>
  <c r="X40" i="22"/>
  <c r="AA40" i="22" s="1"/>
  <c r="AD40" i="22" s="1"/>
  <c r="I40" i="31" s="1"/>
  <c r="N40" i="29"/>
  <c r="O40" i="29" s="1"/>
  <c r="P40" i="29" s="1"/>
  <c r="K40" i="31" s="1"/>
  <c r="N47" i="29"/>
  <c r="O47" i="29" s="1"/>
  <c r="P47" i="29" s="1"/>
  <c r="K47" i="31" s="1"/>
  <c r="N55" i="29"/>
  <c r="O55" i="29" s="1"/>
  <c r="P55" i="29" s="1"/>
  <c r="K55" i="31" s="1"/>
  <c r="AA3" i="21"/>
  <c r="AF3" i="21"/>
  <c r="W26" i="22"/>
  <c r="Z26" i="22" s="1"/>
  <c r="AC26" i="22" s="1"/>
  <c r="H26" i="31" s="1"/>
  <c r="W27" i="22"/>
  <c r="W29" i="22"/>
  <c r="N27" i="29"/>
  <c r="O27" i="29" s="1"/>
  <c r="P27" i="29" s="1"/>
  <c r="K27" i="31" s="1"/>
  <c r="W55" i="22"/>
  <c r="W49" i="22"/>
  <c r="X49" i="22"/>
  <c r="AA49" i="22" s="1"/>
  <c r="AD49" i="22" s="1"/>
  <c r="I49" i="31" s="1"/>
  <c r="N49" i="29"/>
  <c r="O49" i="29" s="1"/>
  <c r="P49" i="29" s="1"/>
  <c r="K49" i="31" s="1"/>
  <c r="AA5" i="22"/>
  <c r="AD5" i="22" s="1"/>
  <c r="I5" i="31" s="1"/>
  <c r="Y5" i="22"/>
  <c r="AB5" i="22" s="1"/>
  <c r="AE5" i="22" s="1"/>
  <c r="J5" i="31" s="1"/>
  <c r="W24" i="22"/>
  <c r="Z24" i="22" s="1"/>
  <c r="AC24" i="22" s="1"/>
  <c r="H24" i="31" s="1"/>
  <c r="W25" i="22"/>
  <c r="X25" i="22"/>
  <c r="AA25" i="22" s="1"/>
  <c r="AD25" i="22" s="1"/>
  <c r="I25" i="31" s="1"/>
  <c r="W37" i="22"/>
  <c r="W43" i="22"/>
  <c r="X43" i="22"/>
  <c r="AA43" i="22" s="1"/>
  <c r="AD43" i="22" s="1"/>
  <c r="I43" i="31" s="1"/>
  <c r="N34" i="29"/>
  <c r="O34" i="29" s="1"/>
  <c r="P34" i="29" s="1"/>
  <c r="K34" i="31" s="1"/>
  <c r="W35" i="22"/>
  <c r="W34" i="22"/>
  <c r="W54" i="22"/>
  <c r="X24" i="22"/>
  <c r="AA24" i="22" s="1"/>
  <c r="AD24" i="22" s="1"/>
  <c r="I24" i="31" s="1"/>
  <c r="W40" i="22"/>
  <c r="X41" i="22"/>
  <c r="AA41" i="22" s="1"/>
  <c r="AD41" i="22" s="1"/>
  <c r="I41" i="31" s="1"/>
  <c r="N41" i="29"/>
  <c r="O41" i="29" s="1"/>
  <c r="P41" i="29" s="1"/>
  <c r="K41" i="31" s="1"/>
  <c r="W46" i="22"/>
  <c r="N46" i="29"/>
  <c r="X47" i="22"/>
  <c r="AA47" i="22" s="1"/>
  <c r="AD47" i="22" s="1"/>
  <c r="I47" i="31" s="1"/>
  <c r="X9" i="22"/>
  <c r="AA9" i="22" s="1"/>
  <c r="AD9" i="22" s="1"/>
  <c r="I9" i="31" s="1"/>
  <c r="X10" i="22"/>
  <c r="AA10" i="22" s="1"/>
  <c r="AD10" i="22" s="1"/>
  <c r="I10" i="31" s="1"/>
  <c r="X14" i="22"/>
  <c r="AA14" i="22" s="1"/>
  <c r="AD14" i="22" s="1"/>
  <c r="I14" i="31" s="1"/>
  <c r="X15" i="22"/>
  <c r="AA15" i="22" s="1"/>
  <c r="AD15" i="22" s="1"/>
  <c r="I15" i="31" s="1"/>
  <c r="N7" i="29"/>
  <c r="O7" i="29" s="1"/>
  <c r="P7" i="29" s="1"/>
  <c r="K7" i="31" s="1"/>
  <c r="N15" i="29"/>
  <c r="O15" i="29" s="1"/>
  <c r="P15" i="29" s="1"/>
  <c r="K15" i="31" s="1"/>
  <c r="W51" i="22"/>
  <c r="Z51" i="22" s="1"/>
  <c r="AC51" i="22" s="1"/>
  <c r="H51" i="31" s="1"/>
  <c r="X52" i="22"/>
  <c r="W8" i="22"/>
  <c r="Z8" i="22" s="1"/>
  <c r="AC8" i="22" s="1"/>
  <c r="H8" i="31" s="1"/>
  <c r="X8" i="22"/>
  <c r="W13" i="22"/>
  <c r="Z13" i="22" s="1"/>
  <c r="AC13" i="22" s="1"/>
  <c r="H13" i="31" s="1"/>
  <c r="X13" i="22"/>
  <c r="AA13" i="22" s="1"/>
  <c r="AD13" i="22" s="1"/>
  <c r="I13" i="31" s="1"/>
  <c r="W15" i="22"/>
  <c r="Z15" i="22" s="1"/>
  <c r="AC15" i="22" s="1"/>
  <c r="H15" i="31" s="1"/>
  <c r="W20" i="22"/>
  <c r="X20" i="22"/>
  <c r="AA20" i="22" s="1"/>
  <c r="AD20" i="22" s="1"/>
  <c r="I20" i="31" s="1"/>
  <c r="W21" i="22"/>
  <c r="Z21" i="22" s="1"/>
  <c r="AC21" i="22" s="1"/>
  <c r="H21" i="31" s="1"/>
  <c r="X21" i="22"/>
  <c r="AA21" i="22" s="1"/>
  <c r="AD21" i="22" s="1"/>
  <c r="I21" i="31" s="1"/>
  <c r="N8" i="29"/>
  <c r="O8" i="29" s="1"/>
  <c r="P8" i="29" s="1"/>
  <c r="K8" i="31" s="1"/>
  <c r="N13" i="29"/>
  <c r="O13" i="29" s="1"/>
  <c r="P13" i="29" s="1"/>
  <c r="K13" i="31" s="1"/>
  <c r="X3" i="22"/>
  <c r="AA3" i="22" s="1"/>
  <c r="AD3" i="22" s="1"/>
  <c r="I3" i="31" s="1"/>
  <c r="Q5" i="29"/>
  <c r="R5" i="29" s="1"/>
  <c r="S5" i="29" s="1"/>
  <c r="L5" i="31" s="1"/>
  <c r="O5" i="29"/>
  <c r="P5" i="29" s="1"/>
  <c r="K5" i="31" s="1"/>
  <c r="W53" i="22"/>
  <c r="W38" i="22"/>
  <c r="W39" i="22"/>
  <c r="X46" i="22"/>
  <c r="AA46" i="22" s="1"/>
  <c r="AD46" i="22" s="1"/>
  <c r="I46" i="31" s="1"/>
  <c r="W47" i="22"/>
  <c r="N3" i="29"/>
  <c r="N26" i="29"/>
  <c r="O26" i="29" s="1"/>
  <c r="P26" i="29" s="1"/>
  <c r="K26" i="31" s="1"/>
  <c r="T5" i="29"/>
  <c r="U5" i="29" s="1"/>
  <c r="O5" i="31" s="1"/>
  <c r="P5" i="31" s="1"/>
  <c r="Z7" i="22"/>
  <c r="AC7" i="22" s="1"/>
  <c r="H7" i="31" s="1"/>
  <c r="Y7" i="22"/>
  <c r="AB7" i="22" s="1"/>
  <c r="AE7" i="22" s="1"/>
  <c r="J7" i="31" s="1"/>
  <c r="W9" i="22"/>
  <c r="W10" i="22"/>
  <c r="W14" i="22"/>
  <c r="J21" i="24"/>
  <c r="N21" i="31" s="1"/>
  <c r="J39" i="24"/>
  <c r="N39" i="31" s="1"/>
  <c r="J29" i="24"/>
  <c r="N29" i="31" s="1"/>
  <c r="J7" i="24"/>
  <c r="N7" i="31" s="1"/>
  <c r="J8" i="24"/>
  <c r="N8" i="31" s="1"/>
  <c r="J10" i="24"/>
  <c r="N10" i="31" s="1"/>
  <c r="AP3" i="21"/>
  <c r="W3" i="22"/>
  <c r="Y55" i="22" l="1"/>
  <c r="AB55" i="22" s="1"/>
  <c r="AE55" i="22" s="1"/>
  <c r="J55" i="31" s="1"/>
  <c r="AR3" i="21"/>
  <c r="AU3" i="21" s="1"/>
  <c r="AX3" i="21" s="1"/>
  <c r="F3" i="31" s="1"/>
  <c r="Q52" i="29"/>
  <c r="R52" i="29" s="1"/>
  <c r="S52" i="29" s="1"/>
  <c r="L52" i="31" s="1"/>
  <c r="T36" i="29"/>
  <c r="U36" i="29" s="1"/>
  <c r="AQ3" i="21"/>
  <c r="AT3" i="21" s="1"/>
  <c r="AW3" i="21" s="1"/>
  <c r="E3" i="31" s="1"/>
  <c r="Y48" i="22"/>
  <c r="AB48" i="22" s="1"/>
  <c r="AE48" i="22" s="1"/>
  <c r="J48" i="31" s="1"/>
  <c r="T34" i="29"/>
  <c r="U34" i="29" s="1"/>
  <c r="Z52" i="22"/>
  <c r="AC52" i="22" s="1"/>
  <c r="H52" i="31" s="1"/>
  <c r="Q24" i="29"/>
  <c r="R24" i="29" s="1"/>
  <c r="S24" i="29" s="1"/>
  <c r="L24" i="31" s="1"/>
  <c r="T29" i="29"/>
  <c r="U29" i="29" s="1"/>
  <c r="Q40" i="29"/>
  <c r="R40" i="29" s="1"/>
  <c r="S40" i="29" s="1"/>
  <c r="L40" i="31" s="1"/>
  <c r="Q7" i="29"/>
  <c r="R7" i="29" s="1"/>
  <c r="S7" i="29" s="1"/>
  <c r="L7" i="31" s="1"/>
  <c r="T7" i="29"/>
  <c r="U7" i="29" s="1"/>
  <c r="Y37" i="22"/>
  <c r="AB37" i="22" s="1"/>
  <c r="AE37" i="22" s="1"/>
  <c r="J37" i="31" s="1"/>
  <c r="Z37" i="22"/>
  <c r="AC37" i="22" s="1"/>
  <c r="H37" i="31" s="1"/>
  <c r="O24" i="29"/>
  <c r="P24" i="29" s="1"/>
  <c r="K24" i="31" s="1"/>
  <c r="T24" i="29"/>
  <c r="U24" i="29" s="1"/>
  <c r="Q20" i="29"/>
  <c r="R20" i="29" s="1"/>
  <c r="S20" i="29" s="1"/>
  <c r="L20" i="31" s="1"/>
  <c r="T20" i="29"/>
  <c r="U20" i="29" s="1"/>
  <c r="Z55" i="22"/>
  <c r="AC55" i="22" s="1"/>
  <c r="H55" i="31" s="1"/>
  <c r="T55" i="29"/>
  <c r="U55" i="29" s="1"/>
  <c r="Z34" i="22"/>
  <c r="AC34" i="22" s="1"/>
  <c r="H34" i="31" s="1"/>
  <c r="Y46" i="22"/>
  <c r="AB46" i="22" s="1"/>
  <c r="AE46" i="22" s="1"/>
  <c r="J46" i="31" s="1"/>
  <c r="Z46" i="22"/>
  <c r="AC46" i="22" s="1"/>
  <c r="H46" i="31" s="1"/>
  <c r="Z29" i="22"/>
  <c r="AC29" i="22" s="1"/>
  <c r="H29" i="31" s="1"/>
  <c r="Y29" i="22"/>
  <c r="Q21" i="29"/>
  <c r="R21" i="29" s="1"/>
  <c r="S21" i="29" s="1"/>
  <c r="L21" i="31" s="1"/>
  <c r="Q8" i="29"/>
  <c r="R8" i="29" s="1"/>
  <c r="S8" i="29" s="1"/>
  <c r="L8" i="31" s="1"/>
  <c r="Z40" i="22"/>
  <c r="AC40" i="22" s="1"/>
  <c r="H40" i="31" s="1"/>
  <c r="Q51" i="29"/>
  <c r="R51" i="29" s="1"/>
  <c r="S51" i="29" s="1"/>
  <c r="L51" i="31" s="1"/>
  <c r="Q41" i="29"/>
  <c r="R41" i="29" s="1"/>
  <c r="S41" i="29" s="1"/>
  <c r="L41" i="31" s="1"/>
  <c r="Y13" i="22"/>
  <c r="AB13" i="22" s="1"/>
  <c r="AE13" i="22" s="1"/>
  <c r="J13" i="31" s="1"/>
  <c r="Y24" i="22"/>
  <c r="AB24" i="22" s="1"/>
  <c r="AE24" i="22" s="1"/>
  <c r="J24" i="31" s="1"/>
  <c r="Q37" i="29"/>
  <c r="R37" i="29" s="1"/>
  <c r="S37" i="29" s="1"/>
  <c r="L37" i="31" s="1"/>
  <c r="Q43" i="29"/>
  <c r="R43" i="29" s="1"/>
  <c r="S43" i="29" s="1"/>
  <c r="L43" i="31" s="1"/>
  <c r="T13" i="29"/>
  <c r="U13" i="29" s="1"/>
  <c r="T37" i="29"/>
  <c r="U37" i="29" s="1"/>
  <c r="T48" i="29"/>
  <c r="U48" i="29" s="1"/>
  <c r="Y49" i="22"/>
  <c r="AB49" i="22" s="1"/>
  <c r="AE49" i="22" s="1"/>
  <c r="J49" i="31" s="1"/>
  <c r="Z49" i="22"/>
  <c r="AC49" i="22" s="1"/>
  <c r="H49" i="31" s="1"/>
  <c r="Z27" i="22"/>
  <c r="AC27" i="22" s="1"/>
  <c r="H27" i="31" s="1"/>
  <c r="Y27" i="22"/>
  <c r="AB27" i="22" s="1"/>
  <c r="AE27" i="22" s="1"/>
  <c r="J27" i="31" s="1"/>
  <c r="Y47" i="22"/>
  <c r="AB47" i="22" s="1"/>
  <c r="AE47" i="22" s="1"/>
  <c r="J47" i="31" s="1"/>
  <c r="Z47" i="22"/>
  <c r="AC47" i="22" s="1"/>
  <c r="H47" i="31" s="1"/>
  <c r="Y15" i="22"/>
  <c r="AB15" i="22" s="1"/>
  <c r="AE15" i="22" s="1"/>
  <c r="J15" i="31" s="1"/>
  <c r="Q27" i="29"/>
  <c r="R27" i="29" s="1"/>
  <c r="S27" i="29" s="1"/>
  <c r="L27" i="31" s="1"/>
  <c r="T41" i="29"/>
  <c r="U41" i="29" s="1"/>
  <c r="T25" i="29"/>
  <c r="U25" i="29" s="1"/>
  <c r="Y25" i="22"/>
  <c r="AB25" i="22" s="1"/>
  <c r="AE25" i="22" s="1"/>
  <c r="J25" i="31" s="1"/>
  <c r="AA8" i="22"/>
  <c r="AD8" i="22" s="1"/>
  <c r="I8" i="31" s="1"/>
  <c r="Y8" i="22"/>
  <c r="AB8" i="22" s="1"/>
  <c r="AE8" i="22" s="1"/>
  <c r="J8" i="31" s="1"/>
  <c r="AA52" i="22"/>
  <c r="AD52" i="22" s="1"/>
  <c r="I52" i="31" s="1"/>
  <c r="T52" i="29"/>
  <c r="U52" i="29" s="1"/>
  <c r="O46" i="29"/>
  <c r="P46" i="29" s="1"/>
  <c r="K46" i="31" s="1"/>
  <c r="Q46" i="29"/>
  <c r="R46" i="29" s="1"/>
  <c r="S46" i="29" s="1"/>
  <c r="L46" i="31" s="1"/>
  <c r="O50" i="29"/>
  <c r="P50" i="29" s="1"/>
  <c r="K50" i="31" s="1"/>
  <c r="Q50" i="29"/>
  <c r="R50" i="29" s="1"/>
  <c r="S50" i="29" s="1"/>
  <c r="L50" i="31" s="1"/>
  <c r="AA51" i="22"/>
  <c r="AD51" i="22" s="1"/>
  <c r="I51" i="31" s="1"/>
  <c r="T51" i="29"/>
  <c r="U51" i="29" s="1"/>
  <c r="Y51" i="22"/>
  <c r="AB51" i="22" s="1"/>
  <c r="AE51" i="22" s="1"/>
  <c r="J51" i="31" s="1"/>
  <c r="O35" i="29"/>
  <c r="P35" i="29" s="1"/>
  <c r="K35" i="31" s="1"/>
  <c r="Q35" i="29"/>
  <c r="R35" i="29" s="1"/>
  <c r="S35" i="29" s="1"/>
  <c r="L35" i="31" s="1"/>
  <c r="Q13" i="29"/>
  <c r="R13" i="29" s="1"/>
  <c r="S13" i="29" s="1"/>
  <c r="L13" i="31" s="1"/>
  <c r="Q49" i="29"/>
  <c r="R49" i="29" s="1"/>
  <c r="S49" i="29" s="1"/>
  <c r="L49" i="31" s="1"/>
  <c r="T3" i="29"/>
  <c r="U3" i="29" s="1"/>
  <c r="Y20" i="22"/>
  <c r="AB20" i="22" s="1"/>
  <c r="AE20" i="22" s="1"/>
  <c r="J20" i="31" s="1"/>
  <c r="T26" i="29"/>
  <c r="U26" i="29" s="1"/>
  <c r="Y50" i="22"/>
  <c r="AB50" i="22" s="1"/>
  <c r="AE50" i="22" s="1"/>
  <c r="J50" i="31" s="1"/>
  <c r="O3" i="29"/>
  <c r="P3" i="29" s="1"/>
  <c r="K3" i="31" s="1"/>
  <c r="Q3" i="29"/>
  <c r="R3" i="29" s="1"/>
  <c r="S3" i="29" s="1"/>
  <c r="L3" i="31" s="1"/>
  <c r="T8" i="29"/>
  <c r="U8" i="29" s="1"/>
  <c r="Y26" i="22"/>
  <c r="AB26" i="22" s="1"/>
  <c r="AE26" i="22" s="1"/>
  <c r="J26" i="31" s="1"/>
  <c r="Z20" i="22"/>
  <c r="AC20" i="22" s="1"/>
  <c r="H20" i="31" s="1"/>
  <c r="Q15" i="29"/>
  <c r="R15" i="29" s="1"/>
  <c r="S15" i="29" s="1"/>
  <c r="L15" i="31" s="1"/>
  <c r="T27" i="29"/>
  <c r="U27" i="29" s="1"/>
  <c r="Q55" i="29"/>
  <c r="R55" i="29" s="1"/>
  <c r="S55" i="29" s="1"/>
  <c r="L55" i="31" s="1"/>
  <c r="T40" i="29"/>
  <c r="U40" i="29" s="1"/>
  <c r="Z41" i="22"/>
  <c r="AC41" i="22" s="1"/>
  <c r="H41" i="31" s="1"/>
  <c r="Q25" i="29"/>
  <c r="R25" i="29" s="1"/>
  <c r="S25" i="29" s="1"/>
  <c r="L25" i="31" s="1"/>
  <c r="Z25" i="22"/>
  <c r="AC25" i="22" s="1"/>
  <c r="H25" i="31" s="1"/>
  <c r="T49" i="29"/>
  <c r="U49" i="29" s="1"/>
  <c r="T15" i="29"/>
  <c r="U15" i="29" s="1"/>
  <c r="Q29" i="29"/>
  <c r="R29" i="29" s="1"/>
  <c r="S29" i="29" s="1"/>
  <c r="L29" i="31" s="1"/>
  <c r="Q47" i="29"/>
  <c r="R47" i="29" s="1"/>
  <c r="S47" i="29" s="1"/>
  <c r="L47" i="31" s="1"/>
  <c r="Z48" i="22"/>
  <c r="AC48" i="22" s="1"/>
  <c r="H48" i="31" s="1"/>
  <c r="Q36" i="29"/>
  <c r="R36" i="29" s="1"/>
  <c r="S36" i="29" s="1"/>
  <c r="L36" i="31" s="1"/>
  <c r="Z36" i="22"/>
  <c r="AC36" i="22" s="1"/>
  <c r="H36" i="31" s="1"/>
  <c r="Y36" i="22"/>
  <c r="AB36" i="22" s="1"/>
  <c r="AE36" i="22" s="1"/>
  <c r="J36" i="31" s="1"/>
  <c r="T50" i="29"/>
  <c r="U50" i="29" s="1"/>
  <c r="Y3" i="22"/>
  <c r="AB3" i="22" s="1"/>
  <c r="AE3" i="22" s="1"/>
  <c r="J3" i="31" s="1"/>
  <c r="T47" i="29"/>
  <c r="U47" i="29" s="1"/>
  <c r="Y21" i="22"/>
  <c r="AB21" i="22" s="1"/>
  <c r="AE21" i="22" s="1"/>
  <c r="J21" i="31" s="1"/>
  <c r="T21" i="29"/>
  <c r="U21" i="29" s="1"/>
  <c r="Y40" i="22"/>
  <c r="AB40" i="22" s="1"/>
  <c r="AE40" i="22" s="1"/>
  <c r="J40" i="31" s="1"/>
  <c r="Y52" i="22"/>
  <c r="AB52" i="22" s="1"/>
  <c r="AE52" i="22" s="1"/>
  <c r="J52" i="31" s="1"/>
  <c r="Q48" i="29"/>
  <c r="R48" i="29" s="1"/>
  <c r="S48" i="29" s="1"/>
  <c r="L48" i="31" s="1"/>
  <c r="Z43" i="22"/>
  <c r="AC43" i="22" s="1"/>
  <c r="H43" i="31" s="1"/>
  <c r="T43" i="29"/>
  <c r="U43" i="29" s="1"/>
  <c r="Y43" i="22"/>
  <c r="AB43" i="22" s="1"/>
  <c r="AE43" i="22" s="1"/>
  <c r="J43" i="31" s="1"/>
  <c r="T54" i="29"/>
  <c r="U54" i="29" s="1"/>
  <c r="Q54" i="29"/>
  <c r="R54" i="29" s="1"/>
  <c r="S54" i="29" s="1"/>
  <c r="L54" i="31" s="1"/>
  <c r="Y54" i="22"/>
  <c r="AB54" i="22" s="1"/>
  <c r="AE54" i="22" s="1"/>
  <c r="J54" i="31" s="1"/>
  <c r="Z54" i="22"/>
  <c r="AC54" i="22" s="1"/>
  <c r="H54" i="31" s="1"/>
  <c r="Y41" i="22"/>
  <c r="AB41" i="22" s="1"/>
  <c r="AE41" i="22" s="1"/>
  <c r="J41" i="31" s="1"/>
  <c r="Y34" i="22"/>
  <c r="AB34" i="22" s="1"/>
  <c r="AE34" i="22" s="1"/>
  <c r="J34" i="31" s="1"/>
  <c r="Q34" i="29"/>
  <c r="R34" i="29" s="1"/>
  <c r="S34" i="29" s="1"/>
  <c r="L34" i="31" s="1"/>
  <c r="Z35" i="22"/>
  <c r="AC35" i="22" s="1"/>
  <c r="H35" i="31" s="1"/>
  <c r="Y35" i="22"/>
  <c r="AB35" i="22" s="1"/>
  <c r="AE35" i="22" s="1"/>
  <c r="J35" i="31" s="1"/>
  <c r="T35" i="29"/>
  <c r="U35" i="29" s="1"/>
  <c r="Z38" i="22"/>
  <c r="AC38" i="22" s="1"/>
  <c r="H38" i="31" s="1"/>
  <c r="Q38" i="29"/>
  <c r="R38" i="29" s="1"/>
  <c r="S38" i="29" s="1"/>
  <c r="L38" i="31" s="1"/>
  <c r="Y38" i="22"/>
  <c r="AB38" i="22" s="1"/>
  <c r="AE38" i="22" s="1"/>
  <c r="J38" i="31" s="1"/>
  <c r="T38" i="29"/>
  <c r="U38" i="29" s="1"/>
  <c r="Q26" i="29"/>
  <c r="R26" i="29" s="1"/>
  <c r="S26" i="29" s="1"/>
  <c r="L26" i="31" s="1"/>
  <c r="Y39" i="22"/>
  <c r="AB39" i="22" s="1"/>
  <c r="AE39" i="22" s="1"/>
  <c r="J39" i="31" s="1"/>
  <c r="T39" i="29"/>
  <c r="U39" i="29" s="1"/>
  <c r="Q39" i="29"/>
  <c r="R39" i="29" s="1"/>
  <c r="S39" i="29" s="1"/>
  <c r="L39" i="31" s="1"/>
  <c r="Z39" i="22"/>
  <c r="AC39" i="22" s="1"/>
  <c r="H39" i="31" s="1"/>
  <c r="T46" i="29"/>
  <c r="U46" i="29" s="1"/>
  <c r="Q53" i="29"/>
  <c r="R53" i="29" s="1"/>
  <c r="S53" i="29" s="1"/>
  <c r="L53" i="31" s="1"/>
  <c r="Y53" i="22"/>
  <c r="AB53" i="22" s="1"/>
  <c r="AE53" i="22" s="1"/>
  <c r="J53" i="31" s="1"/>
  <c r="Z53" i="22"/>
  <c r="AC53" i="22" s="1"/>
  <c r="H53" i="31" s="1"/>
  <c r="T53" i="29"/>
  <c r="U53" i="29" s="1"/>
  <c r="O53" i="31" s="1"/>
  <c r="P53" i="31" s="1"/>
  <c r="V5" i="29"/>
  <c r="M5" i="31" s="1"/>
  <c r="Q9" i="29"/>
  <c r="R9" i="29" s="1"/>
  <c r="S9" i="29" s="1"/>
  <c r="L9" i="31" s="1"/>
  <c r="T9" i="29"/>
  <c r="U9" i="29" s="1"/>
  <c r="O9" i="31" s="1"/>
  <c r="P9" i="31" s="1"/>
  <c r="Y9" i="22"/>
  <c r="AB9" i="22" s="1"/>
  <c r="AE9" i="22" s="1"/>
  <c r="J9" i="31" s="1"/>
  <c r="Z9" i="22"/>
  <c r="AC9" i="22" s="1"/>
  <c r="H9" i="31" s="1"/>
  <c r="Z3" i="22"/>
  <c r="AC3" i="22" s="1"/>
  <c r="H3" i="31" s="1"/>
  <c r="Q14" i="29"/>
  <c r="R14" i="29" s="1"/>
  <c r="S14" i="29" s="1"/>
  <c r="L14" i="31" s="1"/>
  <c r="Y14" i="22"/>
  <c r="AB14" i="22" s="1"/>
  <c r="AE14" i="22" s="1"/>
  <c r="J14" i="31" s="1"/>
  <c r="Z14" i="22"/>
  <c r="AC14" i="22" s="1"/>
  <c r="H14" i="31" s="1"/>
  <c r="T14" i="29"/>
  <c r="U14" i="29" s="1"/>
  <c r="O14" i="31" s="1"/>
  <c r="P14" i="31" s="1"/>
  <c r="T10" i="29"/>
  <c r="U10" i="29" s="1"/>
  <c r="O10" i="31" s="1"/>
  <c r="P10" i="31" s="1"/>
  <c r="Q10" i="29"/>
  <c r="R10" i="29" s="1"/>
  <c r="S10" i="29" s="1"/>
  <c r="L10" i="31" s="1"/>
  <c r="Z10" i="22"/>
  <c r="AC10" i="22" s="1"/>
  <c r="H10" i="31" s="1"/>
  <c r="Y10" i="22"/>
  <c r="AB10" i="22" s="1"/>
  <c r="AE10" i="22" s="1"/>
  <c r="J10" i="31" s="1"/>
  <c r="V13" i="29" l="1"/>
  <c r="M13" i="31" s="1"/>
  <c r="O13" i="31"/>
  <c r="P13" i="31" s="1"/>
  <c r="V38" i="29"/>
  <c r="M38" i="31" s="1"/>
  <c r="O38" i="31"/>
  <c r="P38" i="31" s="1"/>
  <c r="V8" i="29"/>
  <c r="M8" i="31" s="1"/>
  <c r="O8" i="31"/>
  <c r="P8" i="31" s="1"/>
  <c r="V41" i="29"/>
  <c r="M41" i="31" s="1"/>
  <c r="O41" i="31"/>
  <c r="P41" i="31" s="1"/>
  <c r="V48" i="29"/>
  <c r="M48" i="31" s="1"/>
  <c r="O48" i="31"/>
  <c r="P48" i="31" s="1"/>
  <c r="V24" i="29"/>
  <c r="M24" i="31" s="1"/>
  <c r="O24" i="31"/>
  <c r="P24" i="31" s="1"/>
  <c r="V35" i="29"/>
  <c r="M35" i="31" s="1"/>
  <c r="O35" i="31"/>
  <c r="P35" i="31" s="1"/>
  <c r="V34" i="29"/>
  <c r="M34" i="31" s="1"/>
  <c r="O34" i="31"/>
  <c r="P34" i="31" s="1"/>
  <c r="V27" i="29"/>
  <c r="M27" i="31" s="1"/>
  <c r="O27" i="31"/>
  <c r="P27" i="31" s="1"/>
  <c r="V21" i="29"/>
  <c r="M21" i="31" s="1"/>
  <c r="O21" i="31"/>
  <c r="P21" i="31" s="1"/>
  <c r="V50" i="29"/>
  <c r="M50" i="31" s="1"/>
  <c r="O50" i="31"/>
  <c r="P50" i="31" s="1"/>
  <c r="V49" i="29"/>
  <c r="M49" i="31" s="1"/>
  <c r="O49" i="31"/>
  <c r="P49" i="31" s="1"/>
  <c r="V46" i="29"/>
  <c r="M46" i="31" s="1"/>
  <c r="O46" i="31"/>
  <c r="P46" i="31" s="1"/>
  <c r="V54" i="29"/>
  <c r="M54" i="31" s="1"/>
  <c r="O54" i="31"/>
  <c r="P54" i="31" s="1"/>
  <c r="V40" i="29"/>
  <c r="M40" i="31" s="1"/>
  <c r="O40" i="31"/>
  <c r="P40" i="31" s="1"/>
  <c r="V51" i="29"/>
  <c r="M51" i="31" s="1"/>
  <c r="O51" i="31"/>
  <c r="P51" i="31" s="1"/>
  <c r="V52" i="29"/>
  <c r="M52" i="31" s="1"/>
  <c r="O52" i="31"/>
  <c r="P52" i="31" s="1"/>
  <c r="V55" i="29"/>
  <c r="M55" i="31" s="1"/>
  <c r="O55" i="31"/>
  <c r="P55" i="31" s="1"/>
  <c r="V29" i="29"/>
  <c r="M29" i="31" s="1"/>
  <c r="O29" i="31"/>
  <c r="P29" i="31" s="1"/>
  <c r="V36" i="29"/>
  <c r="M36" i="31" s="1"/>
  <c r="O36" i="31"/>
  <c r="P36" i="31" s="1"/>
  <c r="V39" i="29"/>
  <c r="M39" i="31" s="1"/>
  <c r="O39" i="31"/>
  <c r="P39" i="31" s="1"/>
  <c r="V15" i="29"/>
  <c r="M15" i="31" s="1"/>
  <c r="O15" i="31"/>
  <c r="P15" i="31" s="1"/>
  <c r="V26" i="29"/>
  <c r="M26" i="31" s="1"/>
  <c r="O26" i="31"/>
  <c r="P26" i="31" s="1"/>
  <c r="V25" i="29"/>
  <c r="M25" i="31" s="1"/>
  <c r="O25" i="31"/>
  <c r="P25" i="31" s="1"/>
  <c r="V47" i="29"/>
  <c r="M47" i="31" s="1"/>
  <c r="O47" i="31"/>
  <c r="P47" i="31" s="1"/>
  <c r="V43" i="29"/>
  <c r="M43" i="31" s="1"/>
  <c r="O43" i="31"/>
  <c r="P43" i="31" s="1"/>
  <c r="V37" i="29"/>
  <c r="M37" i="31" s="1"/>
  <c r="O37" i="31"/>
  <c r="P37" i="31" s="1"/>
  <c r="V20" i="29"/>
  <c r="M20" i="31" s="1"/>
  <c r="O20" i="31"/>
  <c r="P20" i="31" s="1"/>
  <c r="V7" i="29"/>
  <c r="M7" i="31" s="1"/>
  <c r="O7" i="31"/>
  <c r="P7" i="31" s="1"/>
  <c r="AB29" i="22"/>
  <c r="AE29" i="22" s="1"/>
  <c r="J29" i="31" s="1"/>
  <c r="AS3" i="21"/>
  <c r="AV3" i="21" s="1"/>
  <c r="AY3" i="21" s="1"/>
  <c r="G3" i="31" s="1"/>
  <c r="V3" i="29"/>
  <c r="M3" i="31" s="1"/>
  <c r="V53" i="29"/>
  <c r="M53" i="31" s="1"/>
  <c r="V10" i="29"/>
  <c r="M10" i="31" s="1"/>
  <c r="V14" i="29"/>
  <c r="M14" i="31" s="1"/>
  <c r="V9" i="29"/>
  <c r="M9" i="31" s="1"/>
  <c r="O3" i="31" l="1"/>
  <c r="P3" i="31" s="1"/>
</calcChain>
</file>

<file path=xl/sharedStrings.xml><?xml version="1.0" encoding="utf-8"?>
<sst xmlns="http://schemas.openxmlformats.org/spreadsheetml/2006/main" count="639" uniqueCount="237">
  <si>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</si>
  <si>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</si>
  <si>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</si>
  <si>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</si>
  <si>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</si>
  <si>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</si>
  <si>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</si>
  <si>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</si>
  <si>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</si>
  <si>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</si>
  <si>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</si>
  <si>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</si>
  <si>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Integra 5 HB FWD</t>
  </si>
  <si>
    <t>Y</t>
  </si>
  <si>
    <t>N</t>
  </si>
  <si>
    <t>Honda</t>
  </si>
  <si>
    <t>Civic Hatchback FWD</t>
  </si>
  <si>
    <t>Civic Hatchback Typer R FWD</t>
  </si>
  <si>
    <t>Civic Sedan FWD</t>
  </si>
  <si>
    <t>Audi</t>
  </si>
  <si>
    <t>Q7 SUV AWD</t>
  </si>
  <si>
    <t>SQ7 SUV AWD</t>
  </si>
  <si>
    <t>Q8 AWD</t>
  </si>
  <si>
    <t>SQ8 AWD</t>
  </si>
  <si>
    <t>RS Q8 AWD</t>
  </si>
  <si>
    <t>BMW</t>
  </si>
  <si>
    <t>X1 SUV AWD</t>
  </si>
  <si>
    <t>Chevrolet</t>
  </si>
  <si>
    <t>Colorado PU/CC RWD</t>
  </si>
  <si>
    <t>Colorado PU/CC 4WD</t>
  </si>
  <si>
    <t>GMC</t>
  </si>
  <si>
    <t>Canyon PU/CC RWD</t>
  </si>
  <si>
    <t>Canyon PU/CC 4WD</t>
  </si>
  <si>
    <t>Malibu 4DR FWD</t>
  </si>
  <si>
    <t>Ford</t>
  </si>
  <si>
    <t>Explorer SUV RWD</t>
  </si>
  <si>
    <t>Explorer SUV 4WD</t>
  </si>
  <si>
    <t>Explorer HEV SUV RWD</t>
  </si>
  <si>
    <t>Explorer HEV SUV 4WD</t>
  </si>
  <si>
    <t>Lincoln</t>
  </si>
  <si>
    <t>Aviator SUV RWD</t>
  </si>
  <si>
    <t>Aviator SUV 4WD</t>
  </si>
  <si>
    <t xml:space="preserve">Honda </t>
  </si>
  <si>
    <t>HR-V SUV FWD</t>
  </si>
  <si>
    <t>HR-V SUV AWD</t>
  </si>
  <si>
    <t>Hyundai</t>
  </si>
  <si>
    <t>Santa Cruz PU/CC FWD</t>
  </si>
  <si>
    <t>Santa Cruz PU/CC AWD</t>
  </si>
  <si>
    <t>Kona Electric FWD</t>
  </si>
  <si>
    <t>Jeep</t>
  </si>
  <si>
    <t>Grand Cherokee SUV RWD</t>
  </si>
  <si>
    <t xml:space="preserve">Jeep </t>
  </si>
  <si>
    <t>Grand Cherokee SUV 4WD</t>
  </si>
  <si>
    <t>Grand Cherokee L SUV RWD</t>
  </si>
  <si>
    <t>Grand Cherokee L SUV 4WD</t>
  </si>
  <si>
    <t>Grand Cherokee 4xe PHEV SUV 4WD</t>
  </si>
  <si>
    <t>Wrangler 4xe SUV PHEV 4WD</t>
  </si>
  <si>
    <t>Kia</t>
  </si>
  <si>
    <t>Sportage SUV FWD</t>
  </si>
  <si>
    <t>Sportage SUV AWD</t>
  </si>
  <si>
    <t>Sportage Hybrid SUV FWD</t>
  </si>
  <si>
    <t>Sportage Hybrid SUV AWD</t>
  </si>
  <si>
    <t>Telluride SUV FWD</t>
  </si>
  <si>
    <t>Telluride SUV AWD</t>
  </si>
  <si>
    <t>Niro HEV SUV FWD</t>
  </si>
  <si>
    <t>Mazda</t>
  </si>
  <si>
    <t>Mazda CX-50 SUV AWD</t>
  </si>
  <si>
    <t>Mazda CX-30 SUV AWD</t>
  </si>
  <si>
    <t xml:space="preserve">Mitsubishi </t>
  </si>
  <si>
    <t>Outlander SUV FWD</t>
  </si>
  <si>
    <t>Outlander SUV AWD</t>
  </si>
  <si>
    <t>Nissan</t>
  </si>
  <si>
    <t>Armada SUV RWD</t>
  </si>
  <si>
    <t>Armada SUV 4WD</t>
  </si>
  <si>
    <t xml:space="preserve">Infiniti </t>
  </si>
  <si>
    <t>QX80 SUV RWD</t>
  </si>
  <si>
    <t>QX80 SUV 4WD</t>
  </si>
  <si>
    <t>Rivian</t>
  </si>
  <si>
    <t>R1S SUV BEV AWD</t>
  </si>
  <si>
    <t>Subaru</t>
  </si>
  <si>
    <t>Solterra SUV BEV AWD</t>
  </si>
  <si>
    <t>Toyota</t>
  </si>
  <si>
    <t>bZ4X SUV BEV FWD</t>
  </si>
  <si>
    <t>bZ4X SUV BEV AWD</t>
  </si>
  <si>
    <t>Volkswagen</t>
  </si>
  <si>
    <t>Tiguan SUV FWD</t>
  </si>
  <si>
    <t>Tiguan SUV AWD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</si>
  <si>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</si>
  <si>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</si>
  <si>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</si>
  <si>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</si>
  <si>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</si>
  <si>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</si>
  <si>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</si>
  <si>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</si>
  <si>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</si>
  <si>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</si>
  <si>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</si>
  <si>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</si>
  <si>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</si>
  <si>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</si>
  <si>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</si>
  <si>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</si>
  <si>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</si>
  <si>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</si>
  <si>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</si>
  <si>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</si>
  <si>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</si>
  <si>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</si>
  <si>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</si>
  <si>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</si>
  <si>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</si>
  <si>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</si>
  <si>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</si>
  <si>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</si>
  <si>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</si>
  <si>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</si>
  <si>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</si>
  <si>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</si>
  <si>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O20235300</t>
  </si>
  <si>
    <t>MGA</t>
  </si>
  <si>
    <t>M20235800</t>
  </si>
  <si>
    <t>CAL</t>
  </si>
  <si>
    <t>O20195800</t>
  </si>
  <si>
    <t>M20234100</t>
  </si>
  <si>
    <t>KAR</t>
  </si>
  <si>
    <t>M20230100</t>
  </si>
  <si>
    <t>M20200110</t>
  </si>
  <si>
    <t>Calspan</t>
  </si>
  <si>
    <t>M20230200</t>
  </si>
  <si>
    <t>M20200203</t>
  </si>
  <si>
    <t>O20235303</t>
  </si>
  <si>
    <t>M20234200</t>
  </si>
  <si>
    <t>M20234214</t>
  </si>
  <si>
    <t>TRC</t>
  </si>
  <si>
    <t>M20220303</t>
  </si>
  <si>
    <t>M20230302</t>
  </si>
  <si>
    <t>M20230308</t>
  </si>
  <si>
    <t>M20234206</t>
  </si>
  <si>
    <t>M20204218</t>
  </si>
  <si>
    <t>M20234211</t>
  </si>
  <si>
    <t>M20235400</t>
  </si>
  <si>
    <t>M20205400</t>
  </si>
  <si>
    <t>M20235600</t>
  </si>
  <si>
    <t>M20235203</t>
  </si>
  <si>
    <t>O20235500</t>
  </si>
  <si>
    <t>M20235803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</si>
  <si>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</si>
  <si>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</si>
  <si>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</si>
  <si>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</si>
  <si>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</si>
  <si>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</si>
  <si>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</si>
  <si>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</si>
  <si>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</si>
  <si>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</si>
  <si>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</si>
  <si>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</si>
  <si>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</si>
  <si>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</si>
  <si>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</si>
  <si>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</si>
  <si>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</si>
  <si>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</si>
  <si>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</si>
  <si>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O20235302</t>
  </si>
  <si>
    <t>M20235801</t>
  </si>
  <si>
    <t>M20235802</t>
  </si>
  <si>
    <t>M20234102</t>
  </si>
  <si>
    <t>AIK</t>
  </si>
  <si>
    <t>M20230102</t>
  </si>
  <si>
    <t>M20230104</t>
  </si>
  <si>
    <t>M20200205</t>
  </si>
  <si>
    <t>O20235305</t>
  </si>
  <si>
    <t>M20234202</t>
  </si>
  <si>
    <t>M20234216</t>
  </si>
  <si>
    <t>M20230301</t>
  </si>
  <si>
    <t>M20220305</t>
  </si>
  <si>
    <t>M20230304</t>
  </si>
  <si>
    <t>M20234208</t>
  </si>
  <si>
    <t>M20234210</t>
  </si>
  <si>
    <t>M20234213</t>
  </si>
  <si>
    <t>M20235402</t>
  </si>
  <si>
    <t>O20235401</t>
  </si>
  <si>
    <t>M20235602</t>
  </si>
  <si>
    <t>M20235205</t>
  </si>
  <si>
    <t>O20235502</t>
  </si>
  <si>
    <t>O20235503</t>
  </si>
  <si>
    <t>O20235504</t>
  </si>
  <si>
    <t>M20185805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</si>
  <si>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</si>
  <si>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</si>
  <si>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</si>
  <si>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</si>
  <si>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</si>
  <si>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</si>
  <si>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</si>
  <si>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</si>
  <si>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</si>
  <si>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</si>
  <si>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</si>
  <si>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</si>
  <si>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</si>
  <si>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</si>
  <si>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O20235301</t>
  </si>
  <si>
    <t>O20185810</t>
  </si>
  <si>
    <t>O20195801</t>
  </si>
  <si>
    <t>M20234101</t>
  </si>
  <si>
    <t>M20230101</t>
  </si>
  <si>
    <t>M20230103</t>
  </si>
  <si>
    <t>M20200204</t>
  </si>
  <si>
    <t>O20235304</t>
  </si>
  <si>
    <t>M20234201</t>
  </si>
  <si>
    <t>M20234215</t>
  </si>
  <si>
    <t>M20230300</t>
  </si>
  <si>
    <t>M20220304</t>
  </si>
  <si>
    <t>M20230303</t>
  </si>
  <si>
    <t>M20234207</t>
  </si>
  <si>
    <t>M20234209</t>
  </si>
  <si>
    <t>M20234212</t>
  </si>
  <si>
    <t>M20235401</t>
  </si>
  <si>
    <t>O20235400</t>
  </si>
  <si>
    <t>M20235601</t>
  </si>
  <si>
    <t>M20235204</t>
  </si>
  <si>
    <t>O20235501</t>
  </si>
  <si>
    <t>M20185804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</si>
  <si>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</si>
  <si>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</si>
  <si>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</si>
  <si>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</si>
  <si>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</si>
  <si>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</si>
  <si>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 xml:space="preserve">Rollover </t>
  </si>
  <si>
    <t>Pass</t>
  </si>
  <si>
    <t>STARS</t>
  </si>
  <si>
    <t>VSS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</si>
</sst>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6" formatCode="[$-409]mmmm\-yy;@"/>
    <numFmt numFmtId="167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167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33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 wrapText="1"/>
    </xf>
    <xf numFmtId="1" fontId="4" fillId="0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4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</xf>
    <xf numFmtId="2" fontId="4" fillId="0" borderId="12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2" fontId="4" fillId="0" borderId="21" xfId="0" applyNumberFormat="1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34" xfId="0" applyFont="1" applyFill="1" applyBorder="1" applyAlignment="1">
      <alignment horizontal="center" wrapText="1"/>
    </xf>
    <xf numFmtId="1" fontId="4" fillId="0" borderId="34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1" fontId="4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64" fontId="4" fillId="0" borderId="20" xfId="0" applyNumberFormat="1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 wrapText="1"/>
    </xf>
    <xf numFmtId="164" fontId="4" fillId="0" borderId="2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1" xfId="16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/>
    <xf numFmtId="16" fontId="5" fillId="0" borderId="1" xfId="0" applyNumberFormat="1" applyFont="1" applyFill="1" applyBorder="1"/>
    <xf numFmtId="165" fontId="5" fillId="0" borderId="1" xfId="0" applyNumberFormat="1" applyFont="1" applyFill="1" applyBorder="1" applyAlignment="1"/>
    <xf numFmtId="165" fontId="5" fillId="0" borderId="1" xfId="0" applyNumberFormat="1" applyFont="1" applyFill="1" applyBorder="1"/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25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/>
    </xf>
    <xf numFmtId="164" fontId="4" fillId="0" borderId="26" xfId="0" applyNumberFormat="1" applyFont="1" applyFill="1" applyBorder="1" applyAlignment="1" applyProtection="1">
      <alignment horizontal="center"/>
    </xf>
    <xf numFmtId="1" fontId="4" fillId="0" borderId="22" xfId="0" applyNumberFormat="1" applyFont="1" applyFill="1" applyBorder="1" applyAlignment="1" applyProtection="1">
      <alignment horizontal="center"/>
    </xf>
    <xf numFmtId="164" fontId="4" fillId="0" borderId="27" xfId="0" applyNumberFormat="1" applyFont="1" applyFill="1" applyBorder="1" applyAlignment="1">
      <alignment horizontal="center" wrapText="1"/>
    </xf>
    <xf numFmtId="164" fontId="4" fillId="0" borderId="28" xfId="0" applyNumberFormat="1" applyFont="1" applyFill="1" applyBorder="1" applyAlignment="1">
      <alignment horizontal="center" wrapText="1"/>
    </xf>
    <xf numFmtId="164" fontId="4" fillId="0" borderId="33" xfId="0" applyNumberFormat="1" applyFont="1" applyFill="1" applyBorder="1" applyAlignment="1">
      <alignment horizontal="center" wrapText="1"/>
    </xf>
    <xf numFmtId="164" fontId="4" fillId="0" borderId="27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" fontId="4" fillId="0" borderId="28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0" xfId="0" applyNumberFormat="1" applyFont="1" applyFill="1"/>
    <xf numFmtId="0" fontId="2" fillId="0" borderId="1" xfId="0" applyNumberFormat="1" applyFont="1" applyFill="1" applyBorder="1" applyAlignment="1" applyProtection="1">
      <alignment horizontal="center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" fontId="2" fillId="0" borderId="5" xfId="0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27" xfId="0" applyNumberFormat="1" applyFont="1" applyFill="1" applyBorder="1" applyAlignment="1">
      <alignment horizontal="center" wrapText="1"/>
    </xf>
    <xf numFmtId="2" fontId="4" fillId="0" borderId="28" xfId="0" applyNumberFormat="1" applyFont="1" applyFill="1" applyBorder="1" applyAlignment="1">
      <alignment horizontal="center" wrapText="1"/>
    </xf>
    <xf numFmtId="1" fontId="4" fillId="0" borderId="31" xfId="0" applyNumberFormat="1" applyFont="1" applyFill="1" applyBorder="1" applyAlignment="1">
      <alignment horizontal="center" wrapText="1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 wrapText="1"/>
    </xf>
    <xf numFmtId="2" fontId="4" fillId="0" borderId="31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/>
    <xf numFmtId="2" fontId="5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3" fillId="0" borderId="0" xfId="0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</cellXfs>
  <cellStyles count="17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6" xfId="16" xr:uid="{00000000-0005-0000-0000-000008000000}"/>
    <cellStyle name="Normal 77" xfId="13" xr:uid="{00000000-0005-0000-0000-000009000000}"/>
    <cellStyle name="Normal 78" xfId="4" xr:uid="{00000000-0005-0000-0000-00000A000000}"/>
    <cellStyle name="Normal 81" xfId="6" xr:uid="{00000000-0005-0000-0000-00000B000000}"/>
    <cellStyle name="Normal 82" xfId="10" xr:uid="{00000000-0005-0000-0000-00000C000000}"/>
    <cellStyle name="Standard 3 3" xfId="14" xr:uid="{00000000-0005-0000-0000-00000D000000}"/>
    <cellStyle name="쉼표 [0] 2 4" xfId="12" xr:uid="{00000000-0005-0000-0000-00000E000000}"/>
    <cellStyle name="표준 10" xfId="7" xr:uid="{00000000-0005-0000-0000-00000F000000}"/>
    <cellStyle name="표준_Sheet1" xfId="11" xr:uid="{00000000-0005-0000-0000-00001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0099"/>
      <color rgb="FF800080"/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zoomScaleNormal="100" workbookViewId="0">
      <pane ySplit="2" topLeftCell="A3" activePane="bottomLeft" state="frozen"/>
      <selection pane="bottomLeft" activeCell="A12" sqref="A12:XFD12"/>
    </sheetView>
  </sheetViews>
  <sheetFormatPr defaultColWidth="9.140625" defaultRowHeight="13.15" customHeight="1"/>
  <cols>
    <col min="1" max="1" width="13.5703125" style="78" customWidth="1"/>
    <col min="2" max="2" width="43.85546875" style="78" customWidth="1"/>
    <col min="3" max="3" width="6.28515625" style="69" customWidth="1"/>
    <col min="4" max="4" width="4.85546875" style="69" bestFit="1" customWidth="1"/>
    <col min="5" max="5" width="18" style="69" bestFit="1" customWidth="1"/>
    <col min="6" max="6" width="13.140625" style="69" bestFit="1" customWidth="1"/>
    <col min="7" max="7" width="7.7109375" style="79" customWidth="1"/>
    <col min="8" max="8" width="7.42578125" style="79" bestFit="1" customWidth="1"/>
    <col min="9" max="9" width="7.7109375" style="80" bestFit="1" customWidth="1"/>
    <col min="10" max="10" width="7.140625" style="79" bestFit="1" customWidth="1"/>
    <col min="11" max="16384" width="9.140625" style="69"/>
  </cols>
  <sheetData>
    <row r="1" spans="1:10" s="53" customFormat="1" ht="13.15" customHeight="1" thickBot="1">
      <c r="A1" s="50"/>
      <c r="B1" s="50"/>
      <c r="C1" s="50"/>
      <c r="D1" s="50"/>
      <c r="E1" s="50"/>
      <c r="F1" s="50"/>
      <c r="G1" s="51"/>
      <c r="H1" s="51"/>
      <c r="I1" s="52"/>
      <c r="J1" s="51" t="s">
        <v>0</v>
      </c>
    </row>
    <row r="2" spans="1:10" s="53" customFormat="1" ht="13.15" customHeight="1" thickBot="1">
      <c r="A2" s="87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5" t="s">
        <v>6</v>
      </c>
      <c r="G2" s="56" t="s">
        <v>7</v>
      </c>
      <c r="H2" s="57" t="s">
        <v>8</v>
      </c>
      <c r="I2" s="58" t="s">
        <v>9</v>
      </c>
      <c r="J2" s="59" t="s">
        <v>10</v>
      </c>
    </row>
    <row r="3" spans="1:10" ht="13.15" customHeight="1">
      <c r="A3" s="60" t="s">
        <v>11</v>
      </c>
      <c r="B3" s="61" t="s">
        <v>12</v>
      </c>
      <c r="C3" s="62">
        <v>2023</v>
      </c>
      <c r="D3" s="63">
        <v>1.48</v>
      </c>
      <c r="E3" s="63" t="s">
        <v>13</v>
      </c>
      <c r="F3" s="63" t="s">
        <v>14</v>
      </c>
      <c r="G3" s="65">
        <f t="shared" ref="G3:G23" si="0">IF(F3="Y",((1/(1+EXP(2.6968+(1.1686*LN(D3-0.9)))))),((1/(1+EXP(2.8891+(1.1686*(LN(D3-0.9))))))))</f>
        <v>9.5131298699074329E-2</v>
      </c>
      <c r="H3" s="66">
        <f t="shared" ref="H3:H23" si="1">ROUND(G3,3)</f>
        <v>9.5000000000000001E-2</v>
      </c>
      <c r="I3" s="67">
        <f t="shared" ref="I3:I23" si="2">ROUND(H3/0.15,2)</f>
        <v>0.63</v>
      </c>
      <c r="J3" s="68">
        <f t="shared" ref="J3:J23" si="3">IF(I3&lt;0.673,5,IF(I3&lt;1.33,4,IF(I3&lt;2,3,IF(I3&lt;2.67,2,1))))</f>
        <v>5</v>
      </c>
    </row>
    <row r="4" spans="1:10" ht="13.15" customHeight="1">
      <c r="A4" s="73" t="s">
        <v>15</v>
      </c>
      <c r="B4" s="76" t="s">
        <v>16</v>
      </c>
      <c r="C4" s="62">
        <v>2023</v>
      </c>
      <c r="D4" s="63">
        <v>1.48</v>
      </c>
      <c r="E4" s="63" t="s">
        <v>13</v>
      </c>
      <c r="F4" s="63" t="s">
        <v>14</v>
      </c>
      <c r="G4" s="65">
        <f t="shared" si="0"/>
        <v>9.5131298699074329E-2</v>
      </c>
      <c r="H4" s="66">
        <f t="shared" si="1"/>
        <v>9.5000000000000001E-2</v>
      </c>
      <c r="I4" s="67">
        <f t="shared" si="2"/>
        <v>0.63</v>
      </c>
      <c r="J4" s="68">
        <f t="shared" si="3"/>
        <v>5</v>
      </c>
    </row>
    <row r="5" spans="1:10" ht="13.15" customHeight="1">
      <c r="A5" s="73" t="s">
        <v>15</v>
      </c>
      <c r="B5" s="76" t="s">
        <v>17</v>
      </c>
      <c r="C5" s="62">
        <v>2023</v>
      </c>
      <c r="D5" s="63">
        <v>1.48</v>
      </c>
      <c r="E5" s="63" t="s">
        <v>13</v>
      </c>
      <c r="F5" s="63" t="s">
        <v>14</v>
      </c>
      <c r="G5" s="65">
        <f t="shared" si="0"/>
        <v>9.5131298699074329E-2</v>
      </c>
      <c r="H5" s="66">
        <f t="shared" si="1"/>
        <v>9.5000000000000001E-2</v>
      </c>
      <c r="I5" s="67">
        <f t="shared" si="2"/>
        <v>0.63</v>
      </c>
      <c r="J5" s="68">
        <f t="shared" si="3"/>
        <v>5</v>
      </c>
    </row>
    <row r="6" spans="1:10" ht="13.15" customHeight="1">
      <c r="A6" s="73" t="s">
        <v>15</v>
      </c>
      <c r="B6" s="76" t="s">
        <v>18</v>
      </c>
      <c r="C6" s="62">
        <v>2023</v>
      </c>
      <c r="D6" s="63">
        <v>1.48</v>
      </c>
      <c r="E6" s="63" t="s">
        <v>13</v>
      </c>
      <c r="F6" s="63" t="s">
        <v>14</v>
      </c>
      <c r="G6" s="65">
        <f t="shared" si="0"/>
        <v>9.5131298699074329E-2</v>
      </c>
      <c r="H6" s="66">
        <f t="shared" si="1"/>
        <v>9.5000000000000001E-2</v>
      </c>
      <c r="I6" s="67">
        <f t="shared" si="2"/>
        <v>0.63</v>
      </c>
      <c r="J6" s="68">
        <f t="shared" si="3"/>
        <v>5</v>
      </c>
    </row>
    <row r="7" spans="1:10" ht="13.15" customHeight="1">
      <c r="A7" s="60" t="s">
        <v>19</v>
      </c>
      <c r="B7" s="140" t="s">
        <v>20</v>
      </c>
      <c r="C7" s="62">
        <v>2023</v>
      </c>
      <c r="D7" s="16">
        <v>1.26</v>
      </c>
      <c r="E7" s="16" t="s">
        <v>13</v>
      </c>
      <c r="F7" s="16" t="s">
        <v>14</v>
      </c>
      <c r="G7" s="65">
        <f t="shared" si="0"/>
        <v>0.15509342889208913</v>
      </c>
      <c r="H7" s="66">
        <f t="shared" si="1"/>
        <v>0.155</v>
      </c>
      <c r="I7" s="67">
        <f t="shared" si="2"/>
        <v>1.03</v>
      </c>
      <c r="J7" s="68">
        <f t="shared" si="3"/>
        <v>4</v>
      </c>
    </row>
    <row r="8" spans="1:10" ht="13.15" customHeight="1">
      <c r="A8" s="73" t="s">
        <v>19</v>
      </c>
      <c r="B8" s="141" t="s">
        <v>21</v>
      </c>
      <c r="C8" s="62">
        <v>2023</v>
      </c>
      <c r="D8" s="16">
        <v>1.26</v>
      </c>
      <c r="E8" s="16" t="s">
        <v>13</v>
      </c>
      <c r="F8" s="16" t="s">
        <v>14</v>
      </c>
      <c r="G8" s="65">
        <f t="shared" si="0"/>
        <v>0.15509342889208913</v>
      </c>
      <c r="H8" s="66">
        <f t="shared" si="1"/>
        <v>0.155</v>
      </c>
      <c r="I8" s="67">
        <f t="shared" si="2"/>
        <v>1.03</v>
      </c>
      <c r="J8" s="68">
        <f t="shared" si="3"/>
        <v>4</v>
      </c>
    </row>
    <row r="9" spans="1:10" ht="13.15" customHeight="1">
      <c r="A9" s="60" t="s">
        <v>19</v>
      </c>
      <c r="B9" s="140" t="s">
        <v>22</v>
      </c>
      <c r="C9" s="62">
        <v>2023</v>
      </c>
      <c r="D9" s="63">
        <v>1.25</v>
      </c>
      <c r="E9" s="63" t="s">
        <v>13</v>
      </c>
      <c r="F9" s="64" t="s">
        <v>14</v>
      </c>
      <c r="G9" s="65">
        <f t="shared" si="0"/>
        <v>0.15945645755950677</v>
      </c>
      <c r="H9" s="66">
        <f t="shared" si="1"/>
        <v>0.159</v>
      </c>
      <c r="I9" s="67">
        <f t="shared" si="2"/>
        <v>1.06</v>
      </c>
      <c r="J9" s="68">
        <f t="shared" si="3"/>
        <v>4</v>
      </c>
    </row>
    <row r="10" spans="1:10" ht="13.15" customHeight="1">
      <c r="A10" s="73" t="s">
        <v>19</v>
      </c>
      <c r="B10" s="141" t="s">
        <v>23</v>
      </c>
      <c r="C10" s="62">
        <v>2023</v>
      </c>
      <c r="D10" s="63">
        <v>1.25</v>
      </c>
      <c r="E10" s="63" t="s">
        <v>13</v>
      </c>
      <c r="F10" s="64" t="s">
        <v>14</v>
      </c>
      <c r="G10" s="65">
        <f t="shared" si="0"/>
        <v>0.15945645755950677</v>
      </c>
      <c r="H10" s="66">
        <f t="shared" si="1"/>
        <v>0.159</v>
      </c>
      <c r="I10" s="67">
        <f t="shared" si="2"/>
        <v>1.06</v>
      </c>
      <c r="J10" s="68">
        <f t="shared" si="3"/>
        <v>4</v>
      </c>
    </row>
    <row r="11" spans="1:10" ht="13.15" customHeight="1">
      <c r="A11" s="73" t="s">
        <v>19</v>
      </c>
      <c r="B11" s="141" t="s">
        <v>24</v>
      </c>
      <c r="C11" s="62">
        <v>2023</v>
      </c>
      <c r="D11" s="63">
        <v>1.25</v>
      </c>
      <c r="E11" s="63" t="s">
        <v>13</v>
      </c>
      <c r="F11" s="64" t="s">
        <v>14</v>
      </c>
      <c r="G11" s="65">
        <f t="shared" si="0"/>
        <v>0.15945645755950677</v>
      </c>
      <c r="H11" s="66">
        <f t="shared" si="1"/>
        <v>0.159</v>
      </c>
      <c r="I11" s="67">
        <f t="shared" si="2"/>
        <v>1.06</v>
      </c>
      <c r="J11" s="68">
        <f t="shared" si="3"/>
        <v>4</v>
      </c>
    </row>
    <row r="12" spans="1:10" ht="13.15" customHeight="1">
      <c r="A12" s="70" t="s">
        <v>25</v>
      </c>
      <c r="B12" s="8" t="s">
        <v>26</v>
      </c>
      <c r="C12" s="62">
        <v>2023</v>
      </c>
      <c r="D12" s="16">
        <v>1.22</v>
      </c>
      <c r="E12" s="16" t="s">
        <v>13</v>
      </c>
      <c r="F12" s="41" t="s">
        <v>14</v>
      </c>
      <c r="G12" s="23">
        <f>IF(F12="Y",((1/(1+EXP(2.6968+(1.1686*LN(D12-0.9)))))),((1/(1+EXP(2.8891+(1.1686*(LN(D12-0.9))))))))</f>
        <v>0.17399746725853527</v>
      </c>
      <c r="H12" s="5">
        <f>ROUND(G12,3)</f>
        <v>0.17399999999999999</v>
      </c>
      <c r="I12" s="88">
        <f>ROUND(H12/0.15,2)</f>
        <v>1.1599999999999999</v>
      </c>
      <c r="J12" s="86">
        <f>IF(I12&lt;0.673,5,IF(I12&lt;1.33,4,IF(I12&lt;2,3,IF(I12&lt;2.67,2,1))))</f>
        <v>4</v>
      </c>
    </row>
    <row r="13" spans="1:10" ht="13.15" customHeight="1">
      <c r="A13" s="70" t="s">
        <v>27</v>
      </c>
      <c r="B13" s="8" t="s">
        <v>28</v>
      </c>
      <c r="C13" s="62">
        <v>2023</v>
      </c>
      <c r="D13" s="16"/>
      <c r="E13" s="16"/>
      <c r="F13" s="41"/>
      <c r="G13" s="65" t="e">
        <f t="shared" si="0"/>
        <v>#NUM!</v>
      </c>
      <c r="H13" s="66" t="e">
        <f t="shared" si="1"/>
        <v>#NUM!</v>
      </c>
      <c r="I13" s="67" t="e">
        <f t="shared" si="2"/>
        <v>#NUM!</v>
      </c>
      <c r="J13" s="68" t="e">
        <f t="shared" si="3"/>
        <v>#NUM!</v>
      </c>
    </row>
    <row r="14" spans="1:10" ht="13.15" customHeight="1">
      <c r="A14" s="70" t="s">
        <v>27</v>
      </c>
      <c r="B14" s="8" t="s">
        <v>29</v>
      </c>
      <c r="C14" s="62">
        <v>2023</v>
      </c>
      <c r="D14" s="16"/>
      <c r="E14" s="16"/>
      <c r="F14" s="41"/>
      <c r="G14" s="65" t="e">
        <f t="shared" si="0"/>
        <v>#NUM!</v>
      </c>
      <c r="H14" s="66" t="e">
        <f t="shared" si="1"/>
        <v>#NUM!</v>
      </c>
      <c r="I14" s="67" t="e">
        <f t="shared" si="2"/>
        <v>#NUM!</v>
      </c>
      <c r="J14" s="68" t="e">
        <f t="shared" si="3"/>
        <v>#NUM!</v>
      </c>
    </row>
    <row r="15" spans="1:10" ht="13.15" customHeight="1">
      <c r="A15" s="71" t="s">
        <v>30</v>
      </c>
      <c r="B15" s="63" t="s">
        <v>31</v>
      </c>
      <c r="C15" s="62">
        <v>2023</v>
      </c>
      <c r="D15" s="16"/>
      <c r="E15" s="16"/>
      <c r="F15" s="41"/>
      <c r="G15" s="65" t="e">
        <f t="shared" si="0"/>
        <v>#NUM!</v>
      </c>
      <c r="H15" s="66" t="e">
        <f t="shared" si="1"/>
        <v>#NUM!</v>
      </c>
      <c r="I15" s="67" t="e">
        <f t="shared" si="2"/>
        <v>#NUM!</v>
      </c>
      <c r="J15" s="68" t="e">
        <f t="shared" si="3"/>
        <v>#NUM!</v>
      </c>
    </row>
    <row r="16" spans="1:10" ht="13.15" customHeight="1">
      <c r="A16" s="71" t="s">
        <v>30</v>
      </c>
      <c r="B16" s="63" t="s">
        <v>32</v>
      </c>
      <c r="C16" s="62">
        <v>2023</v>
      </c>
      <c r="D16" s="16"/>
      <c r="E16" s="16"/>
      <c r="F16" s="41"/>
      <c r="G16" s="65" t="e">
        <f t="shared" si="0"/>
        <v>#NUM!</v>
      </c>
      <c r="H16" s="66" t="e">
        <f t="shared" si="1"/>
        <v>#NUM!</v>
      </c>
      <c r="I16" s="67" t="e">
        <f t="shared" si="2"/>
        <v>#NUM!</v>
      </c>
      <c r="J16" s="68" t="e">
        <f t="shared" si="3"/>
        <v>#NUM!</v>
      </c>
    </row>
    <row r="17" spans="1:10" ht="13.15" customHeight="1">
      <c r="A17" s="70" t="s">
        <v>27</v>
      </c>
      <c r="B17" s="8" t="s">
        <v>33</v>
      </c>
      <c r="C17" s="62">
        <v>2023</v>
      </c>
      <c r="D17" s="63">
        <v>1.44</v>
      </c>
      <c r="E17" s="63" t="s">
        <v>14</v>
      </c>
      <c r="F17" s="63" t="s">
        <v>14</v>
      </c>
      <c r="G17" s="65">
        <f t="shared" si="0"/>
        <v>0.10256675558990924</v>
      </c>
      <c r="H17" s="66">
        <f t="shared" si="1"/>
        <v>0.10299999999999999</v>
      </c>
      <c r="I17" s="67">
        <f t="shared" si="2"/>
        <v>0.69</v>
      </c>
      <c r="J17" s="68">
        <f t="shared" si="3"/>
        <v>4</v>
      </c>
    </row>
    <row r="18" spans="1:10" ht="13.15" customHeight="1">
      <c r="A18" s="70" t="s">
        <v>34</v>
      </c>
      <c r="B18" s="8" t="s">
        <v>35</v>
      </c>
      <c r="C18" s="62">
        <v>2023</v>
      </c>
      <c r="D18" s="63">
        <v>1.28</v>
      </c>
      <c r="E18" s="63" t="s">
        <v>13</v>
      </c>
      <c r="F18" s="64" t="s">
        <v>14</v>
      </c>
      <c r="G18" s="65">
        <f t="shared" si="0"/>
        <v>0.14699318560666366</v>
      </c>
      <c r="H18" s="66">
        <f t="shared" si="1"/>
        <v>0.14699999999999999</v>
      </c>
      <c r="I18" s="67">
        <f t="shared" si="2"/>
        <v>0.98</v>
      </c>
      <c r="J18" s="68">
        <f t="shared" si="3"/>
        <v>4</v>
      </c>
    </row>
    <row r="19" spans="1:10" ht="13.15" customHeight="1">
      <c r="A19" s="70" t="s">
        <v>34</v>
      </c>
      <c r="B19" s="8" t="s">
        <v>36</v>
      </c>
      <c r="C19" s="62">
        <v>2023</v>
      </c>
      <c r="D19" s="63">
        <v>1.27</v>
      </c>
      <c r="E19" s="63" t="s">
        <v>13</v>
      </c>
      <c r="F19" s="64" t="s">
        <v>14</v>
      </c>
      <c r="G19" s="65">
        <f t="shared" si="0"/>
        <v>0.15094392869398887</v>
      </c>
      <c r="H19" s="66">
        <f t="shared" si="1"/>
        <v>0.151</v>
      </c>
      <c r="I19" s="67">
        <f t="shared" si="2"/>
        <v>1.01</v>
      </c>
      <c r="J19" s="68">
        <f t="shared" si="3"/>
        <v>4</v>
      </c>
    </row>
    <row r="20" spans="1:10" ht="13.15" customHeight="1">
      <c r="A20" s="71" t="s">
        <v>34</v>
      </c>
      <c r="B20" s="63" t="s">
        <v>37</v>
      </c>
      <c r="C20" s="62">
        <v>2023</v>
      </c>
      <c r="D20" s="63">
        <v>1.28</v>
      </c>
      <c r="E20" s="63" t="s">
        <v>13</v>
      </c>
      <c r="F20" s="64" t="s">
        <v>14</v>
      </c>
      <c r="G20" s="65">
        <f t="shared" si="0"/>
        <v>0.14699318560666366</v>
      </c>
      <c r="H20" s="66">
        <f t="shared" si="1"/>
        <v>0.14699999999999999</v>
      </c>
      <c r="I20" s="67">
        <f t="shared" si="2"/>
        <v>0.98</v>
      </c>
      <c r="J20" s="68">
        <f t="shared" si="3"/>
        <v>4</v>
      </c>
    </row>
    <row r="21" spans="1:10" ht="13.15" customHeight="1">
      <c r="A21" s="71" t="s">
        <v>34</v>
      </c>
      <c r="B21" s="63" t="s">
        <v>38</v>
      </c>
      <c r="C21" s="62">
        <v>2023</v>
      </c>
      <c r="D21" s="63">
        <v>1.27</v>
      </c>
      <c r="E21" s="63" t="s">
        <v>13</v>
      </c>
      <c r="F21" s="64" t="s">
        <v>14</v>
      </c>
      <c r="G21" s="65">
        <f t="shared" si="0"/>
        <v>0.15094392869398887</v>
      </c>
      <c r="H21" s="66">
        <f t="shared" si="1"/>
        <v>0.151</v>
      </c>
      <c r="I21" s="67">
        <f t="shared" si="2"/>
        <v>1.01</v>
      </c>
      <c r="J21" s="68">
        <f t="shared" si="3"/>
        <v>4</v>
      </c>
    </row>
    <row r="22" spans="1:10" ht="13.15" customHeight="1">
      <c r="A22" s="71" t="s">
        <v>39</v>
      </c>
      <c r="B22" s="63" t="s">
        <v>40</v>
      </c>
      <c r="C22" s="62">
        <v>2023</v>
      </c>
      <c r="D22" s="63">
        <v>1.28</v>
      </c>
      <c r="E22" s="63" t="s">
        <v>13</v>
      </c>
      <c r="F22" s="63" t="s">
        <v>14</v>
      </c>
      <c r="G22" s="65">
        <f t="shared" si="0"/>
        <v>0.14699318560666366</v>
      </c>
      <c r="H22" s="66">
        <f t="shared" si="1"/>
        <v>0.14699999999999999</v>
      </c>
      <c r="I22" s="67">
        <f t="shared" si="2"/>
        <v>0.98</v>
      </c>
      <c r="J22" s="68">
        <f t="shared" si="3"/>
        <v>4</v>
      </c>
    </row>
    <row r="23" spans="1:10" ht="13.15" customHeight="1">
      <c r="A23" s="71" t="s">
        <v>39</v>
      </c>
      <c r="B23" s="63" t="s">
        <v>41</v>
      </c>
      <c r="C23" s="62">
        <v>2023</v>
      </c>
      <c r="D23" s="63">
        <v>1.27</v>
      </c>
      <c r="E23" s="63" t="s">
        <v>13</v>
      </c>
      <c r="F23" s="63" t="s">
        <v>14</v>
      </c>
      <c r="G23" s="65">
        <f t="shared" si="0"/>
        <v>0.15094392869398887</v>
      </c>
      <c r="H23" s="66">
        <f t="shared" si="1"/>
        <v>0.151</v>
      </c>
      <c r="I23" s="67">
        <f t="shared" si="2"/>
        <v>1.01</v>
      </c>
      <c r="J23" s="68">
        <f t="shared" si="3"/>
        <v>4</v>
      </c>
    </row>
    <row r="24" spans="1:10" ht="13.15" customHeight="1">
      <c r="A24" s="70" t="s">
        <v>42</v>
      </c>
      <c r="B24" s="8" t="s">
        <v>43</v>
      </c>
      <c r="C24" s="62">
        <v>2023</v>
      </c>
      <c r="D24" s="63">
        <v>1.3</v>
      </c>
      <c r="E24" s="63" t="s">
        <v>13</v>
      </c>
      <c r="F24" s="63" t="s">
        <v>14</v>
      </c>
      <c r="G24" s="65">
        <f t="shared" ref="G24:G47" si="4">IF(F24="Y",((1/(1+EXP(2.6968+(1.1686*LN(D24-0.9)))))),((1/(1+EXP(2.8891+(1.1686*(LN(D24-0.9))))))))</f>
        <v>0.13963526332187839</v>
      </c>
      <c r="H24" s="66">
        <f t="shared" ref="H24:H47" si="5">ROUND(G24,3)</f>
        <v>0.14000000000000001</v>
      </c>
      <c r="I24" s="67">
        <f t="shared" ref="I24:I47" si="6">ROUND(H24/0.15,2)</f>
        <v>0.93</v>
      </c>
      <c r="J24" s="68">
        <f t="shared" ref="J24:J47" si="7">IF(I24&lt;0.673,5,IF(I24&lt;1.33,4,IF(I24&lt;2,3,IF(I24&lt;2.67,2,1))))</f>
        <v>4</v>
      </c>
    </row>
    <row r="25" spans="1:10" ht="13.15" customHeight="1">
      <c r="A25" s="70" t="s">
        <v>42</v>
      </c>
      <c r="B25" s="8" t="s">
        <v>44</v>
      </c>
      <c r="C25" s="62">
        <v>2023</v>
      </c>
      <c r="D25" s="63"/>
      <c r="E25" s="63"/>
      <c r="F25" s="63"/>
      <c r="G25" s="65" t="e">
        <f t="shared" si="4"/>
        <v>#NUM!</v>
      </c>
      <c r="H25" s="66" t="e">
        <f t="shared" si="5"/>
        <v>#NUM!</v>
      </c>
      <c r="I25" s="67" t="e">
        <f t="shared" si="6"/>
        <v>#NUM!</v>
      </c>
      <c r="J25" s="68" t="e">
        <f t="shared" si="7"/>
        <v>#NUM!</v>
      </c>
    </row>
    <row r="26" spans="1:10" ht="13.15" customHeight="1">
      <c r="A26" s="70" t="s">
        <v>45</v>
      </c>
      <c r="B26" s="8" t="s">
        <v>46</v>
      </c>
      <c r="C26" s="62">
        <v>2023</v>
      </c>
      <c r="D26" s="63">
        <v>1.24</v>
      </c>
      <c r="E26" s="63" t="s">
        <v>13</v>
      </c>
      <c r="F26" s="63" t="s">
        <v>14</v>
      </c>
      <c r="G26" s="65">
        <f t="shared" ref="G26:G33" si="8">IF(F26="Y",((1/(1+EXP(2.6968+(1.1686*LN(D26-0.9)))))),((1/(1+EXP(2.8891+(1.1686*(LN(D26-0.9))))))))</f>
        <v>0.1640492476036079</v>
      </c>
      <c r="H26" s="66">
        <f t="shared" ref="H26:H33" si="9">ROUND(G26,3)</f>
        <v>0.16400000000000001</v>
      </c>
      <c r="I26" s="67">
        <f t="shared" ref="I26:I33" si="10">ROUND(H26/0.15,2)</f>
        <v>1.0900000000000001</v>
      </c>
      <c r="J26" s="68">
        <f t="shared" ref="J26:J33" si="11">IF(I26&lt;0.673,5,IF(I26&lt;1.33,4,IF(I26&lt;2,3,IF(I26&lt;2.67,2,1))))</f>
        <v>4</v>
      </c>
    </row>
    <row r="27" spans="1:10" ht="13.15" customHeight="1">
      <c r="A27" s="70" t="s">
        <v>45</v>
      </c>
      <c r="B27" s="8" t="s">
        <v>47</v>
      </c>
      <c r="C27" s="62">
        <v>2023</v>
      </c>
      <c r="D27" s="63">
        <v>1.24</v>
      </c>
      <c r="E27" s="63" t="s">
        <v>13</v>
      </c>
      <c r="F27" s="63" t="s">
        <v>14</v>
      </c>
      <c r="G27" s="65">
        <f t="shared" si="8"/>
        <v>0.1640492476036079</v>
      </c>
      <c r="H27" s="66">
        <f t="shared" si="9"/>
        <v>0.16400000000000001</v>
      </c>
      <c r="I27" s="67">
        <f t="shared" si="10"/>
        <v>1.0900000000000001</v>
      </c>
      <c r="J27" s="68">
        <f t="shared" si="11"/>
        <v>4</v>
      </c>
    </row>
    <row r="28" spans="1:10" ht="13.15" customHeight="1">
      <c r="A28" s="70" t="s">
        <v>45</v>
      </c>
      <c r="B28" s="8" t="s">
        <v>48</v>
      </c>
      <c r="C28" s="62">
        <v>2023</v>
      </c>
      <c r="D28" s="63"/>
      <c r="E28" s="63"/>
      <c r="F28" s="63"/>
      <c r="G28" s="65" t="e">
        <f t="shared" si="8"/>
        <v>#NUM!</v>
      </c>
      <c r="H28" s="66" t="e">
        <f t="shared" si="9"/>
        <v>#NUM!</v>
      </c>
      <c r="I28" s="67" t="e">
        <f t="shared" si="10"/>
        <v>#NUM!</v>
      </c>
      <c r="J28" s="68" t="e">
        <f t="shared" si="11"/>
        <v>#NUM!</v>
      </c>
    </row>
    <row r="29" spans="1:10" ht="13.15" customHeight="1">
      <c r="A29" s="70" t="s">
        <v>49</v>
      </c>
      <c r="B29" s="8" t="s">
        <v>50</v>
      </c>
      <c r="C29" s="62">
        <v>2023</v>
      </c>
      <c r="D29" s="63"/>
      <c r="E29" s="63"/>
      <c r="F29" s="63"/>
      <c r="G29" s="65" t="e">
        <f t="shared" si="8"/>
        <v>#NUM!</v>
      </c>
      <c r="H29" s="66" t="e">
        <f t="shared" si="9"/>
        <v>#NUM!</v>
      </c>
      <c r="I29" s="67" t="e">
        <f t="shared" si="10"/>
        <v>#NUM!</v>
      </c>
      <c r="J29" s="68" t="e">
        <f t="shared" si="11"/>
        <v>#NUM!</v>
      </c>
    </row>
    <row r="30" spans="1:10" ht="13.15" customHeight="1">
      <c r="A30" s="70" t="s">
        <v>51</v>
      </c>
      <c r="B30" s="8" t="s">
        <v>52</v>
      </c>
      <c r="C30" s="62">
        <v>2023</v>
      </c>
      <c r="D30" s="63"/>
      <c r="E30" s="63"/>
      <c r="F30" s="63"/>
      <c r="G30" s="65" t="e">
        <f t="shared" si="8"/>
        <v>#NUM!</v>
      </c>
      <c r="H30" s="66" t="e">
        <f t="shared" si="9"/>
        <v>#NUM!</v>
      </c>
      <c r="I30" s="67" t="e">
        <f t="shared" si="10"/>
        <v>#NUM!</v>
      </c>
      <c r="J30" s="68" t="e">
        <f t="shared" si="11"/>
        <v>#NUM!</v>
      </c>
    </row>
    <row r="31" spans="1:10" ht="13.15" customHeight="1">
      <c r="A31" s="71" t="s">
        <v>49</v>
      </c>
      <c r="B31" s="63" t="s">
        <v>53</v>
      </c>
      <c r="C31" s="62">
        <v>2023</v>
      </c>
      <c r="D31" s="63">
        <v>1.2</v>
      </c>
      <c r="E31" s="63" t="s">
        <v>13</v>
      </c>
      <c r="F31" s="63" t="s">
        <v>14</v>
      </c>
      <c r="G31" s="65">
        <f t="shared" si="8"/>
        <v>0.1851047975833634</v>
      </c>
      <c r="H31" s="66">
        <f t="shared" si="9"/>
        <v>0.185</v>
      </c>
      <c r="I31" s="67">
        <f t="shared" si="10"/>
        <v>1.23</v>
      </c>
      <c r="J31" s="68">
        <f t="shared" si="11"/>
        <v>4</v>
      </c>
    </row>
    <row r="32" spans="1:10" ht="13.15" customHeight="1">
      <c r="A32" s="71" t="s">
        <v>49</v>
      </c>
      <c r="B32" s="63" t="s">
        <v>54</v>
      </c>
      <c r="C32" s="62">
        <v>2023</v>
      </c>
      <c r="D32" s="16">
        <v>1.2</v>
      </c>
      <c r="E32" s="16" t="s">
        <v>13</v>
      </c>
      <c r="F32" s="16" t="s">
        <v>14</v>
      </c>
      <c r="G32" s="65">
        <f t="shared" si="8"/>
        <v>0.1851047975833634</v>
      </c>
      <c r="H32" s="66">
        <f t="shared" si="9"/>
        <v>0.185</v>
      </c>
      <c r="I32" s="67">
        <f t="shared" si="10"/>
        <v>1.23</v>
      </c>
      <c r="J32" s="68">
        <f t="shared" si="11"/>
        <v>4</v>
      </c>
    </row>
    <row r="33" spans="1:10" ht="13.15" customHeight="1">
      <c r="A33" s="70" t="s">
        <v>49</v>
      </c>
      <c r="B33" s="8" t="s">
        <v>55</v>
      </c>
      <c r="C33" s="62">
        <v>2023</v>
      </c>
      <c r="D33" s="63">
        <v>1.3</v>
      </c>
      <c r="E33" s="63" t="s">
        <v>13</v>
      </c>
      <c r="F33" s="63" t="s">
        <v>14</v>
      </c>
      <c r="G33" s="65">
        <f t="shared" si="8"/>
        <v>0.13963526332187839</v>
      </c>
      <c r="H33" s="66">
        <f t="shared" si="9"/>
        <v>0.14000000000000001</v>
      </c>
      <c r="I33" s="67">
        <f t="shared" si="10"/>
        <v>0.93</v>
      </c>
      <c r="J33" s="68">
        <f t="shared" si="11"/>
        <v>4</v>
      </c>
    </row>
    <row r="34" spans="1:10" ht="13.15" customHeight="1">
      <c r="A34" s="60" t="s">
        <v>49</v>
      </c>
      <c r="B34" s="72" t="s">
        <v>56</v>
      </c>
      <c r="C34" s="62">
        <v>2023</v>
      </c>
      <c r="D34" s="63">
        <v>1.1599999999999999</v>
      </c>
      <c r="E34" s="63" t="s">
        <v>13</v>
      </c>
      <c r="F34" s="63" t="s">
        <v>14</v>
      </c>
      <c r="G34" s="65">
        <f t="shared" si="4"/>
        <v>0.21166642755867562</v>
      </c>
      <c r="H34" s="66">
        <f t="shared" si="5"/>
        <v>0.21199999999999999</v>
      </c>
      <c r="I34" s="67">
        <f t="shared" si="6"/>
        <v>1.41</v>
      </c>
      <c r="J34" s="68">
        <f t="shared" si="7"/>
        <v>3</v>
      </c>
    </row>
    <row r="35" spans="1:10" ht="13.15" customHeight="1">
      <c r="A35" s="60" t="s">
        <v>57</v>
      </c>
      <c r="B35" s="72" t="s">
        <v>58</v>
      </c>
      <c r="C35" s="62">
        <v>2023</v>
      </c>
      <c r="D35" s="16"/>
      <c r="E35" s="63"/>
      <c r="F35" s="63"/>
      <c r="G35" s="65" t="e">
        <f t="shared" si="4"/>
        <v>#NUM!</v>
      </c>
      <c r="H35" s="66" t="e">
        <f t="shared" si="5"/>
        <v>#NUM!</v>
      </c>
      <c r="I35" s="67" t="e">
        <f t="shared" si="6"/>
        <v>#NUM!</v>
      </c>
      <c r="J35" s="68" t="e">
        <f t="shared" si="7"/>
        <v>#NUM!</v>
      </c>
    </row>
    <row r="36" spans="1:10" ht="13.15" customHeight="1">
      <c r="A36" s="60" t="s">
        <v>57</v>
      </c>
      <c r="B36" s="72" t="s">
        <v>59</v>
      </c>
      <c r="C36" s="62">
        <v>2023</v>
      </c>
      <c r="D36" s="63">
        <v>1.23</v>
      </c>
      <c r="E36" s="63" t="s">
        <v>13</v>
      </c>
      <c r="F36" s="63" t="s">
        <v>14</v>
      </c>
      <c r="G36" s="65">
        <f t="shared" si="4"/>
        <v>0.16888967495700072</v>
      </c>
      <c r="H36" s="66">
        <f t="shared" si="5"/>
        <v>0.16900000000000001</v>
      </c>
      <c r="I36" s="67">
        <f t="shared" si="6"/>
        <v>1.1299999999999999</v>
      </c>
      <c r="J36" s="68">
        <f t="shared" si="7"/>
        <v>4</v>
      </c>
    </row>
    <row r="37" spans="1:10" ht="13.15" customHeight="1">
      <c r="A37" s="73" t="s">
        <v>57</v>
      </c>
      <c r="B37" s="74" t="s">
        <v>60</v>
      </c>
      <c r="C37" s="62">
        <v>2023</v>
      </c>
      <c r="D37" s="63"/>
      <c r="E37" s="63"/>
      <c r="F37" s="63"/>
      <c r="G37" s="65" t="e">
        <f t="shared" si="4"/>
        <v>#NUM!</v>
      </c>
      <c r="H37" s="66" t="e">
        <f t="shared" si="5"/>
        <v>#NUM!</v>
      </c>
      <c r="I37" s="67" t="e">
        <f t="shared" si="6"/>
        <v>#NUM!</v>
      </c>
      <c r="J37" s="68" t="e">
        <f t="shared" si="7"/>
        <v>#NUM!</v>
      </c>
    </row>
    <row r="38" spans="1:10" ht="13.15" customHeight="1">
      <c r="A38" s="73" t="s">
        <v>57</v>
      </c>
      <c r="B38" s="74" t="s">
        <v>61</v>
      </c>
      <c r="C38" s="62">
        <v>2023</v>
      </c>
      <c r="D38" s="63">
        <v>1.23</v>
      </c>
      <c r="E38" s="63" t="s">
        <v>13</v>
      </c>
      <c r="F38" s="63" t="s">
        <v>14</v>
      </c>
      <c r="G38" s="65">
        <f t="shared" si="4"/>
        <v>0.16888967495700072</v>
      </c>
      <c r="H38" s="66">
        <f t="shared" si="5"/>
        <v>0.16900000000000001</v>
      </c>
      <c r="I38" s="67">
        <f t="shared" si="6"/>
        <v>1.1299999999999999</v>
      </c>
      <c r="J38" s="68">
        <f t="shared" si="7"/>
        <v>4</v>
      </c>
    </row>
    <row r="39" spans="1:10" ht="13.15" customHeight="1">
      <c r="A39" s="60" t="s">
        <v>57</v>
      </c>
      <c r="B39" s="72" t="s">
        <v>62</v>
      </c>
      <c r="C39" s="62">
        <v>2023</v>
      </c>
      <c r="D39" s="63">
        <v>1.26</v>
      </c>
      <c r="E39" s="63" t="s">
        <v>13</v>
      </c>
      <c r="F39" s="63" t="s">
        <v>14</v>
      </c>
      <c r="G39" s="65">
        <f t="shared" si="4"/>
        <v>0.15509342889208913</v>
      </c>
      <c r="H39" s="66">
        <f t="shared" si="5"/>
        <v>0.155</v>
      </c>
      <c r="I39" s="67">
        <f t="shared" si="6"/>
        <v>1.03</v>
      </c>
      <c r="J39" s="68">
        <f t="shared" si="7"/>
        <v>4</v>
      </c>
    </row>
    <row r="40" spans="1:10" ht="13.15" customHeight="1">
      <c r="A40" s="60" t="s">
        <v>57</v>
      </c>
      <c r="B40" s="72" t="s">
        <v>63</v>
      </c>
      <c r="C40" s="62">
        <v>2023</v>
      </c>
      <c r="D40" s="16">
        <v>1.29</v>
      </c>
      <c r="E40" s="63" t="s">
        <v>13</v>
      </c>
      <c r="F40" s="63" t="s">
        <v>14</v>
      </c>
      <c r="G40" s="65">
        <f t="shared" si="4"/>
        <v>0.14322773155168095</v>
      </c>
      <c r="H40" s="66">
        <f t="shared" si="5"/>
        <v>0.14299999999999999</v>
      </c>
      <c r="I40" s="67">
        <f t="shared" si="6"/>
        <v>0.95</v>
      </c>
      <c r="J40" s="68">
        <f t="shared" si="7"/>
        <v>4</v>
      </c>
    </row>
    <row r="41" spans="1:10" ht="13.15" customHeight="1">
      <c r="A41" s="60" t="s">
        <v>57</v>
      </c>
      <c r="B41" s="72" t="s">
        <v>64</v>
      </c>
      <c r="C41" s="62">
        <v>2023</v>
      </c>
      <c r="D41" s="63">
        <v>1.37</v>
      </c>
      <c r="E41" s="63" t="s">
        <v>13</v>
      </c>
      <c r="F41" s="63" t="s">
        <v>14</v>
      </c>
      <c r="G41" s="65">
        <f t="shared" si="4"/>
        <v>0.11849283785892685</v>
      </c>
      <c r="H41" s="66">
        <f t="shared" si="5"/>
        <v>0.11799999999999999</v>
      </c>
      <c r="I41" s="67">
        <f t="shared" si="6"/>
        <v>0.79</v>
      </c>
      <c r="J41" s="68">
        <f t="shared" si="7"/>
        <v>4</v>
      </c>
    </row>
    <row r="42" spans="1:10" ht="13.15" customHeight="1">
      <c r="A42" s="70" t="s">
        <v>65</v>
      </c>
      <c r="B42" s="8" t="s">
        <v>66</v>
      </c>
      <c r="C42" s="62">
        <v>2023</v>
      </c>
      <c r="D42" s="16">
        <v>1.26</v>
      </c>
      <c r="E42" s="63" t="s">
        <v>13</v>
      </c>
      <c r="F42" s="64" t="s">
        <v>14</v>
      </c>
      <c r="G42" s="65">
        <f t="shared" ref="G42" si="12">IF(F42="Y",((1/(1+EXP(2.6968+(1.1686*LN(D42-0.9)))))),((1/(1+EXP(2.8891+(1.1686*(LN(D42-0.9))))))))</f>
        <v>0.15509342889208913</v>
      </c>
      <c r="H42" s="66">
        <f t="shared" ref="H42" si="13">ROUND(G42,3)</f>
        <v>0.155</v>
      </c>
      <c r="I42" s="67">
        <f t="shared" ref="I42" si="14">ROUND(H42/0.15,2)</f>
        <v>1.03</v>
      </c>
      <c r="J42" s="68">
        <f t="shared" ref="J42" si="15">IF(I42&lt;0.673,5,IF(I42&lt;1.33,4,IF(I42&lt;2,3,IF(I42&lt;2.67,2,1))))</f>
        <v>4</v>
      </c>
    </row>
    <row r="43" spans="1:10" ht="13.15" customHeight="1">
      <c r="A43" s="70" t="s">
        <v>65</v>
      </c>
      <c r="B43" s="8" t="s">
        <v>67</v>
      </c>
      <c r="C43" s="62">
        <v>2023</v>
      </c>
      <c r="D43" s="16">
        <v>1.28</v>
      </c>
      <c r="E43" s="16" t="s">
        <v>13</v>
      </c>
      <c r="F43" s="41" t="s">
        <v>14</v>
      </c>
      <c r="G43" s="65">
        <f t="shared" si="4"/>
        <v>0.14699318560666366</v>
      </c>
      <c r="H43" s="66">
        <f t="shared" si="5"/>
        <v>0.14699999999999999</v>
      </c>
      <c r="I43" s="67">
        <f t="shared" si="6"/>
        <v>0.98</v>
      </c>
      <c r="J43" s="68">
        <f t="shared" si="7"/>
        <v>4</v>
      </c>
    </row>
    <row r="44" spans="1:10" ht="13.15" customHeight="1">
      <c r="A44" s="75" t="s">
        <v>68</v>
      </c>
      <c r="B44" s="61" t="s">
        <v>69</v>
      </c>
      <c r="C44" s="62">
        <v>2023</v>
      </c>
      <c r="D44" s="63">
        <v>1.18</v>
      </c>
      <c r="E44" s="63" t="s">
        <v>13</v>
      </c>
      <c r="F44" s="64" t="s">
        <v>14</v>
      </c>
      <c r="G44" s="65">
        <f t="shared" si="4"/>
        <v>0.19757624015247355</v>
      </c>
      <c r="H44" s="66">
        <f t="shared" si="5"/>
        <v>0.19800000000000001</v>
      </c>
      <c r="I44" s="67">
        <f t="shared" si="6"/>
        <v>1.32</v>
      </c>
      <c r="J44" s="68">
        <f t="shared" si="7"/>
        <v>4</v>
      </c>
    </row>
    <row r="45" spans="1:10" ht="13.15" customHeight="1">
      <c r="A45" s="60" t="s">
        <v>68</v>
      </c>
      <c r="B45" s="8" t="s">
        <v>70</v>
      </c>
      <c r="C45" s="62">
        <v>2023</v>
      </c>
      <c r="D45" s="63">
        <v>1.21</v>
      </c>
      <c r="E45" s="63" t="s">
        <v>13</v>
      </c>
      <c r="F45" s="63" t="s">
        <v>14</v>
      </c>
      <c r="G45" s="65">
        <f t="shared" si="4"/>
        <v>0.17939444452697093</v>
      </c>
      <c r="H45" s="66">
        <f t="shared" si="5"/>
        <v>0.17899999999999999</v>
      </c>
      <c r="I45" s="67">
        <f t="shared" si="6"/>
        <v>1.19</v>
      </c>
      <c r="J45" s="68">
        <f t="shared" si="7"/>
        <v>4</v>
      </c>
    </row>
    <row r="46" spans="1:10" ht="13.15" customHeight="1">
      <c r="A46" s="60" t="s">
        <v>71</v>
      </c>
      <c r="B46" s="72" t="s">
        <v>72</v>
      </c>
      <c r="C46" s="62">
        <v>2023</v>
      </c>
      <c r="D46" s="16">
        <v>1.1299999999999999</v>
      </c>
      <c r="E46" s="16" t="s">
        <v>13</v>
      </c>
      <c r="F46" s="16" t="s">
        <v>14</v>
      </c>
      <c r="G46" s="65">
        <f t="shared" si="4"/>
        <v>0.23655927745442004</v>
      </c>
      <c r="H46" s="66">
        <f t="shared" si="5"/>
        <v>0.23699999999999999</v>
      </c>
      <c r="I46" s="67">
        <f t="shared" si="6"/>
        <v>1.58</v>
      </c>
      <c r="J46" s="68">
        <f t="shared" si="7"/>
        <v>3</v>
      </c>
    </row>
    <row r="47" spans="1:10" ht="13.15" customHeight="1">
      <c r="A47" s="46" t="s">
        <v>71</v>
      </c>
      <c r="B47" s="61" t="s">
        <v>73</v>
      </c>
      <c r="C47" s="62">
        <v>2023</v>
      </c>
      <c r="D47" s="16">
        <v>1.1499999999999999</v>
      </c>
      <c r="E47" s="16" t="s">
        <v>13</v>
      </c>
      <c r="F47" s="16" t="s">
        <v>14</v>
      </c>
      <c r="G47" s="65">
        <f t="shared" si="4"/>
        <v>0.21941539652892203</v>
      </c>
      <c r="H47" s="66">
        <f t="shared" si="5"/>
        <v>0.219</v>
      </c>
      <c r="I47" s="67">
        <f t="shared" si="6"/>
        <v>1.46</v>
      </c>
      <c r="J47" s="68">
        <f t="shared" si="7"/>
        <v>3</v>
      </c>
    </row>
    <row r="48" spans="1:10" ht="13.15" customHeight="1">
      <c r="A48" s="142" t="s">
        <v>74</v>
      </c>
      <c r="B48" s="76" t="s">
        <v>75</v>
      </c>
      <c r="C48" s="62">
        <v>2023</v>
      </c>
      <c r="D48" s="16">
        <v>1.1299999999999999</v>
      </c>
      <c r="E48" s="16" t="s">
        <v>13</v>
      </c>
      <c r="F48" s="16" t="s">
        <v>14</v>
      </c>
      <c r="G48" s="65">
        <f t="shared" ref="G48" si="16">IF(F48="Y",((1/(1+EXP(2.6968+(1.1686*LN(D48-0.9)))))),((1/(1+EXP(2.8891+(1.1686*(LN(D48-0.9))))))))</f>
        <v>0.23655927745442004</v>
      </c>
      <c r="H48" s="66">
        <f t="shared" ref="H48" si="17">ROUND(G48,3)</f>
        <v>0.23699999999999999</v>
      </c>
      <c r="I48" s="67">
        <f t="shared" ref="I48" si="18">ROUND(H48/0.15,2)</f>
        <v>1.58</v>
      </c>
      <c r="J48" s="68">
        <f t="shared" ref="J48" si="19">IF(I48&lt;0.673,5,IF(I48&lt;1.33,4,IF(I48&lt;2,3,IF(I48&lt;2.67,2,1))))</f>
        <v>3</v>
      </c>
    </row>
    <row r="49" spans="1:10" ht="13.15" customHeight="1">
      <c r="A49" s="142" t="s">
        <v>74</v>
      </c>
      <c r="B49" s="76" t="s">
        <v>76</v>
      </c>
      <c r="C49" s="62">
        <v>2023</v>
      </c>
      <c r="D49" s="16">
        <v>1.1499999999999999</v>
      </c>
      <c r="E49" s="16" t="s">
        <v>13</v>
      </c>
      <c r="F49" s="16" t="s">
        <v>14</v>
      </c>
      <c r="G49" s="65">
        <f t="shared" ref="G49:G55" si="20">IF(F49="Y",((1/(1+EXP(2.6968+(1.1686*LN(D49-0.9)))))),((1/(1+EXP(2.8891+(1.1686*(LN(D49-0.9))))))))</f>
        <v>0.21941539652892203</v>
      </c>
      <c r="H49" s="66">
        <f t="shared" ref="H49:H55" si="21">ROUND(G49,3)</f>
        <v>0.219</v>
      </c>
      <c r="I49" s="67">
        <f t="shared" ref="I49:I55" si="22">ROUND(H49/0.15,2)</f>
        <v>1.46</v>
      </c>
      <c r="J49" s="68">
        <f t="shared" ref="J49:J55" si="23">IF(I49&lt;0.673,5,IF(I49&lt;1.33,4,IF(I49&lt;2,3,IF(I49&lt;2.67,2,1))))</f>
        <v>3</v>
      </c>
    </row>
    <row r="50" spans="1:10" ht="13.15" customHeight="1">
      <c r="A50" s="46" t="s">
        <v>77</v>
      </c>
      <c r="B50" s="8" t="s">
        <v>78</v>
      </c>
      <c r="C50" s="62">
        <v>2023</v>
      </c>
      <c r="D50" s="16">
        <v>1.34</v>
      </c>
      <c r="E50" s="16" t="s">
        <v>13</v>
      </c>
      <c r="F50" s="41" t="s">
        <v>14</v>
      </c>
      <c r="G50" s="65">
        <f t="shared" si="20"/>
        <v>0.126783553838866</v>
      </c>
      <c r="H50" s="66">
        <f t="shared" si="21"/>
        <v>0.127</v>
      </c>
      <c r="I50" s="67">
        <f t="shared" si="22"/>
        <v>0.85</v>
      </c>
      <c r="J50" s="68">
        <f t="shared" si="23"/>
        <v>4</v>
      </c>
    </row>
    <row r="51" spans="1:10" ht="13.15" customHeight="1">
      <c r="A51" s="46" t="s">
        <v>79</v>
      </c>
      <c r="B51" s="8" t="s">
        <v>80</v>
      </c>
      <c r="C51" s="62">
        <v>2023</v>
      </c>
      <c r="D51" s="16">
        <v>1.38</v>
      </c>
      <c r="E51" s="16" t="s">
        <v>13</v>
      </c>
      <c r="F51" s="41" t="s">
        <v>14</v>
      </c>
      <c r="G51" s="65">
        <f t="shared" si="20"/>
        <v>0.11594702085375087</v>
      </c>
      <c r="H51" s="66">
        <f t="shared" si="21"/>
        <v>0.11600000000000001</v>
      </c>
      <c r="I51" s="67">
        <f t="shared" si="22"/>
        <v>0.77</v>
      </c>
      <c r="J51" s="68">
        <f t="shared" si="23"/>
        <v>4</v>
      </c>
    </row>
    <row r="52" spans="1:10" ht="13.15" customHeight="1">
      <c r="A52" s="142" t="s">
        <v>81</v>
      </c>
      <c r="B52" s="63" t="s">
        <v>82</v>
      </c>
      <c r="C52" s="62">
        <v>2023</v>
      </c>
      <c r="D52" s="16">
        <v>1.38</v>
      </c>
      <c r="E52" s="63" t="s">
        <v>13</v>
      </c>
      <c r="F52" s="64" t="s">
        <v>14</v>
      </c>
      <c r="G52" s="65">
        <f t="shared" si="20"/>
        <v>0.11594702085375087</v>
      </c>
      <c r="H52" s="66">
        <f t="shared" si="21"/>
        <v>0.11600000000000001</v>
      </c>
      <c r="I52" s="67">
        <f t="shared" si="22"/>
        <v>0.77</v>
      </c>
      <c r="J52" s="68">
        <f t="shared" si="23"/>
        <v>4</v>
      </c>
    </row>
    <row r="53" spans="1:10" ht="13.15" customHeight="1">
      <c r="A53" s="142" t="s">
        <v>81</v>
      </c>
      <c r="B53" s="63" t="s">
        <v>83</v>
      </c>
      <c r="C53" s="62">
        <v>2023</v>
      </c>
      <c r="D53" s="16">
        <v>1.38</v>
      </c>
      <c r="E53" s="63" t="s">
        <v>13</v>
      </c>
      <c r="F53" s="63" t="s">
        <v>14</v>
      </c>
      <c r="G53" s="65">
        <f t="shared" si="20"/>
        <v>0.11594702085375087</v>
      </c>
      <c r="H53" s="66">
        <f t="shared" si="21"/>
        <v>0.11600000000000001</v>
      </c>
      <c r="I53" s="67">
        <f t="shared" si="22"/>
        <v>0.77</v>
      </c>
      <c r="J53" s="68">
        <f t="shared" si="23"/>
        <v>4</v>
      </c>
    </row>
    <row r="54" spans="1:10" ht="12.75" customHeight="1">
      <c r="A54" s="75" t="s">
        <v>84</v>
      </c>
      <c r="B54" s="61" t="s">
        <v>85</v>
      </c>
      <c r="C54" s="62">
        <v>2023</v>
      </c>
      <c r="D54" s="16">
        <v>1.23</v>
      </c>
      <c r="E54" s="16" t="s">
        <v>13</v>
      </c>
      <c r="F54" s="16" t="s">
        <v>14</v>
      </c>
      <c r="G54" s="65">
        <f t="shared" si="20"/>
        <v>0.16888967495700072</v>
      </c>
      <c r="H54" s="66">
        <f t="shared" si="21"/>
        <v>0.16900000000000001</v>
      </c>
      <c r="I54" s="67">
        <f t="shared" si="22"/>
        <v>1.1299999999999999</v>
      </c>
      <c r="J54" s="68">
        <f t="shared" si="23"/>
        <v>4</v>
      </c>
    </row>
    <row r="55" spans="1:10" ht="13.15" customHeight="1">
      <c r="A55" s="48" t="s">
        <v>84</v>
      </c>
      <c r="B55" s="49" t="s">
        <v>86</v>
      </c>
      <c r="C55" s="62">
        <v>2023</v>
      </c>
      <c r="D55" s="16">
        <v>1.26</v>
      </c>
      <c r="E55" s="16" t="s">
        <v>13</v>
      </c>
      <c r="F55" s="16" t="s">
        <v>14</v>
      </c>
      <c r="G55" s="65">
        <f t="shared" si="20"/>
        <v>0.15509342889208913</v>
      </c>
      <c r="H55" s="66">
        <f t="shared" si="21"/>
        <v>0.155</v>
      </c>
      <c r="I55" s="67">
        <f t="shared" si="22"/>
        <v>1.03</v>
      </c>
      <c r="J55" s="68">
        <f t="shared" si="23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94"/>
  <sheetViews>
    <sheetView zoomScaleNormal="100" workbookViewId="0">
      <pane xSplit="6" ySplit="2" topLeftCell="G3" activePane="bottomRight" state="frozen"/>
      <selection pane="bottomRight" activeCell="A12" sqref="A12:XFD12"/>
      <selection pane="bottomLeft" activeCell="O24" sqref="O24"/>
      <selection pane="topRight" activeCell="O24" sqref="O24"/>
    </sheetView>
  </sheetViews>
  <sheetFormatPr defaultRowHeight="12.75"/>
  <cols>
    <col min="1" max="1" width="8.140625" style="111" customWidth="1"/>
    <col min="2" max="2" width="9.85546875" style="111" bestFit="1" customWidth="1"/>
    <col min="3" max="3" width="11.28515625" style="136" bestFit="1" customWidth="1"/>
    <col min="4" max="4" width="26.140625" style="136" customWidth="1"/>
    <col min="5" max="5" width="7.42578125" style="136" customWidth="1"/>
    <col min="6" max="6" width="8.28515625" style="136" customWidth="1"/>
    <col min="7" max="9" width="8.7109375" style="119" customWidth="1"/>
    <col min="10" max="10" width="8.42578125" style="119" bestFit="1" customWidth="1"/>
    <col min="11" max="22" width="8.7109375" style="119" customWidth="1"/>
    <col min="23" max="23" width="7.42578125" style="217" bestFit="1" customWidth="1"/>
    <col min="24" max="24" width="5.28515625" style="217" bestFit="1" customWidth="1"/>
    <col min="25" max="25" width="10.140625" style="217" bestFit="1" customWidth="1"/>
    <col min="26" max="26" width="11.28515625" style="217" bestFit="1" customWidth="1"/>
    <col min="27" max="27" width="7.28515625" style="217" customWidth="1"/>
    <col min="28" max="28" width="7.5703125" style="217" bestFit="1" customWidth="1"/>
    <col min="29" max="29" width="7.5703125" style="69" bestFit="1" customWidth="1"/>
    <col min="30" max="31" width="9" style="69" bestFit="1" customWidth="1"/>
    <col min="32" max="32" width="8" style="69" bestFit="1" customWidth="1"/>
    <col min="33" max="33" width="7.42578125" style="69" bestFit="1" customWidth="1"/>
    <col min="34" max="34" width="5" style="69" bestFit="1" customWidth="1"/>
    <col min="35" max="35" width="10.140625" style="69" bestFit="1" customWidth="1"/>
    <col min="36" max="36" width="11.5703125" style="69" bestFit="1" customWidth="1"/>
    <col min="37" max="37" width="7" style="69" bestFit="1" customWidth="1"/>
    <col min="38" max="39" width="7.5703125" style="69" bestFit="1" customWidth="1"/>
    <col min="40" max="41" width="9" style="69" bestFit="1" customWidth="1"/>
    <col min="42" max="42" width="8" style="69" bestFit="1" customWidth="1"/>
    <col min="43" max="43" width="7.5703125" style="69" customWidth="1"/>
    <col min="44" max="44" width="9.5703125" style="69" bestFit="1" customWidth="1"/>
    <col min="45" max="45" width="7.140625" style="69" bestFit="1" customWidth="1"/>
    <col min="46" max="46" width="5.7109375" style="217" bestFit="1" customWidth="1"/>
    <col min="47" max="47" width="9.5703125" style="217" bestFit="1" customWidth="1"/>
    <col min="48" max="48" width="5.85546875" style="217" bestFit="1" customWidth="1"/>
    <col min="49" max="49" width="5.7109375" style="137" bestFit="1" customWidth="1"/>
    <col min="50" max="50" width="9.5703125" style="137" bestFit="1" customWidth="1"/>
    <col min="51" max="51" width="5.85546875" style="138" bestFit="1" customWidth="1"/>
    <col min="52" max="16384" width="9.140625" style="69"/>
  </cols>
  <sheetData>
    <row r="1" spans="1:51" s="109" customFormat="1" ht="13.5" thickBot="1">
      <c r="A1" s="192"/>
      <c r="B1" s="124"/>
      <c r="C1" s="193"/>
      <c r="D1" s="193"/>
      <c r="E1" s="194"/>
      <c r="F1" s="194"/>
      <c r="G1" s="225" t="s">
        <v>87</v>
      </c>
      <c r="H1" s="225"/>
      <c r="I1" s="225"/>
      <c r="J1" s="225"/>
      <c r="K1" s="225"/>
      <c r="L1" s="225"/>
      <c r="M1" s="225"/>
      <c r="N1" s="225"/>
      <c r="O1" s="225" t="s">
        <v>88</v>
      </c>
      <c r="P1" s="225"/>
      <c r="Q1" s="225"/>
      <c r="R1" s="225"/>
      <c r="S1" s="225"/>
      <c r="T1" s="225"/>
      <c r="U1" s="225"/>
      <c r="V1" s="225"/>
      <c r="W1" s="226" t="s">
        <v>89</v>
      </c>
      <c r="X1" s="226"/>
      <c r="Y1" s="226"/>
      <c r="Z1" s="226"/>
      <c r="AA1" s="226"/>
      <c r="AB1" s="226"/>
      <c r="AC1" s="226"/>
      <c r="AD1" s="226"/>
      <c r="AE1" s="226"/>
      <c r="AF1" s="226"/>
      <c r="AG1" s="226" t="s">
        <v>90</v>
      </c>
      <c r="AH1" s="226"/>
      <c r="AI1" s="226"/>
      <c r="AJ1" s="226"/>
      <c r="AK1" s="226"/>
      <c r="AL1" s="226"/>
      <c r="AM1" s="226"/>
      <c r="AN1" s="226"/>
      <c r="AO1" s="226"/>
      <c r="AP1" s="226"/>
      <c r="AQ1" s="195" t="s">
        <v>91</v>
      </c>
      <c r="AR1" s="196" t="s">
        <v>92</v>
      </c>
      <c r="AS1" s="197" t="s">
        <v>93</v>
      </c>
      <c r="AT1" s="34" t="s">
        <v>91</v>
      </c>
      <c r="AU1" s="35" t="s">
        <v>92</v>
      </c>
      <c r="AV1" s="36" t="s">
        <v>94</v>
      </c>
      <c r="AW1" s="198" t="s">
        <v>91</v>
      </c>
      <c r="AX1" s="39" t="s">
        <v>92</v>
      </c>
      <c r="AY1" s="40" t="s">
        <v>94</v>
      </c>
    </row>
    <row r="2" spans="1:51" s="6" customFormat="1" ht="34.5" thickBot="1">
      <c r="A2" s="87" t="s">
        <v>95</v>
      </c>
      <c r="B2" s="199" t="s">
        <v>96</v>
      </c>
      <c r="C2" s="87" t="s">
        <v>1</v>
      </c>
      <c r="D2" s="54" t="s">
        <v>2</v>
      </c>
      <c r="E2" s="199" t="s">
        <v>97</v>
      </c>
      <c r="F2" s="55" t="s">
        <v>3</v>
      </c>
      <c r="G2" s="162" t="s">
        <v>98</v>
      </c>
      <c r="H2" s="164" t="s">
        <v>99</v>
      </c>
      <c r="I2" s="160" t="s">
        <v>100</v>
      </c>
      <c r="J2" s="160" t="s">
        <v>101</v>
      </c>
      <c r="K2" s="160" t="s">
        <v>102</v>
      </c>
      <c r="L2" s="160" t="s">
        <v>103</v>
      </c>
      <c r="M2" s="160" t="s">
        <v>104</v>
      </c>
      <c r="N2" s="200" t="s">
        <v>105</v>
      </c>
      <c r="O2" s="162" t="s">
        <v>98</v>
      </c>
      <c r="P2" s="164" t="s">
        <v>99</v>
      </c>
      <c r="Q2" s="160" t="s">
        <v>100</v>
      </c>
      <c r="R2" s="160" t="s">
        <v>101</v>
      </c>
      <c r="S2" s="160" t="s">
        <v>102</v>
      </c>
      <c r="T2" s="160" t="s">
        <v>103</v>
      </c>
      <c r="U2" s="160" t="s">
        <v>104</v>
      </c>
      <c r="V2" s="200" t="s">
        <v>105</v>
      </c>
      <c r="W2" s="201" t="s">
        <v>106</v>
      </c>
      <c r="X2" s="202" t="s">
        <v>107</v>
      </c>
      <c r="Y2" s="32" t="s">
        <v>108</v>
      </c>
      <c r="Z2" s="32" t="s">
        <v>109</v>
      </c>
      <c r="AA2" s="202" t="s">
        <v>110</v>
      </c>
      <c r="AB2" s="32" t="s">
        <v>111</v>
      </c>
      <c r="AC2" s="203" t="s">
        <v>111</v>
      </c>
      <c r="AD2" s="203" t="s">
        <v>112</v>
      </c>
      <c r="AE2" s="203" t="s">
        <v>113</v>
      </c>
      <c r="AF2" s="204" t="s">
        <v>114</v>
      </c>
      <c r="AG2" s="162" t="s">
        <v>106</v>
      </c>
      <c r="AH2" s="164" t="s">
        <v>107</v>
      </c>
      <c r="AI2" s="164" t="s">
        <v>108</v>
      </c>
      <c r="AJ2" s="164" t="s">
        <v>115</v>
      </c>
      <c r="AK2" s="164" t="s">
        <v>110</v>
      </c>
      <c r="AL2" s="164" t="s">
        <v>111</v>
      </c>
      <c r="AM2" s="164" t="s">
        <v>111</v>
      </c>
      <c r="AN2" s="164" t="s">
        <v>112</v>
      </c>
      <c r="AO2" s="164" t="s">
        <v>113</v>
      </c>
      <c r="AP2" s="205" t="s">
        <v>114</v>
      </c>
      <c r="AQ2" s="42" t="s">
        <v>116</v>
      </c>
      <c r="AR2" s="96" t="s">
        <v>8</v>
      </c>
      <c r="AS2" s="206" t="s">
        <v>8</v>
      </c>
      <c r="AT2" s="187" t="s">
        <v>117</v>
      </c>
      <c r="AU2" s="188" t="s">
        <v>117</v>
      </c>
      <c r="AV2" s="37" t="s">
        <v>117</v>
      </c>
      <c r="AW2" s="189" t="s">
        <v>10</v>
      </c>
      <c r="AX2" s="166" t="s">
        <v>10</v>
      </c>
      <c r="AY2" s="207" t="s">
        <v>118</v>
      </c>
    </row>
    <row r="3" spans="1:51" ht="13.15" customHeight="1">
      <c r="A3" s="63">
        <v>14258</v>
      </c>
      <c r="B3" s="63" t="s">
        <v>119</v>
      </c>
      <c r="C3" s="208" t="str">
        <f>Rollover!A3</f>
        <v>Acura</v>
      </c>
      <c r="D3" s="209" t="str">
        <f>Rollover!B3</f>
        <v>Integra 5 HB FWD</v>
      </c>
      <c r="E3" s="131" t="s">
        <v>120</v>
      </c>
      <c r="F3" s="210">
        <f>Rollover!C3</f>
        <v>2023</v>
      </c>
      <c r="G3" s="10">
        <v>231.16</v>
      </c>
      <c r="H3" s="11">
        <v>0.27</v>
      </c>
      <c r="I3" s="11">
        <v>847.85400000000004</v>
      </c>
      <c r="J3" s="11">
        <v>85.427000000000007</v>
      </c>
      <c r="K3" s="11">
        <v>19.751999999999999</v>
      </c>
      <c r="L3" s="11">
        <v>37.284999999999997</v>
      </c>
      <c r="M3" s="11">
        <v>1276.6130000000001</v>
      </c>
      <c r="N3" s="12">
        <v>2553.4580000000001</v>
      </c>
      <c r="O3" s="10">
        <v>328.25900000000001</v>
      </c>
      <c r="P3" s="11">
        <v>0.26700000000000002</v>
      </c>
      <c r="Q3" s="11">
        <v>671.62</v>
      </c>
      <c r="R3" s="11">
        <v>322.96699999999998</v>
      </c>
      <c r="S3" s="11">
        <v>14.266999999999999</v>
      </c>
      <c r="T3" s="11">
        <v>42.319000000000003</v>
      </c>
      <c r="U3" s="11">
        <v>1178.136</v>
      </c>
      <c r="V3" s="12">
        <v>474.15499999999997</v>
      </c>
      <c r="W3" s="211">
        <f t="shared" ref="W3" si="0">NORMDIST(LN(G3),7.45231,0.73998,1)</f>
        <v>3.3117041367638198E-3</v>
      </c>
      <c r="X3" s="5">
        <f t="shared" ref="X3" si="1">1/(1+EXP(3.2269-1.9688*H3))</f>
        <v>6.3249840623120709E-2</v>
      </c>
      <c r="Y3" s="5">
        <f t="shared" ref="Y3" si="2">1/(1+EXP(10.9745-2.375*I3/1000))</f>
        <v>1.2832106949297898E-4</v>
      </c>
      <c r="Z3" s="5">
        <f t="shared" ref="Z3" si="3">1/(1+EXP(10.9745-2.375*J3/1000))</f>
        <v>2.0986485779530627E-5</v>
      </c>
      <c r="AA3" s="5">
        <f t="shared" ref="AA3" si="4">MAX(X3,Y3,Z3)</f>
        <v>6.3249840623120709E-2</v>
      </c>
      <c r="AB3" s="5">
        <f t="shared" ref="AB3" si="5">1/(1+EXP(12.597-0.05861*35-1.568*(K3^0.4612)))</f>
        <v>1.2885950492916742E-2</v>
      </c>
      <c r="AC3" s="5">
        <f t="shared" ref="AC3" si="6">AB3</f>
        <v>1.2885950492916742E-2</v>
      </c>
      <c r="AD3" s="5">
        <f t="shared" ref="AD3" si="7">1/(1+EXP(5.7949-0.5196*M3/1000))</f>
        <v>5.8725767429259786E-3</v>
      </c>
      <c r="AE3" s="5">
        <f t="shared" ref="AE3" si="8">1/(1+EXP(5.7949-0.5196*N3/1000))</f>
        <v>1.1338777679190577E-2</v>
      </c>
      <c r="AF3" s="24">
        <f t="shared" ref="AF3" si="9">MAX(AD3,AE3)</f>
        <v>1.1338777679190577E-2</v>
      </c>
      <c r="AG3" s="23">
        <f t="shared" ref="AG3" si="10">NORMDIST(LN(O3),7.45231,0.73998,1)</f>
        <v>1.2503766468287793E-2</v>
      </c>
      <c r="AH3" s="5">
        <f t="shared" ref="AH3" si="11">1/(1+EXP(3.2269-1.9688*P3))</f>
        <v>6.2900791995682381E-2</v>
      </c>
      <c r="AI3" s="5">
        <f t="shared" ref="AI3" si="12">1/(1+EXP(10.958-3.77*Q3/1000))</f>
        <v>2.1904975246422087E-4</v>
      </c>
      <c r="AJ3" s="5">
        <f t="shared" ref="AJ3" si="13">1/(1+EXP(10.958-3.77*R3/1000))</f>
        <v>5.8852675373025976E-5</v>
      </c>
      <c r="AK3" s="5">
        <f t="shared" ref="AK3" si="14">MAX(AH3,AI3,AJ3)</f>
        <v>6.2900791995682381E-2</v>
      </c>
      <c r="AL3" s="5">
        <f t="shared" ref="AL3" si="15">1/(1+EXP(12.597-0.05861*35-1.568*((S3/0.817)^0.4612)))</f>
        <v>9.1803462434360949E-3</v>
      </c>
      <c r="AM3" s="5">
        <f t="shared" ref="AM3" si="16">AL3</f>
        <v>9.1803462434360949E-3</v>
      </c>
      <c r="AN3" s="5">
        <f t="shared" ref="AN3" si="17">1/(1+EXP(5.7949-0.7619*U3/1000))</f>
        <v>7.4115378700983295E-3</v>
      </c>
      <c r="AO3" s="5">
        <f t="shared" ref="AO3" si="18">1/(1+EXP(5.7949-0.7619*V3/1000))</f>
        <v>4.3481754365519978E-3</v>
      </c>
      <c r="AP3" s="24">
        <f t="shared" ref="AP3" si="19">MAX(AN3,AO3)</f>
        <v>7.4115378700983295E-3</v>
      </c>
      <c r="AQ3" s="211">
        <f t="shared" ref="AQ3" si="20">ROUND(1-(1-W3)*(1-AA3)*(1-AC3)*(1-AF3),3)</f>
        <v>8.8999999999999996E-2</v>
      </c>
      <c r="AR3" s="5">
        <f t="shared" ref="AR3" si="21">ROUND(1-(1-AG3)*(1-AK3)*(1-AM3)*(1-AP3),3)</f>
        <v>0.09</v>
      </c>
      <c r="AS3" s="5">
        <f t="shared" ref="AS3" si="22">ROUND(AVERAGE(AR3,AQ3),3)</f>
        <v>0.09</v>
      </c>
      <c r="AT3" s="88">
        <f t="shared" ref="AT3" si="23">ROUND(AQ3/0.15,2)</f>
        <v>0.59</v>
      </c>
      <c r="AU3" s="88">
        <f t="shared" ref="AU3" si="24">ROUND(AR3/0.15,2)</f>
        <v>0.6</v>
      </c>
      <c r="AV3" s="88">
        <f t="shared" ref="AV3" si="25">ROUND(AS3/0.15,2)</f>
        <v>0.6</v>
      </c>
      <c r="AW3" s="134">
        <f t="shared" ref="AW3" si="26">IF(AT3&lt;0.67,5,IF(AT3&lt;1,4,IF(AT3&lt;1.33,3,IF(AT3&lt;2.67,2,1))))</f>
        <v>5</v>
      </c>
      <c r="AX3" s="134">
        <f t="shared" ref="AX3" si="27">IF(AU3&lt;0.67,5,IF(AU3&lt;1,4,IF(AU3&lt;1.33,3,IF(AU3&lt;2.67,2,1))))</f>
        <v>5</v>
      </c>
      <c r="AY3" s="212">
        <f t="shared" ref="AY3" si="28">IF(AV3&lt;0.67,5,IF(AV3&lt;1,4,IF(AV3&lt;1.33,3,IF(AV3&lt;2.67,2,1))))</f>
        <v>5</v>
      </c>
    </row>
    <row r="4" spans="1:51" ht="13.15" customHeight="1">
      <c r="A4" s="63"/>
      <c r="B4" s="63"/>
      <c r="C4" s="208" t="str">
        <f>Rollover!A4</f>
        <v>Honda</v>
      </c>
      <c r="D4" s="209" t="str">
        <f>Rollover!B4</f>
        <v>Civic Hatchback FWD</v>
      </c>
      <c r="E4" s="131"/>
      <c r="F4" s="210">
        <f>Rollover!C4</f>
        <v>2023</v>
      </c>
      <c r="G4" s="10"/>
      <c r="H4" s="11"/>
      <c r="I4" s="11"/>
      <c r="J4" s="11"/>
      <c r="K4" s="11"/>
      <c r="L4" s="11"/>
      <c r="M4" s="11"/>
      <c r="N4" s="12"/>
      <c r="O4" s="10"/>
      <c r="P4" s="11"/>
      <c r="Q4" s="11"/>
      <c r="R4" s="11"/>
      <c r="S4" s="11"/>
      <c r="T4" s="11"/>
      <c r="U4" s="11"/>
      <c r="V4" s="12"/>
      <c r="W4" s="211" t="e">
        <f t="shared" ref="W4:W43" si="29">NORMDIST(LN(G4),7.45231,0.73998,1)</f>
        <v>#NUM!</v>
      </c>
      <c r="X4" s="5">
        <f t="shared" ref="X4:X43" si="30">1/(1+EXP(3.2269-1.9688*H4))</f>
        <v>3.8165882958950202E-2</v>
      </c>
      <c r="Y4" s="5">
        <f t="shared" ref="Y4:Y43" si="31">1/(1+EXP(10.9745-2.375*I4/1000))</f>
        <v>1.713277721572889E-5</v>
      </c>
      <c r="Z4" s="5">
        <f t="shared" ref="Z4:Z43" si="32">1/(1+EXP(10.9745-2.375*J4/1000))</f>
        <v>1.713277721572889E-5</v>
      </c>
      <c r="AA4" s="5">
        <f t="shared" ref="AA4:AA43" si="33">MAX(X4,Y4,Z4)</f>
        <v>3.8165882958950202E-2</v>
      </c>
      <c r="AB4" s="5">
        <f t="shared" ref="AB4:AB43" si="34">1/(1+EXP(12.597-0.05861*35-1.568*(K4^0.4612)))</f>
        <v>2.6306978617002889E-5</v>
      </c>
      <c r="AC4" s="5">
        <f t="shared" ref="AC4:AC43" si="35">AB4</f>
        <v>2.6306978617002889E-5</v>
      </c>
      <c r="AD4" s="5">
        <f t="shared" ref="AD4:AD43" si="36">1/(1+EXP(5.7949-0.5196*M4/1000))</f>
        <v>3.033802747866758E-3</v>
      </c>
      <c r="AE4" s="5">
        <f t="shared" ref="AE4:AE43" si="37">1/(1+EXP(5.7949-0.5196*N4/1000))</f>
        <v>3.033802747866758E-3</v>
      </c>
      <c r="AF4" s="24">
        <f t="shared" ref="AF4:AF43" si="38">MAX(AD4,AE4)</f>
        <v>3.033802747866758E-3</v>
      </c>
      <c r="AG4" s="23" t="e">
        <f t="shared" ref="AG4:AG43" si="39">NORMDIST(LN(O4),7.45231,0.73998,1)</f>
        <v>#NUM!</v>
      </c>
      <c r="AH4" s="5">
        <f t="shared" ref="AH4:AH43" si="40">1/(1+EXP(3.2269-1.9688*P4))</f>
        <v>3.8165882958950202E-2</v>
      </c>
      <c r="AI4" s="5">
        <f t="shared" ref="AI4:AI43" si="41">1/(1+EXP(10.958-3.77*Q4/1000))</f>
        <v>1.7417808154569238E-5</v>
      </c>
      <c r="AJ4" s="5">
        <f t="shared" ref="AJ4:AJ43" si="42">1/(1+EXP(10.958-3.77*R4/1000))</f>
        <v>1.7417808154569238E-5</v>
      </c>
      <c r="AK4" s="5">
        <f t="shared" ref="AK4:AK43" si="43">MAX(AH4,AI4,AJ4)</f>
        <v>3.8165882958950202E-2</v>
      </c>
      <c r="AL4" s="5">
        <f t="shared" ref="AL4:AL43" si="44">1/(1+EXP(12.597-0.05861*35-1.568*((S4/0.817)^0.4612)))</f>
        <v>2.6306978617002889E-5</v>
      </c>
      <c r="AM4" s="5">
        <f t="shared" ref="AM4:AM43" si="45">AL4</f>
        <v>2.6306978617002889E-5</v>
      </c>
      <c r="AN4" s="5">
        <f t="shared" ref="AN4:AN43" si="46">1/(1+EXP(5.7949-0.7619*U4/1000))</f>
        <v>3.033802747866758E-3</v>
      </c>
      <c r="AO4" s="5">
        <f t="shared" ref="AO4:AO43" si="47">1/(1+EXP(5.7949-0.7619*V4/1000))</f>
        <v>3.033802747866758E-3</v>
      </c>
      <c r="AP4" s="24">
        <f t="shared" ref="AP4:AP43" si="48">MAX(AN4,AO4)</f>
        <v>3.033802747866758E-3</v>
      </c>
      <c r="AQ4" s="211" t="e">
        <f t="shared" ref="AQ4:AQ43" si="49">ROUND(1-(1-W4)*(1-AA4)*(1-AC4)*(1-AF4),3)</f>
        <v>#NUM!</v>
      </c>
      <c r="AR4" s="5" t="e">
        <f t="shared" ref="AR4:AR43" si="50">ROUND(1-(1-AG4)*(1-AK4)*(1-AM4)*(1-AP4),3)</f>
        <v>#NUM!</v>
      </c>
      <c r="AS4" s="5" t="e">
        <f t="shared" ref="AS4:AS43" si="51">ROUND(AVERAGE(AR4,AQ4),3)</f>
        <v>#NUM!</v>
      </c>
      <c r="AT4" s="88" t="e">
        <f t="shared" ref="AT4:AT43" si="52">ROUND(AQ4/0.15,2)</f>
        <v>#NUM!</v>
      </c>
      <c r="AU4" s="88" t="e">
        <f t="shared" ref="AU4:AU43" si="53">ROUND(AR4/0.15,2)</f>
        <v>#NUM!</v>
      </c>
      <c r="AV4" s="88" t="e">
        <f t="shared" ref="AV4:AV43" si="54">ROUND(AS4/0.15,2)</f>
        <v>#NUM!</v>
      </c>
      <c r="AW4" s="134" t="e">
        <f t="shared" ref="AW4:AW43" si="55">IF(AT4&lt;0.67,5,IF(AT4&lt;1,4,IF(AT4&lt;1.33,3,IF(AT4&lt;2.67,2,1))))</f>
        <v>#NUM!</v>
      </c>
      <c r="AX4" s="134" t="e">
        <f t="shared" ref="AX4:AX43" si="56">IF(AU4&lt;0.67,5,IF(AU4&lt;1,4,IF(AU4&lt;1.33,3,IF(AU4&lt;2.67,2,1))))</f>
        <v>#NUM!</v>
      </c>
      <c r="AY4" s="212" t="e">
        <f t="shared" ref="AY4:AY43" si="57">IF(AV4&lt;0.67,5,IF(AV4&lt;1,4,IF(AV4&lt;1.33,3,IF(AV4&lt;2.67,2,1))))</f>
        <v>#NUM!</v>
      </c>
    </row>
    <row r="5" spans="1:51" ht="13.15" customHeight="1">
      <c r="A5" s="71"/>
      <c r="B5" s="64"/>
      <c r="C5" s="208" t="str">
        <f>Rollover!A5</f>
        <v>Honda</v>
      </c>
      <c r="D5" s="209" t="str">
        <f>Rollover!B5</f>
        <v>Civic Hatchback Typer R FWD</v>
      </c>
      <c r="E5" s="131"/>
      <c r="F5" s="210">
        <f>Rollover!C5</f>
        <v>2023</v>
      </c>
      <c r="G5" s="10"/>
      <c r="H5" s="11"/>
      <c r="I5" s="11"/>
      <c r="J5" s="11"/>
      <c r="K5" s="11"/>
      <c r="L5" s="11"/>
      <c r="M5" s="11"/>
      <c r="N5" s="12"/>
      <c r="O5" s="10"/>
      <c r="P5" s="11"/>
      <c r="Q5" s="11"/>
      <c r="R5" s="11"/>
      <c r="S5" s="11"/>
      <c r="T5" s="11"/>
      <c r="U5" s="11"/>
      <c r="V5" s="12"/>
      <c r="W5" s="211" t="e">
        <f t="shared" si="29"/>
        <v>#NUM!</v>
      </c>
      <c r="X5" s="5">
        <f t="shared" si="30"/>
        <v>3.8165882958950202E-2</v>
      </c>
      <c r="Y5" s="5">
        <f t="shared" si="31"/>
        <v>1.713277721572889E-5</v>
      </c>
      <c r="Z5" s="5">
        <f t="shared" si="32"/>
        <v>1.713277721572889E-5</v>
      </c>
      <c r="AA5" s="5">
        <f t="shared" si="33"/>
        <v>3.8165882958950202E-2</v>
      </c>
      <c r="AB5" s="5">
        <f t="shared" si="34"/>
        <v>2.6306978617002889E-5</v>
      </c>
      <c r="AC5" s="5">
        <f t="shared" si="35"/>
        <v>2.6306978617002889E-5</v>
      </c>
      <c r="AD5" s="5">
        <f t="shared" si="36"/>
        <v>3.033802747866758E-3</v>
      </c>
      <c r="AE5" s="5">
        <f t="shared" si="37"/>
        <v>3.033802747866758E-3</v>
      </c>
      <c r="AF5" s="24">
        <f t="shared" si="38"/>
        <v>3.033802747866758E-3</v>
      </c>
      <c r="AG5" s="23" t="e">
        <f t="shared" si="39"/>
        <v>#NUM!</v>
      </c>
      <c r="AH5" s="5">
        <f t="shared" si="40"/>
        <v>3.8165882958950202E-2</v>
      </c>
      <c r="AI5" s="5">
        <f t="shared" si="41"/>
        <v>1.7417808154569238E-5</v>
      </c>
      <c r="AJ5" s="5">
        <f t="shared" si="42"/>
        <v>1.7417808154569238E-5</v>
      </c>
      <c r="AK5" s="5">
        <f t="shared" si="43"/>
        <v>3.8165882958950202E-2</v>
      </c>
      <c r="AL5" s="5">
        <f t="shared" si="44"/>
        <v>2.6306978617002889E-5</v>
      </c>
      <c r="AM5" s="5">
        <f t="shared" si="45"/>
        <v>2.6306978617002889E-5</v>
      </c>
      <c r="AN5" s="5">
        <f t="shared" si="46"/>
        <v>3.033802747866758E-3</v>
      </c>
      <c r="AO5" s="5">
        <f t="shared" si="47"/>
        <v>3.033802747866758E-3</v>
      </c>
      <c r="AP5" s="24">
        <f t="shared" si="48"/>
        <v>3.033802747866758E-3</v>
      </c>
      <c r="AQ5" s="211" t="e">
        <f t="shared" si="49"/>
        <v>#NUM!</v>
      </c>
      <c r="AR5" s="5" t="e">
        <f t="shared" si="50"/>
        <v>#NUM!</v>
      </c>
      <c r="AS5" s="5" t="e">
        <f t="shared" si="51"/>
        <v>#NUM!</v>
      </c>
      <c r="AT5" s="88" t="e">
        <f t="shared" si="52"/>
        <v>#NUM!</v>
      </c>
      <c r="AU5" s="88" t="e">
        <f t="shared" si="53"/>
        <v>#NUM!</v>
      </c>
      <c r="AV5" s="88" t="e">
        <f t="shared" si="54"/>
        <v>#NUM!</v>
      </c>
      <c r="AW5" s="134" t="e">
        <f t="shared" si="55"/>
        <v>#NUM!</v>
      </c>
      <c r="AX5" s="134" t="e">
        <f t="shared" si="56"/>
        <v>#NUM!</v>
      </c>
      <c r="AY5" s="212" t="e">
        <f t="shared" si="57"/>
        <v>#NUM!</v>
      </c>
    </row>
    <row r="6" spans="1:51" ht="13.15" customHeight="1">
      <c r="A6" s="71"/>
      <c r="B6" s="64"/>
      <c r="C6" s="208" t="str">
        <f>Rollover!A6</f>
        <v>Honda</v>
      </c>
      <c r="D6" s="209" t="str">
        <f>Rollover!B6</f>
        <v>Civic Sedan FWD</v>
      </c>
      <c r="E6" s="131"/>
      <c r="F6" s="210">
        <f>Rollover!C6</f>
        <v>2023</v>
      </c>
      <c r="G6" s="10"/>
      <c r="H6" s="11"/>
      <c r="I6" s="11"/>
      <c r="J6" s="11"/>
      <c r="K6" s="11"/>
      <c r="L6" s="11"/>
      <c r="M6" s="11"/>
      <c r="N6" s="12"/>
      <c r="O6" s="10"/>
      <c r="P6" s="11"/>
      <c r="Q6" s="11"/>
      <c r="R6" s="11"/>
      <c r="S6" s="11"/>
      <c r="T6" s="11"/>
      <c r="U6" s="11"/>
      <c r="V6" s="12"/>
      <c r="W6" s="211" t="e">
        <f t="shared" si="29"/>
        <v>#NUM!</v>
      </c>
      <c r="X6" s="5">
        <f t="shared" si="30"/>
        <v>3.8165882958950202E-2</v>
      </c>
      <c r="Y6" s="5">
        <f t="shared" si="31"/>
        <v>1.713277721572889E-5</v>
      </c>
      <c r="Z6" s="5">
        <f t="shared" si="32"/>
        <v>1.713277721572889E-5</v>
      </c>
      <c r="AA6" s="5">
        <f t="shared" si="33"/>
        <v>3.8165882958950202E-2</v>
      </c>
      <c r="AB6" s="5">
        <f t="shared" si="34"/>
        <v>2.6306978617002889E-5</v>
      </c>
      <c r="AC6" s="5">
        <f t="shared" si="35"/>
        <v>2.6306978617002889E-5</v>
      </c>
      <c r="AD6" s="5">
        <f t="shared" si="36"/>
        <v>3.033802747866758E-3</v>
      </c>
      <c r="AE6" s="5">
        <f t="shared" si="37"/>
        <v>3.033802747866758E-3</v>
      </c>
      <c r="AF6" s="24">
        <f t="shared" si="38"/>
        <v>3.033802747866758E-3</v>
      </c>
      <c r="AG6" s="23" t="e">
        <f t="shared" si="39"/>
        <v>#NUM!</v>
      </c>
      <c r="AH6" s="5">
        <f t="shared" si="40"/>
        <v>3.8165882958950202E-2</v>
      </c>
      <c r="AI6" s="5">
        <f t="shared" si="41"/>
        <v>1.7417808154569238E-5</v>
      </c>
      <c r="AJ6" s="5">
        <f t="shared" si="42"/>
        <v>1.7417808154569238E-5</v>
      </c>
      <c r="AK6" s="5">
        <f t="shared" si="43"/>
        <v>3.8165882958950202E-2</v>
      </c>
      <c r="AL6" s="5">
        <f t="shared" si="44"/>
        <v>2.6306978617002889E-5</v>
      </c>
      <c r="AM6" s="5">
        <f t="shared" si="45"/>
        <v>2.6306978617002889E-5</v>
      </c>
      <c r="AN6" s="5">
        <f t="shared" si="46"/>
        <v>3.033802747866758E-3</v>
      </c>
      <c r="AO6" s="5">
        <f t="shared" si="47"/>
        <v>3.033802747866758E-3</v>
      </c>
      <c r="AP6" s="24">
        <f t="shared" si="48"/>
        <v>3.033802747866758E-3</v>
      </c>
      <c r="AQ6" s="211" t="e">
        <f t="shared" si="49"/>
        <v>#NUM!</v>
      </c>
      <c r="AR6" s="5" t="e">
        <f t="shared" si="50"/>
        <v>#NUM!</v>
      </c>
      <c r="AS6" s="5" t="e">
        <f t="shared" si="51"/>
        <v>#NUM!</v>
      </c>
      <c r="AT6" s="88" t="e">
        <f t="shared" si="52"/>
        <v>#NUM!</v>
      </c>
      <c r="AU6" s="88" t="e">
        <f t="shared" si="53"/>
        <v>#NUM!</v>
      </c>
      <c r="AV6" s="88" t="e">
        <f t="shared" si="54"/>
        <v>#NUM!</v>
      </c>
      <c r="AW6" s="134" t="e">
        <f t="shared" si="55"/>
        <v>#NUM!</v>
      </c>
      <c r="AX6" s="134" t="e">
        <f t="shared" si="56"/>
        <v>#NUM!</v>
      </c>
      <c r="AY6" s="212" t="e">
        <f t="shared" si="57"/>
        <v>#NUM!</v>
      </c>
    </row>
    <row r="7" spans="1:51" ht="13.15" customHeight="1">
      <c r="A7" s="71">
        <v>14271</v>
      </c>
      <c r="B7" s="64" t="s">
        <v>121</v>
      </c>
      <c r="C7" s="208" t="str">
        <f>Rollover!A7</f>
        <v>Audi</v>
      </c>
      <c r="D7" s="209" t="str">
        <f>Rollover!B7</f>
        <v>Q7 SUV AWD</v>
      </c>
      <c r="E7" s="131" t="s">
        <v>122</v>
      </c>
      <c r="F7" s="210">
        <f>Rollover!C7</f>
        <v>2023</v>
      </c>
      <c r="G7" s="10">
        <v>133.38900000000001</v>
      </c>
      <c r="H7" s="11">
        <v>0.255</v>
      </c>
      <c r="I7" s="11">
        <v>920.76400000000001</v>
      </c>
      <c r="J7" s="11">
        <v>205.512</v>
      </c>
      <c r="K7" s="11">
        <v>32.457000000000001</v>
      </c>
      <c r="L7" s="11">
        <v>36.615000000000002</v>
      </c>
      <c r="M7" s="11">
        <v>344.21300000000002</v>
      </c>
      <c r="N7" s="12">
        <v>224.90299999999999</v>
      </c>
      <c r="O7" s="10">
        <v>184.38300000000001</v>
      </c>
      <c r="P7" s="11">
        <v>0.35599999999999998</v>
      </c>
      <c r="Q7" s="11">
        <v>604.048</v>
      </c>
      <c r="R7" s="11">
        <v>386.28300000000002</v>
      </c>
      <c r="S7" s="11">
        <v>15.218</v>
      </c>
      <c r="T7" s="11">
        <v>38.81</v>
      </c>
      <c r="U7" s="11">
        <v>1079.5350000000001</v>
      </c>
      <c r="V7" s="12">
        <v>89.971999999999994</v>
      </c>
      <c r="W7" s="211">
        <f t="shared" si="29"/>
        <v>2.7184217723004228E-4</v>
      </c>
      <c r="X7" s="5">
        <f t="shared" si="30"/>
        <v>6.1522495366510478E-2</v>
      </c>
      <c r="Y7" s="5">
        <f t="shared" si="31"/>
        <v>1.5257747027368207E-4</v>
      </c>
      <c r="Z7" s="5">
        <f t="shared" si="32"/>
        <v>2.7912472867264791E-5</v>
      </c>
      <c r="AA7" s="5">
        <f t="shared" si="33"/>
        <v>6.1522495366510478E-2</v>
      </c>
      <c r="AB7" s="5">
        <f t="shared" si="34"/>
        <v>6.0605188257470771E-2</v>
      </c>
      <c r="AC7" s="5">
        <f t="shared" si="35"/>
        <v>6.0605188257470771E-2</v>
      </c>
      <c r="AD7" s="5">
        <f t="shared" si="36"/>
        <v>3.6258036524805175E-3</v>
      </c>
      <c r="AE7" s="5">
        <f t="shared" si="37"/>
        <v>3.4085959421766626E-3</v>
      </c>
      <c r="AF7" s="24">
        <f t="shared" si="38"/>
        <v>3.6258036524805175E-3</v>
      </c>
      <c r="AG7" s="23">
        <f t="shared" si="39"/>
        <v>1.260745595018967E-3</v>
      </c>
      <c r="AH7" s="5">
        <f t="shared" si="40"/>
        <v>7.4054971012011139E-2</v>
      </c>
      <c r="AI7" s="5">
        <f t="shared" si="41"/>
        <v>1.6979667755461208E-4</v>
      </c>
      <c r="AJ7" s="5">
        <f t="shared" si="42"/>
        <v>7.4718128520834856E-5</v>
      </c>
      <c r="AK7" s="5">
        <f t="shared" si="43"/>
        <v>7.4054971012011139E-2</v>
      </c>
      <c r="AL7" s="5">
        <f t="shared" si="44"/>
        <v>1.0940099925000604E-2</v>
      </c>
      <c r="AM7" s="5">
        <f t="shared" si="45"/>
        <v>1.0940099925000604E-2</v>
      </c>
      <c r="AN7" s="5">
        <f t="shared" si="46"/>
        <v>6.8788424191926455E-3</v>
      </c>
      <c r="AO7" s="5">
        <f t="shared" si="47"/>
        <v>3.2483633829014378E-3</v>
      </c>
      <c r="AP7" s="24">
        <f t="shared" si="48"/>
        <v>6.8788424191926455E-3</v>
      </c>
      <c r="AQ7" s="211">
        <f t="shared" si="49"/>
        <v>0.122</v>
      </c>
      <c r="AR7" s="5">
        <f t="shared" si="50"/>
        <v>9.1999999999999998E-2</v>
      </c>
      <c r="AS7" s="5">
        <f t="shared" si="51"/>
        <v>0.107</v>
      </c>
      <c r="AT7" s="88">
        <f t="shared" si="52"/>
        <v>0.81</v>
      </c>
      <c r="AU7" s="88">
        <f t="shared" si="53"/>
        <v>0.61</v>
      </c>
      <c r="AV7" s="88">
        <f t="shared" si="54"/>
        <v>0.71</v>
      </c>
      <c r="AW7" s="134">
        <f t="shared" si="55"/>
        <v>4</v>
      </c>
      <c r="AX7" s="134">
        <f t="shared" si="56"/>
        <v>5</v>
      </c>
      <c r="AY7" s="212">
        <f t="shared" si="57"/>
        <v>4</v>
      </c>
    </row>
    <row r="8" spans="1:51" ht="13.15" customHeight="1">
      <c r="A8" s="71"/>
      <c r="B8" s="64"/>
      <c r="C8" s="208" t="str">
        <f>Rollover!A8</f>
        <v>Audi</v>
      </c>
      <c r="D8" s="209" t="str">
        <f>Rollover!B8</f>
        <v>SQ7 SUV AWD</v>
      </c>
      <c r="E8" s="131"/>
      <c r="F8" s="210">
        <f>Rollover!C8</f>
        <v>2023</v>
      </c>
      <c r="G8" s="10"/>
      <c r="H8" s="11"/>
      <c r="I8" s="11"/>
      <c r="J8" s="11"/>
      <c r="K8" s="11"/>
      <c r="L8" s="11"/>
      <c r="M8" s="11"/>
      <c r="N8" s="12"/>
      <c r="O8" s="10"/>
      <c r="P8" s="11"/>
      <c r="Q8" s="11"/>
      <c r="R8" s="11"/>
      <c r="S8" s="11"/>
      <c r="T8" s="11"/>
      <c r="U8" s="11"/>
      <c r="V8" s="12"/>
      <c r="W8" s="211" t="e">
        <f t="shared" si="29"/>
        <v>#NUM!</v>
      </c>
      <c r="X8" s="5">
        <f t="shared" si="30"/>
        <v>3.8165882958950202E-2</v>
      </c>
      <c r="Y8" s="5">
        <f t="shared" si="31"/>
        <v>1.713277721572889E-5</v>
      </c>
      <c r="Z8" s="5">
        <f t="shared" si="32"/>
        <v>1.713277721572889E-5</v>
      </c>
      <c r="AA8" s="5">
        <f t="shared" si="33"/>
        <v>3.8165882958950202E-2</v>
      </c>
      <c r="AB8" s="5">
        <f t="shared" si="34"/>
        <v>2.6306978617002889E-5</v>
      </c>
      <c r="AC8" s="5">
        <f t="shared" si="35"/>
        <v>2.6306978617002889E-5</v>
      </c>
      <c r="AD8" s="5">
        <f t="shared" si="36"/>
        <v>3.033802747866758E-3</v>
      </c>
      <c r="AE8" s="5">
        <f t="shared" si="37"/>
        <v>3.033802747866758E-3</v>
      </c>
      <c r="AF8" s="24">
        <f t="shared" si="38"/>
        <v>3.033802747866758E-3</v>
      </c>
      <c r="AG8" s="23" t="e">
        <f t="shared" si="39"/>
        <v>#NUM!</v>
      </c>
      <c r="AH8" s="5">
        <f t="shared" si="40"/>
        <v>3.8165882958950202E-2</v>
      </c>
      <c r="AI8" s="5">
        <f t="shared" si="41"/>
        <v>1.7417808154569238E-5</v>
      </c>
      <c r="AJ8" s="5">
        <f t="shared" si="42"/>
        <v>1.7417808154569238E-5</v>
      </c>
      <c r="AK8" s="5">
        <f t="shared" si="43"/>
        <v>3.8165882958950202E-2</v>
      </c>
      <c r="AL8" s="5">
        <f t="shared" si="44"/>
        <v>2.6306978617002889E-5</v>
      </c>
      <c r="AM8" s="5">
        <f t="shared" si="45"/>
        <v>2.6306978617002889E-5</v>
      </c>
      <c r="AN8" s="5">
        <f t="shared" si="46"/>
        <v>3.033802747866758E-3</v>
      </c>
      <c r="AO8" s="5">
        <f t="shared" si="47"/>
        <v>3.033802747866758E-3</v>
      </c>
      <c r="AP8" s="24">
        <f t="shared" si="48"/>
        <v>3.033802747866758E-3</v>
      </c>
      <c r="AQ8" s="211" t="e">
        <f t="shared" si="49"/>
        <v>#NUM!</v>
      </c>
      <c r="AR8" s="5" t="e">
        <f t="shared" si="50"/>
        <v>#NUM!</v>
      </c>
      <c r="AS8" s="5" t="e">
        <f t="shared" si="51"/>
        <v>#NUM!</v>
      </c>
      <c r="AT8" s="88" t="e">
        <f t="shared" si="52"/>
        <v>#NUM!</v>
      </c>
      <c r="AU8" s="88" t="e">
        <f t="shared" si="53"/>
        <v>#NUM!</v>
      </c>
      <c r="AV8" s="88" t="e">
        <f t="shared" si="54"/>
        <v>#NUM!</v>
      </c>
      <c r="AW8" s="134" t="e">
        <f t="shared" si="55"/>
        <v>#NUM!</v>
      </c>
      <c r="AX8" s="134" t="e">
        <f t="shared" si="56"/>
        <v>#NUM!</v>
      </c>
      <c r="AY8" s="212" t="e">
        <f t="shared" si="57"/>
        <v>#NUM!</v>
      </c>
    </row>
    <row r="9" spans="1:51" ht="13.15" customHeight="1">
      <c r="A9" s="71">
        <v>10660</v>
      </c>
      <c r="B9" s="64" t="s">
        <v>123</v>
      </c>
      <c r="C9" s="208" t="str">
        <f>Rollover!A9</f>
        <v>Audi</v>
      </c>
      <c r="D9" s="209" t="str">
        <f>Rollover!B9</f>
        <v>Q8 AWD</v>
      </c>
      <c r="E9" s="131" t="s">
        <v>120</v>
      </c>
      <c r="F9" s="210">
        <f>Rollover!C9</f>
        <v>2023</v>
      </c>
      <c r="G9" s="10">
        <v>295.80599999999998</v>
      </c>
      <c r="H9" s="11">
        <v>0.29799999999999999</v>
      </c>
      <c r="I9" s="11">
        <v>1045.3879999999999</v>
      </c>
      <c r="J9" s="11">
        <v>62.002000000000002</v>
      </c>
      <c r="K9" s="11">
        <v>24.998999999999999</v>
      </c>
      <c r="L9" s="11">
        <v>43.417000000000002</v>
      </c>
      <c r="M9" s="11">
        <v>362.548</v>
      </c>
      <c r="N9" s="12">
        <v>263.21800000000002</v>
      </c>
      <c r="O9" s="10">
        <v>238.054</v>
      </c>
      <c r="P9" s="11">
        <v>0.33600000000000002</v>
      </c>
      <c r="Q9" s="11">
        <v>533.01700000000005</v>
      </c>
      <c r="R9" s="11">
        <v>520.73900000000003</v>
      </c>
      <c r="S9" s="11">
        <v>12.29</v>
      </c>
      <c r="T9" s="11">
        <v>45.061</v>
      </c>
      <c r="U9" s="11">
        <v>208.98699999999999</v>
      </c>
      <c r="V9" s="12">
        <v>207.80099999999999</v>
      </c>
      <c r="W9" s="211">
        <f t="shared" si="29"/>
        <v>8.6102763517468244E-3</v>
      </c>
      <c r="X9" s="5">
        <f t="shared" si="30"/>
        <v>6.6595751557450455E-2</v>
      </c>
      <c r="Y9" s="5">
        <f t="shared" si="31"/>
        <v>2.0512138288448597E-4</v>
      </c>
      <c r="Z9" s="5">
        <f t="shared" si="32"/>
        <v>1.9850822795805519E-5</v>
      </c>
      <c r="AA9" s="5">
        <f t="shared" si="33"/>
        <v>6.6595751557450455E-2</v>
      </c>
      <c r="AB9" s="5">
        <f t="shared" si="34"/>
        <v>2.5925586808734281E-2</v>
      </c>
      <c r="AC9" s="5">
        <f t="shared" si="35"/>
        <v>2.5925586808734281E-2</v>
      </c>
      <c r="AD9" s="5">
        <f t="shared" si="36"/>
        <v>3.6603842196991066E-3</v>
      </c>
      <c r="AE9" s="5">
        <f t="shared" si="37"/>
        <v>3.4768975785540073E-3</v>
      </c>
      <c r="AF9" s="24">
        <f t="shared" si="38"/>
        <v>3.6603842196991066E-3</v>
      </c>
      <c r="AG9" s="23">
        <f t="shared" si="39"/>
        <v>3.7309542576948679E-3</v>
      </c>
      <c r="AH9" s="5">
        <f t="shared" si="40"/>
        <v>7.1399801507878169E-2</v>
      </c>
      <c r="AI9" s="5">
        <f t="shared" si="41"/>
        <v>1.2991166608711518E-4</v>
      </c>
      <c r="AJ9" s="5">
        <f t="shared" si="42"/>
        <v>1.2403608659382033E-4</v>
      </c>
      <c r="AK9" s="5">
        <f t="shared" si="43"/>
        <v>7.1399801507878169E-2</v>
      </c>
      <c r="AL9" s="5">
        <f t="shared" si="44"/>
        <v>6.2349823153880898E-3</v>
      </c>
      <c r="AM9" s="5">
        <f t="shared" si="45"/>
        <v>6.2349823153880898E-3</v>
      </c>
      <c r="AN9" s="5">
        <f t="shared" si="46"/>
        <v>3.5555883533510638E-3</v>
      </c>
      <c r="AO9" s="5">
        <f t="shared" si="47"/>
        <v>3.5523883354651301E-3</v>
      </c>
      <c r="AP9" s="24">
        <f t="shared" si="48"/>
        <v>3.5555883533510638E-3</v>
      </c>
      <c r="AQ9" s="211">
        <f t="shared" si="49"/>
        <v>0.10199999999999999</v>
      </c>
      <c r="AR9" s="5">
        <f t="shared" si="50"/>
        <v>8.4000000000000005E-2</v>
      </c>
      <c r="AS9" s="5">
        <f t="shared" si="51"/>
        <v>9.2999999999999999E-2</v>
      </c>
      <c r="AT9" s="88">
        <f t="shared" si="52"/>
        <v>0.68</v>
      </c>
      <c r="AU9" s="88">
        <f t="shared" si="53"/>
        <v>0.56000000000000005</v>
      </c>
      <c r="AV9" s="88">
        <f t="shared" si="54"/>
        <v>0.62</v>
      </c>
      <c r="AW9" s="134">
        <f t="shared" si="55"/>
        <v>4</v>
      </c>
      <c r="AX9" s="134">
        <f t="shared" si="56"/>
        <v>5</v>
      </c>
      <c r="AY9" s="212">
        <f t="shared" si="57"/>
        <v>5</v>
      </c>
    </row>
    <row r="10" spans="1:51" ht="13.15" customHeight="1">
      <c r="A10" s="77"/>
      <c r="B10" s="41"/>
      <c r="C10" s="208" t="str">
        <f>Rollover!A10</f>
        <v>Audi</v>
      </c>
      <c r="D10" s="209" t="str">
        <f>Rollover!B10</f>
        <v>SQ8 AWD</v>
      </c>
      <c r="E10" s="131"/>
      <c r="F10" s="210">
        <f>Rollover!C10</f>
        <v>2023</v>
      </c>
      <c r="G10" s="17"/>
      <c r="H10" s="18"/>
      <c r="I10" s="18"/>
      <c r="J10" s="18"/>
      <c r="K10" s="18"/>
      <c r="L10" s="18"/>
      <c r="M10" s="18"/>
      <c r="N10" s="19"/>
      <c r="O10" s="17"/>
      <c r="P10" s="18"/>
      <c r="Q10" s="18"/>
      <c r="R10" s="18"/>
      <c r="S10" s="18"/>
      <c r="T10" s="18"/>
      <c r="U10" s="18"/>
      <c r="V10" s="19"/>
      <c r="W10" s="211" t="e">
        <f t="shared" si="29"/>
        <v>#NUM!</v>
      </c>
      <c r="X10" s="5">
        <f t="shared" si="30"/>
        <v>3.8165882958950202E-2</v>
      </c>
      <c r="Y10" s="5">
        <f t="shared" si="31"/>
        <v>1.713277721572889E-5</v>
      </c>
      <c r="Z10" s="5">
        <f t="shared" si="32"/>
        <v>1.713277721572889E-5</v>
      </c>
      <c r="AA10" s="5">
        <f t="shared" si="33"/>
        <v>3.8165882958950202E-2</v>
      </c>
      <c r="AB10" s="5">
        <f t="shared" si="34"/>
        <v>2.6306978617002889E-5</v>
      </c>
      <c r="AC10" s="5">
        <f t="shared" si="35"/>
        <v>2.6306978617002889E-5</v>
      </c>
      <c r="AD10" s="5">
        <f t="shared" si="36"/>
        <v>3.033802747866758E-3</v>
      </c>
      <c r="AE10" s="5">
        <f t="shared" si="37"/>
        <v>3.033802747866758E-3</v>
      </c>
      <c r="AF10" s="24">
        <f t="shared" si="38"/>
        <v>3.033802747866758E-3</v>
      </c>
      <c r="AG10" s="23" t="e">
        <f t="shared" si="39"/>
        <v>#NUM!</v>
      </c>
      <c r="AH10" s="5">
        <f t="shared" si="40"/>
        <v>3.8165882958950202E-2</v>
      </c>
      <c r="AI10" s="5">
        <f t="shared" si="41"/>
        <v>1.7417808154569238E-5</v>
      </c>
      <c r="AJ10" s="5">
        <f t="shared" si="42"/>
        <v>1.7417808154569238E-5</v>
      </c>
      <c r="AK10" s="5">
        <f t="shared" si="43"/>
        <v>3.8165882958950202E-2</v>
      </c>
      <c r="AL10" s="5">
        <f t="shared" si="44"/>
        <v>2.6306978617002889E-5</v>
      </c>
      <c r="AM10" s="5">
        <f t="shared" si="45"/>
        <v>2.6306978617002889E-5</v>
      </c>
      <c r="AN10" s="5">
        <f t="shared" si="46"/>
        <v>3.033802747866758E-3</v>
      </c>
      <c r="AO10" s="5">
        <f t="shared" si="47"/>
        <v>3.033802747866758E-3</v>
      </c>
      <c r="AP10" s="24">
        <f t="shared" si="48"/>
        <v>3.033802747866758E-3</v>
      </c>
      <c r="AQ10" s="211" t="e">
        <f t="shared" si="49"/>
        <v>#NUM!</v>
      </c>
      <c r="AR10" s="5" t="e">
        <f t="shared" si="50"/>
        <v>#NUM!</v>
      </c>
      <c r="AS10" s="5" t="e">
        <f t="shared" si="51"/>
        <v>#NUM!</v>
      </c>
      <c r="AT10" s="88" t="e">
        <f t="shared" si="52"/>
        <v>#NUM!</v>
      </c>
      <c r="AU10" s="88" t="e">
        <f t="shared" si="53"/>
        <v>#NUM!</v>
      </c>
      <c r="AV10" s="88" t="e">
        <f t="shared" si="54"/>
        <v>#NUM!</v>
      </c>
      <c r="AW10" s="134" t="e">
        <f t="shared" si="55"/>
        <v>#NUM!</v>
      </c>
      <c r="AX10" s="134" t="e">
        <f t="shared" si="56"/>
        <v>#NUM!</v>
      </c>
      <c r="AY10" s="212" t="e">
        <f t="shared" si="57"/>
        <v>#NUM!</v>
      </c>
    </row>
    <row r="11" spans="1:51" ht="13.15" customHeight="1">
      <c r="A11" s="77"/>
      <c r="B11" s="41"/>
      <c r="C11" s="208" t="str">
        <f>Rollover!A11</f>
        <v>Audi</v>
      </c>
      <c r="D11" s="209" t="str">
        <f>Rollover!B11</f>
        <v>RS Q8 AWD</v>
      </c>
      <c r="E11" s="131"/>
      <c r="F11" s="210">
        <f>Rollover!C11</f>
        <v>2023</v>
      </c>
      <c r="G11" s="10"/>
      <c r="H11" s="11"/>
      <c r="I11" s="11"/>
      <c r="J11" s="11"/>
      <c r="K11" s="11"/>
      <c r="L11" s="11"/>
      <c r="M11" s="11"/>
      <c r="N11" s="12"/>
      <c r="O11" s="10"/>
      <c r="P11" s="11"/>
      <c r="Q11" s="11"/>
      <c r="R11" s="11"/>
      <c r="S11" s="11"/>
      <c r="T11" s="11"/>
      <c r="U11" s="11"/>
      <c r="V11" s="12"/>
      <c r="W11" s="211" t="e">
        <f t="shared" si="29"/>
        <v>#NUM!</v>
      </c>
      <c r="X11" s="5">
        <f t="shared" si="30"/>
        <v>3.8165882958950202E-2</v>
      </c>
      <c r="Y11" s="5">
        <f t="shared" si="31"/>
        <v>1.713277721572889E-5</v>
      </c>
      <c r="Z11" s="5">
        <f t="shared" si="32"/>
        <v>1.713277721572889E-5</v>
      </c>
      <c r="AA11" s="5">
        <f t="shared" si="33"/>
        <v>3.8165882958950202E-2</v>
      </c>
      <c r="AB11" s="5">
        <f t="shared" si="34"/>
        <v>2.6306978617002889E-5</v>
      </c>
      <c r="AC11" s="5">
        <f t="shared" si="35"/>
        <v>2.6306978617002889E-5</v>
      </c>
      <c r="AD11" s="5">
        <f t="shared" si="36"/>
        <v>3.033802747866758E-3</v>
      </c>
      <c r="AE11" s="5">
        <f t="shared" si="37"/>
        <v>3.033802747866758E-3</v>
      </c>
      <c r="AF11" s="24">
        <f t="shared" si="38"/>
        <v>3.033802747866758E-3</v>
      </c>
      <c r="AG11" s="23" t="e">
        <f t="shared" si="39"/>
        <v>#NUM!</v>
      </c>
      <c r="AH11" s="5">
        <f t="shared" si="40"/>
        <v>3.8165882958950202E-2</v>
      </c>
      <c r="AI11" s="5">
        <f t="shared" si="41"/>
        <v>1.7417808154569238E-5</v>
      </c>
      <c r="AJ11" s="5">
        <f t="shared" si="42"/>
        <v>1.7417808154569238E-5</v>
      </c>
      <c r="AK11" s="5">
        <f t="shared" si="43"/>
        <v>3.8165882958950202E-2</v>
      </c>
      <c r="AL11" s="5">
        <f t="shared" si="44"/>
        <v>2.6306978617002889E-5</v>
      </c>
      <c r="AM11" s="5">
        <f t="shared" si="45"/>
        <v>2.6306978617002889E-5</v>
      </c>
      <c r="AN11" s="5">
        <f t="shared" si="46"/>
        <v>3.033802747866758E-3</v>
      </c>
      <c r="AO11" s="5">
        <f t="shared" si="47"/>
        <v>3.033802747866758E-3</v>
      </c>
      <c r="AP11" s="24">
        <f t="shared" si="48"/>
        <v>3.033802747866758E-3</v>
      </c>
      <c r="AQ11" s="211" t="e">
        <f t="shared" si="49"/>
        <v>#NUM!</v>
      </c>
      <c r="AR11" s="5" t="e">
        <f t="shared" si="50"/>
        <v>#NUM!</v>
      </c>
      <c r="AS11" s="5" t="e">
        <f t="shared" si="51"/>
        <v>#NUM!</v>
      </c>
      <c r="AT11" s="88" t="e">
        <f t="shared" si="52"/>
        <v>#NUM!</v>
      </c>
      <c r="AU11" s="88" t="e">
        <f t="shared" si="53"/>
        <v>#NUM!</v>
      </c>
      <c r="AV11" s="88" t="e">
        <f t="shared" si="54"/>
        <v>#NUM!</v>
      </c>
      <c r="AW11" s="134" t="e">
        <f t="shared" si="55"/>
        <v>#NUM!</v>
      </c>
      <c r="AX11" s="134" t="e">
        <f t="shared" si="56"/>
        <v>#NUM!</v>
      </c>
      <c r="AY11" s="212" t="e">
        <f t="shared" si="57"/>
        <v>#NUM!</v>
      </c>
    </row>
    <row r="12" spans="1:51" ht="13.15" customHeight="1">
      <c r="A12" s="77">
        <v>14386</v>
      </c>
      <c r="B12" s="41" t="s">
        <v>124</v>
      </c>
      <c r="C12" s="27" t="str">
        <f>Rollover!A12</f>
        <v>BMW</v>
      </c>
      <c r="D12" s="47" t="str">
        <f>Rollover!B12</f>
        <v>X1 SUV AWD</v>
      </c>
      <c r="E12" s="131" t="s">
        <v>125</v>
      </c>
      <c r="F12" s="133">
        <f>Rollover!C12</f>
        <v>2023</v>
      </c>
      <c r="G12" s="10">
        <v>223.22800000000001</v>
      </c>
      <c r="H12" s="11">
        <v>0.35099999999999998</v>
      </c>
      <c r="I12" s="11">
        <v>1331.2460000000001</v>
      </c>
      <c r="J12" s="11">
        <v>341.07299999999998</v>
      </c>
      <c r="K12" s="11">
        <v>31.131</v>
      </c>
      <c r="L12" s="11">
        <v>38.639000000000003</v>
      </c>
      <c r="M12" s="11">
        <v>1613.732</v>
      </c>
      <c r="N12" s="12">
        <v>1657.578</v>
      </c>
      <c r="O12" s="10">
        <v>310.68599999999998</v>
      </c>
      <c r="P12" s="11">
        <v>0.31900000000000001</v>
      </c>
      <c r="Q12" s="11">
        <v>601.02099999999996</v>
      </c>
      <c r="R12" s="11">
        <v>454.44200000000001</v>
      </c>
      <c r="S12" s="11">
        <v>13.084</v>
      </c>
      <c r="T12" s="11">
        <v>41.063000000000002</v>
      </c>
      <c r="U12" s="11">
        <v>1755.694</v>
      </c>
      <c r="V12" s="12">
        <v>2009.39</v>
      </c>
      <c r="W12" s="211">
        <f>NORMDIST(LN(G12),7.45231,0.73998,1)</f>
        <v>2.8689592938063737E-3</v>
      </c>
      <c r="X12" s="5">
        <f>1/(1+EXP(3.2269-1.9688*H12))</f>
        <v>7.3382783650721664E-2</v>
      </c>
      <c r="Y12" s="5">
        <f>1/(1+EXP(10.9745-2.375*I12/1000))</f>
        <v>4.0436395948896211E-4</v>
      </c>
      <c r="Z12" s="5">
        <f>1/(1+EXP(10.9745-2.375*J12/1000))</f>
        <v>3.8513946339195851E-5</v>
      </c>
      <c r="AA12" s="5">
        <f>MAX(X12,Y12,Z12)</f>
        <v>7.3382783650721664E-2</v>
      </c>
      <c r="AB12" s="5">
        <f>1/(1+EXP(12.597-0.05861*35-1.568*(K12^0.4612)))</f>
        <v>5.2671781314814238E-2</v>
      </c>
      <c r="AC12" s="5">
        <f>AB12</f>
        <v>5.2671781314814238E-2</v>
      </c>
      <c r="AD12" s="5">
        <f>1/(1+EXP(5.7949-0.5196*M12/1000))</f>
        <v>6.9889958652770111E-3</v>
      </c>
      <c r="AE12" s="5">
        <f>1/(1+EXP(5.7949-0.5196*N12/1000))</f>
        <v>7.1488981065753968E-3</v>
      </c>
      <c r="AF12" s="24">
        <f>MAX(AD12,AE12)</f>
        <v>7.1488981065753968E-3</v>
      </c>
      <c r="AG12" s="23">
        <f>NORMDIST(LN(O12),7.45231,0.73998,1)</f>
        <v>1.0288968052952919E-2</v>
      </c>
      <c r="AH12" s="5">
        <f>1/(1+EXP(3.2269-1.9688*P12))</f>
        <v>6.9212288688030699E-2</v>
      </c>
      <c r="AI12" s="5">
        <f>1/(1+EXP(10.958-3.77*Q12/1000))</f>
        <v>1.6787033124257054E-4</v>
      </c>
      <c r="AJ12" s="5">
        <f>1/(1+EXP(10.958-3.77*R12/1000))</f>
        <v>9.6607877491039349E-5</v>
      </c>
      <c r="AK12" s="5">
        <f>MAX(AH12,AI12,AJ12)</f>
        <v>6.9212288688030699E-2</v>
      </c>
      <c r="AL12" s="5">
        <f>1/(1+EXP(12.597-0.05861*35-1.568*((S12/0.817)^0.4612)))</f>
        <v>7.3115570420077226E-3</v>
      </c>
      <c r="AM12" s="5">
        <f>AL12</f>
        <v>7.3115570420077226E-3</v>
      </c>
      <c r="AN12" s="5">
        <f>1/(1+EXP(5.7949-0.7619*U12/1000))</f>
        <v>1.1461468905389485E-2</v>
      </c>
      <c r="AO12" s="5">
        <f>1/(1+EXP(5.7949-0.7619*V12/1000))</f>
        <v>1.3871562049756054E-2</v>
      </c>
      <c r="AP12" s="24">
        <f>MAX(AN12,AO12)</f>
        <v>1.3871562049756054E-2</v>
      </c>
      <c r="AQ12" s="211">
        <f>ROUND(1-(1-W12)*(1-AA12)*(1-AC12)*(1-AF12),3)</f>
        <v>0.13100000000000001</v>
      </c>
      <c r="AR12" s="5">
        <f>ROUND(1-(1-AG12)*(1-AK12)*(1-AM12)*(1-AP12),3)</f>
        <v>9.8000000000000004E-2</v>
      </c>
      <c r="AS12" s="5">
        <f>ROUND(AVERAGE(AR12,AQ12),3)</f>
        <v>0.115</v>
      </c>
      <c r="AT12" s="88">
        <f>ROUND(AQ12/0.15,2)</f>
        <v>0.87</v>
      </c>
      <c r="AU12" s="88">
        <f>ROUND(AR12/0.15,2)</f>
        <v>0.65</v>
      </c>
      <c r="AV12" s="88">
        <f>ROUND(AS12/0.15,2)</f>
        <v>0.77</v>
      </c>
      <c r="AW12" s="134">
        <f>IF(AT12&lt;0.67,5,IF(AT12&lt;1,4,IF(AT12&lt;1.33,3,IF(AT12&lt;2.67,2,1))))</f>
        <v>4</v>
      </c>
      <c r="AX12" s="134">
        <f>IF(AU12&lt;0.67,5,IF(AU12&lt;1,4,IF(AU12&lt;1.33,3,IF(AU12&lt;2.67,2,1))))</f>
        <v>5</v>
      </c>
      <c r="AY12" s="212">
        <f>IF(AV12&lt;0.67,5,IF(AV12&lt;1,4,IF(AV12&lt;1.33,3,IF(AV12&lt;2.67,2,1))))</f>
        <v>4</v>
      </c>
    </row>
    <row r="13" spans="1:51" ht="13.15" customHeight="1">
      <c r="A13" s="71">
        <v>14427</v>
      </c>
      <c r="B13" s="64" t="s">
        <v>126</v>
      </c>
      <c r="C13" s="213" t="str">
        <f>Rollover!A13</f>
        <v>Chevrolet</v>
      </c>
      <c r="D13" s="214" t="str">
        <f>Rollover!B13</f>
        <v>Colorado PU/CC RWD</v>
      </c>
      <c r="E13" s="131" t="s">
        <v>122</v>
      </c>
      <c r="F13" s="210">
        <f>Rollover!C13</f>
        <v>2023</v>
      </c>
      <c r="G13" s="10">
        <v>194.297</v>
      </c>
      <c r="H13" s="11">
        <v>0.26100000000000001</v>
      </c>
      <c r="I13" s="11">
        <v>1467.88</v>
      </c>
      <c r="J13" s="11">
        <v>45.176000000000002</v>
      </c>
      <c r="K13" s="11">
        <v>32.72</v>
      </c>
      <c r="L13" s="11">
        <v>46.174999999999997</v>
      </c>
      <c r="M13" s="11">
        <v>667.69200000000001</v>
      </c>
      <c r="N13" s="12">
        <v>315.17</v>
      </c>
      <c r="O13" s="10">
        <v>293.38900000000001</v>
      </c>
      <c r="P13" s="11">
        <v>0.34899999999999998</v>
      </c>
      <c r="Q13" s="11">
        <v>793.02200000000005</v>
      </c>
      <c r="R13" s="11">
        <v>409.50700000000001</v>
      </c>
      <c r="S13" s="11">
        <v>20.236999999999998</v>
      </c>
      <c r="T13" s="11">
        <v>51.779000000000003</v>
      </c>
      <c r="U13" s="11">
        <v>172.499</v>
      </c>
      <c r="V13" s="12">
        <v>660.65099999999995</v>
      </c>
      <c r="W13" s="211">
        <f t="shared" si="29"/>
        <v>1.5890011144459859E-3</v>
      </c>
      <c r="X13" s="5">
        <f t="shared" si="30"/>
        <v>6.220807975867898E-2</v>
      </c>
      <c r="Y13" s="5">
        <f t="shared" si="31"/>
        <v>5.5928887608122299E-4</v>
      </c>
      <c r="Z13" s="5">
        <f t="shared" si="32"/>
        <v>1.9073205268217488E-5</v>
      </c>
      <c r="AA13" s="5">
        <f t="shared" si="33"/>
        <v>6.220807975867898E-2</v>
      </c>
      <c r="AB13" s="5">
        <f t="shared" si="34"/>
        <v>6.2283488097367813E-2</v>
      </c>
      <c r="AC13" s="5">
        <f t="shared" si="35"/>
        <v>6.2283488097367813E-2</v>
      </c>
      <c r="AD13" s="5">
        <f t="shared" si="36"/>
        <v>4.2865929593611822E-3</v>
      </c>
      <c r="AE13" s="5">
        <f t="shared" si="37"/>
        <v>3.5716923280224499E-3</v>
      </c>
      <c r="AF13" s="24">
        <f t="shared" si="38"/>
        <v>4.2865929593611822E-3</v>
      </c>
      <c r="AG13" s="23">
        <f t="shared" si="39"/>
        <v>8.3544361705365517E-3</v>
      </c>
      <c r="AH13" s="5">
        <f t="shared" si="40"/>
        <v>7.3115485073840497E-2</v>
      </c>
      <c r="AI13" s="5">
        <f t="shared" si="41"/>
        <v>3.4614483758533101E-4</v>
      </c>
      <c r="AJ13" s="5">
        <f t="shared" si="42"/>
        <v>8.1554408806989981E-5</v>
      </c>
      <c r="AK13" s="5">
        <f t="shared" si="43"/>
        <v>7.3115485073840497E-2</v>
      </c>
      <c r="AL13" s="5">
        <f t="shared" si="44"/>
        <v>2.5195372903137746E-2</v>
      </c>
      <c r="AM13" s="5">
        <f t="shared" si="45"/>
        <v>2.5195372903137746E-2</v>
      </c>
      <c r="AN13" s="5">
        <f t="shared" si="46"/>
        <v>3.4584407324030251E-3</v>
      </c>
      <c r="AO13" s="5">
        <f t="shared" si="47"/>
        <v>5.0087378253353783E-3</v>
      </c>
      <c r="AP13" s="24">
        <f t="shared" si="48"/>
        <v>5.0087378253353783E-3</v>
      </c>
      <c r="AQ13" s="211">
        <f t="shared" si="49"/>
        <v>0.126</v>
      </c>
      <c r="AR13" s="5">
        <f t="shared" si="50"/>
        <v>0.109</v>
      </c>
      <c r="AS13" s="5">
        <f t="shared" si="51"/>
        <v>0.11799999999999999</v>
      </c>
      <c r="AT13" s="88">
        <f t="shared" si="52"/>
        <v>0.84</v>
      </c>
      <c r="AU13" s="88">
        <f t="shared" si="53"/>
        <v>0.73</v>
      </c>
      <c r="AV13" s="88">
        <f t="shared" si="54"/>
        <v>0.79</v>
      </c>
      <c r="AW13" s="134">
        <f t="shared" si="55"/>
        <v>4</v>
      </c>
      <c r="AX13" s="134">
        <f t="shared" si="56"/>
        <v>4</v>
      </c>
      <c r="AY13" s="212">
        <f t="shared" si="57"/>
        <v>4</v>
      </c>
    </row>
    <row r="14" spans="1:51" ht="13.15" customHeight="1">
      <c r="A14" s="77">
        <v>14427</v>
      </c>
      <c r="B14" s="41" t="s">
        <v>126</v>
      </c>
      <c r="C14" s="213" t="str">
        <f>Rollover!A14</f>
        <v>Chevrolet</v>
      </c>
      <c r="D14" s="214" t="str">
        <f>Rollover!B14</f>
        <v>Colorado PU/CC 4WD</v>
      </c>
      <c r="E14" s="131" t="s">
        <v>122</v>
      </c>
      <c r="F14" s="210">
        <f>Rollover!C14</f>
        <v>2023</v>
      </c>
      <c r="G14" s="17">
        <v>194.297</v>
      </c>
      <c r="H14" s="18">
        <v>0.26100000000000001</v>
      </c>
      <c r="I14" s="18">
        <v>1467.88</v>
      </c>
      <c r="J14" s="18">
        <v>45.176000000000002</v>
      </c>
      <c r="K14" s="18">
        <v>32.72</v>
      </c>
      <c r="L14" s="18">
        <v>46.174999999999997</v>
      </c>
      <c r="M14" s="18">
        <v>667.69200000000001</v>
      </c>
      <c r="N14" s="19">
        <v>315.17</v>
      </c>
      <c r="O14" s="17">
        <v>293.38900000000001</v>
      </c>
      <c r="P14" s="18">
        <v>0.34899999999999998</v>
      </c>
      <c r="Q14" s="18">
        <v>793.02200000000005</v>
      </c>
      <c r="R14" s="18">
        <v>409.50700000000001</v>
      </c>
      <c r="S14" s="18">
        <v>20.236999999999998</v>
      </c>
      <c r="T14" s="18">
        <v>51.779000000000003</v>
      </c>
      <c r="U14" s="18">
        <v>172.499</v>
      </c>
      <c r="V14" s="19">
        <v>660.65099999999995</v>
      </c>
      <c r="W14" s="211">
        <f t="shared" si="29"/>
        <v>1.5890011144459859E-3</v>
      </c>
      <c r="X14" s="5">
        <f t="shared" si="30"/>
        <v>6.220807975867898E-2</v>
      </c>
      <c r="Y14" s="5">
        <f t="shared" si="31"/>
        <v>5.5928887608122299E-4</v>
      </c>
      <c r="Z14" s="5">
        <f t="shared" si="32"/>
        <v>1.9073205268217488E-5</v>
      </c>
      <c r="AA14" s="5">
        <f t="shared" si="33"/>
        <v>6.220807975867898E-2</v>
      </c>
      <c r="AB14" s="5">
        <f t="shared" si="34"/>
        <v>6.2283488097367813E-2</v>
      </c>
      <c r="AC14" s="5">
        <f t="shared" si="35"/>
        <v>6.2283488097367813E-2</v>
      </c>
      <c r="AD14" s="5">
        <f t="shared" si="36"/>
        <v>4.2865929593611822E-3</v>
      </c>
      <c r="AE14" s="5">
        <f t="shared" si="37"/>
        <v>3.5716923280224499E-3</v>
      </c>
      <c r="AF14" s="24">
        <f t="shared" si="38"/>
        <v>4.2865929593611822E-3</v>
      </c>
      <c r="AG14" s="23">
        <f t="shared" si="39"/>
        <v>8.3544361705365517E-3</v>
      </c>
      <c r="AH14" s="5">
        <f t="shared" si="40"/>
        <v>7.3115485073840497E-2</v>
      </c>
      <c r="AI14" s="5">
        <f t="shared" si="41"/>
        <v>3.4614483758533101E-4</v>
      </c>
      <c r="AJ14" s="5">
        <f t="shared" si="42"/>
        <v>8.1554408806989981E-5</v>
      </c>
      <c r="AK14" s="5">
        <f t="shared" si="43"/>
        <v>7.3115485073840497E-2</v>
      </c>
      <c r="AL14" s="5">
        <f t="shared" si="44"/>
        <v>2.5195372903137746E-2</v>
      </c>
      <c r="AM14" s="5">
        <f t="shared" si="45"/>
        <v>2.5195372903137746E-2</v>
      </c>
      <c r="AN14" s="5">
        <f t="shared" si="46"/>
        <v>3.4584407324030251E-3</v>
      </c>
      <c r="AO14" s="5">
        <f t="shared" si="47"/>
        <v>5.0087378253353783E-3</v>
      </c>
      <c r="AP14" s="24">
        <f t="shared" si="48"/>
        <v>5.0087378253353783E-3</v>
      </c>
      <c r="AQ14" s="211">
        <f t="shared" si="49"/>
        <v>0.126</v>
      </c>
      <c r="AR14" s="5">
        <f t="shared" si="50"/>
        <v>0.109</v>
      </c>
      <c r="AS14" s="5">
        <f t="shared" si="51"/>
        <v>0.11799999999999999</v>
      </c>
      <c r="AT14" s="88">
        <f t="shared" si="52"/>
        <v>0.84</v>
      </c>
      <c r="AU14" s="88">
        <f t="shared" si="53"/>
        <v>0.73</v>
      </c>
      <c r="AV14" s="88">
        <f t="shared" si="54"/>
        <v>0.79</v>
      </c>
      <c r="AW14" s="134">
        <f t="shared" si="55"/>
        <v>4</v>
      </c>
      <c r="AX14" s="134">
        <f t="shared" si="56"/>
        <v>4</v>
      </c>
      <c r="AY14" s="212">
        <f t="shared" si="57"/>
        <v>4</v>
      </c>
    </row>
    <row r="15" spans="1:51" ht="13.15" customHeight="1">
      <c r="A15" s="71">
        <v>14427</v>
      </c>
      <c r="B15" s="64" t="s">
        <v>126</v>
      </c>
      <c r="C15" s="208" t="str">
        <f>Rollover!A15</f>
        <v>GMC</v>
      </c>
      <c r="D15" s="209" t="str">
        <f>Rollover!B15</f>
        <v>Canyon PU/CC RWD</v>
      </c>
      <c r="E15" s="131" t="s">
        <v>122</v>
      </c>
      <c r="F15" s="210">
        <f>Rollover!C15</f>
        <v>2023</v>
      </c>
      <c r="G15" s="17">
        <v>194.297</v>
      </c>
      <c r="H15" s="18">
        <v>0.26100000000000001</v>
      </c>
      <c r="I15" s="18">
        <v>1467.88</v>
      </c>
      <c r="J15" s="18">
        <v>45.176000000000002</v>
      </c>
      <c r="K15" s="18">
        <v>32.72</v>
      </c>
      <c r="L15" s="18">
        <v>46.174999999999997</v>
      </c>
      <c r="M15" s="18">
        <v>667.69200000000001</v>
      </c>
      <c r="N15" s="19">
        <v>315.17</v>
      </c>
      <c r="O15" s="17">
        <v>293.38900000000001</v>
      </c>
      <c r="P15" s="18">
        <v>0.34899999999999998</v>
      </c>
      <c r="Q15" s="18">
        <v>793.02200000000005</v>
      </c>
      <c r="R15" s="18">
        <v>409.50700000000001</v>
      </c>
      <c r="S15" s="18">
        <v>20.236999999999998</v>
      </c>
      <c r="T15" s="18">
        <v>51.779000000000003</v>
      </c>
      <c r="U15" s="18">
        <v>172.499</v>
      </c>
      <c r="V15" s="19">
        <v>660.65099999999995</v>
      </c>
      <c r="W15" s="211">
        <f t="shared" si="29"/>
        <v>1.5890011144459859E-3</v>
      </c>
      <c r="X15" s="5">
        <f t="shared" si="30"/>
        <v>6.220807975867898E-2</v>
      </c>
      <c r="Y15" s="5">
        <f t="shared" si="31"/>
        <v>5.5928887608122299E-4</v>
      </c>
      <c r="Z15" s="5">
        <f t="shared" si="32"/>
        <v>1.9073205268217488E-5</v>
      </c>
      <c r="AA15" s="5">
        <f t="shared" si="33"/>
        <v>6.220807975867898E-2</v>
      </c>
      <c r="AB15" s="5">
        <f t="shared" si="34"/>
        <v>6.2283488097367813E-2</v>
      </c>
      <c r="AC15" s="5">
        <f t="shared" si="35"/>
        <v>6.2283488097367813E-2</v>
      </c>
      <c r="AD15" s="5">
        <f t="shared" si="36"/>
        <v>4.2865929593611822E-3</v>
      </c>
      <c r="AE15" s="5">
        <f t="shared" si="37"/>
        <v>3.5716923280224499E-3</v>
      </c>
      <c r="AF15" s="24">
        <f t="shared" si="38"/>
        <v>4.2865929593611822E-3</v>
      </c>
      <c r="AG15" s="23">
        <f t="shared" si="39"/>
        <v>8.3544361705365517E-3</v>
      </c>
      <c r="AH15" s="5">
        <f t="shared" si="40"/>
        <v>7.3115485073840497E-2</v>
      </c>
      <c r="AI15" s="5">
        <f t="shared" si="41"/>
        <v>3.4614483758533101E-4</v>
      </c>
      <c r="AJ15" s="5">
        <f t="shared" si="42"/>
        <v>8.1554408806989981E-5</v>
      </c>
      <c r="AK15" s="5">
        <f t="shared" si="43"/>
        <v>7.3115485073840497E-2</v>
      </c>
      <c r="AL15" s="5">
        <f t="shared" si="44"/>
        <v>2.5195372903137746E-2</v>
      </c>
      <c r="AM15" s="5">
        <f t="shared" si="45"/>
        <v>2.5195372903137746E-2</v>
      </c>
      <c r="AN15" s="5">
        <f t="shared" si="46"/>
        <v>3.4584407324030251E-3</v>
      </c>
      <c r="AO15" s="5">
        <f t="shared" si="47"/>
        <v>5.0087378253353783E-3</v>
      </c>
      <c r="AP15" s="24">
        <f t="shared" si="48"/>
        <v>5.0087378253353783E-3</v>
      </c>
      <c r="AQ15" s="211">
        <f t="shared" si="49"/>
        <v>0.126</v>
      </c>
      <c r="AR15" s="5">
        <f t="shared" si="50"/>
        <v>0.109</v>
      </c>
      <c r="AS15" s="5">
        <f t="shared" si="51"/>
        <v>0.11799999999999999</v>
      </c>
      <c r="AT15" s="88">
        <f t="shared" si="52"/>
        <v>0.84</v>
      </c>
      <c r="AU15" s="88">
        <f t="shared" si="53"/>
        <v>0.73</v>
      </c>
      <c r="AV15" s="88">
        <f t="shared" si="54"/>
        <v>0.79</v>
      </c>
      <c r="AW15" s="134">
        <f t="shared" si="55"/>
        <v>4</v>
      </c>
      <c r="AX15" s="134">
        <f t="shared" si="56"/>
        <v>4</v>
      </c>
      <c r="AY15" s="212">
        <f t="shared" si="57"/>
        <v>4</v>
      </c>
    </row>
    <row r="16" spans="1:51" ht="13.15" customHeight="1">
      <c r="A16" s="77">
        <v>14427</v>
      </c>
      <c r="B16" s="41" t="s">
        <v>126</v>
      </c>
      <c r="C16" s="208" t="str">
        <f>Rollover!A16</f>
        <v>GMC</v>
      </c>
      <c r="D16" s="209" t="str">
        <f>Rollover!B16</f>
        <v>Canyon PU/CC 4WD</v>
      </c>
      <c r="E16" s="131" t="s">
        <v>122</v>
      </c>
      <c r="F16" s="210">
        <f>Rollover!C16</f>
        <v>2023</v>
      </c>
      <c r="G16" s="10">
        <v>194.297</v>
      </c>
      <c r="H16" s="11">
        <v>0.26100000000000001</v>
      </c>
      <c r="I16" s="11">
        <v>1467.88</v>
      </c>
      <c r="J16" s="11">
        <v>45.176000000000002</v>
      </c>
      <c r="K16" s="11">
        <v>32.72</v>
      </c>
      <c r="L16" s="11">
        <v>46.174999999999997</v>
      </c>
      <c r="M16" s="11">
        <v>667.69200000000001</v>
      </c>
      <c r="N16" s="12">
        <v>315.17</v>
      </c>
      <c r="O16" s="10">
        <v>293.38900000000001</v>
      </c>
      <c r="P16" s="11">
        <v>0.34899999999999998</v>
      </c>
      <c r="Q16" s="11">
        <v>793.02200000000005</v>
      </c>
      <c r="R16" s="11">
        <v>409.50700000000001</v>
      </c>
      <c r="S16" s="11">
        <v>20.236999999999998</v>
      </c>
      <c r="T16" s="11">
        <v>51.779000000000003</v>
      </c>
      <c r="U16" s="11">
        <v>172.499</v>
      </c>
      <c r="V16" s="12">
        <v>660.65099999999995</v>
      </c>
      <c r="W16" s="211">
        <f t="shared" si="29"/>
        <v>1.5890011144459859E-3</v>
      </c>
      <c r="X16" s="5">
        <f t="shared" si="30"/>
        <v>6.220807975867898E-2</v>
      </c>
      <c r="Y16" s="5">
        <f t="shared" si="31"/>
        <v>5.5928887608122299E-4</v>
      </c>
      <c r="Z16" s="5">
        <f t="shared" si="32"/>
        <v>1.9073205268217488E-5</v>
      </c>
      <c r="AA16" s="5">
        <f t="shared" si="33"/>
        <v>6.220807975867898E-2</v>
      </c>
      <c r="AB16" s="5">
        <f t="shared" si="34"/>
        <v>6.2283488097367813E-2</v>
      </c>
      <c r="AC16" s="5">
        <f t="shared" si="35"/>
        <v>6.2283488097367813E-2</v>
      </c>
      <c r="AD16" s="5">
        <f t="shared" si="36"/>
        <v>4.2865929593611822E-3</v>
      </c>
      <c r="AE16" s="5">
        <f t="shared" si="37"/>
        <v>3.5716923280224499E-3</v>
      </c>
      <c r="AF16" s="24">
        <f t="shared" si="38"/>
        <v>4.2865929593611822E-3</v>
      </c>
      <c r="AG16" s="23">
        <f t="shared" si="39"/>
        <v>8.3544361705365517E-3</v>
      </c>
      <c r="AH16" s="5">
        <f t="shared" si="40"/>
        <v>7.3115485073840497E-2</v>
      </c>
      <c r="AI16" s="5">
        <f t="shared" si="41"/>
        <v>3.4614483758533101E-4</v>
      </c>
      <c r="AJ16" s="5">
        <f t="shared" si="42"/>
        <v>8.1554408806989981E-5</v>
      </c>
      <c r="AK16" s="5">
        <f t="shared" si="43"/>
        <v>7.3115485073840497E-2</v>
      </c>
      <c r="AL16" s="5">
        <f t="shared" si="44"/>
        <v>2.5195372903137746E-2</v>
      </c>
      <c r="AM16" s="5">
        <f t="shared" si="45"/>
        <v>2.5195372903137746E-2</v>
      </c>
      <c r="AN16" s="5">
        <f t="shared" si="46"/>
        <v>3.4584407324030251E-3</v>
      </c>
      <c r="AO16" s="5">
        <f t="shared" si="47"/>
        <v>5.0087378253353783E-3</v>
      </c>
      <c r="AP16" s="24">
        <f t="shared" si="48"/>
        <v>5.0087378253353783E-3</v>
      </c>
      <c r="AQ16" s="211">
        <f t="shared" si="49"/>
        <v>0.126</v>
      </c>
      <c r="AR16" s="5">
        <f t="shared" si="50"/>
        <v>0.109</v>
      </c>
      <c r="AS16" s="5">
        <f t="shared" si="51"/>
        <v>0.11799999999999999</v>
      </c>
      <c r="AT16" s="88">
        <f t="shared" si="52"/>
        <v>0.84</v>
      </c>
      <c r="AU16" s="88">
        <f t="shared" si="53"/>
        <v>0.73</v>
      </c>
      <c r="AV16" s="88">
        <f t="shared" si="54"/>
        <v>0.79</v>
      </c>
      <c r="AW16" s="134">
        <f t="shared" si="55"/>
        <v>4</v>
      </c>
      <c r="AX16" s="134">
        <f t="shared" si="56"/>
        <v>4</v>
      </c>
      <c r="AY16" s="212">
        <f t="shared" si="57"/>
        <v>4</v>
      </c>
    </row>
    <row r="17" spans="1:51" ht="13.15" customHeight="1">
      <c r="A17" s="77">
        <v>10914</v>
      </c>
      <c r="B17" s="41" t="s">
        <v>127</v>
      </c>
      <c r="C17" s="208" t="str">
        <f>Rollover!A17</f>
        <v>Chevrolet</v>
      </c>
      <c r="D17" s="209" t="str">
        <f>Rollover!B17</f>
        <v>Malibu 4DR FWD</v>
      </c>
      <c r="E17" s="131" t="s">
        <v>128</v>
      </c>
      <c r="F17" s="210">
        <f>Rollover!C17</f>
        <v>2023</v>
      </c>
      <c r="G17" s="10">
        <v>172.315</v>
      </c>
      <c r="H17" s="11">
        <v>0.184</v>
      </c>
      <c r="I17" s="11">
        <v>962.66600000000005</v>
      </c>
      <c r="J17" s="11">
        <v>131.17599999999999</v>
      </c>
      <c r="K17" s="11">
        <v>24.292999999999999</v>
      </c>
      <c r="L17" s="11">
        <v>40.183999999999997</v>
      </c>
      <c r="M17" s="11">
        <v>1122.665</v>
      </c>
      <c r="N17" s="12">
        <v>1362.2950000000001</v>
      </c>
      <c r="O17" s="10">
        <v>272.27499999999998</v>
      </c>
      <c r="P17" s="11">
        <v>0.35699999999999998</v>
      </c>
      <c r="Q17" s="11">
        <v>751.23500000000001</v>
      </c>
      <c r="R17" s="11">
        <v>113.578</v>
      </c>
      <c r="S17" s="11">
        <v>16.568000000000001</v>
      </c>
      <c r="T17" s="11">
        <v>37.012</v>
      </c>
      <c r="U17" s="11">
        <v>720.04200000000003</v>
      </c>
      <c r="V17" s="12">
        <v>1032.6310000000001</v>
      </c>
      <c r="W17" s="211">
        <f t="shared" si="29"/>
        <v>9.2840802460904118E-4</v>
      </c>
      <c r="X17" s="5">
        <f t="shared" si="30"/>
        <v>5.3929431252127603E-2</v>
      </c>
      <c r="Y17" s="5">
        <f t="shared" si="31"/>
        <v>1.6854010842302418E-4</v>
      </c>
      <c r="Z17" s="5">
        <f t="shared" si="32"/>
        <v>2.3395183375151424E-5</v>
      </c>
      <c r="AA17" s="5">
        <f t="shared" si="33"/>
        <v>5.3929431252127603E-2</v>
      </c>
      <c r="AB17" s="5">
        <f t="shared" si="34"/>
        <v>2.3728198772365618E-2</v>
      </c>
      <c r="AC17" s="5">
        <f t="shared" si="35"/>
        <v>2.3728198772365618E-2</v>
      </c>
      <c r="AD17" s="5">
        <f t="shared" si="36"/>
        <v>5.4235668272747482E-3</v>
      </c>
      <c r="AE17" s="5">
        <f t="shared" si="37"/>
        <v>6.1382921503910469E-3</v>
      </c>
      <c r="AF17" s="24">
        <f t="shared" si="38"/>
        <v>6.1382921503910469E-3</v>
      </c>
      <c r="AG17" s="23">
        <f t="shared" si="39"/>
        <v>6.3159327213084208E-3</v>
      </c>
      <c r="AH17" s="5">
        <f t="shared" si="40"/>
        <v>7.4190086530912136E-2</v>
      </c>
      <c r="AI17" s="5">
        <f t="shared" si="41"/>
        <v>2.9570749014203913E-4</v>
      </c>
      <c r="AJ17" s="5">
        <f t="shared" si="42"/>
        <v>2.6726962588584445E-5</v>
      </c>
      <c r="AK17" s="5">
        <f t="shared" si="43"/>
        <v>7.4190086530912136E-2</v>
      </c>
      <c r="AL17" s="5">
        <f t="shared" si="44"/>
        <v>1.3887227579987383E-2</v>
      </c>
      <c r="AM17" s="5">
        <f t="shared" si="45"/>
        <v>1.3887227579987383E-2</v>
      </c>
      <c r="AN17" s="5">
        <f t="shared" si="46"/>
        <v>5.2393745502925925E-3</v>
      </c>
      <c r="AO17" s="5">
        <f t="shared" si="47"/>
        <v>6.6389627516809987E-3</v>
      </c>
      <c r="AP17" s="24">
        <f t="shared" si="48"/>
        <v>6.6389627516809987E-3</v>
      </c>
      <c r="AQ17" s="211">
        <f t="shared" si="49"/>
        <v>8.3000000000000004E-2</v>
      </c>
      <c r="AR17" s="5">
        <f t="shared" si="50"/>
        <v>9.9000000000000005E-2</v>
      </c>
      <c r="AS17" s="5">
        <f t="shared" si="51"/>
        <v>9.0999999999999998E-2</v>
      </c>
      <c r="AT17" s="88">
        <f t="shared" si="52"/>
        <v>0.55000000000000004</v>
      </c>
      <c r="AU17" s="88">
        <f t="shared" si="53"/>
        <v>0.66</v>
      </c>
      <c r="AV17" s="88">
        <f t="shared" si="54"/>
        <v>0.61</v>
      </c>
      <c r="AW17" s="134">
        <f t="shared" si="55"/>
        <v>5</v>
      </c>
      <c r="AX17" s="134">
        <f t="shared" si="56"/>
        <v>5</v>
      </c>
      <c r="AY17" s="212">
        <f t="shared" si="57"/>
        <v>5</v>
      </c>
    </row>
    <row r="18" spans="1:51" ht="13.15" customHeight="1">
      <c r="A18" s="77">
        <v>14290</v>
      </c>
      <c r="B18" s="41" t="s">
        <v>129</v>
      </c>
      <c r="C18" s="213" t="str">
        <f>Rollover!A18</f>
        <v>Ford</v>
      </c>
      <c r="D18" s="214" t="str">
        <f>Rollover!B18</f>
        <v>Explorer SUV RWD</v>
      </c>
      <c r="E18" s="131" t="s">
        <v>120</v>
      </c>
      <c r="F18" s="210">
        <f>Rollover!C18</f>
        <v>2023</v>
      </c>
      <c r="G18" s="17">
        <v>117.89100000000001</v>
      </c>
      <c r="H18" s="18">
        <v>0.28399999999999997</v>
      </c>
      <c r="I18" s="18">
        <v>1040.809</v>
      </c>
      <c r="J18" s="18">
        <v>163.96</v>
      </c>
      <c r="K18" s="18">
        <v>23.013999999999999</v>
      </c>
      <c r="L18" s="18">
        <v>37.485999999999997</v>
      </c>
      <c r="M18" s="18">
        <v>1253.643</v>
      </c>
      <c r="N18" s="19">
        <v>1191.1379999999999</v>
      </c>
      <c r="O18" s="17">
        <v>209.59899999999999</v>
      </c>
      <c r="P18" s="18">
        <v>0.315</v>
      </c>
      <c r="Q18" s="18">
        <v>722.399</v>
      </c>
      <c r="R18" s="18">
        <v>238.047</v>
      </c>
      <c r="S18" s="18">
        <v>9.6419999999999995</v>
      </c>
      <c r="T18" s="18">
        <v>40.354999999999997</v>
      </c>
      <c r="U18" s="18">
        <v>1496.35</v>
      </c>
      <c r="V18" s="19">
        <v>1553.3150000000001</v>
      </c>
      <c r="W18" s="211">
        <f t="shared" si="29"/>
        <v>1.4438855773186101E-4</v>
      </c>
      <c r="X18" s="5">
        <f t="shared" si="30"/>
        <v>6.4902734152616492E-2</v>
      </c>
      <c r="Y18" s="5">
        <f t="shared" si="31"/>
        <v>2.029031982053427E-4</v>
      </c>
      <c r="Z18" s="5">
        <f t="shared" si="32"/>
        <v>2.528952474056951E-5</v>
      </c>
      <c r="AA18" s="5">
        <f t="shared" si="33"/>
        <v>6.4902734152616492E-2</v>
      </c>
      <c r="AB18" s="5">
        <f t="shared" si="34"/>
        <v>2.0128128157530113E-2</v>
      </c>
      <c r="AC18" s="5">
        <f t="shared" si="35"/>
        <v>2.0128128157530113E-2</v>
      </c>
      <c r="AD18" s="5">
        <f t="shared" si="36"/>
        <v>5.8033072462645241E-3</v>
      </c>
      <c r="AE18" s="5">
        <f t="shared" si="37"/>
        <v>5.6188995707207321E-3</v>
      </c>
      <c r="AF18" s="24">
        <f t="shared" si="38"/>
        <v>5.8033072462645241E-3</v>
      </c>
      <c r="AG18" s="23">
        <f t="shared" si="39"/>
        <v>2.2030104453000421E-3</v>
      </c>
      <c r="AH18" s="5">
        <f t="shared" si="40"/>
        <v>6.8706670906238165E-2</v>
      </c>
      <c r="AI18" s="5">
        <f t="shared" si="41"/>
        <v>2.6525443524221383E-4</v>
      </c>
      <c r="AJ18" s="5">
        <f t="shared" si="42"/>
        <v>4.2730160974229408E-5</v>
      </c>
      <c r="AK18" s="5">
        <f t="shared" si="43"/>
        <v>6.8706670906238165E-2</v>
      </c>
      <c r="AL18" s="5">
        <f t="shared" si="44"/>
        <v>3.5019116760698862E-3</v>
      </c>
      <c r="AM18" s="5">
        <f t="shared" si="45"/>
        <v>3.5019116760698862E-3</v>
      </c>
      <c r="AN18" s="5">
        <f t="shared" si="46"/>
        <v>9.42583015490993E-3</v>
      </c>
      <c r="AO18" s="5">
        <f t="shared" si="47"/>
        <v>9.8398200809314777E-3</v>
      </c>
      <c r="AP18" s="24">
        <f t="shared" si="48"/>
        <v>9.8398200809314777E-3</v>
      </c>
      <c r="AQ18" s="211">
        <f t="shared" si="49"/>
        <v>8.8999999999999996E-2</v>
      </c>
      <c r="AR18" s="5">
        <f t="shared" si="50"/>
        <v>8.3000000000000004E-2</v>
      </c>
      <c r="AS18" s="5">
        <f t="shared" si="51"/>
        <v>8.5999999999999993E-2</v>
      </c>
      <c r="AT18" s="88">
        <f t="shared" si="52"/>
        <v>0.59</v>
      </c>
      <c r="AU18" s="88">
        <f t="shared" si="53"/>
        <v>0.55000000000000004</v>
      </c>
      <c r="AV18" s="88">
        <f t="shared" si="54"/>
        <v>0.56999999999999995</v>
      </c>
      <c r="AW18" s="134">
        <f t="shared" si="55"/>
        <v>5</v>
      </c>
      <c r="AX18" s="134">
        <f t="shared" si="56"/>
        <v>5</v>
      </c>
      <c r="AY18" s="212">
        <f t="shared" si="57"/>
        <v>5</v>
      </c>
    </row>
    <row r="19" spans="1:51" ht="13.15" customHeight="1">
      <c r="A19" s="71">
        <v>14290</v>
      </c>
      <c r="B19" s="64" t="s">
        <v>129</v>
      </c>
      <c r="C19" s="213" t="str">
        <f>Rollover!A19</f>
        <v>Ford</v>
      </c>
      <c r="D19" s="214" t="str">
        <f>Rollover!B19</f>
        <v>Explorer SUV 4WD</v>
      </c>
      <c r="E19" s="131" t="s">
        <v>120</v>
      </c>
      <c r="F19" s="210">
        <f>Rollover!C19</f>
        <v>2023</v>
      </c>
      <c r="G19" s="17">
        <v>117.89100000000001</v>
      </c>
      <c r="H19" s="18">
        <v>0.28399999999999997</v>
      </c>
      <c r="I19" s="18">
        <v>1040.809</v>
      </c>
      <c r="J19" s="18">
        <v>163.96</v>
      </c>
      <c r="K19" s="18">
        <v>23.013999999999999</v>
      </c>
      <c r="L19" s="18">
        <v>37.485999999999997</v>
      </c>
      <c r="M19" s="18">
        <v>1253.643</v>
      </c>
      <c r="N19" s="19">
        <v>1191.1379999999999</v>
      </c>
      <c r="O19" s="17">
        <v>209.59899999999999</v>
      </c>
      <c r="P19" s="18">
        <v>0.315</v>
      </c>
      <c r="Q19" s="18">
        <v>722.399</v>
      </c>
      <c r="R19" s="18">
        <v>238.047</v>
      </c>
      <c r="S19" s="18">
        <v>9.6419999999999995</v>
      </c>
      <c r="T19" s="18">
        <v>40.354999999999997</v>
      </c>
      <c r="U19" s="18">
        <v>1496.35</v>
      </c>
      <c r="V19" s="19">
        <v>1553.3150000000001</v>
      </c>
      <c r="W19" s="211">
        <f t="shared" si="29"/>
        <v>1.4438855773186101E-4</v>
      </c>
      <c r="X19" s="5">
        <f t="shared" si="30"/>
        <v>6.4902734152616492E-2</v>
      </c>
      <c r="Y19" s="5">
        <f t="shared" si="31"/>
        <v>2.029031982053427E-4</v>
      </c>
      <c r="Z19" s="5">
        <f t="shared" si="32"/>
        <v>2.528952474056951E-5</v>
      </c>
      <c r="AA19" s="5">
        <f t="shared" si="33"/>
        <v>6.4902734152616492E-2</v>
      </c>
      <c r="AB19" s="5">
        <f t="shared" si="34"/>
        <v>2.0128128157530113E-2</v>
      </c>
      <c r="AC19" s="5">
        <f t="shared" si="35"/>
        <v>2.0128128157530113E-2</v>
      </c>
      <c r="AD19" s="5">
        <f t="shared" si="36"/>
        <v>5.8033072462645241E-3</v>
      </c>
      <c r="AE19" s="5">
        <f t="shared" si="37"/>
        <v>5.6188995707207321E-3</v>
      </c>
      <c r="AF19" s="24">
        <f t="shared" si="38"/>
        <v>5.8033072462645241E-3</v>
      </c>
      <c r="AG19" s="23">
        <f t="shared" si="39"/>
        <v>2.2030104453000421E-3</v>
      </c>
      <c r="AH19" s="5">
        <f t="shared" si="40"/>
        <v>6.8706670906238165E-2</v>
      </c>
      <c r="AI19" s="5">
        <f t="shared" si="41"/>
        <v>2.6525443524221383E-4</v>
      </c>
      <c r="AJ19" s="5">
        <f t="shared" si="42"/>
        <v>4.2730160974229408E-5</v>
      </c>
      <c r="AK19" s="5">
        <f t="shared" si="43"/>
        <v>6.8706670906238165E-2</v>
      </c>
      <c r="AL19" s="5">
        <f t="shared" si="44"/>
        <v>3.5019116760698862E-3</v>
      </c>
      <c r="AM19" s="5">
        <f t="shared" si="45"/>
        <v>3.5019116760698862E-3</v>
      </c>
      <c r="AN19" s="5">
        <f t="shared" si="46"/>
        <v>9.42583015490993E-3</v>
      </c>
      <c r="AO19" s="5">
        <f t="shared" si="47"/>
        <v>9.8398200809314777E-3</v>
      </c>
      <c r="AP19" s="24">
        <f t="shared" si="48"/>
        <v>9.8398200809314777E-3</v>
      </c>
      <c r="AQ19" s="211">
        <f t="shared" si="49"/>
        <v>8.8999999999999996E-2</v>
      </c>
      <c r="AR19" s="5">
        <f t="shared" si="50"/>
        <v>8.3000000000000004E-2</v>
      </c>
      <c r="AS19" s="5">
        <f t="shared" si="51"/>
        <v>8.5999999999999993E-2</v>
      </c>
      <c r="AT19" s="88">
        <f t="shared" si="52"/>
        <v>0.59</v>
      </c>
      <c r="AU19" s="88">
        <f t="shared" si="53"/>
        <v>0.55000000000000004</v>
      </c>
      <c r="AV19" s="88">
        <f t="shared" si="54"/>
        <v>0.56999999999999995</v>
      </c>
      <c r="AW19" s="134">
        <f t="shared" si="55"/>
        <v>5</v>
      </c>
      <c r="AX19" s="134">
        <f t="shared" si="56"/>
        <v>5</v>
      </c>
      <c r="AY19" s="212">
        <f t="shared" si="57"/>
        <v>5</v>
      </c>
    </row>
    <row r="20" spans="1:51" ht="13.15" customHeight="1">
      <c r="A20" s="77">
        <v>14290</v>
      </c>
      <c r="B20" s="41" t="s">
        <v>129</v>
      </c>
      <c r="C20" s="208" t="str">
        <f>Rollover!A20</f>
        <v>Ford</v>
      </c>
      <c r="D20" s="209" t="str">
        <f>Rollover!B20</f>
        <v>Explorer HEV SUV RWD</v>
      </c>
      <c r="E20" s="131" t="s">
        <v>120</v>
      </c>
      <c r="F20" s="210">
        <f>Rollover!C20</f>
        <v>2023</v>
      </c>
      <c r="G20" s="17">
        <v>117.89100000000001</v>
      </c>
      <c r="H20" s="18">
        <v>0.28399999999999997</v>
      </c>
      <c r="I20" s="18">
        <v>1040.809</v>
      </c>
      <c r="J20" s="18">
        <v>163.96</v>
      </c>
      <c r="K20" s="18">
        <v>23.013999999999999</v>
      </c>
      <c r="L20" s="18">
        <v>37.485999999999997</v>
      </c>
      <c r="M20" s="18">
        <v>1253.643</v>
      </c>
      <c r="N20" s="19">
        <v>1191.1379999999999</v>
      </c>
      <c r="O20" s="17">
        <v>209.59899999999999</v>
      </c>
      <c r="P20" s="18">
        <v>0.315</v>
      </c>
      <c r="Q20" s="18">
        <v>722.399</v>
      </c>
      <c r="R20" s="18">
        <v>238.047</v>
      </c>
      <c r="S20" s="18">
        <v>9.6419999999999995</v>
      </c>
      <c r="T20" s="18">
        <v>40.354999999999997</v>
      </c>
      <c r="U20" s="18">
        <v>1496.35</v>
      </c>
      <c r="V20" s="19">
        <v>1553.3150000000001</v>
      </c>
      <c r="W20" s="211">
        <f t="shared" si="29"/>
        <v>1.4438855773186101E-4</v>
      </c>
      <c r="X20" s="5">
        <f t="shared" si="30"/>
        <v>6.4902734152616492E-2</v>
      </c>
      <c r="Y20" s="5">
        <f t="shared" si="31"/>
        <v>2.029031982053427E-4</v>
      </c>
      <c r="Z20" s="5">
        <f t="shared" si="32"/>
        <v>2.528952474056951E-5</v>
      </c>
      <c r="AA20" s="5">
        <f t="shared" si="33"/>
        <v>6.4902734152616492E-2</v>
      </c>
      <c r="AB20" s="5">
        <f t="shared" si="34"/>
        <v>2.0128128157530113E-2</v>
      </c>
      <c r="AC20" s="5">
        <f t="shared" si="35"/>
        <v>2.0128128157530113E-2</v>
      </c>
      <c r="AD20" s="5">
        <f t="shared" si="36"/>
        <v>5.8033072462645241E-3</v>
      </c>
      <c r="AE20" s="5">
        <f t="shared" si="37"/>
        <v>5.6188995707207321E-3</v>
      </c>
      <c r="AF20" s="24">
        <f t="shared" si="38"/>
        <v>5.8033072462645241E-3</v>
      </c>
      <c r="AG20" s="23">
        <f t="shared" si="39"/>
        <v>2.2030104453000421E-3</v>
      </c>
      <c r="AH20" s="5">
        <f t="shared" si="40"/>
        <v>6.8706670906238165E-2</v>
      </c>
      <c r="AI20" s="5">
        <f t="shared" si="41"/>
        <v>2.6525443524221383E-4</v>
      </c>
      <c r="AJ20" s="5">
        <f t="shared" si="42"/>
        <v>4.2730160974229408E-5</v>
      </c>
      <c r="AK20" s="5">
        <f t="shared" si="43"/>
        <v>6.8706670906238165E-2</v>
      </c>
      <c r="AL20" s="5">
        <f t="shared" si="44"/>
        <v>3.5019116760698862E-3</v>
      </c>
      <c r="AM20" s="5">
        <f t="shared" si="45"/>
        <v>3.5019116760698862E-3</v>
      </c>
      <c r="AN20" s="5">
        <f t="shared" si="46"/>
        <v>9.42583015490993E-3</v>
      </c>
      <c r="AO20" s="5">
        <f t="shared" si="47"/>
        <v>9.8398200809314777E-3</v>
      </c>
      <c r="AP20" s="24">
        <f t="shared" si="48"/>
        <v>9.8398200809314777E-3</v>
      </c>
      <c r="AQ20" s="211">
        <f t="shared" si="49"/>
        <v>8.8999999999999996E-2</v>
      </c>
      <c r="AR20" s="5">
        <f t="shared" si="50"/>
        <v>8.3000000000000004E-2</v>
      </c>
      <c r="AS20" s="5">
        <f t="shared" si="51"/>
        <v>8.5999999999999993E-2</v>
      </c>
      <c r="AT20" s="88">
        <f t="shared" si="52"/>
        <v>0.59</v>
      </c>
      <c r="AU20" s="88">
        <f t="shared" si="53"/>
        <v>0.55000000000000004</v>
      </c>
      <c r="AV20" s="88">
        <f t="shared" si="54"/>
        <v>0.56999999999999995</v>
      </c>
      <c r="AW20" s="134">
        <f t="shared" si="55"/>
        <v>5</v>
      </c>
      <c r="AX20" s="134">
        <f t="shared" si="56"/>
        <v>5</v>
      </c>
      <c r="AY20" s="212">
        <f t="shared" si="57"/>
        <v>5</v>
      </c>
    </row>
    <row r="21" spans="1:51" ht="13.15" customHeight="1">
      <c r="A21" s="71">
        <v>14290</v>
      </c>
      <c r="B21" s="64" t="s">
        <v>129</v>
      </c>
      <c r="C21" s="208" t="str">
        <f>Rollover!A21</f>
        <v>Ford</v>
      </c>
      <c r="D21" s="209" t="str">
        <f>Rollover!B21</f>
        <v>Explorer HEV SUV 4WD</v>
      </c>
      <c r="E21" s="131" t="s">
        <v>120</v>
      </c>
      <c r="F21" s="210">
        <f>Rollover!C21</f>
        <v>2023</v>
      </c>
      <c r="G21" s="17">
        <v>117.89100000000001</v>
      </c>
      <c r="H21" s="18">
        <v>0.28399999999999997</v>
      </c>
      <c r="I21" s="18">
        <v>1040.809</v>
      </c>
      <c r="J21" s="18">
        <v>163.96</v>
      </c>
      <c r="K21" s="18">
        <v>23.013999999999999</v>
      </c>
      <c r="L21" s="18">
        <v>37.485999999999997</v>
      </c>
      <c r="M21" s="18">
        <v>1253.643</v>
      </c>
      <c r="N21" s="19">
        <v>1191.1379999999999</v>
      </c>
      <c r="O21" s="17">
        <v>209.59899999999999</v>
      </c>
      <c r="P21" s="18">
        <v>0.315</v>
      </c>
      <c r="Q21" s="18">
        <v>722.399</v>
      </c>
      <c r="R21" s="18">
        <v>238.047</v>
      </c>
      <c r="S21" s="18">
        <v>9.6419999999999995</v>
      </c>
      <c r="T21" s="18">
        <v>40.354999999999997</v>
      </c>
      <c r="U21" s="18">
        <v>1496.35</v>
      </c>
      <c r="V21" s="19">
        <v>1553.3150000000001</v>
      </c>
      <c r="W21" s="211">
        <f t="shared" si="29"/>
        <v>1.4438855773186101E-4</v>
      </c>
      <c r="X21" s="5">
        <f t="shared" si="30"/>
        <v>6.4902734152616492E-2</v>
      </c>
      <c r="Y21" s="5">
        <f t="shared" si="31"/>
        <v>2.029031982053427E-4</v>
      </c>
      <c r="Z21" s="5">
        <f t="shared" si="32"/>
        <v>2.528952474056951E-5</v>
      </c>
      <c r="AA21" s="5">
        <f t="shared" si="33"/>
        <v>6.4902734152616492E-2</v>
      </c>
      <c r="AB21" s="5">
        <f t="shared" si="34"/>
        <v>2.0128128157530113E-2</v>
      </c>
      <c r="AC21" s="5">
        <f t="shared" si="35"/>
        <v>2.0128128157530113E-2</v>
      </c>
      <c r="AD21" s="5">
        <f t="shared" si="36"/>
        <v>5.8033072462645241E-3</v>
      </c>
      <c r="AE21" s="5">
        <f t="shared" si="37"/>
        <v>5.6188995707207321E-3</v>
      </c>
      <c r="AF21" s="24">
        <f t="shared" si="38"/>
        <v>5.8033072462645241E-3</v>
      </c>
      <c r="AG21" s="23">
        <f t="shared" si="39"/>
        <v>2.2030104453000421E-3</v>
      </c>
      <c r="AH21" s="5">
        <f t="shared" si="40"/>
        <v>6.8706670906238165E-2</v>
      </c>
      <c r="AI21" s="5">
        <f t="shared" si="41"/>
        <v>2.6525443524221383E-4</v>
      </c>
      <c r="AJ21" s="5">
        <f t="shared" si="42"/>
        <v>4.2730160974229408E-5</v>
      </c>
      <c r="AK21" s="5">
        <f t="shared" si="43"/>
        <v>6.8706670906238165E-2</v>
      </c>
      <c r="AL21" s="5">
        <f t="shared" si="44"/>
        <v>3.5019116760698862E-3</v>
      </c>
      <c r="AM21" s="5">
        <f t="shared" si="45"/>
        <v>3.5019116760698862E-3</v>
      </c>
      <c r="AN21" s="5">
        <f t="shared" si="46"/>
        <v>9.42583015490993E-3</v>
      </c>
      <c r="AO21" s="5">
        <f t="shared" si="47"/>
        <v>9.8398200809314777E-3</v>
      </c>
      <c r="AP21" s="24">
        <f t="shared" si="48"/>
        <v>9.8398200809314777E-3</v>
      </c>
      <c r="AQ21" s="211">
        <f t="shared" si="49"/>
        <v>8.8999999999999996E-2</v>
      </c>
      <c r="AR21" s="5">
        <f t="shared" si="50"/>
        <v>8.3000000000000004E-2</v>
      </c>
      <c r="AS21" s="5">
        <f t="shared" si="51"/>
        <v>8.5999999999999993E-2</v>
      </c>
      <c r="AT21" s="88">
        <f t="shared" si="52"/>
        <v>0.59</v>
      </c>
      <c r="AU21" s="88">
        <f t="shared" si="53"/>
        <v>0.55000000000000004</v>
      </c>
      <c r="AV21" s="88">
        <f t="shared" si="54"/>
        <v>0.56999999999999995</v>
      </c>
      <c r="AW21" s="134">
        <f t="shared" si="55"/>
        <v>5</v>
      </c>
      <c r="AX21" s="134">
        <f t="shared" si="56"/>
        <v>5</v>
      </c>
      <c r="AY21" s="212">
        <f t="shared" si="57"/>
        <v>5</v>
      </c>
    </row>
    <row r="22" spans="1:51" ht="13.15" customHeight="1">
      <c r="A22" s="71">
        <v>11053</v>
      </c>
      <c r="B22" s="64" t="s">
        <v>130</v>
      </c>
      <c r="C22" s="208" t="str">
        <f>Rollover!A22</f>
        <v>Lincoln</v>
      </c>
      <c r="D22" s="209" t="str">
        <f>Rollover!B22</f>
        <v>Aviator SUV RWD</v>
      </c>
      <c r="E22" s="131" t="s">
        <v>128</v>
      </c>
      <c r="F22" s="210">
        <f>Rollover!C22</f>
        <v>2023</v>
      </c>
      <c r="G22" s="10">
        <v>125.307</v>
      </c>
      <c r="H22" s="11">
        <v>0.26300000000000001</v>
      </c>
      <c r="I22" s="11">
        <v>744.58299999999997</v>
      </c>
      <c r="J22" s="11">
        <v>117.598</v>
      </c>
      <c r="K22" s="11">
        <v>20.210999999999999</v>
      </c>
      <c r="L22" s="11">
        <v>36.331000000000003</v>
      </c>
      <c r="M22" s="11">
        <v>1021.006</v>
      </c>
      <c r="N22" s="12">
        <v>933.33199999999999</v>
      </c>
      <c r="O22" s="10">
        <v>317.53500000000003</v>
      </c>
      <c r="P22" s="11">
        <v>0.29199999999999998</v>
      </c>
      <c r="Q22" s="11">
        <v>830.03</v>
      </c>
      <c r="R22" s="11">
        <v>571.88</v>
      </c>
      <c r="S22" s="11">
        <v>11.41</v>
      </c>
      <c r="T22" s="11">
        <v>40.284999999999997</v>
      </c>
      <c r="U22" s="11">
        <v>1690.646</v>
      </c>
      <c r="V22" s="12">
        <v>1799.577</v>
      </c>
      <c r="W22" s="211">
        <f t="shared" si="29"/>
        <v>1.9801012345019512E-4</v>
      </c>
      <c r="X22" s="5">
        <f t="shared" si="30"/>
        <v>6.2438188767104427E-2</v>
      </c>
      <c r="Y22" s="5">
        <f t="shared" si="31"/>
        <v>1.0041330964059293E-4</v>
      </c>
      <c r="Z22" s="5">
        <f t="shared" si="32"/>
        <v>2.2652792984813518E-5</v>
      </c>
      <c r="AA22" s="5">
        <f t="shared" si="33"/>
        <v>6.2438188767104427E-2</v>
      </c>
      <c r="AB22" s="5">
        <f t="shared" si="34"/>
        <v>1.3754538958953786E-2</v>
      </c>
      <c r="AC22" s="5">
        <f t="shared" si="35"/>
        <v>1.3754538958953786E-2</v>
      </c>
      <c r="AD22" s="5">
        <f t="shared" si="36"/>
        <v>5.1459539064359272E-3</v>
      </c>
      <c r="AE22" s="5">
        <f t="shared" si="37"/>
        <v>4.9179144041748869E-3</v>
      </c>
      <c r="AF22" s="24">
        <f t="shared" si="38"/>
        <v>5.1459539064359272E-3</v>
      </c>
      <c r="AG22" s="23">
        <f t="shared" si="39"/>
        <v>1.1122083464950644E-2</v>
      </c>
      <c r="AH22" s="5">
        <f t="shared" si="40"/>
        <v>6.5865207635833936E-2</v>
      </c>
      <c r="AI22" s="5">
        <f t="shared" si="41"/>
        <v>3.979497054391023E-4</v>
      </c>
      <c r="AJ22" s="5">
        <f t="shared" si="42"/>
        <v>1.5040741907163812E-4</v>
      </c>
      <c r="AK22" s="5">
        <f t="shared" si="43"/>
        <v>6.5865207635833936E-2</v>
      </c>
      <c r="AL22" s="5">
        <f t="shared" si="44"/>
        <v>5.1904723807278509E-3</v>
      </c>
      <c r="AM22" s="5">
        <f t="shared" si="45"/>
        <v>5.1904723807278509E-3</v>
      </c>
      <c r="AN22" s="5">
        <f t="shared" si="46"/>
        <v>1.0913331849253825E-2</v>
      </c>
      <c r="AO22" s="5">
        <f t="shared" si="47"/>
        <v>1.1846538642661502E-2</v>
      </c>
      <c r="AP22" s="24">
        <f t="shared" si="48"/>
        <v>1.1846538642661502E-2</v>
      </c>
      <c r="AQ22" s="211">
        <f t="shared" si="49"/>
        <v>0.08</v>
      </c>
      <c r="AR22" s="5">
        <f t="shared" si="50"/>
        <v>9.1999999999999998E-2</v>
      </c>
      <c r="AS22" s="5">
        <f t="shared" si="51"/>
        <v>8.5999999999999993E-2</v>
      </c>
      <c r="AT22" s="88">
        <f t="shared" si="52"/>
        <v>0.53</v>
      </c>
      <c r="AU22" s="88">
        <f t="shared" si="53"/>
        <v>0.61</v>
      </c>
      <c r="AV22" s="88">
        <f t="shared" si="54"/>
        <v>0.56999999999999995</v>
      </c>
      <c r="AW22" s="134">
        <f t="shared" si="55"/>
        <v>5</v>
      </c>
      <c r="AX22" s="134">
        <f t="shared" si="56"/>
        <v>5</v>
      </c>
      <c r="AY22" s="212">
        <f t="shared" si="57"/>
        <v>5</v>
      </c>
    </row>
    <row r="23" spans="1:51" ht="13.15" customHeight="1">
      <c r="A23" s="71">
        <v>11053</v>
      </c>
      <c r="B23" s="64" t="s">
        <v>130</v>
      </c>
      <c r="C23" s="208" t="str">
        <f>Rollover!A23</f>
        <v>Lincoln</v>
      </c>
      <c r="D23" s="209" t="str">
        <f>Rollover!B23</f>
        <v>Aviator SUV 4WD</v>
      </c>
      <c r="E23" s="131" t="s">
        <v>128</v>
      </c>
      <c r="F23" s="210">
        <f>Rollover!C23</f>
        <v>2023</v>
      </c>
      <c r="G23" s="23">
        <v>125.307</v>
      </c>
      <c r="H23" s="5">
        <v>0.26300000000000001</v>
      </c>
      <c r="I23" s="5">
        <v>744.58299999999997</v>
      </c>
      <c r="J23" s="5">
        <v>117.598</v>
      </c>
      <c r="K23" s="5">
        <v>20.210999999999999</v>
      </c>
      <c r="L23" s="5">
        <v>36.331000000000003</v>
      </c>
      <c r="M23" s="5">
        <v>1021.006</v>
      </c>
      <c r="N23" s="24">
        <v>933.33199999999999</v>
      </c>
      <c r="O23" s="23">
        <v>317.53500000000003</v>
      </c>
      <c r="P23" s="5">
        <v>0.29199999999999998</v>
      </c>
      <c r="Q23" s="5">
        <v>830.03</v>
      </c>
      <c r="R23" s="5">
        <v>571.88</v>
      </c>
      <c r="S23" s="5">
        <v>11.41</v>
      </c>
      <c r="T23" s="5">
        <v>40.284999999999997</v>
      </c>
      <c r="U23" s="5">
        <v>1690.646</v>
      </c>
      <c r="V23" s="24">
        <v>1799.577</v>
      </c>
      <c r="W23" s="211">
        <f t="shared" si="29"/>
        <v>1.9801012345019512E-4</v>
      </c>
      <c r="X23" s="5">
        <f t="shared" si="30"/>
        <v>6.2438188767104427E-2</v>
      </c>
      <c r="Y23" s="5">
        <f t="shared" si="31"/>
        <v>1.0041330964059293E-4</v>
      </c>
      <c r="Z23" s="5">
        <f t="shared" si="32"/>
        <v>2.2652792984813518E-5</v>
      </c>
      <c r="AA23" s="5">
        <f t="shared" si="33"/>
        <v>6.2438188767104427E-2</v>
      </c>
      <c r="AB23" s="5">
        <f t="shared" si="34"/>
        <v>1.3754538958953786E-2</v>
      </c>
      <c r="AC23" s="5">
        <f t="shared" si="35"/>
        <v>1.3754538958953786E-2</v>
      </c>
      <c r="AD23" s="5">
        <f t="shared" si="36"/>
        <v>5.1459539064359272E-3</v>
      </c>
      <c r="AE23" s="5">
        <f t="shared" si="37"/>
        <v>4.9179144041748869E-3</v>
      </c>
      <c r="AF23" s="24">
        <f t="shared" si="38"/>
        <v>5.1459539064359272E-3</v>
      </c>
      <c r="AG23" s="23">
        <f t="shared" si="39"/>
        <v>1.1122083464950644E-2</v>
      </c>
      <c r="AH23" s="5">
        <f t="shared" si="40"/>
        <v>6.5865207635833936E-2</v>
      </c>
      <c r="AI23" s="5">
        <f t="shared" si="41"/>
        <v>3.979497054391023E-4</v>
      </c>
      <c r="AJ23" s="5">
        <f t="shared" si="42"/>
        <v>1.5040741907163812E-4</v>
      </c>
      <c r="AK23" s="5">
        <f t="shared" si="43"/>
        <v>6.5865207635833936E-2</v>
      </c>
      <c r="AL23" s="5">
        <f t="shared" si="44"/>
        <v>5.1904723807278509E-3</v>
      </c>
      <c r="AM23" s="5">
        <f t="shared" si="45"/>
        <v>5.1904723807278509E-3</v>
      </c>
      <c r="AN23" s="5">
        <f t="shared" si="46"/>
        <v>1.0913331849253825E-2</v>
      </c>
      <c r="AO23" s="5">
        <f t="shared" si="47"/>
        <v>1.1846538642661502E-2</v>
      </c>
      <c r="AP23" s="24">
        <f t="shared" si="48"/>
        <v>1.1846538642661502E-2</v>
      </c>
      <c r="AQ23" s="211">
        <f t="shared" si="49"/>
        <v>0.08</v>
      </c>
      <c r="AR23" s="5">
        <f t="shared" si="50"/>
        <v>9.1999999999999998E-2</v>
      </c>
      <c r="AS23" s="5">
        <f t="shared" si="51"/>
        <v>8.5999999999999993E-2</v>
      </c>
      <c r="AT23" s="88">
        <f t="shared" si="52"/>
        <v>0.53</v>
      </c>
      <c r="AU23" s="88">
        <f t="shared" si="53"/>
        <v>0.61</v>
      </c>
      <c r="AV23" s="88">
        <f t="shared" si="54"/>
        <v>0.56999999999999995</v>
      </c>
      <c r="AW23" s="134">
        <f t="shared" si="55"/>
        <v>5</v>
      </c>
      <c r="AX23" s="134">
        <f t="shared" si="56"/>
        <v>5</v>
      </c>
      <c r="AY23" s="212">
        <f t="shared" si="57"/>
        <v>5</v>
      </c>
    </row>
    <row r="24" spans="1:51" ht="13.15" customHeight="1">
      <c r="A24" s="71">
        <v>14272</v>
      </c>
      <c r="B24" s="64" t="s">
        <v>131</v>
      </c>
      <c r="C24" s="213" t="str">
        <f>Rollover!A24</f>
        <v xml:space="preserve">Honda </v>
      </c>
      <c r="D24" s="214" t="str">
        <f>Rollover!B24</f>
        <v>HR-V SUV FWD</v>
      </c>
      <c r="E24" s="131" t="s">
        <v>120</v>
      </c>
      <c r="F24" s="210">
        <f>Rollover!C24</f>
        <v>2023</v>
      </c>
      <c r="G24" s="10">
        <v>138.929</v>
      </c>
      <c r="H24" s="11">
        <v>0.308</v>
      </c>
      <c r="I24" s="11">
        <v>595.76599999999996</v>
      </c>
      <c r="J24" s="11">
        <v>75.576999999999998</v>
      </c>
      <c r="K24" s="11">
        <v>19.484000000000002</v>
      </c>
      <c r="L24" s="11">
        <v>37.268000000000001</v>
      </c>
      <c r="M24" s="11">
        <v>1238.9880000000001</v>
      </c>
      <c r="N24" s="12">
        <v>1389.1410000000001</v>
      </c>
      <c r="O24" s="10">
        <v>278.24799999999999</v>
      </c>
      <c r="P24" s="11">
        <v>0.41299999999999998</v>
      </c>
      <c r="Q24" s="11">
        <v>681.625</v>
      </c>
      <c r="R24" s="11">
        <v>138.607</v>
      </c>
      <c r="S24" s="11">
        <v>14.106</v>
      </c>
      <c r="T24" s="11">
        <v>43.755000000000003</v>
      </c>
      <c r="U24" s="11">
        <v>954.34</v>
      </c>
      <c r="V24" s="12">
        <v>480.16899999999998</v>
      </c>
      <c r="W24" s="211">
        <f t="shared" si="29"/>
        <v>3.3293004803999071E-4</v>
      </c>
      <c r="X24" s="5">
        <f t="shared" si="30"/>
        <v>6.7830064906435658E-2</v>
      </c>
      <c r="Y24" s="5">
        <f t="shared" si="31"/>
        <v>7.0519148744062186E-5</v>
      </c>
      <c r="Z24" s="5">
        <f t="shared" si="32"/>
        <v>2.0501241217629681E-5</v>
      </c>
      <c r="AA24" s="5">
        <f t="shared" si="33"/>
        <v>6.7830064906435658E-2</v>
      </c>
      <c r="AB24" s="5">
        <f t="shared" si="34"/>
        <v>1.2399374644606121E-2</v>
      </c>
      <c r="AC24" s="5">
        <f t="shared" si="35"/>
        <v>1.2399374644606121E-2</v>
      </c>
      <c r="AD24" s="5">
        <f t="shared" si="36"/>
        <v>5.7595379571868596E-3</v>
      </c>
      <c r="AE24" s="5">
        <f t="shared" si="37"/>
        <v>6.2239796249902472E-3</v>
      </c>
      <c r="AF24" s="24">
        <f t="shared" si="38"/>
        <v>6.2239796249902472E-3</v>
      </c>
      <c r="AG24" s="23">
        <f t="shared" si="39"/>
        <v>6.8572152721773283E-3</v>
      </c>
      <c r="AH24" s="5">
        <f t="shared" si="40"/>
        <v>8.2127498065976981E-2</v>
      </c>
      <c r="AI24" s="5">
        <f t="shared" si="41"/>
        <v>2.2746794199353639E-4</v>
      </c>
      <c r="AJ24" s="5">
        <f t="shared" si="42"/>
        <v>2.9371639792922855E-5</v>
      </c>
      <c r="AK24" s="5">
        <f t="shared" si="43"/>
        <v>8.2127498065976981E-2</v>
      </c>
      <c r="AL24" s="5">
        <f t="shared" si="44"/>
        <v>8.9060251930053059E-3</v>
      </c>
      <c r="AM24" s="5">
        <f t="shared" si="45"/>
        <v>8.9060251930053059E-3</v>
      </c>
      <c r="AN24" s="5">
        <f t="shared" si="46"/>
        <v>6.2569342832796242E-3</v>
      </c>
      <c r="AO24" s="5">
        <f t="shared" si="47"/>
        <v>4.3680575542384163E-3</v>
      </c>
      <c r="AP24" s="24">
        <f t="shared" si="48"/>
        <v>6.2569342832796242E-3</v>
      </c>
      <c r="AQ24" s="211">
        <f t="shared" si="49"/>
        <v>8.5000000000000006E-2</v>
      </c>
      <c r="AR24" s="5">
        <f t="shared" si="50"/>
        <v>0.10199999999999999</v>
      </c>
      <c r="AS24" s="5">
        <f t="shared" si="51"/>
        <v>9.4E-2</v>
      </c>
      <c r="AT24" s="88">
        <f t="shared" si="52"/>
        <v>0.56999999999999995</v>
      </c>
      <c r="AU24" s="88">
        <f t="shared" si="53"/>
        <v>0.68</v>
      </c>
      <c r="AV24" s="88">
        <f t="shared" si="54"/>
        <v>0.63</v>
      </c>
      <c r="AW24" s="134">
        <f t="shared" si="55"/>
        <v>5</v>
      </c>
      <c r="AX24" s="134">
        <f t="shared" si="56"/>
        <v>4</v>
      </c>
      <c r="AY24" s="212">
        <f t="shared" si="57"/>
        <v>5</v>
      </c>
    </row>
    <row r="25" spans="1:51" ht="13.15" customHeight="1">
      <c r="A25" s="71">
        <v>14272</v>
      </c>
      <c r="B25" s="64" t="s">
        <v>131</v>
      </c>
      <c r="C25" s="213" t="str">
        <f>Rollover!A25</f>
        <v xml:space="preserve">Honda </v>
      </c>
      <c r="D25" s="214" t="str">
        <f>Rollover!B25</f>
        <v>HR-V SUV AWD</v>
      </c>
      <c r="E25" s="131" t="s">
        <v>120</v>
      </c>
      <c r="F25" s="210">
        <f>Rollover!C25</f>
        <v>2023</v>
      </c>
      <c r="G25" s="10">
        <v>138.929</v>
      </c>
      <c r="H25" s="11">
        <v>0.308</v>
      </c>
      <c r="I25" s="11">
        <v>595.76599999999996</v>
      </c>
      <c r="J25" s="11">
        <v>75.576999999999998</v>
      </c>
      <c r="K25" s="11">
        <v>19.484000000000002</v>
      </c>
      <c r="L25" s="11">
        <v>37.268000000000001</v>
      </c>
      <c r="M25" s="11">
        <v>1238.9880000000001</v>
      </c>
      <c r="N25" s="12">
        <v>1389.1410000000001</v>
      </c>
      <c r="O25" s="10">
        <v>278.24799999999999</v>
      </c>
      <c r="P25" s="11">
        <v>0.41299999999999998</v>
      </c>
      <c r="Q25" s="11">
        <v>681.625</v>
      </c>
      <c r="R25" s="11">
        <v>138.607</v>
      </c>
      <c r="S25" s="11">
        <v>14.106</v>
      </c>
      <c r="T25" s="11">
        <v>43.755000000000003</v>
      </c>
      <c r="U25" s="11">
        <v>954.34</v>
      </c>
      <c r="V25" s="12">
        <v>480.16899999999998</v>
      </c>
      <c r="W25" s="211">
        <f t="shared" si="29"/>
        <v>3.3293004803999071E-4</v>
      </c>
      <c r="X25" s="5">
        <f t="shared" si="30"/>
        <v>6.7830064906435658E-2</v>
      </c>
      <c r="Y25" s="5">
        <f t="shared" si="31"/>
        <v>7.0519148744062186E-5</v>
      </c>
      <c r="Z25" s="5">
        <f t="shared" si="32"/>
        <v>2.0501241217629681E-5</v>
      </c>
      <c r="AA25" s="5">
        <f t="shared" si="33"/>
        <v>6.7830064906435658E-2</v>
      </c>
      <c r="AB25" s="5">
        <f t="shared" si="34"/>
        <v>1.2399374644606121E-2</v>
      </c>
      <c r="AC25" s="5">
        <f t="shared" si="35"/>
        <v>1.2399374644606121E-2</v>
      </c>
      <c r="AD25" s="5">
        <f t="shared" si="36"/>
        <v>5.7595379571868596E-3</v>
      </c>
      <c r="AE25" s="5">
        <f t="shared" si="37"/>
        <v>6.2239796249902472E-3</v>
      </c>
      <c r="AF25" s="24">
        <f t="shared" si="38"/>
        <v>6.2239796249902472E-3</v>
      </c>
      <c r="AG25" s="23">
        <f t="shared" si="39"/>
        <v>6.8572152721773283E-3</v>
      </c>
      <c r="AH25" s="5">
        <f t="shared" si="40"/>
        <v>8.2127498065976981E-2</v>
      </c>
      <c r="AI25" s="5">
        <f t="shared" si="41"/>
        <v>2.2746794199353639E-4</v>
      </c>
      <c r="AJ25" s="5">
        <f t="shared" si="42"/>
        <v>2.9371639792922855E-5</v>
      </c>
      <c r="AK25" s="5">
        <f t="shared" si="43"/>
        <v>8.2127498065976981E-2</v>
      </c>
      <c r="AL25" s="5">
        <f t="shared" si="44"/>
        <v>8.9060251930053059E-3</v>
      </c>
      <c r="AM25" s="5">
        <f t="shared" si="45"/>
        <v>8.9060251930053059E-3</v>
      </c>
      <c r="AN25" s="5">
        <f t="shared" si="46"/>
        <v>6.2569342832796242E-3</v>
      </c>
      <c r="AO25" s="5">
        <f t="shared" si="47"/>
        <v>4.3680575542384163E-3</v>
      </c>
      <c r="AP25" s="24">
        <f t="shared" si="48"/>
        <v>6.2569342832796242E-3</v>
      </c>
      <c r="AQ25" s="211">
        <f t="shared" si="49"/>
        <v>8.5000000000000006E-2</v>
      </c>
      <c r="AR25" s="5">
        <f t="shared" si="50"/>
        <v>0.10199999999999999</v>
      </c>
      <c r="AS25" s="5">
        <f t="shared" si="51"/>
        <v>9.4E-2</v>
      </c>
      <c r="AT25" s="88">
        <f t="shared" si="52"/>
        <v>0.56999999999999995</v>
      </c>
      <c r="AU25" s="88">
        <f t="shared" si="53"/>
        <v>0.68</v>
      </c>
      <c r="AV25" s="88">
        <f t="shared" si="54"/>
        <v>0.63</v>
      </c>
      <c r="AW25" s="134">
        <f t="shared" si="55"/>
        <v>5</v>
      </c>
      <c r="AX25" s="134">
        <f t="shared" si="56"/>
        <v>4</v>
      </c>
      <c r="AY25" s="212">
        <f t="shared" si="57"/>
        <v>5</v>
      </c>
    </row>
    <row r="26" spans="1:51" ht="13.15" customHeight="1">
      <c r="A26" s="71">
        <v>14294</v>
      </c>
      <c r="B26" s="64" t="s">
        <v>132</v>
      </c>
      <c r="C26" s="213" t="str">
        <f>Rollover!A26</f>
        <v>Hyundai</v>
      </c>
      <c r="D26" s="214" t="str">
        <f>Rollover!B26</f>
        <v>Santa Cruz PU/CC FWD</v>
      </c>
      <c r="E26" s="131" t="s">
        <v>125</v>
      </c>
      <c r="F26" s="210">
        <f>Rollover!C26</f>
        <v>2023</v>
      </c>
      <c r="G26" s="10">
        <v>217.29599999999999</v>
      </c>
      <c r="H26" s="11">
        <v>0.22800000000000001</v>
      </c>
      <c r="I26" s="11">
        <v>870.10699999999997</v>
      </c>
      <c r="J26" s="11">
        <v>324.339</v>
      </c>
      <c r="K26" s="11">
        <v>22.43</v>
      </c>
      <c r="L26" s="11">
        <v>45.222000000000001</v>
      </c>
      <c r="M26" s="11">
        <v>162.13900000000001</v>
      </c>
      <c r="N26" s="12">
        <v>727.38599999999997</v>
      </c>
      <c r="O26" s="10">
        <v>230.017</v>
      </c>
      <c r="P26" s="11">
        <v>0.42299999999999999</v>
      </c>
      <c r="Q26" s="11">
        <v>557.98500000000001</v>
      </c>
      <c r="R26" s="11">
        <v>379.05700000000002</v>
      </c>
      <c r="S26" s="11">
        <v>14.276999999999999</v>
      </c>
      <c r="T26" s="11">
        <v>40.844999999999999</v>
      </c>
      <c r="U26" s="11">
        <v>272.31099999999998</v>
      </c>
      <c r="V26" s="12">
        <v>212.27500000000001</v>
      </c>
      <c r="W26" s="211">
        <f t="shared" si="29"/>
        <v>2.5647146458753693E-3</v>
      </c>
      <c r="X26" s="5">
        <f t="shared" si="30"/>
        <v>5.8523907985882369E-2</v>
      </c>
      <c r="Y26" s="5">
        <f t="shared" si="31"/>
        <v>1.3528442167207381E-4</v>
      </c>
      <c r="Z26" s="5">
        <f t="shared" si="32"/>
        <v>3.7013350390505808E-5</v>
      </c>
      <c r="AA26" s="5">
        <f t="shared" si="33"/>
        <v>5.8523907985882369E-2</v>
      </c>
      <c r="AB26" s="5">
        <f t="shared" si="34"/>
        <v>1.863703173780443E-2</v>
      </c>
      <c r="AC26" s="5">
        <f t="shared" si="35"/>
        <v>1.863703173780443E-2</v>
      </c>
      <c r="AD26" s="5">
        <f t="shared" si="36"/>
        <v>3.299588156358192E-3</v>
      </c>
      <c r="AE26" s="5">
        <f t="shared" si="37"/>
        <v>4.4210366564283211E-3</v>
      </c>
      <c r="AF26" s="24">
        <f t="shared" si="38"/>
        <v>4.4210366564283211E-3</v>
      </c>
      <c r="AG26" s="23">
        <f t="shared" si="39"/>
        <v>3.2453197575461165E-3</v>
      </c>
      <c r="AH26" s="5">
        <f t="shared" si="40"/>
        <v>8.3623892760232701E-2</v>
      </c>
      <c r="AI26" s="5">
        <f t="shared" si="41"/>
        <v>1.4273235959985891E-4</v>
      </c>
      <c r="AJ26" s="5">
        <f t="shared" si="42"/>
        <v>7.2710276907973805E-5</v>
      </c>
      <c r="AK26" s="5">
        <f t="shared" si="43"/>
        <v>8.3623892760232701E-2</v>
      </c>
      <c r="AL26" s="5">
        <f t="shared" si="44"/>
        <v>9.1976022326226044E-3</v>
      </c>
      <c r="AM26" s="5">
        <f t="shared" si="45"/>
        <v>9.1976022326226044E-3</v>
      </c>
      <c r="AN26" s="5">
        <f t="shared" si="46"/>
        <v>3.7306831624789225E-3</v>
      </c>
      <c r="AO26" s="5">
        <f t="shared" si="47"/>
        <v>3.5644749313086805E-3</v>
      </c>
      <c r="AP26" s="24">
        <f t="shared" si="48"/>
        <v>3.7306831624789225E-3</v>
      </c>
      <c r="AQ26" s="211">
        <f t="shared" si="49"/>
        <v>8.3000000000000004E-2</v>
      </c>
      <c r="AR26" s="5">
        <f t="shared" si="50"/>
        <v>9.8000000000000004E-2</v>
      </c>
      <c r="AS26" s="5">
        <f t="shared" si="51"/>
        <v>9.0999999999999998E-2</v>
      </c>
      <c r="AT26" s="88">
        <f t="shared" si="52"/>
        <v>0.55000000000000004</v>
      </c>
      <c r="AU26" s="88">
        <f t="shared" si="53"/>
        <v>0.65</v>
      </c>
      <c r="AV26" s="88">
        <f t="shared" si="54"/>
        <v>0.61</v>
      </c>
      <c r="AW26" s="134">
        <f t="shared" si="55"/>
        <v>5</v>
      </c>
      <c r="AX26" s="134">
        <f t="shared" si="56"/>
        <v>5</v>
      </c>
      <c r="AY26" s="212">
        <f t="shared" si="57"/>
        <v>5</v>
      </c>
    </row>
    <row r="27" spans="1:51" ht="13.15" customHeight="1">
      <c r="A27" s="71">
        <v>14294</v>
      </c>
      <c r="B27" s="64" t="s">
        <v>132</v>
      </c>
      <c r="C27" s="213" t="str">
        <f>Rollover!A27</f>
        <v>Hyundai</v>
      </c>
      <c r="D27" s="214" t="str">
        <f>Rollover!B27</f>
        <v>Santa Cruz PU/CC AWD</v>
      </c>
      <c r="E27" s="131" t="s">
        <v>125</v>
      </c>
      <c r="F27" s="210">
        <f>Rollover!C27</f>
        <v>2023</v>
      </c>
      <c r="G27" s="10">
        <v>217.29599999999999</v>
      </c>
      <c r="H27" s="11">
        <v>0.22800000000000001</v>
      </c>
      <c r="I27" s="11">
        <v>870.10699999999997</v>
      </c>
      <c r="J27" s="11">
        <v>324.339</v>
      </c>
      <c r="K27" s="11">
        <v>22.43</v>
      </c>
      <c r="L27" s="11">
        <v>45.222000000000001</v>
      </c>
      <c r="M27" s="11">
        <v>162.13900000000001</v>
      </c>
      <c r="N27" s="12">
        <v>727.38599999999997</v>
      </c>
      <c r="O27" s="10">
        <v>230.017</v>
      </c>
      <c r="P27" s="11">
        <v>0.42299999999999999</v>
      </c>
      <c r="Q27" s="11">
        <v>557.98500000000001</v>
      </c>
      <c r="R27" s="11">
        <v>379.05700000000002</v>
      </c>
      <c r="S27" s="11">
        <v>14.276999999999999</v>
      </c>
      <c r="T27" s="11">
        <v>40.844999999999999</v>
      </c>
      <c r="U27" s="11">
        <v>272.31099999999998</v>
      </c>
      <c r="V27" s="12">
        <v>212.27500000000001</v>
      </c>
      <c r="W27" s="211">
        <f t="shared" si="29"/>
        <v>2.5647146458753693E-3</v>
      </c>
      <c r="X27" s="5">
        <f t="shared" si="30"/>
        <v>5.8523907985882369E-2</v>
      </c>
      <c r="Y27" s="5">
        <f t="shared" si="31"/>
        <v>1.3528442167207381E-4</v>
      </c>
      <c r="Z27" s="5">
        <f t="shared" si="32"/>
        <v>3.7013350390505808E-5</v>
      </c>
      <c r="AA27" s="5">
        <f t="shared" si="33"/>
        <v>5.8523907985882369E-2</v>
      </c>
      <c r="AB27" s="5">
        <f t="shared" si="34"/>
        <v>1.863703173780443E-2</v>
      </c>
      <c r="AC27" s="5">
        <f t="shared" si="35"/>
        <v>1.863703173780443E-2</v>
      </c>
      <c r="AD27" s="5">
        <f t="shared" si="36"/>
        <v>3.299588156358192E-3</v>
      </c>
      <c r="AE27" s="5">
        <f t="shared" si="37"/>
        <v>4.4210366564283211E-3</v>
      </c>
      <c r="AF27" s="24">
        <f t="shared" si="38"/>
        <v>4.4210366564283211E-3</v>
      </c>
      <c r="AG27" s="23">
        <f t="shared" si="39"/>
        <v>3.2453197575461165E-3</v>
      </c>
      <c r="AH27" s="5">
        <f t="shared" si="40"/>
        <v>8.3623892760232701E-2</v>
      </c>
      <c r="AI27" s="5">
        <f t="shared" si="41"/>
        <v>1.4273235959985891E-4</v>
      </c>
      <c r="AJ27" s="5">
        <f t="shared" si="42"/>
        <v>7.2710276907973805E-5</v>
      </c>
      <c r="AK27" s="5">
        <f t="shared" si="43"/>
        <v>8.3623892760232701E-2</v>
      </c>
      <c r="AL27" s="5">
        <f t="shared" si="44"/>
        <v>9.1976022326226044E-3</v>
      </c>
      <c r="AM27" s="5">
        <f t="shared" si="45"/>
        <v>9.1976022326226044E-3</v>
      </c>
      <c r="AN27" s="5">
        <f t="shared" si="46"/>
        <v>3.7306831624789225E-3</v>
      </c>
      <c r="AO27" s="5">
        <f t="shared" si="47"/>
        <v>3.5644749313086805E-3</v>
      </c>
      <c r="AP27" s="24">
        <f t="shared" si="48"/>
        <v>3.7306831624789225E-3</v>
      </c>
      <c r="AQ27" s="211">
        <f t="shared" si="49"/>
        <v>8.3000000000000004E-2</v>
      </c>
      <c r="AR27" s="5">
        <f t="shared" si="50"/>
        <v>9.8000000000000004E-2</v>
      </c>
      <c r="AS27" s="5">
        <f t="shared" si="51"/>
        <v>9.0999999999999998E-2</v>
      </c>
      <c r="AT27" s="88">
        <f t="shared" si="52"/>
        <v>0.55000000000000004</v>
      </c>
      <c r="AU27" s="88">
        <f t="shared" si="53"/>
        <v>0.65</v>
      </c>
      <c r="AV27" s="88">
        <f t="shared" si="54"/>
        <v>0.61</v>
      </c>
      <c r="AW27" s="134">
        <f t="shared" si="55"/>
        <v>5</v>
      </c>
      <c r="AX27" s="134">
        <f t="shared" si="56"/>
        <v>5</v>
      </c>
      <c r="AY27" s="212">
        <f t="shared" si="57"/>
        <v>5</v>
      </c>
    </row>
    <row r="28" spans="1:51" ht="13.15" customHeight="1">
      <c r="A28" s="77">
        <v>14362</v>
      </c>
      <c r="B28" s="41" t="s">
        <v>133</v>
      </c>
      <c r="C28" s="213" t="str">
        <f>Rollover!A28</f>
        <v>Hyundai</v>
      </c>
      <c r="D28" s="214" t="str">
        <f>Rollover!B28</f>
        <v>Kona Electric FWD</v>
      </c>
      <c r="E28" s="131" t="s">
        <v>134</v>
      </c>
      <c r="F28" s="210">
        <f>Rollover!C28</f>
        <v>2023</v>
      </c>
      <c r="G28" s="17">
        <v>127.193</v>
      </c>
      <c r="H28" s="18">
        <v>0.23699999999999999</v>
      </c>
      <c r="I28" s="18">
        <v>1076.0219999999999</v>
      </c>
      <c r="J28" s="18">
        <v>508.33100000000002</v>
      </c>
      <c r="K28" s="18">
        <v>30.356999999999999</v>
      </c>
      <c r="L28" s="18">
        <v>44.54</v>
      </c>
      <c r="M28" s="18">
        <v>230.27699999999999</v>
      </c>
      <c r="N28" s="19">
        <v>279.01499999999999</v>
      </c>
      <c r="O28" s="17">
        <v>183.43799999999999</v>
      </c>
      <c r="P28" s="18">
        <v>0.29699999999999999</v>
      </c>
      <c r="Q28" s="18">
        <v>840.68499999999995</v>
      </c>
      <c r="R28" s="18">
        <v>87.9</v>
      </c>
      <c r="S28" s="18">
        <v>18.295000000000002</v>
      </c>
      <c r="T28" s="18">
        <v>41.325000000000003</v>
      </c>
      <c r="U28" s="18">
        <v>1448.08</v>
      </c>
      <c r="V28" s="19">
        <v>411.01400000000001</v>
      </c>
      <c r="W28" s="211">
        <f t="shared" si="29"/>
        <v>2.1372146180037197E-4</v>
      </c>
      <c r="X28" s="5">
        <f t="shared" si="30"/>
        <v>5.95078872435763E-2</v>
      </c>
      <c r="Y28" s="5">
        <f t="shared" si="31"/>
        <v>2.2059803198710813E-4</v>
      </c>
      <c r="Z28" s="5">
        <f t="shared" si="32"/>
        <v>5.7296491119098699E-5</v>
      </c>
      <c r="AA28" s="5">
        <f t="shared" si="33"/>
        <v>5.95078872435763E-2</v>
      </c>
      <c r="AB28" s="5">
        <f t="shared" si="34"/>
        <v>4.8431964453911784E-2</v>
      </c>
      <c r="AC28" s="5">
        <f t="shared" si="35"/>
        <v>4.8431964453911784E-2</v>
      </c>
      <c r="AD28" s="5">
        <f t="shared" si="36"/>
        <v>3.4180945905862275E-3</v>
      </c>
      <c r="AE28" s="5">
        <f t="shared" si="37"/>
        <v>3.5054533682244244E-3</v>
      </c>
      <c r="AF28" s="24">
        <f t="shared" si="38"/>
        <v>3.5054533682244244E-3</v>
      </c>
      <c r="AG28" s="23">
        <f t="shared" si="39"/>
        <v>1.2321359859689155E-3</v>
      </c>
      <c r="AH28" s="5">
        <f t="shared" si="40"/>
        <v>6.6473473835618815E-2</v>
      </c>
      <c r="AI28" s="5">
        <f t="shared" si="41"/>
        <v>4.1425373327822894E-4</v>
      </c>
      <c r="AJ28" s="5">
        <f t="shared" si="42"/>
        <v>2.4260979958195586E-5</v>
      </c>
      <c r="AK28" s="5">
        <f t="shared" si="43"/>
        <v>6.6473473835618815E-2</v>
      </c>
      <c r="AL28" s="5">
        <f t="shared" si="44"/>
        <v>1.8545383789544706E-2</v>
      </c>
      <c r="AM28" s="5">
        <f t="shared" si="45"/>
        <v>1.8545383789544706E-2</v>
      </c>
      <c r="AN28" s="5">
        <f t="shared" si="46"/>
        <v>9.0885675493336295E-3</v>
      </c>
      <c r="AO28" s="5">
        <f t="shared" si="47"/>
        <v>4.1447954413391212E-3</v>
      </c>
      <c r="AP28" s="24">
        <f t="shared" si="48"/>
        <v>9.0885675493336295E-3</v>
      </c>
      <c r="AQ28" s="211">
        <f t="shared" si="49"/>
        <v>0.108</v>
      </c>
      <c r="AR28" s="5">
        <f t="shared" si="50"/>
        <v>9.2999999999999999E-2</v>
      </c>
      <c r="AS28" s="5">
        <f t="shared" si="51"/>
        <v>0.10100000000000001</v>
      </c>
      <c r="AT28" s="88">
        <f t="shared" si="52"/>
        <v>0.72</v>
      </c>
      <c r="AU28" s="88">
        <f t="shared" si="53"/>
        <v>0.62</v>
      </c>
      <c r="AV28" s="88">
        <f t="shared" si="54"/>
        <v>0.67</v>
      </c>
      <c r="AW28" s="134">
        <f t="shared" si="55"/>
        <v>4</v>
      </c>
      <c r="AX28" s="134">
        <f t="shared" si="56"/>
        <v>5</v>
      </c>
      <c r="AY28" s="212">
        <f t="shared" si="57"/>
        <v>4</v>
      </c>
    </row>
    <row r="29" spans="1:51" ht="13.15" customHeight="1">
      <c r="A29" s="63">
        <v>14242</v>
      </c>
      <c r="B29" s="63" t="s">
        <v>135</v>
      </c>
      <c r="C29" s="213" t="str">
        <f>Rollover!A29</f>
        <v>Jeep</v>
      </c>
      <c r="D29" s="214" t="str">
        <f>Rollover!B29</f>
        <v>Grand Cherokee SUV RWD</v>
      </c>
      <c r="E29" s="131" t="s">
        <v>134</v>
      </c>
      <c r="F29" s="210">
        <f>Rollover!C29</f>
        <v>2023</v>
      </c>
      <c r="G29" s="10">
        <v>128.6</v>
      </c>
      <c r="H29" s="11">
        <v>0.20899999999999999</v>
      </c>
      <c r="I29" s="11">
        <v>658.84900000000005</v>
      </c>
      <c r="J29" s="11">
        <v>371.97199999999998</v>
      </c>
      <c r="K29" s="11">
        <v>21.193000000000001</v>
      </c>
      <c r="L29" s="11">
        <v>31.693999999999999</v>
      </c>
      <c r="M29" s="11">
        <v>2142.5140000000001</v>
      </c>
      <c r="N29" s="12">
        <v>1151.998</v>
      </c>
      <c r="O29" s="10">
        <v>137.32499999999999</v>
      </c>
      <c r="P29" s="11">
        <v>0.27700000000000002</v>
      </c>
      <c r="Q29" s="11">
        <v>555.37699999999995</v>
      </c>
      <c r="R29" s="11">
        <v>183.06700000000001</v>
      </c>
      <c r="S29" s="11">
        <v>14.856999999999999</v>
      </c>
      <c r="T29" s="11">
        <v>29.652000000000001</v>
      </c>
      <c r="U29" s="11">
        <v>1778.595</v>
      </c>
      <c r="V29" s="121">
        <v>1542.932</v>
      </c>
      <c r="W29" s="211">
        <f t="shared" si="29"/>
        <v>2.2602753410383281E-4</v>
      </c>
      <c r="X29" s="5">
        <f t="shared" si="30"/>
        <v>5.6496531186568832E-2</v>
      </c>
      <c r="Y29" s="5">
        <f t="shared" si="31"/>
        <v>8.1916055832250234E-5</v>
      </c>
      <c r="Z29" s="5">
        <f t="shared" si="32"/>
        <v>4.1446465670159445E-5</v>
      </c>
      <c r="AA29" s="5">
        <f t="shared" si="33"/>
        <v>5.6496531186568832E-2</v>
      </c>
      <c r="AB29" s="5">
        <f t="shared" si="34"/>
        <v>1.5769836031900058E-2</v>
      </c>
      <c r="AC29" s="5">
        <f t="shared" si="35"/>
        <v>1.5769836031900058E-2</v>
      </c>
      <c r="AD29" s="5">
        <f t="shared" si="36"/>
        <v>9.1786898793333738E-3</v>
      </c>
      <c r="AE29" s="5">
        <f t="shared" si="37"/>
        <v>5.5064042252166304E-3</v>
      </c>
      <c r="AF29" s="24">
        <f t="shared" si="38"/>
        <v>9.1786898793333738E-3</v>
      </c>
      <c r="AG29" s="23">
        <f t="shared" si="39"/>
        <v>3.1430857884317268E-4</v>
      </c>
      <c r="AH29" s="5">
        <f t="shared" si="40"/>
        <v>6.4071322343990295E-2</v>
      </c>
      <c r="AI29" s="5">
        <f t="shared" si="41"/>
        <v>1.4133606608857677E-4</v>
      </c>
      <c r="AJ29" s="5">
        <f t="shared" si="42"/>
        <v>3.4731199921571719E-5</v>
      </c>
      <c r="AK29" s="5">
        <f t="shared" si="43"/>
        <v>6.4071322343990295E-2</v>
      </c>
      <c r="AL29" s="5">
        <f t="shared" si="44"/>
        <v>1.0243221995065483E-2</v>
      </c>
      <c r="AM29" s="5">
        <f t="shared" si="45"/>
        <v>1.0243221995065483E-2</v>
      </c>
      <c r="AN29" s="5">
        <f t="shared" si="46"/>
        <v>1.1660854166364625E-2</v>
      </c>
      <c r="AO29" s="5">
        <f t="shared" si="47"/>
        <v>9.7630432047256036E-3</v>
      </c>
      <c r="AP29" s="24">
        <f t="shared" si="48"/>
        <v>1.1660854166364625E-2</v>
      </c>
      <c r="AQ29" s="211">
        <f t="shared" si="49"/>
        <v>0.08</v>
      </c>
      <c r="AR29" s="5">
        <f t="shared" si="50"/>
        <v>8.5000000000000006E-2</v>
      </c>
      <c r="AS29" s="5">
        <f t="shared" si="51"/>
        <v>8.3000000000000004E-2</v>
      </c>
      <c r="AT29" s="88">
        <f t="shared" si="52"/>
        <v>0.53</v>
      </c>
      <c r="AU29" s="88">
        <f t="shared" si="53"/>
        <v>0.56999999999999995</v>
      </c>
      <c r="AV29" s="88">
        <f t="shared" si="54"/>
        <v>0.55000000000000004</v>
      </c>
      <c r="AW29" s="134">
        <f t="shared" si="55"/>
        <v>5</v>
      </c>
      <c r="AX29" s="134">
        <f t="shared" si="56"/>
        <v>5</v>
      </c>
      <c r="AY29" s="212">
        <f t="shared" si="57"/>
        <v>5</v>
      </c>
    </row>
    <row r="30" spans="1:51" ht="13.15" customHeight="1">
      <c r="A30" s="63">
        <v>14242</v>
      </c>
      <c r="B30" s="63" t="s">
        <v>135</v>
      </c>
      <c r="C30" s="213" t="str">
        <f>Rollover!A30</f>
        <v xml:space="preserve">Jeep </v>
      </c>
      <c r="D30" s="214" t="str">
        <f>Rollover!B30</f>
        <v>Grand Cherokee SUV 4WD</v>
      </c>
      <c r="E30" s="131" t="s">
        <v>134</v>
      </c>
      <c r="F30" s="210">
        <f>Rollover!C30</f>
        <v>2023</v>
      </c>
      <c r="G30" s="10">
        <v>128.6</v>
      </c>
      <c r="H30" s="11">
        <v>0.20899999999999999</v>
      </c>
      <c r="I30" s="11">
        <v>658.84900000000005</v>
      </c>
      <c r="J30" s="11">
        <v>371.97199999999998</v>
      </c>
      <c r="K30" s="11">
        <v>21.193000000000001</v>
      </c>
      <c r="L30" s="11">
        <v>31.693999999999999</v>
      </c>
      <c r="M30" s="11">
        <v>2142.5140000000001</v>
      </c>
      <c r="N30" s="12">
        <v>1151.998</v>
      </c>
      <c r="O30" s="10">
        <v>137.32499999999999</v>
      </c>
      <c r="P30" s="11">
        <v>0.27700000000000002</v>
      </c>
      <c r="Q30" s="11">
        <v>555.37699999999995</v>
      </c>
      <c r="R30" s="11">
        <v>183.06700000000001</v>
      </c>
      <c r="S30" s="11">
        <v>14.856999999999999</v>
      </c>
      <c r="T30" s="11">
        <v>29.652000000000001</v>
      </c>
      <c r="U30" s="11">
        <v>1778.595</v>
      </c>
      <c r="V30" s="121">
        <v>1542.932</v>
      </c>
      <c r="W30" s="211">
        <f t="shared" si="29"/>
        <v>2.2602753410383281E-4</v>
      </c>
      <c r="X30" s="5">
        <f t="shared" si="30"/>
        <v>5.6496531186568832E-2</v>
      </c>
      <c r="Y30" s="5">
        <f t="shared" si="31"/>
        <v>8.1916055832250234E-5</v>
      </c>
      <c r="Z30" s="5">
        <f t="shared" si="32"/>
        <v>4.1446465670159445E-5</v>
      </c>
      <c r="AA30" s="5">
        <f t="shared" si="33"/>
        <v>5.6496531186568832E-2</v>
      </c>
      <c r="AB30" s="5">
        <f t="shared" si="34"/>
        <v>1.5769836031900058E-2</v>
      </c>
      <c r="AC30" s="5">
        <f t="shared" si="35"/>
        <v>1.5769836031900058E-2</v>
      </c>
      <c r="AD30" s="5">
        <f t="shared" si="36"/>
        <v>9.1786898793333738E-3</v>
      </c>
      <c r="AE30" s="5">
        <f t="shared" si="37"/>
        <v>5.5064042252166304E-3</v>
      </c>
      <c r="AF30" s="24">
        <f t="shared" si="38"/>
        <v>9.1786898793333738E-3</v>
      </c>
      <c r="AG30" s="23">
        <f t="shared" si="39"/>
        <v>3.1430857884317268E-4</v>
      </c>
      <c r="AH30" s="5">
        <f t="shared" si="40"/>
        <v>6.4071322343990295E-2</v>
      </c>
      <c r="AI30" s="5">
        <f t="shared" si="41"/>
        <v>1.4133606608857677E-4</v>
      </c>
      <c r="AJ30" s="5">
        <f t="shared" si="42"/>
        <v>3.4731199921571719E-5</v>
      </c>
      <c r="AK30" s="5">
        <f t="shared" si="43"/>
        <v>6.4071322343990295E-2</v>
      </c>
      <c r="AL30" s="5">
        <f t="shared" si="44"/>
        <v>1.0243221995065483E-2</v>
      </c>
      <c r="AM30" s="5">
        <f t="shared" si="45"/>
        <v>1.0243221995065483E-2</v>
      </c>
      <c r="AN30" s="5">
        <f t="shared" si="46"/>
        <v>1.1660854166364625E-2</v>
      </c>
      <c r="AO30" s="5">
        <f t="shared" si="47"/>
        <v>9.7630432047256036E-3</v>
      </c>
      <c r="AP30" s="24">
        <f t="shared" si="48"/>
        <v>1.1660854166364625E-2</v>
      </c>
      <c r="AQ30" s="211">
        <f t="shared" si="49"/>
        <v>0.08</v>
      </c>
      <c r="AR30" s="5">
        <f t="shared" si="50"/>
        <v>8.5000000000000006E-2</v>
      </c>
      <c r="AS30" s="5">
        <f t="shared" si="51"/>
        <v>8.3000000000000004E-2</v>
      </c>
      <c r="AT30" s="88">
        <f t="shared" si="52"/>
        <v>0.53</v>
      </c>
      <c r="AU30" s="88">
        <f t="shared" si="53"/>
        <v>0.56999999999999995</v>
      </c>
      <c r="AV30" s="88">
        <f t="shared" si="54"/>
        <v>0.55000000000000004</v>
      </c>
      <c r="AW30" s="134">
        <f t="shared" si="55"/>
        <v>5</v>
      </c>
      <c r="AX30" s="134">
        <f t="shared" si="56"/>
        <v>5</v>
      </c>
      <c r="AY30" s="212">
        <f t="shared" si="57"/>
        <v>5</v>
      </c>
    </row>
    <row r="31" spans="1:51" ht="13.15" customHeight="1">
      <c r="A31" s="63">
        <v>14242</v>
      </c>
      <c r="B31" s="63" t="s">
        <v>135</v>
      </c>
      <c r="C31" s="208" t="str">
        <f>Rollover!A31</f>
        <v>Jeep</v>
      </c>
      <c r="D31" s="209" t="str">
        <f>Rollover!B31</f>
        <v>Grand Cherokee L SUV RWD</v>
      </c>
      <c r="E31" s="131" t="s">
        <v>134</v>
      </c>
      <c r="F31" s="210">
        <f>Rollover!C31</f>
        <v>2023</v>
      </c>
      <c r="G31" s="10">
        <v>128.6</v>
      </c>
      <c r="H31" s="11">
        <v>0.20899999999999999</v>
      </c>
      <c r="I31" s="11">
        <v>658.84900000000005</v>
      </c>
      <c r="J31" s="11">
        <v>371.97199999999998</v>
      </c>
      <c r="K31" s="11">
        <v>21.193000000000001</v>
      </c>
      <c r="L31" s="11">
        <v>31.693999999999999</v>
      </c>
      <c r="M31" s="11">
        <v>2142.5140000000001</v>
      </c>
      <c r="N31" s="12">
        <v>1151.998</v>
      </c>
      <c r="O31" s="10">
        <v>137.32499999999999</v>
      </c>
      <c r="P31" s="11">
        <v>0.27700000000000002</v>
      </c>
      <c r="Q31" s="11">
        <v>555.37699999999995</v>
      </c>
      <c r="R31" s="11">
        <v>183.06700000000001</v>
      </c>
      <c r="S31" s="11">
        <v>14.856999999999999</v>
      </c>
      <c r="T31" s="11">
        <v>29.652000000000001</v>
      </c>
      <c r="U31" s="11">
        <v>1778.595</v>
      </c>
      <c r="V31" s="121">
        <v>1542.932</v>
      </c>
      <c r="W31" s="211">
        <f t="shared" si="29"/>
        <v>2.2602753410383281E-4</v>
      </c>
      <c r="X31" s="5">
        <f t="shared" si="30"/>
        <v>5.6496531186568832E-2</v>
      </c>
      <c r="Y31" s="5">
        <f t="shared" si="31"/>
        <v>8.1916055832250234E-5</v>
      </c>
      <c r="Z31" s="5">
        <f t="shared" si="32"/>
        <v>4.1446465670159445E-5</v>
      </c>
      <c r="AA31" s="5">
        <f t="shared" si="33"/>
        <v>5.6496531186568832E-2</v>
      </c>
      <c r="AB31" s="5">
        <f t="shared" si="34"/>
        <v>1.5769836031900058E-2</v>
      </c>
      <c r="AC31" s="5">
        <f t="shared" si="35"/>
        <v>1.5769836031900058E-2</v>
      </c>
      <c r="AD31" s="5">
        <f t="shared" si="36"/>
        <v>9.1786898793333738E-3</v>
      </c>
      <c r="AE31" s="5">
        <f t="shared" si="37"/>
        <v>5.5064042252166304E-3</v>
      </c>
      <c r="AF31" s="24">
        <f t="shared" si="38"/>
        <v>9.1786898793333738E-3</v>
      </c>
      <c r="AG31" s="23">
        <f t="shared" si="39"/>
        <v>3.1430857884317268E-4</v>
      </c>
      <c r="AH31" s="5">
        <f t="shared" si="40"/>
        <v>6.4071322343990295E-2</v>
      </c>
      <c r="AI31" s="5">
        <f t="shared" si="41"/>
        <v>1.4133606608857677E-4</v>
      </c>
      <c r="AJ31" s="5">
        <f t="shared" si="42"/>
        <v>3.4731199921571719E-5</v>
      </c>
      <c r="AK31" s="5">
        <f t="shared" si="43"/>
        <v>6.4071322343990295E-2</v>
      </c>
      <c r="AL31" s="5">
        <f t="shared" si="44"/>
        <v>1.0243221995065483E-2</v>
      </c>
      <c r="AM31" s="5">
        <f t="shared" si="45"/>
        <v>1.0243221995065483E-2</v>
      </c>
      <c r="AN31" s="5">
        <f t="shared" si="46"/>
        <v>1.1660854166364625E-2</v>
      </c>
      <c r="AO31" s="5">
        <f t="shared" si="47"/>
        <v>9.7630432047256036E-3</v>
      </c>
      <c r="AP31" s="24">
        <f t="shared" si="48"/>
        <v>1.1660854166364625E-2</v>
      </c>
      <c r="AQ31" s="211">
        <f t="shared" si="49"/>
        <v>0.08</v>
      </c>
      <c r="AR31" s="5">
        <f t="shared" si="50"/>
        <v>8.5000000000000006E-2</v>
      </c>
      <c r="AS31" s="5">
        <f t="shared" si="51"/>
        <v>8.3000000000000004E-2</v>
      </c>
      <c r="AT31" s="88">
        <f t="shared" si="52"/>
        <v>0.53</v>
      </c>
      <c r="AU31" s="88">
        <f t="shared" si="53"/>
        <v>0.56999999999999995</v>
      </c>
      <c r="AV31" s="88">
        <f t="shared" si="54"/>
        <v>0.55000000000000004</v>
      </c>
      <c r="AW31" s="134">
        <f t="shared" si="55"/>
        <v>5</v>
      </c>
      <c r="AX31" s="134">
        <f t="shared" si="56"/>
        <v>5</v>
      </c>
      <c r="AY31" s="212">
        <f t="shared" si="57"/>
        <v>5</v>
      </c>
    </row>
    <row r="32" spans="1:51" ht="13.15" customHeight="1">
      <c r="A32" s="63">
        <v>14242</v>
      </c>
      <c r="B32" s="63" t="s">
        <v>135</v>
      </c>
      <c r="C32" s="208" t="str">
        <f>Rollover!A32</f>
        <v>Jeep</v>
      </c>
      <c r="D32" s="209" t="str">
        <f>Rollover!B32</f>
        <v>Grand Cherokee L SUV 4WD</v>
      </c>
      <c r="E32" s="131" t="s">
        <v>134</v>
      </c>
      <c r="F32" s="210">
        <f>Rollover!C32</f>
        <v>2023</v>
      </c>
      <c r="G32" s="10">
        <v>128.6</v>
      </c>
      <c r="H32" s="11">
        <v>0.20899999999999999</v>
      </c>
      <c r="I32" s="11">
        <v>658.84900000000005</v>
      </c>
      <c r="J32" s="11">
        <v>371.97199999999998</v>
      </c>
      <c r="K32" s="11">
        <v>21.193000000000001</v>
      </c>
      <c r="L32" s="11">
        <v>31.693999999999999</v>
      </c>
      <c r="M32" s="11">
        <v>2142.5140000000001</v>
      </c>
      <c r="N32" s="12">
        <v>1151.998</v>
      </c>
      <c r="O32" s="10">
        <v>137.32499999999999</v>
      </c>
      <c r="P32" s="11">
        <v>0.27700000000000002</v>
      </c>
      <c r="Q32" s="11">
        <v>555.37699999999995</v>
      </c>
      <c r="R32" s="11">
        <v>183.06700000000001</v>
      </c>
      <c r="S32" s="11">
        <v>14.856999999999999</v>
      </c>
      <c r="T32" s="11">
        <v>29.652000000000001</v>
      </c>
      <c r="U32" s="11">
        <v>1778.595</v>
      </c>
      <c r="V32" s="121">
        <v>1542.932</v>
      </c>
      <c r="W32" s="211">
        <f t="shared" si="29"/>
        <v>2.2602753410383281E-4</v>
      </c>
      <c r="X32" s="5">
        <f t="shared" si="30"/>
        <v>5.6496531186568832E-2</v>
      </c>
      <c r="Y32" s="5">
        <f t="shared" si="31"/>
        <v>8.1916055832250234E-5</v>
      </c>
      <c r="Z32" s="5">
        <f t="shared" si="32"/>
        <v>4.1446465670159445E-5</v>
      </c>
      <c r="AA32" s="5">
        <f t="shared" si="33"/>
        <v>5.6496531186568832E-2</v>
      </c>
      <c r="AB32" s="5">
        <f t="shared" si="34"/>
        <v>1.5769836031900058E-2</v>
      </c>
      <c r="AC32" s="5">
        <f t="shared" si="35"/>
        <v>1.5769836031900058E-2</v>
      </c>
      <c r="AD32" s="5">
        <f t="shared" si="36"/>
        <v>9.1786898793333738E-3</v>
      </c>
      <c r="AE32" s="5">
        <f t="shared" si="37"/>
        <v>5.5064042252166304E-3</v>
      </c>
      <c r="AF32" s="24">
        <f t="shared" si="38"/>
        <v>9.1786898793333738E-3</v>
      </c>
      <c r="AG32" s="23">
        <f t="shared" si="39"/>
        <v>3.1430857884317268E-4</v>
      </c>
      <c r="AH32" s="5">
        <f t="shared" si="40"/>
        <v>6.4071322343990295E-2</v>
      </c>
      <c r="AI32" s="5">
        <f t="shared" si="41"/>
        <v>1.4133606608857677E-4</v>
      </c>
      <c r="AJ32" s="5">
        <f t="shared" si="42"/>
        <v>3.4731199921571719E-5</v>
      </c>
      <c r="AK32" s="5">
        <f t="shared" si="43"/>
        <v>6.4071322343990295E-2</v>
      </c>
      <c r="AL32" s="5">
        <f t="shared" si="44"/>
        <v>1.0243221995065483E-2</v>
      </c>
      <c r="AM32" s="5">
        <f t="shared" si="45"/>
        <v>1.0243221995065483E-2</v>
      </c>
      <c r="AN32" s="5">
        <f t="shared" si="46"/>
        <v>1.1660854166364625E-2</v>
      </c>
      <c r="AO32" s="5">
        <f t="shared" si="47"/>
        <v>9.7630432047256036E-3</v>
      </c>
      <c r="AP32" s="24">
        <f t="shared" si="48"/>
        <v>1.1660854166364625E-2</v>
      </c>
      <c r="AQ32" s="211">
        <f t="shared" si="49"/>
        <v>0.08</v>
      </c>
      <c r="AR32" s="5">
        <f t="shared" si="50"/>
        <v>8.5000000000000006E-2</v>
      </c>
      <c r="AS32" s="5">
        <f t="shared" si="51"/>
        <v>8.3000000000000004E-2</v>
      </c>
      <c r="AT32" s="88">
        <f t="shared" si="52"/>
        <v>0.53</v>
      </c>
      <c r="AU32" s="88">
        <f t="shared" si="53"/>
        <v>0.56999999999999995</v>
      </c>
      <c r="AV32" s="88">
        <f t="shared" si="54"/>
        <v>0.55000000000000004</v>
      </c>
      <c r="AW32" s="134">
        <f t="shared" si="55"/>
        <v>5</v>
      </c>
      <c r="AX32" s="134">
        <f t="shared" si="56"/>
        <v>5</v>
      </c>
      <c r="AY32" s="212">
        <f t="shared" si="57"/>
        <v>5</v>
      </c>
    </row>
    <row r="33" spans="1:51" ht="13.15" customHeight="1">
      <c r="A33" s="71">
        <v>14289</v>
      </c>
      <c r="B33" s="64" t="s">
        <v>136</v>
      </c>
      <c r="C33" s="213" t="str">
        <f>Rollover!A33</f>
        <v>Jeep</v>
      </c>
      <c r="D33" s="214" t="str">
        <f>Rollover!B33</f>
        <v>Grand Cherokee 4xe PHEV SUV 4WD</v>
      </c>
      <c r="E33" s="131" t="s">
        <v>122</v>
      </c>
      <c r="F33" s="210">
        <f>Rollover!C33</f>
        <v>2023</v>
      </c>
      <c r="G33" s="10">
        <v>172.227</v>
      </c>
      <c r="H33" s="11">
        <v>0.34</v>
      </c>
      <c r="I33" s="11">
        <v>882.93700000000001</v>
      </c>
      <c r="J33" s="11">
        <v>46.505000000000003</v>
      </c>
      <c r="K33" s="11">
        <v>24.96</v>
      </c>
      <c r="L33" s="11">
        <v>45.92</v>
      </c>
      <c r="M33" s="11">
        <v>1473.2370000000001</v>
      </c>
      <c r="N33" s="12">
        <v>705.93899999999996</v>
      </c>
      <c r="O33" s="10">
        <v>122.44499999999999</v>
      </c>
      <c r="P33" s="11">
        <v>0.29399999999999998</v>
      </c>
      <c r="Q33" s="11">
        <v>529.48299999999995</v>
      </c>
      <c r="R33" s="11">
        <v>73.855000000000004</v>
      </c>
      <c r="S33" s="11">
        <v>13.843</v>
      </c>
      <c r="T33" s="11">
        <v>34.795000000000002</v>
      </c>
      <c r="U33" s="11">
        <v>1444.4390000000001</v>
      </c>
      <c r="V33" s="12">
        <v>1418.123</v>
      </c>
      <c r="W33" s="211">
        <f t="shared" si="29"/>
        <v>9.2623924623580153E-4</v>
      </c>
      <c r="X33" s="5">
        <f t="shared" si="30"/>
        <v>7.1923707632452982E-2</v>
      </c>
      <c r="Y33" s="5">
        <f t="shared" si="31"/>
        <v>1.3946957172945285E-4</v>
      </c>
      <c r="Z33" s="5">
        <f t="shared" si="32"/>
        <v>1.9133501413180204E-5</v>
      </c>
      <c r="AA33" s="5">
        <f t="shared" si="33"/>
        <v>7.1923707632452982E-2</v>
      </c>
      <c r="AB33" s="5">
        <f t="shared" si="34"/>
        <v>2.5800105950966105E-2</v>
      </c>
      <c r="AC33" s="5">
        <f t="shared" si="35"/>
        <v>2.5800105950966105E-2</v>
      </c>
      <c r="AD33" s="5">
        <f t="shared" si="36"/>
        <v>6.5001668076833862E-3</v>
      </c>
      <c r="AE33" s="5">
        <f t="shared" si="37"/>
        <v>4.3722569493366151E-3</v>
      </c>
      <c r="AF33" s="24">
        <f t="shared" si="38"/>
        <v>6.5001668076833862E-3</v>
      </c>
      <c r="AG33" s="23">
        <f t="shared" si="39"/>
        <v>1.7582120368209595E-4</v>
      </c>
      <c r="AH33" s="5">
        <f t="shared" si="40"/>
        <v>6.6107890821395843E-2</v>
      </c>
      <c r="AI33" s="5">
        <f t="shared" si="41"/>
        <v>1.2819252907184318E-4</v>
      </c>
      <c r="AJ33" s="5">
        <f t="shared" si="42"/>
        <v>2.3009815778915109E-5</v>
      </c>
      <c r="AK33" s="5">
        <f t="shared" si="43"/>
        <v>6.6107890821395843E-2</v>
      </c>
      <c r="AL33" s="5">
        <f t="shared" si="44"/>
        <v>8.471855420629738E-3</v>
      </c>
      <c r="AM33" s="5">
        <f t="shared" si="45"/>
        <v>8.471855420629738E-3</v>
      </c>
      <c r="AN33" s="5">
        <f t="shared" si="46"/>
        <v>9.0636182920626439E-3</v>
      </c>
      <c r="AO33" s="5">
        <f t="shared" si="47"/>
        <v>8.8852996230778369E-3</v>
      </c>
      <c r="AP33" s="24">
        <f t="shared" si="48"/>
        <v>9.0636182920626439E-3</v>
      </c>
      <c r="AQ33" s="211">
        <f t="shared" si="49"/>
        <v>0.10299999999999999</v>
      </c>
      <c r="AR33" s="5">
        <f t="shared" si="50"/>
        <v>8.3000000000000004E-2</v>
      </c>
      <c r="AS33" s="5">
        <f t="shared" si="51"/>
        <v>9.2999999999999999E-2</v>
      </c>
      <c r="AT33" s="88">
        <f t="shared" si="52"/>
        <v>0.69</v>
      </c>
      <c r="AU33" s="88">
        <f t="shared" si="53"/>
        <v>0.55000000000000004</v>
      </c>
      <c r="AV33" s="88">
        <f t="shared" si="54"/>
        <v>0.62</v>
      </c>
      <c r="AW33" s="134">
        <f t="shared" si="55"/>
        <v>4</v>
      </c>
      <c r="AX33" s="134">
        <f t="shared" si="56"/>
        <v>5</v>
      </c>
      <c r="AY33" s="212">
        <f t="shared" si="57"/>
        <v>5</v>
      </c>
    </row>
    <row r="34" spans="1:51" ht="13.15" customHeight="1">
      <c r="A34" s="71">
        <v>14299</v>
      </c>
      <c r="B34" s="64" t="s">
        <v>137</v>
      </c>
      <c r="C34" s="213" t="str">
        <f>Rollover!A34</f>
        <v>Jeep</v>
      </c>
      <c r="D34" s="214" t="str">
        <f>Rollover!B34</f>
        <v>Wrangler 4xe SUV PHEV 4WD</v>
      </c>
      <c r="E34" s="131" t="s">
        <v>125</v>
      </c>
      <c r="F34" s="210">
        <f>Rollover!C34</f>
        <v>2023</v>
      </c>
      <c r="G34" s="10">
        <v>117.164</v>
      </c>
      <c r="H34" s="11">
        <v>0.32500000000000001</v>
      </c>
      <c r="I34" s="11">
        <v>1355.1089999999999</v>
      </c>
      <c r="J34" s="11">
        <v>223.36</v>
      </c>
      <c r="K34" s="11">
        <v>28.542000000000002</v>
      </c>
      <c r="L34" s="11">
        <v>39.14</v>
      </c>
      <c r="M34" s="11">
        <v>3957.5630000000001</v>
      </c>
      <c r="N34" s="12">
        <v>2018.0820000000001</v>
      </c>
      <c r="O34" s="10">
        <v>141.732</v>
      </c>
      <c r="P34" s="11">
        <v>0.38100000000000001</v>
      </c>
      <c r="Q34" s="11">
        <v>1139.605</v>
      </c>
      <c r="R34" s="11">
        <v>299.16899999999998</v>
      </c>
      <c r="S34" s="11">
        <v>14.634</v>
      </c>
      <c r="T34" s="11">
        <v>44.057000000000002</v>
      </c>
      <c r="U34" s="11">
        <v>829.07299999999998</v>
      </c>
      <c r="V34" s="12">
        <v>1543.3979999999999</v>
      </c>
      <c r="W34" s="211">
        <f t="shared" si="29"/>
        <v>1.3978803273233576E-4</v>
      </c>
      <c r="X34" s="5">
        <f t="shared" si="30"/>
        <v>6.9977175742497996E-2</v>
      </c>
      <c r="Y34" s="5">
        <f t="shared" si="31"/>
        <v>4.2793290037838395E-4</v>
      </c>
      <c r="Z34" s="5">
        <f t="shared" si="32"/>
        <v>2.9121054546232255E-5</v>
      </c>
      <c r="AA34" s="5">
        <f t="shared" si="33"/>
        <v>6.9977175742497996E-2</v>
      </c>
      <c r="AB34" s="5">
        <f t="shared" si="34"/>
        <v>3.9540182704916285E-2</v>
      </c>
      <c r="AC34" s="5">
        <f t="shared" si="35"/>
        <v>3.9540182704916285E-2</v>
      </c>
      <c r="AD34" s="5">
        <f t="shared" si="36"/>
        <v>2.3235818471708254E-2</v>
      </c>
      <c r="AE34" s="5">
        <f t="shared" si="37"/>
        <v>8.6089679686184514E-3</v>
      </c>
      <c r="AF34" s="24">
        <f t="shared" si="38"/>
        <v>2.3235818471708254E-2</v>
      </c>
      <c r="AG34" s="23">
        <f t="shared" si="39"/>
        <v>3.6737928483926912E-4</v>
      </c>
      <c r="AH34" s="5">
        <f t="shared" si="40"/>
        <v>7.7501590004152479E-2</v>
      </c>
      <c r="AI34" s="5">
        <f t="shared" si="41"/>
        <v>1.2773504377030819E-3</v>
      </c>
      <c r="AJ34" s="5">
        <f t="shared" si="42"/>
        <v>5.3802712483427492E-5</v>
      </c>
      <c r="AK34" s="5">
        <f t="shared" si="43"/>
        <v>7.7501590004152479E-2</v>
      </c>
      <c r="AL34" s="5">
        <f t="shared" si="44"/>
        <v>9.8306379449451409E-3</v>
      </c>
      <c r="AM34" s="5">
        <f t="shared" si="45"/>
        <v>9.8306379449451409E-3</v>
      </c>
      <c r="AN34" s="5">
        <f t="shared" si="46"/>
        <v>5.6906195423544331E-3</v>
      </c>
      <c r="AO34" s="5">
        <f t="shared" si="47"/>
        <v>9.7664762839518374E-3</v>
      </c>
      <c r="AP34" s="24">
        <f t="shared" si="48"/>
        <v>9.7664762839518374E-3</v>
      </c>
      <c r="AQ34" s="211">
        <f t="shared" si="49"/>
        <v>0.128</v>
      </c>
      <c r="AR34" s="5">
        <f t="shared" si="50"/>
        <v>9.6000000000000002E-2</v>
      </c>
      <c r="AS34" s="5">
        <f t="shared" si="51"/>
        <v>0.112</v>
      </c>
      <c r="AT34" s="88">
        <f t="shared" si="52"/>
        <v>0.85</v>
      </c>
      <c r="AU34" s="88">
        <f t="shared" si="53"/>
        <v>0.64</v>
      </c>
      <c r="AV34" s="88">
        <f t="shared" si="54"/>
        <v>0.75</v>
      </c>
      <c r="AW34" s="134">
        <f t="shared" si="55"/>
        <v>4</v>
      </c>
      <c r="AX34" s="134">
        <f t="shared" si="56"/>
        <v>5</v>
      </c>
      <c r="AY34" s="212">
        <f t="shared" si="57"/>
        <v>4</v>
      </c>
    </row>
    <row r="35" spans="1:51" ht="13.15" customHeight="1">
      <c r="A35" s="71">
        <v>14282</v>
      </c>
      <c r="B35" s="64" t="s">
        <v>138</v>
      </c>
      <c r="C35" s="213" t="str">
        <f>Rollover!A35</f>
        <v>Kia</v>
      </c>
      <c r="D35" s="214" t="str">
        <f>Rollover!B35</f>
        <v>Sportage SUV FWD</v>
      </c>
      <c r="E35" s="131" t="s">
        <v>122</v>
      </c>
      <c r="F35" s="210">
        <f>Rollover!C35</f>
        <v>2023</v>
      </c>
      <c r="G35" s="10">
        <v>299.07600000000002</v>
      </c>
      <c r="H35" s="11">
        <v>0.245</v>
      </c>
      <c r="I35" s="11">
        <v>1169.3589999999999</v>
      </c>
      <c r="J35" s="11">
        <v>64.141999999999996</v>
      </c>
      <c r="K35" s="11">
        <v>23.626000000000001</v>
      </c>
      <c r="L35" s="11">
        <v>43.546999999999997</v>
      </c>
      <c r="M35" s="11">
        <v>212.226</v>
      </c>
      <c r="N35" s="12">
        <v>685.72199999999998</v>
      </c>
      <c r="O35" s="10">
        <v>307.17200000000003</v>
      </c>
      <c r="P35" s="11">
        <v>0.309</v>
      </c>
      <c r="Q35" s="11">
        <v>787.79499999999996</v>
      </c>
      <c r="R35" s="11">
        <v>512.88800000000003</v>
      </c>
      <c r="S35" s="11">
        <v>10.295</v>
      </c>
      <c r="T35" s="11">
        <v>49.512</v>
      </c>
      <c r="U35" s="11">
        <v>1298.6210000000001</v>
      </c>
      <c r="V35" s="12">
        <v>902.56899999999996</v>
      </c>
      <c r="W35" s="211">
        <f t="shared" si="29"/>
        <v>8.9638600168379778E-3</v>
      </c>
      <c r="X35" s="5">
        <f t="shared" si="30"/>
        <v>6.0395525150174233E-2</v>
      </c>
      <c r="Y35" s="5">
        <f t="shared" si="31"/>
        <v>2.753279182086439E-4</v>
      </c>
      <c r="Z35" s="5">
        <f t="shared" si="32"/>
        <v>1.995196941077704E-5</v>
      </c>
      <c r="AA35" s="5">
        <f t="shared" si="33"/>
        <v>6.0395525150174233E-2</v>
      </c>
      <c r="AB35" s="5">
        <f t="shared" si="34"/>
        <v>2.1791660270027671E-2</v>
      </c>
      <c r="AC35" s="5">
        <f t="shared" si="35"/>
        <v>2.1791660270027671E-2</v>
      </c>
      <c r="AD35" s="5">
        <f t="shared" si="36"/>
        <v>3.3862931902263705E-3</v>
      </c>
      <c r="AE35" s="5">
        <f t="shared" si="37"/>
        <v>4.3267655515327559E-3</v>
      </c>
      <c r="AF35" s="24">
        <f t="shared" si="38"/>
        <v>4.3267655515327559E-3</v>
      </c>
      <c r="AG35" s="23">
        <f t="shared" si="39"/>
        <v>9.8763674221903561E-3</v>
      </c>
      <c r="AH35" s="5">
        <f t="shared" si="40"/>
        <v>6.7954656420658968E-2</v>
      </c>
      <c r="AI35" s="5">
        <f t="shared" si="41"/>
        <v>3.3939284033647667E-4</v>
      </c>
      <c r="AJ35" s="5">
        <f t="shared" si="42"/>
        <v>1.2041906790573621E-4</v>
      </c>
      <c r="AK35" s="5">
        <f t="shared" si="43"/>
        <v>6.7954656420658968E-2</v>
      </c>
      <c r="AL35" s="5">
        <f t="shared" si="44"/>
        <v>4.0670966378808081E-3</v>
      </c>
      <c r="AM35" s="5">
        <f t="shared" si="45"/>
        <v>4.0670966378808081E-3</v>
      </c>
      <c r="AN35" s="5">
        <f t="shared" si="46"/>
        <v>8.1183194336075827E-3</v>
      </c>
      <c r="AO35" s="5">
        <f t="shared" si="47"/>
        <v>6.0163937496600529E-3</v>
      </c>
      <c r="AP35" s="24">
        <f t="shared" si="48"/>
        <v>8.1183194336075827E-3</v>
      </c>
      <c r="AQ35" s="211">
        <f t="shared" si="49"/>
        <v>9.2999999999999999E-2</v>
      </c>
      <c r="AR35" s="5">
        <f t="shared" si="50"/>
        <v>8.7999999999999995E-2</v>
      </c>
      <c r="AS35" s="5">
        <f t="shared" si="51"/>
        <v>9.0999999999999998E-2</v>
      </c>
      <c r="AT35" s="88">
        <f t="shared" si="52"/>
        <v>0.62</v>
      </c>
      <c r="AU35" s="88">
        <f t="shared" si="53"/>
        <v>0.59</v>
      </c>
      <c r="AV35" s="88">
        <f t="shared" si="54"/>
        <v>0.61</v>
      </c>
      <c r="AW35" s="134">
        <f t="shared" si="55"/>
        <v>5</v>
      </c>
      <c r="AX35" s="134">
        <f t="shared" si="56"/>
        <v>5</v>
      </c>
      <c r="AY35" s="212">
        <f t="shared" si="57"/>
        <v>5</v>
      </c>
    </row>
    <row r="36" spans="1:51" ht="13.15" customHeight="1">
      <c r="A36" s="71">
        <v>14282</v>
      </c>
      <c r="B36" s="64" t="s">
        <v>138</v>
      </c>
      <c r="C36" s="213" t="str">
        <f>Rollover!A36</f>
        <v>Kia</v>
      </c>
      <c r="D36" s="214" t="str">
        <f>Rollover!B36</f>
        <v>Sportage SUV AWD</v>
      </c>
      <c r="E36" s="131" t="s">
        <v>122</v>
      </c>
      <c r="F36" s="210">
        <f>Rollover!C36</f>
        <v>2023</v>
      </c>
      <c r="G36" s="10">
        <v>299.07600000000002</v>
      </c>
      <c r="H36" s="11">
        <v>0.245</v>
      </c>
      <c r="I36" s="11">
        <v>1169.3589999999999</v>
      </c>
      <c r="J36" s="11">
        <v>64.141999999999996</v>
      </c>
      <c r="K36" s="11">
        <v>23.626000000000001</v>
      </c>
      <c r="L36" s="11">
        <v>43.546999999999997</v>
      </c>
      <c r="M36" s="11">
        <v>212.226</v>
      </c>
      <c r="N36" s="12">
        <v>685.72199999999998</v>
      </c>
      <c r="O36" s="10">
        <v>307.17200000000003</v>
      </c>
      <c r="P36" s="11">
        <v>0.309</v>
      </c>
      <c r="Q36" s="11">
        <v>787.79499999999996</v>
      </c>
      <c r="R36" s="11">
        <v>512.88800000000003</v>
      </c>
      <c r="S36" s="11">
        <v>10.295</v>
      </c>
      <c r="T36" s="11">
        <v>49.512</v>
      </c>
      <c r="U36" s="11">
        <v>1298.6210000000001</v>
      </c>
      <c r="V36" s="12">
        <v>902.56899999999996</v>
      </c>
      <c r="W36" s="211">
        <f t="shared" si="29"/>
        <v>8.9638600168379778E-3</v>
      </c>
      <c r="X36" s="5">
        <f t="shared" si="30"/>
        <v>6.0395525150174233E-2</v>
      </c>
      <c r="Y36" s="5">
        <f t="shared" si="31"/>
        <v>2.753279182086439E-4</v>
      </c>
      <c r="Z36" s="5">
        <f t="shared" si="32"/>
        <v>1.995196941077704E-5</v>
      </c>
      <c r="AA36" s="5">
        <f t="shared" si="33"/>
        <v>6.0395525150174233E-2</v>
      </c>
      <c r="AB36" s="5">
        <f t="shared" si="34"/>
        <v>2.1791660270027671E-2</v>
      </c>
      <c r="AC36" s="5">
        <f t="shared" si="35"/>
        <v>2.1791660270027671E-2</v>
      </c>
      <c r="AD36" s="5">
        <f t="shared" si="36"/>
        <v>3.3862931902263705E-3</v>
      </c>
      <c r="AE36" s="5">
        <f t="shared" si="37"/>
        <v>4.3267655515327559E-3</v>
      </c>
      <c r="AF36" s="24">
        <f t="shared" si="38"/>
        <v>4.3267655515327559E-3</v>
      </c>
      <c r="AG36" s="23">
        <f t="shared" si="39"/>
        <v>9.8763674221903561E-3</v>
      </c>
      <c r="AH36" s="5">
        <f t="shared" si="40"/>
        <v>6.7954656420658968E-2</v>
      </c>
      <c r="AI36" s="5">
        <f t="shared" si="41"/>
        <v>3.3939284033647667E-4</v>
      </c>
      <c r="AJ36" s="5">
        <f t="shared" si="42"/>
        <v>1.2041906790573621E-4</v>
      </c>
      <c r="AK36" s="5">
        <f t="shared" si="43"/>
        <v>6.7954656420658968E-2</v>
      </c>
      <c r="AL36" s="5">
        <f t="shared" si="44"/>
        <v>4.0670966378808081E-3</v>
      </c>
      <c r="AM36" s="5">
        <f t="shared" si="45"/>
        <v>4.0670966378808081E-3</v>
      </c>
      <c r="AN36" s="5">
        <f t="shared" si="46"/>
        <v>8.1183194336075827E-3</v>
      </c>
      <c r="AO36" s="5">
        <f t="shared" si="47"/>
        <v>6.0163937496600529E-3</v>
      </c>
      <c r="AP36" s="24">
        <f t="shared" si="48"/>
        <v>8.1183194336075827E-3</v>
      </c>
      <c r="AQ36" s="211">
        <f t="shared" si="49"/>
        <v>9.2999999999999999E-2</v>
      </c>
      <c r="AR36" s="5">
        <f t="shared" si="50"/>
        <v>8.7999999999999995E-2</v>
      </c>
      <c r="AS36" s="5">
        <f t="shared" si="51"/>
        <v>9.0999999999999998E-2</v>
      </c>
      <c r="AT36" s="88">
        <f t="shared" si="52"/>
        <v>0.62</v>
      </c>
      <c r="AU36" s="88">
        <f t="shared" si="53"/>
        <v>0.59</v>
      </c>
      <c r="AV36" s="88">
        <f t="shared" si="54"/>
        <v>0.61</v>
      </c>
      <c r="AW36" s="134">
        <f t="shared" si="55"/>
        <v>5</v>
      </c>
      <c r="AX36" s="134">
        <f t="shared" si="56"/>
        <v>5</v>
      </c>
      <c r="AY36" s="212">
        <f t="shared" si="57"/>
        <v>5</v>
      </c>
    </row>
    <row r="37" spans="1:51" ht="13.15" customHeight="1">
      <c r="A37" s="63">
        <v>14282</v>
      </c>
      <c r="B37" s="63" t="s">
        <v>138</v>
      </c>
      <c r="C37" s="208" t="str">
        <f>Rollover!A37</f>
        <v>Kia</v>
      </c>
      <c r="D37" s="209" t="str">
        <f>Rollover!B37</f>
        <v>Sportage Hybrid SUV FWD</v>
      </c>
      <c r="E37" s="131" t="s">
        <v>122</v>
      </c>
      <c r="F37" s="210">
        <f>Rollover!C37</f>
        <v>2023</v>
      </c>
      <c r="G37" s="10">
        <v>299.07600000000002</v>
      </c>
      <c r="H37" s="11">
        <v>0.245</v>
      </c>
      <c r="I37" s="11">
        <v>1169.3589999999999</v>
      </c>
      <c r="J37" s="11">
        <v>64.141999999999996</v>
      </c>
      <c r="K37" s="11">
        <v>23.626000000000001</v>
      </c>
      <c r="L37" s="11">
        <v>43.546999999999997</v>
      </c>
      <c r="M37" s="11">
        <v>212.226</v>
      </c>
      <c r="N37" s="12">
        <v>685.72199999999998</v>
      </c>
      <c r="O37" s="10">
        <v>307.17200000000003</v>
      </c>
      <c r="P37" s="11">
        <v>0.309</v>
      </c>
      <c r="Q37" s="11">
        <v>787.79499999999996</v>
      </c>
      <c r="R37" s="11">
        <v>512.88800000000003</v>
      </c>
      <c r="S37" s="11">
        <v>10.295</v>
      </c>
      <c r="T37" s="11">
        <v>49.512</v>
      </c>
      <c r="U37" s="11">
        <v>1298.6210000000001</v>
      </c>
      <c r="V37" s="12">
        <v>902.56899999999996</v>
      </c>
      <c r="W37" s="211">
        <f t="shared" si="29"/>
        <v>8.9638600168379778E-3</v>
      </c>
      <c r="X37" s="5">
        <f t="shared" si="30"/>
        <v>6.0395525150174233E-2</v>
      </c>
      <c r="Y37" s="5">
        <f t="shared" si="31"/>
        <v>2.753279182086439E-4</v>
      </c>
      <c r="Z37" s="5">
        <f t="shared" si="32"/>
        <v>1.995196941077704E-5</v>
      </c>
      <c r="AA37" s="5">
        <f t="shared" si="33"/>
        <v>6.0395525150174233E-2</v>
      </c>
      <c r="AB37" s="5">
        <f t="shared" si="34"/>
        <v>2.1791660270027671E-2</v>
      </c>
      <c r="AC37" s="5">
        <f t="shared" si="35"/>
        <v>2.1791660270027671E-2</v>
      </c>
      <c r="AD37" s="5">
        <f t="shared" si="36"/>
        <v>3.3862931902263705E-3</v>
      </c>
      <c r="AE37" s="5">
        <f t="shared" si="37"/>
        <v>4.3267655515327559E-3</v>
      </c>
      <c r="AF37" s="24">
        <f t="shared" si="38"/>
        <v>4.3267655515327559E-3</v>
      </c>
      <c r="AG37" s="23">
        <f t="shared" si="39"/>
        <v>9.8763674221903561E-3</v>
      </c>
      <c r="AH37" s="5">
        <f t="shared" si="40"/>
        <v>6.7954656420658968E-2</v>
      </c>
      <c r="AI37" s="5">
        <f t="shared" si="41"/>
        <v>3.3939284033647667E-4</v>
      </c>
      <c r="AJ37" s="5">
        <f t="shared" si="42"/>
        <v>1.2041906790573621E-4</v>
      </c>
      <c r="AK37" s="5">
        <f t="shared" si="43"/>
        <v>6.7954656420658968E-2</v>
      </c>
      <c r="AL37" s="5">
        <f t="shared" si="44"/>
        <v>4.0670966378808081E-3</v>
      </c>
      <c r="AM37" s="5">
        <f t="shared" si="45"/>
        <v>4.0670966378808081E-3</v>
      </c>
      <c r="AN37" s="5">
        <f t="shared" si="46"/>
        <v>8.1183194336075827E-3</v>
      </c>
      <c r="AO37" s="5">
        <f t="shared" si="47"/>
        <v>6.0163937496600529E-3</v>
      </c>
      <c r="AP37" s="24">
        <f t="shared" si="48"/>
        <v>8.1183194336075827E-3</v>
      </c>
      <c r="AQ37" s="211">
        <f t="shared" si="49"/>
        <v>9.2999999999999999E-2</v>
      </c>
      <c r="AR37" s="5">
        <f t="shared" si="50"/>
        <v>8.7999999999999995E-2</v>
      </c>
      <c r="AS37" s="5">
        <f t="shared" si="51"/>
        <v>9.0999999999999998E-2</v>
      </c>
      <c r="AT37" s="88">
        <f t="shared" si="52"/>
        <v>0.62</v>
      </c>
      <c r="AU37" s="88">
        <f t="shared" si="53"/>
        <v>0.59</v>
      </c>
      <c r="AV37" s="88">
        <f t="shared" si="54"/>
        <v>0.61</v>
      </c>
      <c r="AW37" s="134">
        <f t="shared" si="55"/>
        <v>5</v>
      </c>
      <c r="AX37" s="134">
        <f t="shared" si="56"/>
        <v>5</v>
      </c>
      <c r="AY37" s="212">
        <f t="shared" si="57"/>
        <v>5</v>
      </c>
    </row>
    <row r="38" spans="1:51" ht="13.15" customHeight="1">
      <c r="A38" s="63">
        <v>14282</v>
      </c>
      <c r="B38" s="63" t="s">
        <v>138</v>
      </c>
      <c r="C38" s="208" t="str">
        <f>Rollover!A38</f>
        <v>Kia</v>
      </c>
      <c r="D38" s="209" t="str">
        <f>Rollover!B38</f>
        <v>Sportage Hybrid SUV AWD</v>
      </c>
      <c r="E38" s="131" t="s">
        <v>122</v>
      </c>
      <c r="F38" s="210">
        <f>Rollover!C38</f>
        <v>2023</v>
      </c>
      <c r="G38" s="10">
        <v>299.07600000000002</v>
      </c>
      <c r="H38" s="11">
        <v>0.245</v>
      </c>
      <c r="I38" s="11">
        <v>1169.3589999999999</v>
      </c>
      <c r="J38" s="11">
        <v>64.141999999999996</v>
      </c>
      <c r="K38" s="11">
        <v>23.626000000000001</v>
      </c>
      <c r="L38" s="11">
        <v>43.546999999999997</v>
      </c>
      <c r="M38" s="11">
        <v>212.226</v>
      </c>
      <c r="N38" s="12">
        <v>685.72199999999998</v>
      </c>
      <c r="O38" s="10">
        <v>307.17200000000003</v>
      </c>
      <c r="P38" s="11">
        <v>0.309</v>
      </c>
      <c r="Q38" s="11">
        <v>787.79499999999996</v>
      </c>
      <c r="R38" s="11">
        <v>512.88800000000003</v>
      </c>
      <c r="S38" s="11">
        <v>10.295</v>
      </c>
      <c r="T38" s="11">
        <v>49.512</v>
      </c>
      <c r="U38" s="11">
        <v>1298.6210000000001</v>
      </c>
      <c r="V38" s="12">
        <v>902.56899999999996</v>
      </c>
      <c r="W38" s="211">
        <f t="shared" si="29"/>
        <v>8.9638600168379778E-3</v>
      </c>
      <c r="X38" s="5">
        <f t="shared" si="30"/>
        <v>6.0395525150174233E-2</v>
      </c>
      <c r="Y38" s="5">
        <f t="shared" si="31"/>
        <v>2.753279182086439E-4</v>
      </c>
      <c r="Z38" s="5">
        <f t="shared" si="32"/>
        <v>1.995196941077704E-5</v>
      </c>
      <c r="AA38" s="5">
        <f t="shared" si="33"/>
        <v>6.0395525150174233E-2</v>
      </c>
      <c r="AB38" s="5">
        <f t="shared" si="34"/>
        <v>2.1791660270027671E-2</v>
      </c>
      <c r="AC38" s="5">
        <f t="shared" si="35"/>
        <v>2.1791660270027671E-2</v>
      </c>
      <c r="AD38" s="5">
        <f t="shared" si="36"/>
        <v>3.3862931902263705E-3</v>
      </c>
      <c r="AE38" s="5">
        <f t="shared" si="37"/>
        <v>4.3267655515327559E-3</v>
      </c>
      <c r="AF38" s="24">
        <f t="shared" si="38"/>
        <v>4.3267655515327559E-3</v>
      </c>
      <c r="AG38" s="23">
        <f t="shared" si="39"/>
        <v>9.8763674221903561E-3</v>
      </c>
      <c r="AH38" s="5">
        <f t="shared" si="40"/>
        <v>6.7954656420658968E-2</v>
      </c>
      <c r="AI38" s="5">
        <f t="shared" si="41"/>
        <v>3.3939284033647667E-4</v>
      </c>
      <c r="AJ38" s="5">
        <f t="shared" si="42"/>
        <v>1.2041906790573621E-4</v>
      </c>
      <c r="AK38" s="5">
        <f t="shared" si="43"/>
        <v>6.7954656420658968E-2</v>
      </c>
      <c r="AL38" s="5">
        <f t="shared" si="44"/>
        <v>4.0670966378808081E-3</v>
      </c>
      <c r="AM38" s="5">
        <f t="shared" si="45"/>
        <v>4.0670966378808081E-3</v>
      </c>
      <c r="AN38" s="5">
        <f t="shared" si="46"/>
        <v>8.1183194336075827E-3</v>
      </c>
      <c r="AO38" s="5">
        <f t="shared" si="47"/>
        <v>6.0163937496600529E-3</v>
      </c>
      <c r="AP38" s="24">
        <f t="shared" si="48"/>
        <v>8.1183194336075827E-3</v>
      </c>
      <c r="AQ38" s="211">
        <f t="shared" si="49"/>
        <v>9.2999999999999999E-2</v>
      </c>
      <c r="AR38" s="5">
        <f t="shared" si="50"/>
        <v>8.7999999999999995E-2</v>
      </c>
      <c r="AS38" s="5">
        <f t="shared" si="51"/>
        <v>9.0999999999999998E-2</v>
      </c>
      <c r="AT38" s="88">
        <f t="shared" si="52"/>
        <v>0.62</v>
      </c>
      <c r="AU38" s="88">
        <f t="shared" si="53"/>
        <v>0.59</v>
      </c>
      <c r="AV38" s="88">
        <f t="shared" si="54"/>
        <v>0.61</v>
      </c>
      <c r="AW38" s="134">
        <f t="shared" si="55"/>
        <v>5</v>
      </c>
      <c r="AX38" s="134">
        <f t="shared" si="56"/>
        <v>5</v>
      </c>
      <c r="AY38" s="212">
        <f t="shared" si="57"/>
        <v>5</v>
      </c>
    </row>
    <row r="39" spans="1:51" ht="13.15" customHeight="1">
      <c r="A39" s="71">
        <v>10837</v>
      </c>
      <c r="B39" s="64" t="s">
        <v>139</v>
      </c>
      <c r="C39" s="213" t="str">
        <f>Rollover!A39</f>
        <v>Kia</v>
      </c>
      <c r="D39" s="214" t="str">
        <f>Rollover!B39</f>
        <v>Telluride SUV FWD</v>
      </c>
      <c r="E39" s="131" t="s">
        <v>120</v>
      </c>
      <c r="F39" s="210">
        <f>Rollover!C39</f>
        <v>2023</v>
      </c>
      <c r="G39" s="215">
        <v>281.31299999999999</v>
      </c>
      <c r="H39" s="11">
        <v>0.26600000000000001</v>
      </c>
      <c r="I39" s="11">
        <v>1224.4970000000001</v>
      </c>
      <c r="J39" s="11">
        <v>142.03299999999999</v>
      </c>
      <c r="K39" s="11">
        <v>23.268999999999998</v>
      </c>
      <c r="L39" s="11">
        <v>41.252000000000002</v>
      </c>
      <c r="M39" s="11">
        <v>727.70299999999997</v>
      </c>
      <c r="N39" s="12">
        <v>4438.2209999999995</v>
      </c>
      <c r="O39" s="10">
        <v>377.92200000000003</v>
      </c>
      <c r="P39" s="11">
        <v>0.36399999999999999</v>
      </c>
      <c r="Q39" s="11">
        <v>583.77</v>
      </c>
      <c r="R39" s="11">
        <v>404.86900000000003</v>
      </c>
      <c r="S39" s="11">
        <v>9.2579999999999991</v>
      </c>
      <c r="T39" s="11">
        <v>45.195999999999998</v>
      </c>
      <c r="U39" s="11">
        <v>1561.1189999999999</v>
      </c>
      <c r="V39" s="12">
        <v>1639.8420000000001</v>
      </c>
      <c r="W39" s="211">
        <f t="shared" si="29"/>
        <v>7.1457314110356272E-3</v>
      </c>
      <c r="X39" s="5">
        <f t="shared" si="30"/>
        <v>6.2784842311788214E-2</v>
      </c>
      <c r="Y39" s="5">
        <f t="shared" si="31"/>
        <v>3.1383803655059338E-4</v>
      </c>
      <c r="Z39" s="5">
        <f t="shared" si="32"/>
        <v>2.4006267123590222E-5</v>
      </c>
      <c r="AA39" s="5">
        <f t="shared" si="33"/>
        <v>6.2784842311788214E-2</v>
      </c>
      <c r="AB39" s="5">
        <f t="shared" si="34"/>
        <v>2.0808433560233069E-2</v>
      </c>
      <c r="AC39" s="5">
        <f t="shared" si="35"/>
        <v>2.0808433560233069E-2</v>
      </c>
      <c r="AD39" s="5">
        <f t="shared" si="36"/>
        <v>4.4217616992931865E-3</v>
      </c>
      <c r="AE39" s="5">
        <f t="shared" si="37"/>
        <v>2.9632579516231126E-2</v>
      </c>
      <c r="AF39" s="24">
        <f t="shared" si="38"/>
        <v>2.9632579516231126E-2</v>
      </c>
      <c r="AG39" s="23">
        <f t="shared" si="39"/>
        <v>2.0138527831967033E-2</v>
      </c>
      <c r="AH39" s="5">
        <f t="shared" si="40"/>
        <v>7.5142260987360876E-2</v>
      </c>
      <c r="AI39" s="5">
        <f t="shared" si="41"/>
        <v>1.5730178280803594E-4</v>
      </c>
      <c r="AJ39" s="5">
        <f t="shared" si="42"/>
        <v>8.0140916696900695E-5</v>
      </c>
      <c r="AK39" s="5">
        <f t="shared" si="43"/>
        <v>7.5142260987360876E-2</v>
      </c>
      <c r="AL39" s="5">
        <f t="shared" si="44"/>
        <v>3.1986351106765092E-3</v>
      </c>
      <c r="AM39" s="5">
        <f t="shared" si="45"/>
        <v>3.1986351106765092E-3</v>
      </c>
      <c r="AN39" s="5">
        <f t="shared" si="46"/>
        <v>9.8979198134876017E-3</v>
      </c>
      <c r="AO39" s="5">
        <f t="shared" si="47"/>
        <v>1.0503326567807447E-2</v>
      </c>
      <c r="AP39" s="24">
        <f t="shared" si="48"/>
        <v>1.0503326567807447E-2</v>
      </c>
      <c r="AQ39" s="211">
        <f t="shared" si="49"/>
        <v>0.11600000000000001</v>
      </c>
      <c r="AR39" s="5">
        <f t="shared" si="50"/>
        <v>0.106</v>
      </c>
      <c r="AS39" s="5">
        <f t="shared" si="51"/>
        <v>0.111</v>
      </c>
      <c r="AT39" s="88">
        <f t="shared" si="52"/>
        <v>0.77</v>
      </c>
      <c r="AU39" s="88">
        <f t="shared" si="53"/>
        <v>0.71</v>
      </c>
      <c r="AV39" s="88">
        <f t="shared" si="54"/>
        <v>0.74</v>
      </c>
      <c r="AW39" s="134">
        <f t="shared" si="55"/>
        <v>4</v>
      </c>
      <c r="AX39" s="134">
        <f t="shared" si="56"/>
        <v>4</v>
      </c>
      <c r="AY39" s="212">
        <f t="shared" si="57"/>
        <v>4</v>
      </c>
    </row>
    <row r="40" spans="1:51" ht="13.15" customHeight="1">
      <c r="A40" s="71">
        <v>10837</v>
      </c>
      <c r="B40" s="64" t="s">
        <v>139</v>
      </c>
      <c r="C40" s="213" t="str">
        <f>Rollover!A40</f>
        <v>Kia</v>
      </c>
      <c r="D40" s="214" t="str">
        <f>Rollover!B40</f>
        <v>Telluride SUV AWD</v>
      </c>
      <c r="E40" s="131" t="s">
        <v>120</v>
      </c>
      <c r="F40" s="210">
        <f>Rollover!C40</f>
        <v>2023</v>
      </c>
      <c r="G40" s="215">
        <v>281.31299999999999</v>
      </c>
      <c r="H40" s="11">
        <v>0.26600000000000001</v>
      </c>
      <c r="I40" s="11">
        <v>1224.4970000000001</v>
      </c>
      <c r="J40" s="11">
        <v>142.03299999999999</v>
      </c>
      <c r="K40" s="11">
        <v>23.268999999999998</v>
      </c>
      <c r="L40" s="11">
        <v>41.252000000000002</v>
      </c>
      <c r="M40" s="11">
        <v>727.70299999999997</v>
      </c>
      <c r="N40" s="12">
        <v>4438.2209999999995</v>
      </c>
      <c r="O40" s="10">
        <v>377.92200000000003</v>
      </c>
      <c r="P40" s="11">
        <v>0.36399999999999999</v>
      </c>
      <c r="Q40" s="11">
        <v>583.77</v>
      </c>
      <c r="R40" s="11">
        <v>404.86900000000003</v>
      </c>
      <c r="S40" s="11">
        <v>9.2579999999999991</v>
      </c>
      <c r="T40" s="11">
        <v>45.195999999999998</v>
      </c>
      <c r="U40" s="11">
        <v>1561.1189999999999</v>
      </c>
      <c r="V40" s="12">
        <v>1639.8420000000001</v>
      </c>
      <c r="W40" s="211">
        <f t="shared" si="29"/>
        <v>7.1457314110356272E-3</v>
      </c>
      <c r="X40" s="5">
        <f t="shared" si="30"/>
        <v>6.2784842311788214E-2</v>
      </c>
      <c r="Y40" s="5">
        <f t="shared" si="31"/>
        <v>3.1383803655059338E-4</v>
      </c>
      <c r="Z40" s="5">
        <f t="shared" si="32"/>
        <v>2.4006267123590222E-5</v>
      </c>
      <c r="AA40" s="5">
        <f t="shared" si="33"/>
        <v>6.2784842311788214E-2</v>
      </c>
      <c r="AB40" s="5">
        <f t="shared" si="34"/>
        <v>2.0808433560233069E-2</v>
      </c>
      <c r="AC40" s="5">
        <f t="shared" si="35"/>
        <v>2.0808433560233069E-2</v>
      </c>
      <c r="AD40" s="5">
        <f t="shared" si="36"/>
        <v>4.4217616992931865E-3</v>
      </c>
      <c r="AE40" s="5">
        <f t="shared" si="37"/>
        <v>2.9632579516231126E-2</v>
      </c>
      <c r="AF40" s="24">
        <f t="shared" si="38"/>
        <v>2.9632579516231126E-2</v>
      </c>
      <c r="AG40" s="23">
        <f t="shared" si="39"/>
        <v>2.0138527831967033E-2</v>
      </c>
      <c r="AH40" s="5">
        <f t="shared" si="40"/>
        <v>7.5142260987360876E-2</v>
      </c>
      <c r="AI40" s="5">
        <f t="shared" si="41"/>
        <v>1.5730178280803594E-4</v>
      </c>
      <c r="AJ40" s="5">
        <f t="shared" si="42"/>
        <v>8.0140916696900695E-5</v>
      </c>
      <c r="AK40" s="5">
        <f t="shared" si="43"/>
        <v>7.5142260987360876E-2</v>
      </c>
      <c r="AL40" s="5">
        <f t="shared" si="44"/>
        <v>3.1986351106765092E-3</v>
      </c>
      <c r="AM40" s="5">
        <f t="shared" si="45"/>
        <v>3.1986351106765092E-3</v>
      </c>
      <c r="AN40" s="5">
        <f t="shared" si="46"/>
        <v>9.8979198134876017E-3</v>
      </c>
      <c r="AO40" s="5">
        <f t="shared" si="47"/>
        <v>1.0503326567807447E-2</v>
      </c>
      <c r="AP40" s="24">
        <f t="shared" si="48"/>
        <v>1.0503326567807447E-2</v>
      </c>
      <c r="AQ40" s="211">
        <f t="shared" si="49"/>
        <v>0.11600000000000001</v>
      </c>
      <c r="AR40" s="5">
        <f t="shared" si="50"/>
        <v>0.106</v>
      </c>
      <c r="AS40" s="5">
        <f t="shared" si="51"/>
        <v>0.111</v>
      </c>
      <c r="AT40" s="88">
        <f t="shared" si="52"/>
        <v>0.77</v>
      </c>
      <c r="AU40" s="88">
        <f t="shared" si="53"/>
        <v>0.71</v>
      </c>
      <c r="AV40" s="88">
        <f t="shared" si="54"/>
        <v>0.74</v>
      </c>
      <c r="AW40" s="134">
        <f t="shared" si="55"/>
        <v>4</v>
      </c>
      <c r="AX40" s="134">
        <f t="shared" si="56"/>
        <v>4</v>
      </c>
      <c r="AY40" s="212">
        <f t="shared" si="57"/>
        <v>4</v>
      </c>
    </row>
    <row r="41" spans="1:51" ht="13.15" customHeight="1">
      <c r="A41" s="71">
        <v>14316</v>
      </c>
      <c r="B41" s="64" t="s">
        <v>140</v>
      </c>
      <c r="C41" s="213" t="str">
        <f>Rollover!A41</f>
        <v>Kia</v>
      </c>
      <c r="D41" s="214" t="str">
        <f>Rollover!B41</f>
        <v>Niro HEV SUV FWD</v>
      </c>
      <c r="E41" s="131" t="s">
        <v>120</v>
      </c>
      <c r="F41" s="210">
        <f>Rollover!C41</f>
        <v>2023</v>
      </c>
      <c r="G41" s="10">
        <v>240.64</v>
      </c>
      <c r="H41" s="11">
        <v>0.28999999999999998</v>
      </c>
      <c r="I41" s="11">
        <v>894.89</v>
      </c>
      <c r="J41" s="11">
        <v>254.16</v>
      </c>
      <c r="K41" s="11">
        <v>28.898</v>
      </c>
      <c r="L41" s="11">
        <v>44.661999999999999</v>
      </c>
      <c r="M41" s="11">
        <v>473.37599999999998</v>
      </c>
      <c r="N41" s="12">
        <v>682.87599999999998</v>
      </c>
      <c r="O41" s="10">
        <v>362.19400000000002</v>
      </c>
      <c r="P41" s="11">
        <v>0.29099999999999998</v>
      </c>
      <c r="Q41" s="11">
        <v>477.93099999999998</v>
      </c>
      <c r="R41" s="11">
        <v>535.55899999999997</v>
      </c>
      <c r="S41" s="11">
        <v>12.179</v>
      </c>
      <c r="T41" s="11">
        <v>47.426000000000002</v>
      </c>
      <c r="U41" s="11">
        <v>2673.7220000000002</v>
      </c>
      <c r="V41" s="12">
        <v>573.73500000000001</v>
      </c>
      <c r="W41" s="211">
        <f t="shared" si="29"/>
        <v>3.8966803643314496E-3</v>
      </c>
      <c r="X41" s="5">
        <f t="shared" si="30"/>
        <v>6.5623352742413155E-2</v>
      </c>
      <c r="Y41" s="5">
        <f t="shared" si="31"/>
        <v>1.434850448398041E-4</v>
      </c>
      <c r="Z41" s="5">
        <f t="shared" si="32"/>
        <v>3.1331037712891473E-5</v>
      </c>
      <c r="AA41" s="5">
        <f t="shared" si="33"/>
        <v>6.5623352742413155E-2</v>
      </c>
      <c r="AB41" s="5">
        <f t="shared" si="34"/>
        <v>4.1173183182227874E-2</v>
      </c>
      <c r="AC41" s="5">
        <f t="shared" si="35"/>
        <v>4.1173183182227874E-2</v>
      </c>
      <c r="AD41" s="5">
        <f t="shared" si="36"/>
        <v>3.8765182679166496E-3</v>
      </c>
      <c r="AE41" s="5">
        <f t="shared" si="37"/>
        <v>4.3203995617528872E-3</v>
      </c>
      <c r="AF41" s="24">
        <f t="shared" si="38"/>
        <v>4.3203995617528872E-3</v>
      </c>
      <c r="AG41" s="23">
        <f t="shared" si="39"/>
        <v>1.7500760889464482E-2</v>
      </c>
      <c r="AH41" s="5">
        <f t="shared" si="40"/>
        <v>6.5744176800680662E-2</v>
      </c>
      <c r="AI41" s="5">
        <f t="shared" si="41"/>
        <v>1.0555212115176742E-4</v>
      </c>
      <c r="AJ41" s="5">
        <f t="shared" si="42"/>
        <v>1.311624743450569E-4</v>
      </c>
      <c r="AK41" s="5">
        <f t="shared" si="43"/>
        <v>6.5744176800680662E-2</v>
      </c>
      <c r="AL41" s="5">
        <f t="shared" si="44"/>
        <v>6.0949342272467169E-3</v>
      </c>
      <c r="AM41" s="5">
        <f t="shared" si="45"/>
        <v>6.0949342272467169E-3</v>
      </c>
      <c r="AN41" s="5">
        <f t="shared" si="46"/>
        <v>2.2803110411102404E-2</v>
      </c>
      <c r="AO41" s="5">
        <f t="shared" si="47"/>
        <v>4.6893015338386156E-3</v>
      </c>
      <c r="AP41" s="24">
        <f t="shared" si="48"/>
        <v>2.2803110411102404E-2</v>
      </c>
      <c r="AQ41" s="211">
        <f t="shared" si="49"/>
        <v>0.111</v>
      </c>
      <c r="AR41" s="5">
        <f t="shared" si="50"/>
        <v>0.108</v>
      </c>
      <c r="AS41" s="5">
        <f t="shared" si="51"/>
        <v>0.11</v>
      </c>
      <c r="AT41" s="88">
        <f t="shared" si="52"/>
        <v>0.74</v>
      </c>
      <c r="AU41" s="88">
        <f t="shared" si="53"/>
        <v>0.72</v>
      </c>
      <c r="AV41" s="88">
        <f t="shared" si="54"/>
        <v>0.73</v>
      </c>
      <c r="AW41" s="134">
        <f t="shared" si="55"/>
        <v>4</v>
      </c>
      <c r="AX41" s="134">
        <f t="shared" si="56"/>
        <v>4</v>
      </c>
      <c r="AY41" s="212">
        <f t="shared" si="57"/>
        <v>4</v>
      </c>
    </row>
    <row r="42" spans="1:51" ht="13.15" customHeight="1">
      <c r="A42" s="77">
        <v>14366</v>
      </c>
      <c r="B42" s="41" t="s">
        <v>141</v>
      </c>
      <c r="C42" s="213" t="str">
        <f>Rollover!A42</f>
        <v>Mazda</v>
      </c>
      <c r="D42" s="214" t="str">
        <f>Rollover!B42</f>
        <v>Mazda CX-50 SUV AWD</v>
      </c>
      <c r="E42" s="131" t="s">
        <v>120</v>
      </c>
      <c r="F42" s="210">
        <f>Rollover!C42</f>
        <v>2023</v>
      </c>
      <c r="G42" s="10">
        <v>99.700999999999993</v>
      </c>
      <c r="H42" s="11">
        <v>0.23200000000000001</v>
      </c>
      <c r="I42" s="11">
        <v>928.351</v>
      </c>
      <c r="J42" s="11">
        <v>48.715000000000003</v>
      </c>
      <c r="K42" s="11">
        <v>23.652999999999999</v>
      </c>
      <c r="L42" s="11">
        <v>35.683999999999997</v>
      </c>
      <c r="M42" s="11">
        <v>986.20600000000002</v>
      </c>
      <c r="N42" s="12">
        <v>974.38300000000004</v>
      </c>
      <c r="O42" s="10">
        <v>211.005</v>
      </c>
      <c r="P42" s="11">
        <v>0.22</v>
      </c>
      <c r="Q42" s="11">
        <v>471.43400000000003</v>
      </c>
      <c r="R42" s="11">
        <v>329.47399999999999</v>
      </c>
      <c r="S42" s="11">
        <v>14.273999999999999</v>
      </c>
      <c r="T42" s="11">
        <v>43.761000000000003</v>
      </c>
      <c r="U42" s="11">
        <v>1175.9069999999999</v>
      </c>
      <c r="V42" s="12">
        <v>1541.893</v>
      </c>
      <c r="W42" s="211">
        <f t="shared" si="29"/>
        <v>5.8665447210672101E-5</v>
      </c>
      <c r="X42" s="5">
        <f t="shared" si="30"/>
        <v>5.8959334130719993E-2</v>
      </c>
      <c r="Y42" s="5">
        <f t="shared" si="31"/>
        <v>1.5535127135629567E-4</v>
      </c>
      <c r="Z42" s="5">
        <f t="shared" si="32"/>
        <v>1.9234190461753156E-5</v>
      </c>
      <c r="AA42" s="5">
        <f t="shared" si="33"/>
        <v>5.8959334130719993E-2</v>
      </c>
      <c r="AB42" s="5">
        <f t="shared" si="34"/>
        <v>2.1867507965551949E-2</v>
      </c>
      <c r="AC42" s="5">
        <f t="shared" si="35"/>
        <v>2.1867507965551949E-2</v>
      </c>
      <c r="AD42" s="5">
        <f t="shared" si="36"/>
        <v>5.0542066384039637E-3</v>
      </c>
      <c r="AE42" s="5">
        <f t="shared" si="37"/>
        <v>5.0234081510735131E-3</v>
      </c>
      <c r="AF42" s="24">
        <f t="shared" si="38"/>
        <v>5.0542066384039637E-3</v>
      </c>
      <c r="AG42" s="23">
        <f t="shared" si="39"/>
        <v>2.2663545272157775E-3</v>
      </c>
      <c r="AH42" s="5">
        <f t="shared" si="40"/>
        <v>5.7662089306329538E-2</v>
      </c>
      <c r="AI42" s="5">
        <f t="shared" si="41"/>
        <v>1.0299842885009501E-4</v>
      </c>
      <c r="AJ42" s="5">
        <f t="shared" si="42"/>
        <v>6.0314179296281996E-5</v>
      </c>
      <c r="AK42" s="5">
        <f t="shared" si="43"/>
        <v>5.7662089306329538E-2</v>
      </c>
      <c r="AL42" s="5">
        <f t="shared" si="44"/>
        <v>9.1924227487114266E-3</v>
      </c>
      <c r="AM42" s="5">
        <f t="shared" si="45"/>
        <v>9.1924227487114266E-3</v>
      </c>
      <c r="AN42" s="5">
        <f t="shared" si="46"/>
        <v>7.3990547733934391E-3</v>
      </c>
      <c r="AO42" s="5">
        <f t="shared" si="47"/>
        <v>9.7553930656109084E-3</v>
      </c>
      <c r="AP42" s="24">
        <f t="shared" si="48"/>
        <v>9.7553930656109084E-3</v>
      </c>
      <c r="AQ42" s="211">
        <f t="shared" si="49"/>
        <v>8.4000000000000005E-2</v>
      </c>
      <c r="AR42" s="5">
        <f t="shared" si="50"/>
        <v>7.8E-2</v>
      </c>
      <c r="AS42" s="5">
        <f t="shared" si="51"/>
        <v>8.1000000000000003E-2</v>
      </c>
      <c r="AT42" s="88">
        <f t="shared" si="52"/>
        <v>0.56000000000000005</v>
      </c>
      <c r="AU42" s="88">
        <f t="shared" si="53"/>
        <v>0.52</v>
      </c>
      <c r="AV42" s="88">
        <f t="shared" si="54"/>
        <v>0.54</v>
      </c>
      <c r="AW42" s="134">
        <f t="shared" si="55"/>
        <v>5</v>
      </c>
      <c r="AX42" s="134">
        <f t="shared" si="56"/>
        <v>5</v>
      </c>
      <c r="AY42" s="212">
        <f t="shared" si="57"/>
        <v>5</v>
      </c>
    </row>
    <row r="43" spans="1:51" ht="13.15" customHeight="1">
      <c r="A43" s="71">
        <v>10986</v>
      </c>
      <c r="B43" s="64" t="s">
        <v>142</v>
      </c>
      <c r="C43" s="213" t="str">
        <f>Rollover!A43</f>
        <v>Mazda</v>
      </c>
      <c r="D43" s="214" t="str">
        <f>Rollover!B43</f>
        <v>Mazda CX-30 SUV AWD</v>
      </c>
      <c r="E43" s="131"/>
      <c r="F43" s="210">
        <f>Rollover!C43</f>
        <v>2023</v>
      </c>
      <c r="G43" s="215">
        <v>148.12899999999999</v>
      </c>
      <c r="H43" s="11">
        <v>0.26700000000000002</v>
      </c>
      <c r="I43" s="11">
        <v>961.678</v>
      </c>
      <c r="J43" s="11">
        <v>82.411000000000001</v>
      </c>
      <c r="K43" s="11">
        <v>19.47</v>
      </c>
      <c r="L43" s="11">
        <v>41.686</v>
      </c>
      <c r="M43" s="11">
        <v>895.45399999999995</v>
      </c>
      <c r="N43" s="12">
        <v>766.77800000000002</v>
      </c>
      <c r="O43" s="10">
        <v>179.328</v>
      </c>
      <c r="P43" s="11">
        <v>0.33500000000000002</v>
      </c>
      <c r="Q43" s="11">
        <v>766.07500000000005</v>
      </c>
      <c r="R43" s="11">
        <v>378.63600000000002</v>
      </c>
      <c r="S43" s="11">
        <v>12.388</v>
      </c>
      <c r="T43" s="11">
        <v>47.935000000000002</v>
      </c>
      <c r="U43" s="11">
        <v>1688.941</v>
      </c>
      <c r="V43" s="12">
        <v>1717.0650000000001</v>
      </c>
      <c r="W43" s="211">
        <f t="shared" si="29"/>
        <v>4.555804321582098E-4</v>
      </c>
      <c r="X43" s="5">
        <f t="shared" si="30"/>
        <v>6.2900791995682381E-2</v>
      </c>
      <c r="Y43" s="5">
        <f t="shared" si="31"/>
        <v>1.6814515911204729E-4</v>
      </c>
      <c r="Z43" s="5">
        <f t="shared" si="32"/>
        <v>2.0836699813073981E-5</v>
      </c>
      <c r="AA43" s="5">
        <f t="shared" si="33"/>
        <v>6.2900791995682381E-2</v>
      </c>
      <c r="AB43" s="5">
        <f t="shared" si="34"/>
        <v>1.2374364443408109E-2</v>
      </c>
      <c r="AC43" s="5">
        <f t="shared" si="35"/>
        <v>1.2374364443408109E-2</v>
      </c>
      <c r="AD43" s="5">
        <f t="shared" si="36"/>
        <v>4.8225314150411973E-3</v>
      </c>
      <c r="AE43" s="5">
        <f t="shared" si="37"/>
        <v>4.5120467303473412E-3</v>
      </c>
      <c r="AF43" s="24">
        <f t="shared" si="38"/>
        <v>4.8225314150411973E-3</v>
      </c>
      <c r="AG43" s="23">
        <f t="shared" si="39"/>
        <v>1.1129196292933082E-3</v>
      </c>
      <c r="AH43" s="5">
        <f t="shared" si="40"/>
        <v>7.1269376484937183E-2</v>
      </c>
      <c r="AI43" s="5">
        <f t="shared" si="41"/>
        <v>3.1271759831177898E-4</v>
      </c>
      <c r="AJ43" s="5">
        <f t="shared" si="42"/>
        <v>7.2594973242957027E-5</v>
      </c>
      <c r="AK43" s="5">
        <f t="shared" si="43"/>
        <v>7.1269376484937183E-2</v>
      </c>
      <c r="AL43" s="5">
        <f t="shared" si="44"/>
        <v>6.3607003370204866E-3</v>
      </c>
      <c r="AM43" s="5">
        <f t="shared" si="45"/>
        <v>6.3607003370204866E-3</v>
      </c>
      <c r="AN43" s="5">
        <f t="shared" si="46"/>
        <v>1.0899318621939479E-2</v>
      </c>
      <c r="AO43" s="5">
        <f t="shared" si="47"/>
        <v>1.1132757760002289E-2</v>
      </c>
      <c r="AP43" s="24">
        <f t="shared" si="48"/>
        <v>1.1132757760002289E-2</v>
      </c>
      <c r="AQ43" s="211">
        <f t="shared" si="49"/>
        <v>7.9000000000000001E-2</v>
      </c>
      <c r="AR43" s="5">
        <f t="shared" si="50"/>
        <v>8.7999999999999995E-2</v>
      </c>
      <c r="AS43" s="5">
        <f t="shared" si="51"/>
        <v>8.4000000000000005E-2</v>
      </c>
      <c r="AT43" s="88">
        <f t="shared" si="52"/>
        <v>0.53</v>
      </c>
      <c r="AU43" s="88">
        <f t="shared" si="53"/>
        <v>0.59</v>
      </c>
      <c r="AV43" s="88">
        <f t="shared" si="54"/>
        <v>0.56000000000000005</v>
      </c>
      <c r="AW43" s="134">
        <f t="shared" si="55"/>
        <v>5</v>
      </c>
      <c r="AX43" s="134">
        <f t="shared" si="56"/>
        <v>5</v>
      </c>
      <c r="AY43" s="212">
        <f t="shared" si="57"/>
        <v>5</v>
      </c>
    </row>
    <row r="44" spans="1:51" ht="13.15" customHeight="1">
      <c r="A44" s="71">
        <v>14283</v>
      </c>
      <c r="B44" s="64" t="s">
        <v>143</v>
      </c>
      <c r="C44" s="213" t="str">
        <f>Rollover!A44</f>
        <v xml:space="preserve">Mitsubishi </v>
      </c>
      <c r="D44" s="214" t="str">
        <f>Rollover!B44</f>
        <v>Outlander SUV FWD</v>
      </c>
      <c r="E44" s="131" t="s">
        <v>134</v>
      </c>
      <c r="F44" s="210">
        <f>Rollover!C44</f>
        <v>2023</v>
      </c>
      <c r="G44" s="10">
        <v>319.81</v>
      </c>
      <c r="H44" s="11">
        <v>0.34899999999999998</v>
      </c>
      <c r="I44" s="11">
        <v>2229.7559999999999</v>
      </c>
      <c r="J44" s="11">
        <v>194.386</v>
      </c>
      <c r="K44" s="11">
        <v>23.009</v>
      </c>
      <c r="L44" s="11">
        <v>48.026000000000003</v>
      </c>
      <c r="M44" s="11">
        <v>1805.1980000000001</v>
      </c>
      <c r="N44" s="12">
        <v>1750.6110000000001</v>
      </c>
      <c r="O44" s="10">
        <v>280.87299999999999</v>
      </c>
      <c r="P44" s="11">
        <v>0.44400000000000001</v>
      </c>
      <c r="Q44" s="11">
        <v>1044.8209999999999</v>
      </c>
      <c r="R44" s="11">
        <v>469.34399999999999</v>
      </c>
      <c r="S44" s="11">
        <v>19.818000000000001</v>
      </c>
      <c r="T44" s="11">
        <v>43.844000000000001</v>
      </c>
      <c r="U44" s="11">
        <v>2003.8150000000001</v>
      </c>
      <c r="V44" s="12">
        <v>1905.095</v>
      </c>
      <c r="W44" s="211">
        <f t="shared" ref="W44:W55" si="58">NORMDIST(LN(G44),7.45231,0.73998,1)</f>
        <v>1.1407304597358886E-2</v>
      </c>
      <c r="X44" s="5">
        <f t="shared" ref="X44:X55" si="59">1/(1+EXP(3.2269-1.9688*H44))</f>
        <v>7.3115485073840497E-2</v>
      </c>
      <c r="Y44" s="5">
        <f t="shared" ref="Y44:Y55" si="60">1/(1+EXP(10.9745-2.375*I44/1000))</f>
        <v>3.4059164415014788E-3</v>
      </c>
      <c r="Z44" s="5">
        <f t="shared" ref="Z44:Z55" si="61">1/(1+EXP(10.9745-2.375*J44/1000))</f>
        <v>2.7184586041140484E-5</v>
      </c>
      <c r="AA44" s="5">
        <f t="shared" ref="AA44:AA55" si="62">MAX(X44,Y44,Z44)</f>
        <v>7.3115485073840497E-2</v>
      </c>
      <c r="AB44" s="5">
        <f t="shared" ref="AB44:AB55" si="63">1/(1+EXP(12.597-0.05861*35-1.568*(K44^0.4612)))</f>
        <v>2.0114969153213154E-2</v>
      </c>
      <c r="AC44" s="5">
        <f t="shared" ref="AC44:AC55" si="64">AB44</f>
        <v>2.0114969153213154E-2</v>
      </c>
      <c r="AD44" s="5">
        <f t="shared" ref="AD44:AD55" si="65">1/(1+EXP(5.7949-0.5196*M44/1000))</f>
        <v>7.7144240184766084E-3</v>
      </c>
      <c r="AE44" s="5">
        <f t="shared" ref="AE44:AE55" si="66">1/(1+EXP(5.7949-0.5196*N44/1000))</f>
        <v>7.5003086808936165E-3</v>
      </c>
      <c r="AF44" s="24">
        <f t="shared" ref="AF44:AF55" si="67">MAX(AD44,AE44)</f>
        <v>7.7144240184766084E-3</v>
      </c>
      <c r="AG44" s="23">
        <f t="shared" ref="AG44:AG55" si="68">NORMDIST(LN(O44),7.45231,0.73998,1)</f>
        <v>7.1038618923291927E-3</v>
      </c>
      <c r="AH44" s="5">
        <f t="shared" ref="AH44:AH55" si="69">1/(1+EXP(3.2269-1.9688*P44))</f>
        <v>8.6847213820303346E-2</v>
      </c>
      <c r="AI44" s="5">
        <f t="shared" ref="AI44:AI55" si="70">1/(1+EXP(10.958-3.77*Q44/1000))</f>
        <v>8.9389778163254151E-4</v>
      </c>
      <c r="AJ44" s="5">
        <f t="shared" ref="AJ44:AJ55" si="71">1/(1+EXP(10.958-3.77*R44/1000))</f>
        <v>1.0219014480063337E-4</v>
      </c>
      <c r="AK44" s="5">
        <f t="shared" ref="AK44:AK55" si="72">MAX(AH44,AI44,AJ44)</f>
        <v>8.6847213820303346E-2</v>
      </c>
      <c r="AL44" s="5">
        <f t="shared" ref="AL44:AL55" si="73">1/(1+EXP(12.597-0.05861*35-1.568*((S44/0.817)^0.4612)))</f>
        <v>2.3620396722002251E-2</v>
      </c>
      <c r="AM44" s="5">
        <f t="shared" ref="AM44:AM55" si="74">AL44</f>
        <v>2.3620396722002251E-2</v>
      </c>
      <c r="AN44" s="5">
        <f t="shared" ref="AN44:AN55" si="75">1/(1+EXP(5.7949-0.7619*U44/1000))</f>
        <v>1.381357844567415E-2</v>
      </c>
      <c r="AO44" s="5">
        <f t="shared" ref="AO44:AO55" si="76">1/(1+EXP(5.7949-0.7619*V44/1000))</f>
        <v>1.2825542111003391E-2</v>
      </c>
      <c r="AP44" s="24">
        <f t="shared" ref="AP44:AP55" si="77">MAX(AN44,AO44)</f>
        <v>1.381357844567415E-2</v>
      </c>
      <c r="AQ44" s="211">
        <f t="shared" ref="AQ44:AQ55" si="78">ROUND(1-(1-W44)*(1-AA44)*(1-AC44)*(1-AF44),3)</f>
        <v>0.109</v>
      </c>
      <c r="AR44" s="5">
        <f t="shared" ref="AR44:AR55" si="79">ROUND(1-(1-AG44)*(1-AK44)*(1-AM44)*(1-AP44),3)</f>
        <v>0.127</v>
      </c>
      <c r="AS44" s="5">
        <f t="shared" ref="AS44:AS55" si="80">ROUND(AVERAGE(AR44,AQ44),3)</f>
        <v>0.11799999999999999</v>
      </c>
      <c r="AT44" s="88">
        <f t="shared" ref="AT44:AT55" si="81">ROUND(AQ44/0.15,2)</f>
        <v>0.73</v>
      </c>
      <c r="AU44" s="88">
        <f t="shared" ref="AU44:AU55" si="82">ROUND(AR44/0.15,2)</f>
        <v>0.85</v>
      </c>
      <c r="AV44" s="88">
        <f t="shared" ref="AV44:AV55" si="83">ROUND(AS44/0.15,2)</f>
        <v>0.79</v>
      </c>
      <c r="AW44" s="134">
        <f t="shared" ref="AW44:AW55" si="84">IF(AT44&lt;0.67,5,IF(AT44&lt;1,4,IF(AT44&lt;1.33,3,IF(AT44&lt;2.67,2,1))))</f>
        <v>4</v>
      </c>
      <c r="AX44" s="134">
        <f t="shared" ref="AX44:AX55" si="85">IF(AU44&lt;0.67,5,IF(AU44&lt;1,4,IF(AU44&lt;1.33,3,IF(AU44&lt;2.67,2,1))))</f>
        <v>4</v>
      </c>
      <c r="AY44" s="212">
        <f t="shared" ref="AY44:AY55" si="86">IF(AV44&lt;0.67,5,IF(AV44&lt;1,4,IF(AV44&lt;1.33,3,IF(AV44&lt;2.67,2,1))))</f>
        <v>4</v>
      </c>
    </row>
    <row r="45" spans="1:51" ht="13.15" customHeight="1">
      <c r="A45" s="71">
        <v>14283</v>
      </c>
      <c r="B45" s="64" t="s">
        <v>143</v>
      </c>
      <c r="C45" s="213" t="str">
        <f>Rollover!A45</f>
        <v xml:space="preserve">Mitsubishi </v>
      </c>
      <c r="D45" s="214" t="str">
        <f>Rollover!B45</f>
        <v>Outlander SUV AWD</v>
      </c>
      <c r="E45" s="131" t="s">
        <v>134</v>
      </c>
      <c r="F45" s="210">
        <f>Rollover!C45</f>
        <v>2023</v>
      </c>
      <c r="G45" s="10">
        <v>319.81</v>
      </c>
      <c r="H45" s="11">
        <v>0.34899999999999998</v>
      </c>
      <c r="I45" s="11">
        <v>2229.7559999999999</v>
      </c>
      <c r="J45" s="11">
        <v>194.386</v>
      </c>
      <c r="K45" s="11">
        <v>23.009</v>
      </c>
      <c r="L45" s="11">
        <v>48.026000000000003</v>
      </c>
      <c r="M45" s="11">
        <v>1805.1980000000001</v>
      </c>
      <c r="N45" s="12">
        <v>1750.6110000000001</v>
      </c>
      <c r="O45" s="10">
        <v>280.87299999999999</v>
      </c>
      <c r="P45" s="11">
        <v>0.44400000000000001</v>
      </c>
      <c r="Q45" s="11">
        <v>1044.8209999999999</v>
      </c>
      <c r="R45" s="11">
        <v>469.34399999999999</v>
      </c>
      <c r="S45" s="11">
        <v>19.818000000000001</v>
      </c>
      <c r="T45" s="11">
        <v>43.844000000000001</v>
      </c>
      <c r="U45" s="11">
        <v>2003.8150000000001</v>
      </c>
      <c r="V45" s="12">
        <v>1905.095</v>
      </c>
      <c r="W45" s="211">
        <f t="shared" si="58"/>
        <v>1.1407304597358886E-2</v>
      </c>
      <c r="X45" s="5">
        <f t="shared" si="59"/>
        <v>7.3115485073840497E-2</v>
      </c>
      <c r="Y45" s="5">
        <f t="shared" si="60"/>
        <v>3.4059164415014788E-3</v>
      </c>
      <c r="Z45" s="5">
        <f t="shared" si="61"/>
        <v>2.7184586041140484E-5</v>
      </c>
      <c r="AA45" s="5">
        <f t="shared" si="62"/>
        <v>7.3115485073840497E-2</v>
      </c>
      <c r="AB45" s="5">
        <f t="shared" si="63"/>
        <v>2.0114969153213154E-2</v>
      </c>
      <c r="AC45" s="5">
        <f t="shared" si="64"/>
        <v>2.0114969153213154E-2</v>
      </c>
      <c r="AD45" s="5">
        <f t="shared" si="65"/>
        <v>7.7144240184766084E-3</v>
      </c>
      <c r="AE45" s="5">
        <f t="shared" si="66"/>
        <v>7.5003086808936165E-3</v>
      </c>
      <c r="AF45" s="24">
        <f t="shared" si="67"/>
        <v>7.7144240184766084E-3</v>
      </c>
      <c r="AG45" s="23">
        <f t="shared" si="68"/>
        <v>7.1038618923291927E-3</v>
      </c>
      <c r="AH45" s="5">
        <f t="shared" si="69"/>
        <v>8.6847213820303346E-2</v>
      </c>
      <c r="AI45" s="5">
        <f t="shared" si="70"/>
        <v>8.9389778163254151E-4</v>
      </c>
      <c r="AJ45" s="5">
        <f t="shared" si="71"/>
        <v>1.0219014480063337E-4</v>
      </c>
      <c r="AK45" s="5">
        <f t="shared" si="72"/>
        <v>8.6847213820303346E-2</v>
      </c>
      <c r="AL45" s="5">
        <f t="shared" si="73"/>
        <v>2.3620396722002251E-2</v>
      </c>
      <c r="AM45" s="5">
        <f t="shared" si="74"/>
        <v>2.3620396722002251E-2</v>
      </c>
      <c r="AN45" s="5">
        <f t="shared" si="75"/>
        <v>1.381357844567415E-2</v>
      </c>
      <c r="AO45" s="5">
        <f t="shared" si="76"/>
        <v>1.2825542111003391E-2</v>
      </c>
      <c r="AP45" s="24">
        <f t="shared" si="77"/>
        <v>1.381357844567415E-2</v>
      </c>
      <c r="AQ45" s="211">
        <f t="shared" si="78"/>
        <v>0.109</v>
      </c>
      <c r="AR45" s="5">
        <f t="shared" si="79"/>
        <v>0.127</v>
      </c>
      <c r="AS45" s="5">
        <f t="shared" si="80"/>
        <v>0.11799999999999999</v>
      </c>
      <c r="AT45" s="88">
        <f t="shared" si="81"/>
        <v>0.73</v>
      </c>
      <c r="AU45" s="88">
        <f t="shared" si="82"/>
        <v>0.85</v>
      </c>
      <c r="AV45" s="88">
        <f t="shared" si="83"/>
        <v>0.79</v>
      </c>
      <c r="AW45" s="134">
        <f t="shared" si="84"/>
        <v>4</v>
      </c>
      <c r="AX45" s="134">
        <f t="shared" si="85"/>
        <v>4</v>
      </c>
      <c r="AY45" s="212">
        <f t="shared" si="86"/>
        <v>4</v>
      </c>
    </row>
    <row r="46" spans="1:51" ht="13.15" customHeight="1">
      <c r="A46" s="71">
        <v>14295</v>
      </c>
      <c r="B46" s="64" t="s">
        <v>144</v>
      </c>
      <c r="C46" s="213" t="str">
        <f>Rollover!A46</f>
        <v>Nissan</v>
      </c>
      <c r="D46" s="214" t="str">
        <f>Rollover!B46</f>
        <v>Armada SUV RWD</v>
      </c>
      <c r="E46" s="131" t="s">
        <v>134</v>
      </c>
      <c r="F46" s="210">
        <f>Rollover!C46</f>
        <v>2023</v>
      </c>
      <c r="G46" s="10">
        <v>371.387</v>
      </c>
      <c r="H46" s="11">
        <v>0.316</v>
      </c>
      <c r="I46" s="11">
        <v>1808.617</v>
      </c>
      <c r="J46" s="11">
        <v>511.428</v>
      </c>
      <c r="K46" s="11">
        <v>32.655999999999999</v>
      </c>
      <c r="L46" s="11">
        <v>39.844999999999999</v>
      </c>
      <c r="M46" s="11">
        <v>1729.1489999999999</v>
      </c>
      <c r="N46" s="12">
        <v>1700.6880000000001</v>
      </c>
      <c r="O46" s="10">
        <v>225.358</v>
      </c>
      <c r="P46" s="11">
        <v>0.47799999999999998</v>
      </c>
      <c r="Q46" s="11">
        <v>916.11800000000005</v>
      </c>
      <c r="R46" s="11">
        <v>248.46700000000001</v>
      </c>
      <c r="S46" s="11">
        <v>25.895</v>
      </c>
      <c r="T46" s="11">
        <v>44.863</v>
      </c>
      <c r="U46" s="11">
        <v>2754.212</v>
      </c>
      <c r="V46" s="12">
        <v>2274.5340000000001</v>
      </c>
      <c r="W46" s="211">
        <f t="shared" si="58"/>
        <v>1.9017901010435462E-2</v>
      </c>
      <c r="X46" s="5">
        <f t="shared" si="59"/>
        <v>6.8832753689576961E-2</v>
      </c>
      <c r="Y46" s="5">
        <f t="shared" si="60"/>
        <v>1.2554128121478384E-3</v>
      </c>
      <c r="Z46" s="5">
        <f t="shared" si="61"/>
        <v>5.7719457603966371E-5</v>
      </c>
      <c r="AA46" s="5">
        <f t="shared" si="62"/>
        <v>6.8832753689576961E-2</v>
      </c>
      <c r="AB46" s="5">
        <f t="shared" si="63"/>
        <v>6.1871804483531315E-2</v>
      </c>
      <c r="AC46" s="5">
        <f t="shared" si="64"/>
        <v>6.1871804483531315E-2</v>
      </c>
      <c r="AD46" s="5">
        <f t="shared" si="65"/>
        <v>7.417749443165444E-3</v>
      </c>
      <c r="AE46" s="5">
        <f t="shared" si="66"/>
        <v>7.3096563447458615E-3</v>
      </c>
      <c r="AF46" s="24">
        <f t="shared" si="67"/>
        <v>7.417749443165444E-3</v>
      </c>
      <c r="AG46" s="23">
        <f t="shared" si="68"/>
        <v>2.9837626117721742E-3</v>
      </c>
      <c r="AH46" s="5">
        <f t="shared" si="69"/>
        <v>9.2304707412795617E-2</v>
      </c>
      <c r="AI46" s="5">
        <f t="shared" si="70"/>
        <v>5.5044377836470262E-4</v>
      </c>
      <c r="AJ46" s="5">
        <f t="shared" si="71"/>
        <v>4.4442077179835621E-5</v>
      </c>
      <c r="AK46" s="5">
        <f t="shared" si="72"/>
        <v>9.2304707412795617E-2</v>
      </c>
      <c r="AL46" s="5">
        <f t="shared" si="73"/>
        <v>5.5941646982266821E-2</v>
      </c>
      <c r="AM46" s="5">
        <f t="shared" si="74"/>
        <v>5.5941646982266821E-2</v>
      </c>
      <c r="AN46" s="5">
        <f t="shared" si="75"/>
        <v>2.4210372106653989E-2</v>
      </c>
      <c r="AO46" s="5">
        <f t="shared" si="76"/>
        <v>1.6924351942357922E-2</v>
      </c>
      <c r="AP46" s="24">
        <f t="shared" si="77"/>
        <v>2.4210372106653989E-2</v>
      </c>
      <c r="AQ46" s="211">
        <f t="shared" si="78"/>
        <v>0.14899999999999999</v>
      </c>
      <c r="AR46" s="5">
        <f t="shared" si="79"/>
        <v>0.16600000000000001</v>
      </c>
      <c r="AS46" s="5">
        <f t="shared" si="80"/>
        <v>0.158</v>
      </c>
      <c r="AT46" s="88">
        <f t="shared" si="81"/>
        <v>0.99</v>
      </c>
      <c r="AU46" s="88">
        <f t="shared" si="82"/>
        <v>1.1100000000000001</v>
      </c>
      <c r="AV46" s="88">
        <f t="shared" si="83"/>
        <v>1.05</v>
      </c>
      <c r="AW46" s="134">
        <f t="shared" si="84"/>
        <v>4</v>
      </c>
      <c r="AX46" s="134">
        <f t="shared" si="85"/>
        <v>3</v>
      </c>
      <c r="AY46" s="212">
        <f t="shared" si="86"/>
        <v>3</v>
      </c>
    </row>
    <row r="47" spans="1:51" ht="13.15" customHeight="1">
      <c r="A47" s="71">
        <v>14295</v>
      </c>
      <c r="B47" s="64" t="s">
        <v>144</v>
      </c>
      <c r="C47" s="213" t="str">
        <f>Rollover!A47</f>
        <v>Nissan</v>
      </c>
      <c r="D47" s="214" t="str">
        <f>Rollover!B47</f>
        <v>Armada SUV 4WD</v>
      </c>
      <c r="E47" s="131" t="s">
        <v>134</v>
      </c>
      <c r="F47" s="210">
        <f>Rollover!C47</f>
        <v>2023</v>
      </c>
      <c r="G47" s="10">
        <v>371.387</v>
      </c>
      <c r="H47" s="11">
        <v>0.316</v>
      </c>
      <c r="I47" s="11">
        <v>1808.617</v>
      </c>
      <c r="J47" s="11">
        <v>511.428</v>
      </c>
      <c r="K47" s="11">
        <v>32.655999999999999</v>
      </c>
      <c r="L47" s="11">
        <v>39.844999999999999</v>
      </c>
      <c r="M47" s="11">
        <v>1729.1489999999999</v>
      </c>
      <c r="N47" s="12">
        <v>1700.6880000000001</v>
      </c>
      <c r="O47" s="10">
        <v>225.358</v>
      </c>
      <c r="P47" s="11">
        <v>0.47799999999999998</v>
      </c>
      <c r="Q47" s="11">
        <v>916.11800000000005</v>
      </c>
      <c r="R47" s="11">
        <v>248.46700000000001</v>
      </c>
      <c r="S47" s="11">
        <v>25.895</v>
      </c>
      <c r="T47" s="11">
        <v>44.863</v>
      </c>
      <c r="U47" s="11">
        <v>2754.212</v>
      </c>
      <c r="V47" s="12">
        <v>2274.5340000000001</v>
      </c>
      <c r="W47" s="211">
        <f t="shared" si="58"/>
        <v>1.9017901010435462E-2</v>
      </c>
      <c r="X47" s="5">
        <f t="shared" si="59"/>
        <v>6.8832753689576961E-2</v>
      </c>
      <c r="Y47" s="5">
        <f t="shared" si="60"/>
        <v>1.2554128121478384E-3</v>
      </c>
      <c r="Z47" s="5">
        <f t="shared" si="61"/>
        <v>5.7719457603966371E-5</v>
      </c>
      <c r="AA47" s="5">
        <f t="shared" si="62"/>
        <v>6.8832753689576961E-2</v>
      </c>
      <c r="AB47" s="5">
        <f t="shared" si="63"/>
        <v>6.1871804483531315E-2</v>
      </c>
      <c r="AC47" s="5">
        <f t="shared" si="64"/>
        <v>6.1871804483531315E-2</v>
      </c>
      <c r="AD47" s="5">
        <f t="shared" si="65"/>
        <v>7.417749443165444E-3</v>
      </c>
      <c r="AE47" s="5">
        <f t="shared" si="66"/>
        <v>7.3096563447458615E-3</v>
      </c>
      <c r="AF47" s="24">
        <f t="shared" si="67"/>
        <v>7.417749443165444E-3</v>
      </c>
      <c r="AG47" s="23">
        <f t="shared" si="68"/>
        <v>2.9837626117721742E-3</v>
      </c>
      <c r="AH47" s="5">
        <f t="shared" si="69"/>
        <v>9.2304707412795617E-2</v>
      </c>
      <c r="AI47" s="5">
        <f t="shared" si="70"/>
        <v>5.5044377836470262E-4</v>
      </c>
      <c r="AJ47" s="5">
        <f t="shared" si="71"/>
        <v>4.4442077179835621E-5</v>
      </c>
      <c r="AK47" s="5">
        <f t="shared" si="72"/>
        <v>9.2304707412795617E-2</v>
      </c>
      <c r="AL47" s="5">
        <f t="shared" si="73"/>
        <v>5.5941646982266821E-2</v>
      </c>
      <c r="AM47" s="5">
        <f t="shared" si="74"/>
        <v>5.5941646982266821E-2</v>
      </c>
      <c r="AN47" s="5">
        <f t="shared" si="75"/>
        <v>2.4210372106653989E-2</v>
      </c>
      <c r="AO47" s="5">
        <f t="shared" si="76"/>
        <v>1.6924351942357922E-2</v>
      </c>
      <c r="AP47" s="24">
        <f t="shared" si="77"/>
        <v>2.4210372106653989E-2</v>
      </c>
      <c r="AQ47" s="211">
        <f t="shared" si="78"/>
        <v>0.14899999999999999</v>
      </c>
      <c r="AR47" s="5">
        <f t="shared" si="79"/>
        <v>0.16600000000000001</v>
      </c>
      <c r="AS47" s="5">
        <f t="shared" si="80"/>
        <v>0.158</v>
      </c>
      <c r="AT47" s="88">
        <f t="shared" si="81"/>
        <v>0.99</v>
      </c>
      <c r="AU47" s="88">
        <f t="shared" si="82"/>
        <v>1.1100000000000001</v>
      </c>
      <c r="AV47" s="88">
        <f t="shared" si="83"/>
        <v>1.05</v>
      </c>
      <c r="AW47" s="134">
        <f t="shared" si="84"/>
        <v>4</v>
      </c>
      <c r="AX47" s="134">
        <f t="shared" si="85"/>
        <v>3</v>
      </c>
      <c r="AY47" s="212">
        <f t="shared" si="86"/>
        <v>3</v>
      </c>
    </row>
    <row r="48" spans="1:51" ht="13.15" customHeight="1">
      <c r="A48" s="71">
        <v>14295</v>
      </c>
      <c r="B48" s="64" t="s">
        <v>144</v>
      </c>
      <c r="C48" s="208" t="str">
        <f>Rollover!A48</f>
        <v xml:space="preserve">Infiniti </v>
      </c>
      <c r="D48" s="209" t="str">
        <f>Rollover!B48</f>
        <v>QX80 SUV RWD</v>
      </c>
      <c r="E48" s="131" t="s">
        <v>134</v>
      </c>
      <c r="F48" s="210">
        <f>Rollover!C48</f>
        <v>2023</v>
      </c>
      <c r="G48" s="10">
        <v>371.387</v>
      </c>
      <c r="H48" s="11">
        <v>0.316</v>
      </c>
      <c r="I48" s="11">
        <v>1808.617</v>
      </c>
      <c r="J48" s="11">
        <v>511.428</v>
      </c>
      <c r="K48" s="11">
        <v>32.655999999999999</v>
      </c>
      <c r="L48" s="11">
        <v>39.844999999999999</v>
      </c>
      <c r="M48" s="11">
        <v>1729.1489999999999</v>
      </c>
      <c r="N48" s="12">
        <v>1700.6880000000001</v>
      </c>
      <c r="O48" s="10">
        <v>225.358</v>
      </c>
      <c r="P48" s="11">
        <v>0.47799999999999998</v>
      </c>
      <c r="Q48" s="11">
        <v>916.11800000000005</v>
      </c>
      <c r="R48" s="11">
        <v>248.46700000000001</v>
      </c>
      <c r="S48" s="11">
        <v>25.895</v>
      </c>
      <c r="T48" s="11">
        <v>44.863</v>
      </c>
      <c r="U48" s="11">
        <v>2754.212</v>
      </c>
      <c r="V48" s="12">
        <v>2274.5340000000001</v>
      </c>
      <c r="W48" s="211">
        <f t="shared" si="58"/>
        <v>1.9017901010435462E-2</v>
      </c>
      <c r="X48" s="5">
        <f t="shared" si="59"/>
        <v>6.8832753689576961E-2</v>
      </c>
      <c r="Y48" s="5">
        <f t="shared" si="60"/>
        <v>1.2554128121478384E-3</v>
      </c>
      <c r="Z48" s="5">
        <f t="shared" si="61"/>
        <v>5.7719457603966371E-5</v>
      </c>
      <c r="AA48" s="5">
        <f t="shared" si="62"/>
        <v>6.8832753689576961E-2</v>
      </c>
      <c r="AB48" s="5">
        <f t="shared" si="63"/>
        <v>6.1871804483531315E-2</v>
      </c>
      <c r="AC48" s="5">
        <f t="shared" si="64"/>
        <v>6.1871804483531315E-2</v>
      </c>
      <c r="AD48" s="5">
        <f t="shared" si="65"/>
        <v>7.417749443165444E-3</v>
      </c>
      <c r="AE48" s="5">
        <f t="shared" si="66"/>
        <v>7.3096563447458615E-3</v>
      </c>
      <c r="AF48" s="24">
        <f t="shared" si="67"/>
        <v>7.417749443165444E-3</v>
      </c>
      <c r="AG48" s="23">
        <f t="shared" si="68"/>
        <v>2.9837626117721742E-3</v>
      </c>
      <c r="AH48" s="5">
        <f t="shared" si="69"/>
        <v>9.2304707412795617E-2</v>
      </c>
      <c r="AI48" s="5">
        <f t="shared" si="70"/>
        <v>5.5044377836470262E-4</v>
      </c>
      <c r="AJ48" s="5">
        <f t="shared" si="71"/>
        <v>4.4442077179835621E-5</v>
      </c>
      <c r="AK48" s="5">
        <f t="shared" si="72"/>
        <v>9.2304707412795617E-2</v>
      </c>
      <c r="AL48" s="5">
        <f t="shared" si="73"/>
        <v>5.5941646982266821E-2</v>
      </c>
      <c r="AM48" s="5">
        <f t="shared" si="74"/>
        <v>5.5941646982266821E-2</v>
      </c>
      <c r="AN48" s="5">
        <f t="shared" si="75"/>
        <v>2.4210372106653989E-2</v>
      </c>
      <c r="AO48" s="5">
        <f t="shared" si="76"/>
        <v>1.6924351942357922E-2</v>
      </c>
      <c r="AP48" s="24">
        <f t="shared" si="77"/>
        <v>2.4210372106653989E-2</v>
      </c>
      <c r="AQ48" s="211">
        <f t="shared" si="78"/>
        <v>0.14899999999999999</v>
      </c>
      <c r="AR48" s="5">
        <f t="shared" si="79"/>
        <v>0.16600000000000001</v>
      </c>
      <c r="AS48" s="5">
        <f t="shared" si="80"/>
        <v>0.158</v>
      </c>
      <c r="AT48" s="88">
        <f t="shared" si="81"/>
        <v>0.99</v>
      </c>
      <c r="AU48" s="88">
        <f t="shared" si="82"/>
        <v>1.1100000000000001</v>
      </c>
      <c r="AV48" s="88">
        <f t="shared" si="83"/>
        <v>1.05</v>
      </c>
      <c r="AW48" s="134">
        <f t="shared" si="84"/>
        <v>4</v>
      </c>
      <c r="AX48" s="134">
        <f t="shared" si="85"/>
        <v>3</v>
      </c>
      <c r="AY48" s="212">
        <f t="shared" si="86"/>
        <v>3</v>
      </c>
    </row>
    <row r="49" spans="1:51" ht="13.15" customHeight="1">
      <c r="A49" s="71">
        <v>14295</v>
      </c>
      <c r="B49" s="64" t="s">
        <v>144</v>
      </c>
      <c r="C49" s="208" t="str">
        <f>Rollover!A49</f>
        <v xml:space="preserve">Infiniti </v>
      </c>
      <c r="D49" s="209" t="str">
        <f>Rollover!B49</f>
        <v>QX80 SUV 4WD</v>
      </c>
      <c r="E49" s="131" t="s">
        <v>134</v>
      </c>
      <c r="F49" s="210">
        <f>Rollover!C49</f>
        <v>2023</v>
      </c>
      <c r="G49" s="10">
        <v>371.387</v>
      </c>
      <c r="H49" s="11">
        <v>0.316</v>
      </c>
      <c r="I49" s="11">
        <v>1808.617</v>
      </c>
      <c r="J49" s="11">
        <v>511.428</v>
      </c>
      <c r="K49" s="11">
        <v>32.655999999999999</v>
      </c>
      <c r="L49" s="11">
        <v>39.844999999999999</v>
      </c>
      <c r="M49" s="11">
        <v>1729.1489999999999</v>
      </c>
      <c r="N49" s="12">
        <v>1700.6880000000001</v>
      </c>
      <c r="O49" s="10">
        <v>225.358</v>
      </c>
      <c r="P49" s="11">
        <v>0.47799999999999998</v>
      </c>
      <c r="Q49" s="11">
        <v>916.11800000000005</v>
      </c>
      <c r="R49" s="11">
        <v>248.46700000000001</v>
      </c>
      <c r="S49" s="11">
        <v>25.895</v>
      </c>
      <c r="T49" s="11">
        <v>44.863</v>
      </c>
      <c r="U49" s="11">
        <v>2754.212</v>
      </c>
      <c r="V49" s="12">
        <v>2274.5340000000001</v>
      </c>
      <c r="W49" s="211">
        <f t="shared" si="58"/>
        <v>1.9017901010435462E-2</v>
      </c>
      <c r="X49" s="5">
        <f t="shared" si="59"/>
        <v>6.8832753689576961E-2</v>
      </c>
      <c r="Y49" s="5">
        <f t="shared" si="60"/>
        <v>1.2554128121478384E-3</v>
      </c>
      <c r="Z49" s="5">
        <f t="shared" si="61"/>
        <v>5.7719457603966371E-5</v>
      </c>
      <c r="AA49" s="5">
        <f t="shared" si="62"/>
        <v>6.8832753689576961E-2</v>
      </c>
      <c r="AB49" s="5">
        <f t="shared" si="63"/>
        <v>6.1871804483531315E-2</v>
      </c>
      <c r="AC49" s="5">
        <f t="shared" si="64"/>
        <v>6.1871804483531315E-2</v>
      </c>
      <c r="AD49" s="5">
        <f t="shared" si="65"/>
        <v>7.417749443165444E-3</v>
      </c>
      <c r="AE49" s="5">
        <f t="shared" si="66"/>
        <v>7.3096563447458615E-3</v>
      </c>
      <c r="AF49" s="24">
        <f t="shared" si="67"/>
        <v>7.417749443165444E-3</v>
      </c>
      <c r="AG49" s="23">
        <f t="shared" si="68"/>
        <v>2.9837626117721742E-3</v>
      </c>
      <c r="AH49" s="5">
        <f t="shared" si="69"/>
        <v>9.2304707412795617E-2</v>
      </c>
      <c r="AI49" s="5">
        <f t="shared" si="70"/>
        <v>5.5044377836470262E-4</v>
      </c>
      <c r="AJ49" s="5">
        <f t="shared" si="71"/>
        <v>4.4442077179835621E-5</v>
      </c>
      <c r="AK49" s="5">
        <f t="shared" si="72"/>
        <v>9.2304707412795617E-2</v>
      </c>
      <c r="AL49" s="5">
        <f t="shared" si="73"/>
        <v>5.5941646982266821E-2</v>
      </c>
      <c r="AM49" s="5">
        <f t="shared" si="74"/>
        <v>5.5941646982266821E-2</v>
      </c>
      <c r="AN49" s="5">
        <f t="shared" si="75"/>
        <v>2.4210372106653989E-2</v>
      </c>
      <c r="AO49" s="5">
        <f t="shared" si="76"/>
        <v>1.6924351942357922E-2</v>
      </c>
      <c r="AP49" s="24">
        <f t="shared" si="77"/>
        <v>2.4210372106653989E-2</v>
      </c>
      <c r="AQ49" s="211">
        <f t="shared" si="78"/>
        <v>0.14899999999999999</v>
      </c>
      <c r="AR49" s="5">
        <f t="shared" si="79"/>
        <v>0.16600000000000001</v>
      </c>
      <c r="AS49" s="5">
        <f t="shared" si="80"/>
        <v>0.158</v>
      </c>
      <c r="AT49" s="88">
        <f t="shared" si="81"/>
        <v>0.99</v>
      </c>
      <c r="AU49" s="88">
        <f t="shared" si="82"/>
        <v>1.1100000000000001</v>
      </c>
      <c r="AV49" s="88">
        <f t="shared" si="83"/>
        <v>1.05</v>
      </c>
      <c r="AW49" s="134">
        <f t="shared" si="84"/>
        <v>4</v>
      </c>
      <c r="AX49" s="134">
        <f t="shared" si="85"/>
        <v>3</v>
      </c>
      <c r="AY49" s="212">
        <f t="shared" si="86"/>
        <v>3</v>
      </c>
    </row>
    <row r="50" spans="1:51" ht="13.15" customHeight="1">
      <c r="A50" s="71"/>
      <c r="B50" s="64"/>
      <c r="C50" s="213" t="str">
        <f>Rollover!A50</f>
        <v>Rivian</v>
      </c>
      <c r="D50" s="214" t="str">
        <f>Rollover!B50</f>
        <v>R1S SUV BEV AWD</v>
      </c>
      <c r="E50" s="131"/>
      <c r="F50" s="210">
        <f>Rollover!C50</f>
        <v>2023</v>
      </c>
      <c r="G50" s="10"/>
      <c r="H50" s="11"/>
      <c r="I50" s="11"/>
      <c r="J50" s="11"/>
      <c r="K50" s="11"/>
      <c r="L50" s="11"/>
      <c r="M50" s="11"/>
      <c r="N50" s="12"/>
      <c r="O50" s="10"/>
      <c r="P50" s="11"/>
      <c r="Q50" s="11"/>
      <c r="R50" s="11"/>
      <c r="S50" s="11"/>
      <c r="T50" s="11"/>
      <c r="U50" s="11"/>
      <c r="V50" s="12"/>
      <c r="W50" s="211" t="e">
        <f t="shared" si="58"/>
        <v>#NUM!</v>
      </c>
      <c r="X50" s="5">
        <f t="shared" si="59"/>
        <v>3.8165882958950202E-2</v>
      </c>
      <c r="Y50" s="5">
        <f t="shared" si="60"/>
        <v>1.713277721572889E-5</v>
      </c>
      <c r="Z50" s="5">
        <f t="shared" si="61"/>
        <v>1.713277721572889E-5</v>
      </c>
      <c r="AA50" s="5">
        <f t="shared" si="62"/>
        <v>3.8165882958950202E-2</v>
      </c>
      <c r="AB50" s="5">
        <f t="shared" si="63"/>
        <v>2.6306978617002889E-5</v>
      </c>
      <c r="AC50" s="5">
        <f t="shared" si="64"/>
        <v>2.6306978617002889E-5</v>
      </c>
      <c r="AD50" s="5">
        <f t="shared" si="65"/>
        <v>3.033802747866758E-3</v>
      </c>
      <c r="AE50" s="5">
        <f t="shared" si="66"/>
        <v>3.033802747866758E-3</v>
      </c>
      <c r="AF50" s="24">
        <f t="shared" si="67"/>
        <v>3.033802747866758E-3</v>
      </c>
      <c r="AG50" s="23" t="e">
        <f t="shared" si="68"/>
        <v>#NUM!</v>
      </c>
      <c r="AH50" s="5">
        <f t="shared" si="69"/>
        <v>3.8165882958950202E-2</v>
      </c>
      <c r="AI50" s="5">
        <f t="shared" si="70"/>
        <v>1.7417808154569238E-5</v>
      </c>
      <c r="AJ50" s="5">
        <f t="shared" si="71"/>
        <v>1.7417808154569238E-5</v>
      </c>
      <c r="AK50" s="5">
        <f t="shared" si="72"/>
        <v>3.8165882958950202E-2</v>
      </c>
      <c r="AL50" s="5">
        <f t="shared" si="73"/>
        <v>2.6306978617002889E-5</v>
      </c>
      <c r="AM50" s="5">
        <f t="shared" si="74"/>
        <v>2.6306978617002889E-5</v>
      </c>
      <c r="AN50" s="5">
        <f t="shared" si="75"/>
        <v>3.033802747866758E-3</v>
      </c>
      <c r="AO50" s="5">
        <f t="shared" si="76"/>
        <v>3.033802747866758E-3</v>
      </c>
      <c r="AP50" s="24">
        <f t="shared" si="77"/>
        <v>3.033802747866758E-3</v>
      </c>
      <c r="AQ50" s="211" t="e">
        <f t="shared" si="78"/>
        <v>#NUM!</v>
      </c>
      <c r="AR50" s="5" t="e">
        <f t="shared" si="79"/>
        <v>#NUM!</v>
      </c>
      <c r="AS50" s="5" t="e">
        <f t="shared" si="80"/>
        <v>#NUM!</v>
      </c>
      <c r="AT50" s="88" t="e">
        <f t="shared" si="81"/>
        <v>#NUM!</v>
      </c>
      <c r="AU50" s="88" t="e">
        <f t="shared" si="82"/>
        <v>#NUM!</v>
      </c>
      <c r="AV50" s="88" t="e">
        <f t="shared" si="83"/>
        <v>#NUM!</v>
      </c>
      <c r="AW50" s="134" t="e">
        <f t="shared" si="84"/>
        <v>#NUM!</v>
      </c>
      <c r="AX50" s="134" t="e">
        <f t="shared" si="85"/>
        <v>#NUM!</v>
      </c>
      <c r="AY50" s="212" t="e">
        <f t="shared" si="86"/>
        <v>#NUM!</v>
      </c>
    </row>
    <row r="51" spans="1:51" ht="13.15" customHeight="1">
      <c r="A51" s="71">
        <v>14395</v>
      </c>
      <c r="B51" s="64" t="s">
        <v>145</v>
      </c>
      <c r="C51" s="213" t="str">
        <f>Rollover!A51</f>
        <v>Subaru</v>
      </c>
      <c r="D51" s="214" t="str">
        <f>Rollover!B51</f>
        <v>Solterra SUV BEV AWD</v>
      </c>
      <c r="E51" s="131" t="s">
        <v>120</v>
      </c>
      <c r="F51" s="210">
        <f>Rollover!C51</f>
        <v>2023</v>
      </c>
      <c r="G51" s="10">
        <v>151.56700000000001</v>
      </c>
      <c r="H51" s="11">
        <v>0.35299999999999998</v>
      </c>
      <c r="I51" s="11">
        <v>1069.22</v>
      </c>
      <c r="J51" s="11">
        <v>46.277000000000001</v>
      </c>
      <c r="K51" s="11">
        <v>24.202999999999999</v>
      </c>
      <c r="L51" s="11">
        <v>37.433999999999997</v>
      </c>
      <c r="M51" s="11">
        <v>2084.94</v>
      </c>
      <c r="N51" s="12">
        <v>2744.462</v>
      </c>
      <c r="O51" s="10">
        <v>227.28100000000001</v>
      </c>
      <c r="P51" s="11">
        <v>0.37</v>
      </c>
      <c r="Q51" s="11">
        <v>580.28800000000001</v>
      </c>
      <c r="R51" s="11">
        <v>110.785</v>
      </c>
      <c r="S51" s="11">
        <v>12.901</v>
      </c>
      <c r="T51" s="11">
        <v>40.222000000000001</v>
      </c>
      <c r="U51" s="11">
        <v>991.16399999999999</v>
      </c>
      <c r="V51" s="12">
        <v>868.61300000000006</v>
      </c>
      <c r="W51" s="211">
        <f t="shared" si="58"/>
        <v>5.0881744241588014E-4</v>
      </c>
      <c r="X51" s="5">
        <f t="shared" si="59"/>
        <v>7.3650981779484356E-2</v>
      </c>
      <c r="Y51" s="5">
        <f t="shared" si="60"/>
        <v>2.170637242737142E-4</v>
      </c>
      <c r="Z51" s="5">
        <f t="shared" si="61"/>
        <v>1.9123143624920113E-5</v>
      </c>
      <c r="AA51" s="5">
        <f t="shared" si="62"/>
        <v>7.3650981779484356E-2</v>
      </c>
      <c r="AB51" s="5">
        <f t="shared" si="63"/>
        <v>2.3459146770996527E-2</v>
      </c>
      <c r="AC51" s="5">
        <f t="shared" si="64"/>
        <v>2.3459146770996527E-2</v>
      </c>
      <c r="AD51" s="5">
        <f t="shared" si="65"/>
        <v>8.9105822217982397E-3</v>
      </c>
      <c r="AE51" s="5">
        <f t="shared" si="66"/>
        <v>1.25070416928405E-2</v>
      </c>
      <c r="AF51" s="24">
        <f t="shared" si="67"/>
        <v>1.25070416928405E-2</v>
      </c>
      <c r="AG51" s="23">
        <f t="shared" si="68"/>
        <v>3.0899720488713031E-3</v>
      </c>
      <c r="AH51" s="5">
        <f t="shared" si="69"/>
        <v>7.5967333419551489E-2</v>
      </c>
      <c r="AI51" s="5">
        <f t="shared" si="70"/>
        <v>1.552506729209599E-4</v>
      </c>
      <c r="AJ51" s="5">
        <f t="shared" si="71"/>
        <v>2.6447021958188475E-5</v>
      </c>
      <c r="AK51" s="5">
        <f t="shared" si="72"/>
        <v>7.5967333419551489E-2</v>
      </c>
      <c r="AL51" s="5">
        <f t="shared" si="73"/>
        <v>7.0514494380785504E-3</v>
      </c>
      <c r="AM51" s="5">
        <f t="shared" si="74"/>
        <v>7.0514494380785504E-3</v>
      </c>
      <c r="AN51" s="5">
        <f t="shared" si="75"/>
        <v>6.4338204622218951E-3</v>
      </c>
      <c r="AO51" s="5">
        <f t="shared" si="76"/>
        <v>5.8636403141283404E-3</v>
      </c>
      <c r="AP51" s="24">
        <f t="shared" si="77"/>
        <v>6.4338204622218951E-3</v>
      </c>
      <c r="AQ51" s="211">
        <f t="shared" si="78"/>
        <v>0.107</v>
      </c>
      <c r="AR51" s="5">
        <f t="shared" si="79"/>
        <v>9.0999999999999998E-2</v>
      </c>
      <c r="AS51" s="5">
        <f t="shared" si="80"/>
        <v>9.9000000000000005E-2</v>
      </c>
      <c r="AT51" s="88">
        <f t="shared" si="81"/>
        <v>0.71</v>
      </c>
      <c r="AU51" s="88">
        <f t="shared" si="82"/>
        <v>0.61</v>
      </c>
      <c r="AV51" s="88">
        <f t="shared" si="83"/>
        <v>0.66</v>
      </c>
      <c r="AW51" s="134">
        <f t="shared" si="84"/>
        <v>4</v>
      </c>
      <c r="AX51" s="134">
        <f t="shared" si="85"/>
        <v>5</v>
      </c>
      <c r="AY51" s="212">
        <f t="shared" si="86"/>
        <v>5</v>
      </c>
    </row>
    <row r="52" spans="1:51" ht="13.15" customHeight="1">
      <c r="A52" s="71">
        <v>14395</v>
      </c>
      <c r="B52" s="64" t="s">
        <v>145</v>
      </c>
      <c r="C52" s="208" t="str">
        <f>Rollover!A52</f>
        <v>Toyota</v>
      </c>
      <c r="D52" s="209" t="str">
        <f>Rollover!B52</f>
        <v>bZ4X SUV BEV FWD</v>
      </c>
      <c r="E52" s="131" t="s">
        <v>120</v>
      </c>
      <c r="F52" s="210">
        <f>Rollover!C52</f>
        <v>2023</v>
      </c>
      <c r="G52" s="10">
        <v>151.56700000000001</v>
      </c>
      <c r="H52" s="11">
        <v>0.35299999999999998</v>
      </c>
      <c r="I52" s="11">
        <v>1069.22</v>
      </c>
      <c r="J52" s="11">
        <v>46.277000000000001</v>
      </c>
      <c r="K52" s="11">
        <v>24.202999999999999</v>
      </c>
      <c r="L52" s="11">
        <v>37.433999999999997</v>
      </c>
      <c r="M52" s="11">
        <v>2084.94</v>
      </c>
      <c r="N52" s="12">
        <v>2744.462</v>
      </c>
      <c r="O52" s="10">
        <v>227.28100000000001</v>
      </c>
      <c r="P52" s="11">
        <v>0.37</v>
      </c>
      <c r="Q52" s="11">
        <v>580.28800000000001</v>
      </c>
      <c r="R52" s="11">
        <v>110.785</v>
      </c>
      <c r="S52" s="11">
        <v>12.901</v>
      </c>
      <c r="T52" s="11">
        <v>40.222000000000001</v>
      </c>
      <c r="U52" s="11">
        <v>991.16399999999999</v>
      </c>
      <c r="V52" s="12">
        <v>868.61300000000006</v>
      </c>
      <c r="W52" s="211">
        <f t="shared" si="58"/>
        <v>5.0881744241588014E-4</v>
      </c>
      <c r="X52" s="5">
        <f t="shared" si="59"/>
        <v>7.3650981779484356E-2</v>
      </c>
      <c r="Y52" s="5">
        <f t="shared" si="60"/>
        <v>2.170637242737142E-4</v>
      </c>
      <c r="Z52" s="5">
        <f t="shared" si="61"/>
        <v>1.9123143624920113E-5</v>
      </c>
      <c r="AA52" s="5">
        <f t="shared" si="62"/>
        <v>7.3650981779484356E-2</v>
      </c>
      <c r="AB52" s="5">
        <f t="shared" si="63"/>
        <v>2.3459146770996527E-2</v>
      </c>
      <c r="AC52" s="5">
        <f t="shared" si="64"/>
        <v>2.3459146770996527E-2</v>
      </c>
      <c r="AD52" s="5">
        <f t="shared" si="65"/>
        <v>8.9105822217982397E-3</v>
      </c>
      <c r="AE52" s="5">
        <f t="shared" si="66"/>
        <v>1.25070416928405E-2</v>
      </c>
      <c r="AF52" s="24">
        <f t="shared" si="67"/>
        <v>1.25070416928405E-2</v>
      </c>
      <c r="AG52" s="23">
        <f t="shared" si="68"/>
        <v>3.0899720488713031E-3</v>
      </c>
      <c r="AH52" s="5">
        <f t="shared" si="69"/>
        <v>7.5967333419551489E-2</v>
      </c>
      <c r="AI52" s="5">
        <f t="shared" si="70"/>
        <v>1.552506729209599E-4</v>
      </c>
      <c r="AJ52" s="5">
        <f t="shared" si="71"/>
        <v>2.6447021958188475E-5</v>
      </c>
      <c r="AK52" s="5">
        <f t="shared" si="72"/>
        <v>7.5967333419551489E-2</v>
      </c>
      <c r="AL52" s="5">
        <f t="shared" si="73"/>
        <v>7.0514494380785504E-3</v>
      </c>
      <c r="AM52" s="5">
        <f t="shared" si="74"/>
        <v>7.0514494380785504E-3</v>
      </c>
      <c r="AN52" s="5">
        <f t="shared" si="75"/>
        <v>6.4338204622218951E-3</v>
      </c>
      <c r="AO52" s="5">
        <f t="shared" si="76"/>
        <v>5.8636403141283404E-3</v>
      </c>
      <c r="AP52" s="24">
        <f t="shared" si="77"/>
        <v>6.4338204622218951E-3</v>
      </c>
      <c r="AQ52" s="211">
        <f t="shared" si="78"/>
        <v>0.107</v>
      </c>
      <c r="AR52" s="5">
        <f t="shared" si="79"/>
        <v>9.0999999999999998E-2</v>
      </c>
      <c r="AS52" s="5">
        <f t="shared" si="80"/>
        <v>9.9000000000000005E-2</v>
      </c>
      <c r="AT52" s="88">
        <f t="shared" si="81"/>
        <v>0.71</v>
      </c>
      <c r="AU52" s="88">
        <f t="shared" si="82"/>
        <v>0.61</v>
      </c>
      <c r="AV52" s="88">
        <f t="shared" si="83"/>
        <v>0.66</v>
      </c>
      <c r="AW52" s="134">
        <f t="shared" si="84"/>
        <v>4</v>
      </c>
      <c r="AX52" s="134">
        <f t="shared" si="85"/>
        <v>5</v>
      </c>
      <c r="AY52" s="212">
        <f t="shared" si="86"/>
        <v>5</v>
      </c>
    </row>
    <row r="53" spans="1:51" ht="13.15" customHeight="1">
      <c r="A53" s="71">
        <v>14395</v>
      </c>
      <c r="B53" s="64" t="s">
        <v>145</v>
      </c>
      <c r="C53" s="208" t="str">
        <f>Rollover!A53</f>
        <v>Toyota</v>
      </c>
      <c r="D53" s="209" t="str">
        <f>Rollover!B53</f>
        <v>bZ4X SUV BEV AWD</v>
      </c>
      <c r="E53" s="131" t="s">
        <v>120</v>
      </c>
      <c r="F53" s="210">
        <f>Rollover!C53</f>
        <v>2023</v>
      </c>
      <c r="G53" s="10">
        <v>151.56700000000001</v>
      </c>
      <c r="H53" s="11">
        <v>0.35299999999999998</v>
      </c>
      <c r="I53" s="11">
        <v>1069.22</v>
      </c>
      <c r="J53" s="11">
        <v>46.277000000000001</v>
      </c>
      <c r="K53" s="11">
        <v>24.202999999999999</v>
      </c>
      <c r="L53" s="11">
        <v>37.433999999999997</v>
      </c>
      <c r="M53" s="11">
        <v>2084.94</v>
      </c>
      <c r="N53" s="12">
        <v>2744.462</v>
      </c>
      <c r="O53" s="10">
        <v>227.28100000000001</v>
      </c>
      <c r="P53" s="11">
        <v>0.37</v>
      </c>
      <c r="Q53" s="11">
        <v>580.28800000000001</v>
      </c>
      <c r="R53" s="11">
        <v>110.785</v>
      </c>
      <c r="S53" s="11">
        <v>12.901</v>
      </c>
      <c r="T53" s="11">
        <v>40.222000000000001</v>
      </c>
      <c r="U53" s="11">
        <v>991.16399999999999</v>
      </c>
      <c r="V53" s="12">
        <v>868.61300000000006</v>
      </c>
      <c r="W53" s="211">
        <f t="shared" si="58"/>
        <v>5.0881744241588014E-4</v>
      </c>
      <c r="X53" s="5">
        <f t="shared" si="59"/>
        <v>7.3650981779484356E-2</v>
      </c>
      <c r="Y53" s="5">
        <f t="shared" si="60"/>
        <v>2.170637242737142E-4</v>
      </c>
      <c r="Z53" s="5">
        <f t="shared" si="61"/>
        <v>1.9123143624920113E-5</v>
      </c>
      <c r="AA53" s="5">
        <f t="shared" si="62"/>
        <v>7.3650981779484356E-2</v>
      </c>
      <c r="AB53" s="5">
        <f t="shared" si="63"/>
        <v>2.3459146770996527E-2</v>
      </c>
      <c r="AC53" s="5">
        <f t="shared" si="64"/>
        <v>2.3459146770996527E-2</v>
      </c>
      <c r="AD53" s="5">
        <f t="shared" si="65"/>
        <v>8.9105822217982397E-3</v>
      </c>
      <c r="AE53" s="5">
        <f t="shared" si="66"/>
        <v>1.25070416928405E-2</v>
      </c>
      <c r="AF53" s="24">
        <f t="shared" si="67"/>
        <v>1.25070416928405E-2</v>
      </c>
      <c r="AG53" s="23">
        <f t="shared" si="68"/>
        <v>3.0899720488713031E-3</v>
      </c>
      <c r="AH53" s="5">
        <f t="shared" si="69"/>
        <v>7.5967333419551489E-2</v>
      </c>
      <c r="AI53" s="5">
        <f t="shared" si="70"/>
        <v>1.552506729209599E-4</v>
      </c>
      <c r="AJ53" s="5">
        <f t="shared" si="71"/>
        <v>2.6447021958188475E-5</v>
      </c>
      <c r="AK53" s="5">
        <f t="shared" si="72"/>
        <v>7.5967333419551489E-2</v>
      </c>
      <c r="AL53" s="5">
        <f t="shared" si="73"/>
        <v>7.0514494380785504E-3</v>
      </c>
      <c r="AM53" s="5">
        <f t="shared" si="74"/>
        <v>7.0514494380785504E-3</v>
      </c>
      <c r="AN53" s="5">
        <f t="shared" si="75"/>
        <v>6.4338204622218951E-3</v>
      </c>
      <c r="AO53" s="5">
        <f t="shared" si="76"/>
        <v>5.8636403141283404E-3</v>
      </c>
      <c r="AP53" s="24">
        <f t="shared" si="77"/>
        <v>6.4338204622218951E-3</v>
      </c>
      <c r="AQ53" s="211">
        <f t="shared" si="78"/>
        <v>0.107</v>
      </c>
      <c r="AR53" s="5">
        <f t="shared" si="79"/>
        <v>9.0999999999999998E-2</v>
      </c>
      <c r="AS53" s="5">
        <f t="shared" si="80"/>
        <v>9.9000000000000005E-2</v>
      </c>
      <c r="AT53" s="88">
        <f t="shared" si="81"/>
        <v>0.71</v>
      </c>
      <c r="AU53" s="88">
        <f t="shared" si="82"/>
        <v>0.61</v>
      </c>
      <c r="AV53" s="88">
        <f t="shared" si="83"/>
        <v>0.66</v>
      </c>
      <c r="AW53" s="134">
        <f t="shared" si="84"/>
        <v>4</v>
      </c>
      <c r="AX53" s="134">
        <f t="shared" si="85"/>
        <v>5</v>
      </c>
      <c r="AY53" s="212">
        <f t="shared" si="86"/>
        <v>5</v>
      </c>
    </row>
    <row r="54" spans="1:51">
      <c r="A54" s="77">
        <v>14292</v>
      </c>
      <c r="B54" s="41" t="s">
        <v>146</v>
      </c>
      <c r="C54" s="213" t="str">
        <f>Rollover!A54</f>
        <v>Volkswagen</v>
      </c>
      <c r="D54" s="214" t="str">
        <f>Rollover!B54</f>
        <v>Tiguan SUV FWD</v>
      </c>
      <c r="E54" s="131" t="s">
        <v>120</v>
      </c>
      <c r="F54" s="210">
        <f>Rollover!C54</f>
        <v>2023</v>
      </c>
      <c r="G54" s="17">
        <v>260.41899999999998</v>
      </c>
      <c r="H54" s="18">
        <v>0.373</v>
      </c>
      <c r="I54" s="18">
        <v>1855.761</v>
      </c>
      <c r="J54" s="18">
        <v>357.89400000000001</v>
      </c>
      <c r="K54" s="18">
        <v>31.93</v>
      </c>
      <c r="L54" s="18">
        <v>50.42</v>
      </c>
      <c r="M54" s="18">
        <v>1814.8240000000001</v>
      </c>
      <c r="N54" s="19">
        <v>2849.6419999999998</v>
      </c>
      <c r="O54" s="17">
        <v>197.98699999999999</v>
      </c>
      <c r="P54" s="18">
        <v>0.36599999999999999</v>
      </c>
      <c r="Q54" s="18">
        <v>1160.318</v>
      </c>
      <c r="R54" s="18">
        <v>277.38299999999998</v>
      </c>
      <c r="S54" s="18">
        <v>18.907</v>
      </c>
      <c r="T54" s="18">
        <v>47.395000000000003</v>
      </c>
      <c r="U54" s="18">
        <v>1905.21</v>
      </c>
      <c r="V54" s="19">
        <v>2096.8620000000001</v>
      </c>
      <c r="W54" s="211">
        <f t="shared" si="58"/>
        <v>5.3224063644273087E-3</v>
      </c>
      <c r="X54" s="5">
        <f t="shared" si="59"/>
        <v>7.6382980614905518E-2</v>
      </c>
      <c r="Y54" s="5">
        <f t="shared" si="60"/>
        <v>1.4039402213530748E-3</v>
      </c>
      <c r="Z54" s="5">
        <f t="shared" si="61"/>
        <v>4.0083658137314892E-5</v>
      </c>
      <c r="AA54" s="5">
        <f t="shared" si="62"/>
        <v>7.6382980614905518E-2</v>
      </c>
      <c r="AB54" s="5">
        <f t="shared" si="63"/>
        <v>5.7348016053592243E-2</v>
      </c>
      <c r="AC54" s="5">
        <f t="shared" si="64"/>
        <v>5.7348016053592243E-2</v>
      </c>
      <c r="AD54" s="5">
        <f t="shared" si="65"/>
        <v>7.7528057829964738E-3</v>
      </c>
      <c r="AE54" s="5">
        <f t="shared" si="66"/>
        <v>1.3200319633341119E-2</v>
      </c>
      <c r="AF54" s="24">
        <f t="shared" si="67"/>
        <v>1.3200319633341119E-2</v>
      </c>
      <c r="AG54" s="23">
        <f t="shared" si="68"/>
        <v>1.7247723966954101E-3</v>
      </c>
      <c r="AH54" s="5">
        <f t="shared" si="69"/>
        <v>7.5416366251478198E-2</v>
      </c>
      <c r="AI54" s="5">
        <f t="shared" si="70"/>
        <v>1.3809507811843621E-3</v>
      </c>
      <c r="AJ54" s="5">
        <f t="shared" si="71"/>
        <v>4.9560537701037707E-5</v>
      </c>
      <c r="AK54" s="5">
        <f t="shared" si="72"/>
        <v>7.5416366251478198E-2</v>
      </c>
      <c r="AL54" s="5">
        <f t="shared" si="73"/>
        <v>2.046730639171012E-2</v>
      </c>
      <c r="AM54" s="5">
        <f t="shared" si="74"/>
        <v>2.046730639171012E-2</v>
      </c>
      <c r="AN54" s="5">
        <f t="shared" si="75"/>
        <v>1.2826651500354955E-2</v>
      </c>
      <c r="AO54" s="5">
        <f t="shared" si="76"/>
        <v>1.4813371485049E-2</v>
      </c>
      <c r="AP54" s="24">
        <f t="shared" si="77"/>
        <v>1.4813371485049E-2</v>
      </c>
      <c r="AQ54" s="211">
        <f t="shared" si="78"/>
        <v>0.14499999999999999</v>
      </c>
      <c r="AR54" s="5">
        <f t="shared" si="79"/>
        <v>0.109</v>
      </c>
      <c r="AS54" s="5">
        <f t="shared" si="80"/>
        <v>0.127</v>
      </c>
      <c r="AT54" s="88">
        <f t="shared" si="81"/>
        <v>0.97</v>
      </c>
      <c r="AU54" s="88">
        <f t="shared" si="82"/>
        <v>0.73</v>
      </c>
      <c r="AV54" s="88">
        <f t="shared" si="83"/>
        <v>0.85</v>
      </c>
      <c r="AW54" s="134">
        <f t="shared" si="84"/>
        <v>4</v>
      </c>
      <c r="AX54" s="134">
        <f t="shared" si="85"/>
        <v>4</v>
      </c>
      <c r="AY54" s="212">
        <f t="shared" si="86"/>
        <v>4</v>
      </c>
    </row>
    <row r="55" spans="1:51" ht="13.15" customHeight="1">
      <c r="A55" s="63">
        <v>14292</v>
      </c>
      <c r="B55" s="63" t="s">
        <v>146</v>
      </c>
      <c r="C55" s="213" t="str">
        <f>Rollover!A55</f>
        <v>Volkswagen</v>
      </c>
      <c r="D55" s="214" t="str">
        <f>Rollover!B55</f>
        <v>Tiguan SUV AWD</v>
      </c>
      <c r="E55" s="131" t="s">
        <v>120</v>
      </c>
      <c r="F55" s="210">
        <f>Rollover!C55</f>
        <v>2023</v>
      </c>
      <c r="G55" s="17">
        <v>260.41899999999998</v>
      </c>
      <c r="H55" s="18">
        <v>0.373</v>
      </c>
      <c r="I55" s="18">
        <v>1855.761</v>
      </c>
      <c r="J55" s="18">
        <v>357.89400000000001</v>
      </c>
      <c r="K55" s="18">
        <v>31.93</v>
      </c>
      <c r="L55" s="18">
        <v>50.42</v>
      </c>
      <c r="M55" s="18">
        <v>1814.8240000000001</v>
      </c>
      <c r="N55" s="19">
        <v>2849.6419999999998</v>
      </c>
      <c r="O55" s="17">
        <v>197.98699999999999</v>
      </c>
      <c r="P55" s="18">
        <v>0.36599999999999999</v>
      </c>
      <c r="Q55" s="18">
        <v>1160.318</v>
      </c>
      <c r="R55" s="18">
        <v>277.38299999999998</v>
      </c>
      <c r="S55" s="18">
        <v>18.907</v>
      </c>
      <c r="T55" s="18">
        <v>47.395000000000003</v>
      </c>
      <c r="U55" s="18">
        <v>1905.21</v>
      </c>
      <c r="V55" s="19">
        <v>2096.8620000000001</v>
      </c>
      <c r="W55" s="211">
        <f t="shared" si="58"/>
        <v>5.3224063644273087E-3</v>
      </c>
      <c r="X55" s="5">
        <f t="shared" si="59"/>
        <v>7.6382980614905518E-2</v>
      </c>
      <c r="Y55" s="5">
        <f t="shared" si="60"/>
        <v>1.4039402213530748E-3</v>
      </c>
      <c r="Z55" s="5">
        <f t="shared" si="61"/>
        <v>4.0083658137314892E-5</v>
      </c>
      <c r="AA55" s="5">
        <f t="shared" si="62"/>
        <v>7.6382980614905518E-2</v>
      </c>
      <c r="AB55" s="5">
        <f t="shared" si="63"/>
        <v>5.7348016053592243E-2</v>
      </c>
      <c r="AC55" s="5">
        <f t="shared" si="64"/>
        <v>5.7348016053592243E-2</v>
      </c>
      <c r="AD55" s="5">
        <f t="shared" si="65"/>
        <v>7.7528057829964738E-3</v>
      </c>
      <c r="AE55" s="5">
        <f t="shared" si="66"/>
        <v>1.3200319633341119E-2</v>
      </c>
      <c r="AF55" s="24">
        <f t="shared" si="67"/>
        <v>1.3200319633341119E-2</v>
      </c>
      <c r="AG55" s="23">
        <f t="shared" si="68"/>
        <v>1.7247723966954101E-3</v>
      </c>
      <c r="AH55" s="5">
        <f t="shared" si="69"/>
        <v>7.5416366251478198E-2</v>
      </c>
      <c r="AI55" s="5">
        <f t="shared" si="70"/>
        <v>1.3809507811843621E-3</v>
      </c>
      <c r="AJ55" s="5">
        <f t="shared" si="71"/>
        <v>4.9560537701037707E-5</v>
      </c>
      <c r="AK55" s="5">
        <f t="shared" si="72"/>
        <v>7.5416366251478198E-2</v>
      </c>
      <c r="AL55" s="5">
        <f t="shared" si="73"/>
        <v>2.046730639171012E-2</v>
      </c>
      <c r="AM55" s="5">
        <f t="shared" si="74"/>
        <v>2.046730639171012E-2</v>
      </c>
      <c r="AN55" s="5">
        <f t="shared" si="75"/>
        <v>1.2826651500354955E-2</v>
      </c>
      <c r="AO55" s="5">
        <f t="shared" si="76"/>
        <v>1.4813371485049E-2</v>
      </c>
      <c r="AP55" s="24">
        <f t="shared" si="77"/>
        <v>1.4813371485049E-2</v>
      </c>
      <c r="AQ55" s="211">
        <f t="shared" si="78"/>
        <v>0.14499999999999999</v>
      </c>
      <c r="AR55" s="5">
        <f t="shared" si="79"/>
        <v>0.109</v>
      </c>
      <c r="AS55" s="5">
        <f t="shared" si="80"/>
        <v>0.127</v>
      </c>
      <c r="AT55" s="88">
        <f t="shared" si="81"/>
        <v>0.97</v>
      </c>
      <c r="AU55" s="88">
        <f t="shared" si="82"/>
        <v>0.73</v>
      </c>
      <c r="AV55" s="88">
        <f t="shared" si="83"/>
        <v>0.85</v>
      </c>
      <c r="AW55" s="134">
        <f t="shared" si="84"/>
        <v>4</v>
      </c>
      <c r="AX55" s="134">
        <f t="shared" si="85"/>
        <v>4</v>
      </c>
      <c r="AY55" s="212">
        <f t="shared" si="86"/>
        <v>4</v>
      </c>
    </row>
    <row r="56" spans="1:51">
      <c r="A56" s="105"/>
      <c r="B56" s="105"/>
      <c r="C56" s="105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</row>
    <row r="57" spans="1:51">
      <c r="A57" s="105"/>
      <c r="B57" s="105"/>
      <c r="C57" s="105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</row>
    <row r="58" spans="1:51">
      <c r="A58" s="105"/>
      <c r="B58" s="105"/>
      <c r="C58" s="105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</row>
    <row r="59" spans="1:51">
      <c r="A59" s="105"/>
      <c r="B59" s="105"/>
      <c r="C59" s="105"/>
      <c r="D59" s="105"/>
      <c r="E59" s="105"/>
      <c r="F59" s="105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</row>
    <row r="60" spans="1:51">
      <c r="A60" s="105"/>
      <c r="B60" s="105"/>
      <c r="C60" s="105"/>
      <c r="D60" s="105"/>
      <c r="E60" s="105"/>
      <c r="F60" s="105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</row>
    <row r="61" spans="1:51">
      <c r="A61" s="105"/>
      <c r="B61" s="105"/>
      <c r="C61" s="105"/>
      <c r="D61" s="105"/>
      <c r="E61" s="105"/>
      <c r="F61" s="105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</row>
    <row r="62" spans="1:51">
      <c r="A62" s="105"/>
      <c r="B62" s="105"/>
      <c r="C62" s="105"/>
      <c r="D62" s="105"/>
      <c r="E62" s="105"/>
      <c r="F62" s="105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</row>
    <row r="63" spans="1:51">
      <c r="A63" s="105"/>
      <c r="B63" s="105"/>
      <c r="C63" s="105"/>
      <c r="D63" s="105"/>
      <c r="E63" s="105"/>
      <c r="F63" s="10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</row>
    <row r="64" spans="1:51">
      <c r="A64" s="105"/>
      <c r="B64" s="105"/>
      <c r="C64" s="105"/>
      <c r="D64" s="105"/>
      <c r="E64" s="105"/>
      <c r="F64" s="105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</row>
    <row r="65" spans="1:26">
      <c r="A65" s="218"/>
      <c r="B65" s="218"/>
      <c r="C65" s="105"/>
      <c r="D65" s="105"/>
      <c r="E65" s="105"/>
      <c r="F65" s="105"/>
      <c r="G65" s="216"/>
      <c r="H65" s="216"/>
      <c r="I65" s="216"/>
      <c r="J65" s="216"/>
      <c r="K65" s="216"/>
      <c r="L65" s="139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69"/>
      <c r="X65" s="69"/>
      <c r="Y65" s="69"/>
      <c r="Z65" s="69"/>
    </row>
    <row r="66" spans="1:26">
      <c r="L66" s="139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69"/>
      <c r="X66" s="69"/>
      <c r="Y66" s="69"/>
      <c r="Z66" s="69"/>
    </row>
    <row r="67" spans="1:26">
      <c r="L67" s="139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69"/>
      <c r="X67" s="69"/>
      <c r="Y67" s="69"/>
      <c r="Z67" s="69"/>
    </row>
    <row r="68" spans="1:26">
      <c r="C68" s="111"/>
      <c r="D68" s="111"/>
      <c r="E68" s="111"/>
      <c r="F68" s="111"/>
      <c r="G68" s="118"/>
      <c r="H68" s="118"/>
      <c r="K68" s="118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69"/>
      <c r="X68" s="69"/>
      <c r="Y68" s="69"/>
      <c r="Z68" s="69"/>
    </row>
    <row r="69" spans="1:26">
      <c r="C69" s="111"/>
      <c r="D69" s="111"/>
      <c r="E69" s="111"/>
      <c r="F69" s="111"/>
      <c r="G69" s="118"/>
      <c r="H69" s="118"/>
      <c r="K69" s="219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69"/>
      <c r="X69" s="69"/>
      <c r="Y69" s="69"/>
      <c r="Z69" s="69"/>
    </row>
    <row r="70" spans="1:26">
      <c r="C70" s="111"/>
      <c r="D70" s="111"/>
      <c r="E70" s="111"/>
      <c r="F70" s="111"/>
      <c r="G70" s="118"/>
      <c r="H70" s="118"/>
      <c r="K70" s="118"/>
      <c r="L70" s="139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69"/>
      <c r="X70" s="69"/>
      <c r="Y70" s="69"/>
      <c r="Z70" s="69"/>
    </row>
    <row r="71" spans="1:26">
      <c r="C71" s="111"/>
      <c r="D71" s="111"/>
      <c r="E71" s="111"/>
      <c r="F71" s="111"/>
      <c r="G71" s="118"/>
      <c r="H71" s="118"/>
      <c r="K71" s="118"/>
      <c r="L71" s="139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69"/>
      <c r="X71" s="69"/>
      <c r="Y71" s="69"/>
      <c r="Z71" s="69"/>
    </row>
    <row r="72" spans="1:26">
      <c r="C72" s="111"/>
      <c r="D72" s="111"/>
      <c r="E72" s="111"/>
      <c r="F72" s="111"/>
      <c r="G72" s="118"/>
      <c r="H72" s="118"/>
      <c r="K72" s="219"/>
      <c r="L72" s="139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69"/>
      <c r="X72" s="69"/>
      <c r="Y72" s="69"/>
      <c r="Z72" s="69"/>
    </row>
    <row r="73" spans="1:26">
      <c r="C73" s="111"/>
      <c r="D73" s="111"/>
      <c r="E73" s="111"/>
      <c r="F73" s="111"/>
      <c r="G73" s="118"/>
      <c r="H73" s="118"/>
      <c r="K73" s="118"/>
      <c r="L73" s="139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69"/>
      <c r="X73" s="69"/>
      <c r="Y73" s="69"/>
      <c r="Z73" s="69"/>
    </row>
    <row r="74" spans="1:26">
      <c r="C74" s="111"/>
      <c r="D74" s="111"/>
      <c r="E74" s="111"/>
      <c r="F74" s="111"/>
      <c r="G74" s="118"/>
      <c r="H74" s="118"/>
      <c r="K74" s="118"/>
    </row>
    <row r="75" spans="1:26">
      <c r="C75" s="111"/>
      <c r="D75" s="111"/>
      <c r="E75" s="111"/>
      <c r="F75" s="111"/>
      <c r="G75" s="118"/>
      <c r="H75" s="118"/>
      <c r="K75" s="118"/>
    </row>
    <row r="76" spans="1:26">
      <c r="C76" s="111"/>
      <c r="D76" s="111"/>
      <c r="E76" s="111"/>
      <c r="F76" s="111"/>
      <c r="G76" s="118"/>
      <c r="H76" s="118"/>
      <c r="K76" s="219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</row>
    <row r="77" spans="1:26">
      <c r="C77" s="111"/>
      <c r="D77" s="111"/>
      <c r="E77" s="111"/>
      <c r="F77" s="111"/>
      <c r="G77" s="118"/>
      <c r="H77" s="118"/>
      <c r="K77" s="118"/>
    </row>
    <row r="78" spans="1:26">
      <c r="G78" s="118"/>
      <c r="H78" s="118"/>
      <c r="K78" s="118"/>
    </row>
    <row r="79" spans="1:26">
      <c r="G79" s="118"/>
      <c r="H79" s="118"/>
      <c r="K79" s="118"/>
    </row>
    <row r="80" spans="1:26">
      <c r="C80" s="111"/>
      <c r="D80" s="111"/>
      <c r="E80" s="111"/>
      <c r="F80" s="111"/>
      <c r="G80" s="118"/>
      <c r="H80" s="118"/>
      <c r="K80" s="118"/>
    </row>
    <row r="81" spans="1:31">
      <c r="A81" s="105"/>
      <c r="B81" s="105"/>
      <c r="C81" s="111"/>
      <c r="D81" s="111"/>
      <c r="E81" s="111"/>
      <c r="F81" s="111"/>
      <c r="G81" s="118"/>
      <c r="H81" s="118"/>
      <c r="K81" s="118"/>
    </row>
    <row r="82" spans="1:31">
      <c r="A82" s="105"/>
      <c r="B82" s="105"/>
      <c r="C82" s="111"/>
      <c r="D82" s="111"/>
      <c r="E82" s="111"/>
      <c r="F82" s="111"/>
      <c r="G82" s="118"/>
      <c r="H82" s="118"/>
      <c r="K82" s="118"/>
    </row>
    <row r="83" spans="1:31">
      <c r="A83" s="105"/>
      <c r="B83" s="105"/>
      <c r="C83" s="111"/>
      <c r="D83" s="111"/>
      <c r="E83" s="111"/>
      <c r="F83" s="111"/>
      <c r="G83" s="118"/>
      <c r="H83" s="118"/>
      <c r="K83" s="118"/>
      <c r="N83" s="118"/>
      <c r="O83" s="118"/>
      <c r="P83" s="118"/>
      <c r="Q83" s="118"/>
      <c r="R83" s="118"/>
      <c r="S83" s="118"/>
      <c r="T83" s="118"/>
      <c r="U83" s="118"/>
      <c r="V83" s="118"/>
      <c r="W83" s="220"/>
      <c r="X83" s="221"/>
      <c r="Y83" s="220"/>
      <c r="Z83" s="220"/>
      <c r="AA83" s="111"/>
      <c r="AB83" s="111"/>
      <c r="AC83" s="111"/>
      <c r="AD83" s="111"/>
      <c r="AE83" s="111"/>
    </row>
    <row r="84" spans="1:31">
      <c r="C84" s="111"/>
      <c r="D84" s="111"/>
      <c r="E84" s="111"/>
      <c r="F84" s="111"/>
      <c r="H84" s="174"/>
      <c r="I84" s="174"/>
      <c r="J84" s="174"/>
      <c r="K84" s="174"/>
      <c r="L84" s="174"/>
      <c r="M84" s="174"/>
      <c r="N84" s="118"/>
      <c r="O84" s="118"/>
      <c r="P84" s="118"/>
      <c r="Q84" s="118"/>
      <c r="R84" s="118"/>
      <c r="S84" s="118"/>
      <c r="T84" s="118"/>
      <c r="U84" s="118"/>
      <c r="V84" s="118"/>
      <c r="W84" s="220"/>
      <c r="X84" s="221"/>
      <c r="Y84" s="220"/>
      <c r="Z84" s="220"/>
      <c r="AA84" s="78"/>
      <c r="AB84" s="78"/>
      <c r="AC84" s="78"/>
      <c r="AD84" s="78"/>
      <c r="AE84" s="78"/>
    </row>
    <row r="85" spans="1:31">
      <c r="C85" s="111"/>
      <c r="D85" s="111"/>
      <c r="E85" s="111"/>
      <c r="F85" s="111"/>
      <c r="H85" s="174"/>
      <c r="I85" s="174"/>
      <c r="J85" s="174"/>
      <c r="K85" s="174"/>
      <c r="L85" s="174"/>
      <c r="M85" s="174"/>
      <c r="N85" s="118"/>
      <c r="O85" s="118"/>
      <c r="P85" s="118"/>
      <c r="Q85" s="118"/>
      <c r="R85" s="118"/>
      <c r="S85" s="118"/>
      <c r="T85" s="118"/>
      <c r="U85" s="118"/>
      <c r="V85" s="118"/>
      <c r="W85" s="220"/>
      <c r="X85" s="221"/>
      <c r="Y85" s="220"/>
      <c r="Z85" s="220"/>
      <c r="AA85" s="191"/>
      <c r="AB85" s="220"/>
      <c r="AC85" s="220"/>
      <c r="AD85" s="191"/>
      <c r="AE85" s="191"/>
    </row>
    <row r="86" spans="1:31">
      <c r="A86" s="222"/>
      <c r="B86" s="222"/>
      <c r="C86" s="114"/>
      <c r="D86" s="114"/>
      <c r="E86" s="114"/>
      <c r="F86" s="114"/>
      <c r="G86" s="223"/>
      <c r="H86" s="174"/>
      <c r="I86" s="174"/>
      <c r="J86" s="174"/>
      <c r="K86" s="174"/>
      <c r="L86" s="174"/>
      <c r="M86" s="174"/>
      <c r="N86" s="118"/>
      <c r="O86" s="118"/>
      <c r="P86" s="118"/>
      <c r="Q86" s="118"/>
      <c r="R86" s="118"/>
      <c r="S86" s="118"/>
      <c r="T86" s="118"/>
      <c r="U86" s="118"/>
      <c r="V86" s="118"/>
      <c r="W86" s="220"/>
      <c r="X86" s="221"/>
      <c r="Y86" s="220"/>
      <c r="Z86" s="220"/>
      <c r="AA86" s="191"/>
      <c r="AB86" s="220"/>
      <c r="AC86" s="220"/>
      <c r="AD86" s="191"/>
      <c r="AE86" s="191"/>
    </row>
    <row r="87" spans="1:31">
      <c r="A87" s="105"/>
      <c r="B87" s="105"/>
      <c r="C87" s="105"/>
      <c r="D87" s="105"/>
      <c r="E87" s="105"/>
      <c r="F87" s="105"/>
      <c r="G87" s="216"/>
      <c r="H87" s="174"/>
      <c r="I87" s="174"/>
      <c r="J87" s="174"/>
      <c r="K87" s="174"/>
      <c r="L87" s="174"/>
      <c r="M87" s="174"/>
      <c r="N87" s="118"/>
      <c r="O87" s="118"/>
      <c r="P87" s="118"/>
      <c r="Q87" s="118"/>
      <c r="R87" s="118"/>
      <c r="S87" s="118"/>
      <c r="T87" s="118"/>
      <c r="U87" s="118"/>
      <c r="V87" s="118"/>
      <c r="W87" s="220"/>
      <c r="X87" s="221"/>
      <c r="Y87" s="220"/>
      <c r="Z87" s="220"/>
      <c r="AA87" s="191"/>
      <c r="AB87" s="220"/>
      <c r="AC87" s="220"/>
      <c r="AD87" s="191"/>
      <c r="AE87" s="191"/>
    </row>
    <row r="88" spans="1:31">
      <c r="C88" s="111"/>
      <c r="D88" s="111"/>
      <c r="E88" s="111"/>
      <c r="F88" s="111"/>
      <c r="H88" s="174"/>
      <c r="I88" s="174"/>
      <c r="J88" s="174"/>
      <c r="K88" s="174"/>
      <c r="L88" s="174"/>
      <c r="M88" s="174"/>
      <c r="N88" s="118"/>
      <c r="O88" s="118"/>
      <c r="P88" s="118"/>
      <c r="Q88" s="118"/>
      <c r="R88" s="118"/>
      <c r="S88" s="118"/>
      <c r="T88" s="118"/>
      <c r="U88" s="118"/>
      <c r="V88" s="118"/>
      <c r="W88" s="220"/>
      <c r="X88" s="221"/>
      <c r="Y88" s="220"/>
      <c r="Z88" s="220"/>
      <c r="AA88" s="191"/>
      <c r="AB88" s="220"/>
      <c r="AC88" s="220"/>
      <c r="AD88" s="191"/>
      <c r="AE88" s="191"/>
    </row>
    <row r="89" spans="1:31">
      <c r="A89" s="105"/>
      <c r="B89" s="105"/>
      <c r="C89" s="111"/>
      <c r="D89" s="111"/>
      <c r="E89" s="111"/>
      <c r="F89" s="111"/>
      <c r="H89" s="174"/>
      <c r="I89" s="174"/>
      <c r="J89" s="174"/>
      <c r="K89" s="174"/>
      <c r="L89" s="174"/>
      <c r="M89" s="174"/>
      <c r="N89" s="118"/>
      <c r="O89" s="118"/>
      <c r="P89" s="118"/>
      <c r="Q89" s="118"/>
      <c r="R89" s="118"/>
      <c r="S89" s="118"/>
      <c r="T89" s="118"/>
      <c r="U89" s="118"/>
      <c r="V89" s="118"/>
      <c r="W89" s="220"/>
      <c r="X89" s="221"/>
      <c r="Y89" s="220"/>
      <c r="Z89" s="220"/>
      <c r="AA89" s="191"/>
      <c r="AB89" s="220"/>
      <c r="AC89" s="220"/>
      <c r="AD89" s="191"/>
      <c r="AE89" s="191"/>
    </row>
    <row r="90" spans="1:31">
      <c r="C90" s="111"/>
      <c r="D90" s="111"/>
      <c r="E90" s="111"/>
      <c r="F90" s="111"/>
      <c r="H90" s="174"/>
      <c r="I90" s="174"/>
      <c r="J90" s="174"/>
      <c r="K90" s="174"/>
      <c r="L90" s="174"/>
      <c r="M90" s="174"/>
      <c r="N90" s="118"/>
      <c r="O90" s="118"/>
      <c r="P90" s="118"/>
      <c r="Q90" s="118"/>
      <c r="R90" s="118"/>
      <c r="S90" s="118"/>
      <c r="T90" s="118"/>
      <c r="U90" s="118"/>
      <c r="V90" s="118"/>
      <c r="W90" s="220"/>
      <c r="X90" s="221"/>
      <c r="Y90" s="220"/>
      <c r="Z90" s="220"/>
      <c r="AA90" s="191"/>
      <c r="AB90" s="220"/>
      <c r="AC90" s="220"/>
      <c r="AD90" s="191"/>
      <c r="AE90" s="191"/>
    </row>
    <row r="91" spans="1:31">
      <c r="C91" s="111"/>
      <c r="D91" s="111"/>
      <c r="E91" s="111"/>
      <c r="F91" s="111"/>
      <c r="H91" s="174"/>
      <c r="I91" s="174"/>
      <c r="J91" s="174"/>
      <c r="K91" s="174"/>
      <c r="L91" s="174"/>
      <c r="M91" s="174"/>
      <c r="N91" s="118"/>
      <c r="O91" s="118"/>
      <c r="P91" s="118"/>
      <c r="Q91" s="118"/>
      <c r="R91" s="118"/>
      <c r="S91" s="118"/>
      <c r="T91" s="118"/>
      <c r="U91" s="118"/>
      <c r="V91" s="118"/>
      <c r="W91" s="220"/>
      <c r="X91" s="221"/>
      <c r="Y91" s="220"/>
      <c r="Z91" s="220"/>
      <c r="AA91" s="191"/>
      <c r="AB91" s="220"/>
      <c r="AC91" s="220"/>
      <c r="AD91" s="191"/>
      <c r="AE91" s="191"/>
    </row>
    <row r="92" spans="1:31">
      <c r="A92" s="105"/>
      <c r="B92" s="105"/>
      <c r="C92" s="105"/>
      <c r="D92" s="105"/>
      <c r="E92" s="105"/>
      <c r="F92" s="105"/>
      <c r="G92" s="216"/>
      <c r="H92" s="174"/>
      <c r="I92" s="174"/>
      <c r="J92" s="174"/>
      <c r="K92" s="174"/>
      <c r="L92" s="174"/>
      <c r="M92" s="174"/>
      <c r="N92" s="118"/>
      <c r="O92" s="118"/>
      <c r="P92" s="118"/>
      <c r="Q92" s="118"/>
      <c r="R92" s="118"/>
      <c r="S92" s="118"/>
      <c r="T92" s="118"/>
      <c r="U92" s="118"/>
      <c r="V92" s="118"/>
      <c r="W92" s="220"/>
      <c r="X92" s="221"/>
      <c r="Y92" s="220"/>
      <c r="Z92" s="220"/>
      <c r="AA92" s="191"/>
      <c r="AB92" s="220"/>
      <c r="AC92" s="220"/>
      <c r="AD92" s="191"/>
      <c r="AE92" s="191"/>
    </row>
    <row r="93" spans="1:31">
      <c r="H93" s="174"/>
      <c r="I93" s="174"/>
      <c r="J93" s="174"/>
      <c r="K93" s="174"/>
      <c r="L93" s="174"/>
      <c r="M93" s="174"/>
      <c r="N93" s="118"/>
      <c r="O93" s="118"/>
      <c r="P93" s="118"/>
      <c r="Q93" s="118"/>
      <c r="R93" s="118"/>
      <c r="S93" s="118"/>
      <c r="T93" s="118"/>
      <c r="U93" s="118"/>
      <c r="V93" s="118"/>
      <c r="W93" s="220"/>
      <c r="X93" s="221"/>
      <c r="Y93" s="220"/>
      <c r="Z93" s="220"/>
      <c r="AA93" s="191"/>
      <c r="AB93" s="220"/>
      <c r="AC93" s="220"/>
      <c r="AD93" s="191"/>
      <c r="AE93" s="191"/>
    </row>
    <row r="94" spans="1:31">
      <c r="H94" s="174"/>
      <c r="I94" s="174"/>
      <c r="J94" s="174"/>
      <c r="K94" s="174"/>
      <c r="L94" s="174"/>
      <c r="M94" s="174"/>
      <c r="N94" s="118"/>
      <c r="O94" s="118"/>
      <c r="P94" s="118"/>
      <c r="Q94" s="118"/>
      <c r="R94" s="118"/>
      <c r="S94" s="118"/>
      <c r="T94" s="118"/>
      <c r="U94" s="118"/>
      <c r="V94" s="118"/>
      <c r="W94" s="220"/>
      <c r="X94" s="221"/>
      <c r="Y94" s="220"/>
      <c r="Z94" s="220"/>
      <c r="AA94" s="191"/>
      <c r="AB94" s="220"/>
      <c r="AC94" s="220"/>
      <c r="AD94" s="191"/>
      <c r="AE94" s="191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213"/>
  <sheetViews>
    <sheetView zoomScaleNormal="100" workbookViewId="0">
      <pane xSplit="6" ySplit="2" topLeftCell="G3" activePane="bottomRight" state="frozen"/>
      <selection pane="bottomRight" activeCell="A12" sqref="A12:XFD12"/>
      <selection pane="bottomLeft" activeCell="O24" sqref="O24"/>
      <selection pane="topRight" activeCell="O24" sqref="O24"/>
    </sheetView>
  </sheetViews>
  <sheetFormatPr defaultRowHeight="12.75"/>
  <cols>
    <col min="1" max="1" width="7.28515625" style="190" customWidth="1"/>
    <col min="2" max="2" width="9" style="190" bestFit="1" customWidth="1"/>
    <col min="3" max="3" width="12.7109375" style="69" customWidth="1"/>
    <col min="4" max="4" width="27.7109375" style="69" customWidth="1"/>
    <col min="5" max="5" width="6.5703125" style="69" bestFit="1" customWidth="1"/>
    <col min="6" max="6" width="5.7109375" style="69" customWidth="1"/>
    <col min="7" max="16" width="8.7109375" style="174" customWidth="1"/>
    <col min="17" max="20" width="9.140625" style="69" customWidth="1"/>
    <col min="21" max="21" width="10.7109375" style="69" customWidth="1"/>
    <col min="22" max="22" width="8.140625" style="69" customWidth="1"/>
    <col min="23" max="23" width="8" style="191" customWidth="1"/>
    <col min="24" max="24" width="10.140625" style="191" customWidth="1"/>
    <col min="25" max="25" width="9.140625" style="191" customWidth="1"/>
    <col min="26" max="26" width="8" style="191" customWidth="1"/>
    <col min="27" max="27" width="9.5703125" style="191" customWidth="1"/>
    <col min="28" max="28" width="6.140625" style="191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69"/>
  </cols>
  <sheetData>
    <row r="1" spans="1:48" s="53" customFormat="1" ht="13.5" thickBot="1">
      <c r="A1" s="122"/>
      <c r="B1" s="123"/>
      <c r="C1" s="124"/>
      <c r="D1" s="124"/>
      <c r="E1" s="125"/>
      <c r="F1" s="125"/>
      <c r="G1" s="227" t="s">
        <v>147</v>
      </c>
      <c r="H1" s="227"/>
      <c r="I1" s="227"/>
      <c r="J1" s="227"/>
      <c r="K1" s="227"/>
      <c r="L1" s="228" t="s">
        <v>148</v>
      </c>
      <c r="M1" s="228"/>
      <c r="N1" s="228"/>
      <c r="O1" s="228"/>
      <c r="P1" s="228"/>
      <c r="Q1" s="229" t="s">
        <v>149</v>
      </c>
      <c r="R1" s="229"/>
      <c r="S1" s="229"/>
      <c r="T1" s="229"/>
      <c r="U1" s="229" t="s">
        <v>148</v>
      </c>
      <c r="V1" s="229"/>
      <c r="W1" s="34" t="s">
        <v>91</v>
      </c>
      <c r="X1" s="35" t="s">
        <v>150</v>
      </c>
      <c r="Y1" s="36" t="s">
        <v>151</v>
      </c>
      <c r="Z1" s="34" t="s">
        <v>91</v>
      </c>
      <c r="AA1" s="35" t="s">
        <v>92</v>
      </c>
      <c r="AB1" s="36" t="s">
        <v>152</v>
      </c>
      <c r="AC1" s="38" t="s">
        <v>91</v>
      </c>
      <c r="AD1" s="39" t="s">
        <v>92</v>
      </c>
      <c r="AE1" s="40" t="s">
        <v>153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34.5" thickBot="1">
      <c r="A2" s="126" t="s">
        <v>95</v>
      </c>
      <c r="B2" s="127" t="s">
        <v>96</v>
      </c>
      <c r="C2" s="87" t="s">
        <v>1</v>
      </c>
      <c r="D2" s="54" t="s">
        <v>2</v>
      </c>
      <c r="E2" s="54" t="s">
        <v>97</v>
      </c>
      <c r="F2" s="55" t="s">
        <v>3</v>
      </c>
      <c r="G2" s="128" t="s">
        <v>154</v>
      </c>
      <c r="H2" s="129" t="s">
        <v>155</v>
      </c>
      <c r="I2" s="129" t="s">
        <v>156</v>
      </c>
      <c r="J2" s="129" t="s">
        <v>157</v>
      </c>
      <c r="K2" s="130" t="s">
        <v>158</v>
      </c>
      <c r="L2" s="128" t="s">
        <v>154</v>
      </c>
      <c r="M2" s="129" t="s">
        <v>155</v>
      </c>
      <c r="N2" s="129" t="s">
        <v>156</v>
      </c>
      <c r="O2" s="129" t="s">
        <v>159</v>
      </c>
      <c r="P2" s="130" t="s">
        <v>160</v>
      </c>
      <c r="Q2" s="28" t="s">
        <v>161</v>
      </c>
      <c r="R2" s="29" t="s">
        <v>111</v>
      </c>
      <c r="S2" s="29" t="s">
        <v>162</v>
      </c>
      <c r="T2" s="30" t="s">
        <v>163</v>
      </c>
      <c r="U2" s="28" t="s">
        <v>161</v>
      </c>
      <c r="V2" s="30" t="s">
        <v>163</v>
      </c>
      <c r="W2" s="31" t="s">
        <v>164</v>
      </c>
      <c r="X2" s="32" t="s">
        <v>164</v>
      </c>
      <c r="Y2" s="33" t="s">
        <v>164</v>
      </c>
      <c r="Z2" s="187" t="s">
        <v>165</v>
      </c>
      <c r="AA2" s="188" t="s">
        <v>165</v>
      </c>
      <c r="AB2" s="37" t="s">
        <v>165</v>
      </c>
      <c r="AC2" s="189" t="s">
        <v>10</v>
      </c>
      <c r="AD2" s="166" t="s">
        <v>10</v>
      </c>
      <c r="AE2" s="30" t="s">
        <v>10</v>
      </c>
      <c r="AF2" s="81"/>
      <c r="AG2" s="81"/>
      <c r="AH2" s="81"/>
      <c r="AI2" s="13"/>
      <c r="AJ2" s="13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8" s="53" customFormat="1">
      <c r="A3" s="63">
        <v>14261</v>
      </c>
      <c r="B3" s="131" t="s">
        <v>166</v>
      </c>
      <c r="C3" s="132" t="str">
        <f>Rollover!A3</f>
        <v>Acura</v>
      </c>
      <c r="D3" s="9" t="str">
        <f>Rollover!B3</f>
        <v>Integra 5 HB FWD</v>
      </c>
      <c r="E3" s="9" t="s">
        <v>120</v>
      </c>
      <c r="F3" s="133">
        <f>Rollover!C3</f>
        <v>2023</v>
      </c>
      <c r="G3" s="10">
        <v>144.97499999999999</v>
      </c>
      <c r="H3" s="11">
        <v>23.876999999999999</v>
      </c>
      <c r="I3" s="11">
        <v>37.933999999999997</v>
      </c>
      <c r="J3" s="11">
        <v>1007.45</v>
      </c>
      <c r="K3" s="12">
        <v>1336.9269999999999</v>
      </c>
      <c r="L3" s="10">
        <v>239.345</v>
      </c>
      <c r="M3" s="11">
        <v>26.091999999999999</v>
      </c>
      <c r="N3" s="11">
        <v>60.372999999999998</v>
      </c>
      <c r="O3" s="11">
        <v>21.831</v>
      </c>
      <c r="P3" s="12">
        <v>2363.0349999999999</v>
      </c>
      <c r="Q3" s="23">
        <f t="shared" ref="Q3:Q23" si="0">NORMDIST(LN(G3),7.45231,0.73998,1)</f>
        <v>4.1038051978318157E-4</v>
      </c>
      <c r="R3" s="5">
        <f t="shared" ref="R3:R23" si="1">1/(1+EXP(5.3895-0.0919*H3))</f>
        <v>3.9346615530531315E-2</v>
      </c>
      <c r="S3" s="5">
        <f t="shared" ref="S3:S23" si="2">1/(1+EXP(6.04044-0.002133*J3))</f>
        <v>2.0005315194714112E-2</v>
      </c>
      <c r="T3" s="24">
        <f t="shared" ref="T3:T23" si="3">1/(1+EXP(7.5969-0.0011*K3))</f>
        <v>2.1799297896217783E-3</v>
      </c>
      <c r="U3" s="23">
        <f t="shared" ref="U3:U23" si="4">NORMDIST(LN(L3),7.45231,0.73998,1)</f>
        <v>3.8131059323650777E-3</v>
      </c>
      <c r="V3" s="24">
        <f t="shared" ref="V3:V23" si="5">1/(1+EXP(6.3055-0.00094*P3))</f>
        <v>1.6557058728255376E-2</v>
      </c>
      <c r="W3" s="23">
        <f t="shared" ref="W3:W23" si="6">ROUND(1-(1-Q3)*(1-R3)*(1-S3)*(1-T3),3)</f>
        <v>6.0999999999999999E-2</v>
      </c>
      <c r="X3" s="5">
        <f t="shared" ref="X3:X23" si="7">IF(L3="N/A",L3,ROUND(1-(1-U3)*(1-V3),3))</f>
        <v>0.02</v>
      </c>
      <c r="Y3" s="24">
        <f t="shared" ref="Y3:Y23" si="8">ROUND(AVERAGE(W3:X3),3)</f>
        <v>4.1000000000000002E-2</v>
      </c>
      <c r="Z3" s="25">
        <f t="shared" ref="Z3:Z23" si="9">ROUND(W3/0.15,2)</f>
        <v>0.41</v>
      </c>
      <c r="AA3" s="88">
        <f t="shared" ref="AA3:AA23" si="10">IF(L3="N/A", L3, ROUND(X3/0.15,2))</f>
        <v>0.13</v>
      </c>
      <c r="AB3" s="26">
        <f t="shared" ref="AB3:AB23" si="11">ROUND(Y3/0.15,2)</f>
        <v>0.27</v>
      </c>
      <c r="AC3" s="21">
        <f t="shared" ref="AC3:AC23" si="12">IF(Z3&lt;0.67,5,IF(Z3&lt;1,4,IF(Z3&lt;1.33,3,IF(Z3&lt;2.67,2,1))))</f>
        <v>5</v>
      </c>
      <c r="AD3" s="134">
        <f t="shared" ref="AD3:AD23" si="13">IF(L3="N/A",L3,IF(AA3&lt;0.67,5,IF(AA3&lt;1,4,IF(AA3&lt;1.33,3,IF(AA3&lt;2.67,2,1)))))</f>
        <v>5</v>
      </c>
      <c r="AE3" s="22">
        <f t="shared" ref="AE3:AE23" si="14">IF(AB3&lt;0.67,5,IF(AB3&lt;1,4,IF(AB3&lt;1.33,3,IF(AB3&lt;2.67,2,1))))</f>
        <v>5</v>
      </c>
      <c r="AF3" s="3"/>
      <c r="AG3" s="3"/>
      <c r="AH3" s="3"/>
      <c r="AI3" s="20"/>
      <c r="AJ3" s="20"/>
      <c r="AK3" s="20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3.15" customHeight="1">
      <c r="A4" s="63"/>
      <c r="B4" s="131"/>
      <c r="C4" s="132" t="str">
        <f>Rollover!A4</f>
        <v>Honda</v>
      </c>
      <c r="D4" s="9" t="str">
        <f>Rollover!B4</f>
        <v>Civic Hatchback FWD</v>
      </c>
      <c r="E4" s="9"/>
      <c r="F4" s="133">
        <f>Rollover!C4</f>
        <v>2023</v>
      </c>
      <c r="G4" s="10"/>
      <c r="H4" s="11"/>
      <c r="I4" s="11"/>
      <c r="J4" s="11"/>
      <c r="K4" s="12"/>
      <c r="L4" s="10"/>
      <c r="M4" s="11"/>
      <c r="N4" s="11"/>
      <c r="O4" s="11"/>
      <c r="P4" s="12"/>
      <c r="Q4" s="23" t="e">
        <f t="shared" si="0"/>
        <v>#NUM!</v>
      </c>
      <c r="R4" s="5">
        <f t="shared" si="1"/>
        <v>4.5435171224880964E-3</v>
      </c>
      <c r="S4" s="5">
        <f t="shared" si="2"/>
        <v>2.3748578822706131E-3</v>
      </c>
      <c r="T4" s="24">
        <f t="shared" si="3"/>
        <v>5.0175335722563109E-4</v>
      </c>
      <c r="U4" s="23" t="e">
        <f t="shared" si="4"/>
        <v>#NUM!</v>
      </c>
      <c r="V4" s="24">
        <f t="shared" si="5"/>
        <v>1.8229037773026034E-3</v>
      </c>
      <c r="W4" s="23" t="e">
        <f t="shared" si="6"/>
        <v>#NUM!</v>
      </c>
      <c r="X4" s="5" t="e">
        <f t="shared" si="7"/>
        <v>#NUM!</v>
      </c>
      <c r="Y4" s="24" t="e">
        <f t="shared" si="8"/>
        <v>#NUM!</v>
      </c>
      <c r="Z4" s="25" t="e">
        <f t="shared" si="9"/>
        <v>#NUM!</v>
      </c>
      <c r="AA4" s="88" t="e">
        <f t="shared" si="10"/>
        <v>#NUM!</v>
      </c>
      <c r="AB4" s="26" t="e">
        <f t="shared" si="11"/>
        <v>#NUM!</v>
      </c>
      <c r="AC4" s="21" t="e">
        <f t="shared" si="12"/>
        <v>#NUM!</v>
      </c>
      <c r="AD4" s="134" t="e">
        <f t="shared" si="13"/>
        <v>#NUM!</v>
      </c>
      <c r="AE4" s="22" t="e">
        <f t="shared" si="14"/>
        <v>#NUM!</v>
      </c>
      <c r="AF4" s="14"/>
      <c r="AG4" s="14"/>
      <c r="AH4" s="14"/>
      <c r="AI4" s="13"/>
      <c r="AJ4" s="13"/>
      <c r="AK4" s="13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>
      <c r="A5" s="63"/>
      <c r="B5" s="131"/>
      <c r="C5" s="132" t="str">
        <f>Rollover!A5</f>
        <v>Honda</v>
      </c>
      <c r="D5" s="9" t="str">
        <f>Rollover!B5</f>
        <v>Civic Hatchback Typer R FWD</v>
      </c>
      <c r="E5" s="9"/>
      <c r="F5" s="133">
        <f>Rollover!C5</f>
        <v>2023</v>
      </c>
      <c r="G5" s="10"/>
      <c r="H5" s="11"/>
      <c r="I5" s="11"/>
      <c r="J5" s="11"/>
      <c r="K5" s="12"/>
      <c r="L5" s="10"/>
      <c r="M5" s="11"/>
      <c r="N5" s="11"/>
      <c r="O5" s="11"/>
      <c r="P5" s="12"/>
      <c r="Q5" s="23" t="e">
        <f t="shared" si="0"/>
        <v>#NUM!</v>
      </c>
      <c r="R5" s="5">
        <f t="shared" si="1"/>
        <v>4.5435171224880964E-3</v>
      </c>
      <c r="S5" s="5">
        <f t="shared" si="2"/>
        <v>2.3748578822706131E-3</v>
      </c>
      <c r="T5" s="24">
        <f t="shared" si="3"/>
        <v>5.0175335722563109E-4</v>
      </c>
      <c r="U5" s="23" t="e">
        <f t="shared" si="4"/>
        <v>#NUM!</v>
      </c>
      <c r="V5" s="24">
        <f t="shared" si="5"/>
        <v>1.8229037773026034E-3</v>
      </c>
      <c r="W5" s="23" t="e">
        <f t="shared" si="6"/>
        <v>#NUM!</v>
      </c>
      <c r="X5" s="5" t="e">
        <f t="shared" si="7"/>
        <v>#NUM!</v>
      </c>
      <c r="Y5" s="24" t="e">
        <f t="shared" si="8"/>
        <v>#NUM!</v>
      </c>
      <c r="Z5" s="25" t="e">
        <f t="shared" si="9"/>
        <v>#NUM!</v>
      </c>
      <c r="AA5" s="88" t="e">
        <f t="shared" si="10"/>
        <v>#NUM!</v>
      </c>
      <c r="AB5" s="26" t="e">
        <f t="shared" si="11"/>
        <v>#NUM!</v>
      </c>
      <c r="AC5" s="21" t="e">
        <f t="shared" si="12"/>
        <v>#NUM!</v>
      </c>
      <c r="AD5" s="134" t="e">
        <f t="shared" si="13"/>
        <v>#NUM!</v>
      </c>
      <c r="AE5" s="22" t="e">
        <f t="shared" si="14"/>
        <v>#NUM!</v>
      </c>
      <c r="AF5" s="14"/>
      <c r="AG5" s="14"/>
      <c r="AH5" s="14"/>
      <c r="AI5" s="13"/>
      <c r="AJ5" s="13"/>
      <c r="AK5" s="13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13.15" customHeight="1">
      <c r="A6" s="63"/>
      <c r="B6" s="131"/>
      <c r="C6" s="132" t="str">
        <f>Rollover!A6</f>
        <v>Honda</v>
      </c>
      <c r="D6" s="9" t="str">
        <f>Rollover!B6</f>
        <v>Civic Sedan FWD</v>
      </c>
      <c r="E6" s="9"/>
      <c r="F6" s="133">
        <f>Rollover!C6</f>
        <v>2023</v>
      </c>
      <c r="G6" s="10"/>
      <c r="H6" s="11"/>
      <c r="I6" s="11"/>
      <c r="J6" s="11"/>
      <c r="K6" s="12"/>
      <c r="L6" s="10"/>
      <c r="M6" s="11"/>
      <c r="N6" s="11"/>
      <c r="O6" s="11"/>
      <c r="P6" s="12"/>
      <c r="Q6" s="23" t="e">
        <f t="shared" si="0"/>
        <v>#NUM!</v>
      </c>
      <c r="R6" s="5">
        <f t="shared" si="1"/>
        <v>4.5435171224880964E-3</v>
      </c>
      <c r="S6" s="5">
        <f t="shared" si="2"/>
        <v>2.3748578822706131E-3</v>
      </c>
      <c r="T6" s="24">
        <f t="shared" si="3"/>
        <v>5.0175335722563109E-4</v>
      </c>
      <c r="U6" s="23" t="e">
        <f t="shared" si="4"/>
        <v>#NUM!</v>
      </c>
      <c r="V6" s="24">
        <f t="shared" si="5"/>
        <v>1.8229037773026034E-3</v>
      </c>
      <c r="W6" s="23" t="e">
        <f t="shared" si="6"/>
        <v>#NUM!</v>
      </c>
      <c r="X6" s="5" t="e">
        <f t="shared" si="7"/>
        <v>#NUM!</v>
      </c>
      <c r="Y6" s="24" t="e">
        <f t="shared" si="8"/>
        <v>#NUM!</v>
      </c>
      <c r="Z6" s="25" t="e">
        <f t="shared" si="9"/>
        <v>#NUM!</v>
      </c>
      <c r="AA6" s="88" t="e">
        <f t="shared" si="10"/>
        <v>#NUM!</v>
      </c>
      <c r="AB6" s="26" t="e">
        <f t="shared" si="11"/>
        <v>#NUM!</v>
      </c>
      <c r="AC6" s="21" t="e">
        <f t="shared" si="12"/>
        <v>#NUM!</v>
      </c>
      <c r="AD6" s="134" t="e">
        <f t="shared" si="13"/>
        <v>#NUM!</v>
      </c>
      <c r="AE6" s="22" t="e">
        <f t="shared" si="14"/>
        <v>#NUM!</v>
      </c>
      <c r="AF6" s="14"/>
      <c r="AG6" s="14"/>
      <c r="AH6" s="14"/>
      <c r="AI6" s="13"/>
      <c r="AJ6" s="13"/>
      <c r="AK6" s="13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>
      <c r="A7" s="63">
        <v>14270</v>
      </c>
      <c r="B7" s="131" t="s">
        <v>167</v>
      </c>
      <c r="C7" s="132" t="str">
        <f>Rollover!A7</f>
        <v>Audi</v>
      </c>
      <c r="D7" s="9" t="str">
        <f>Rollover!B7</f>
        <v>Q7 SUV AWD</v>
      </c>
      <c r="E7" s="9" t="s">
        <v>122</v>
      </c>
      <c r="F7" s="133">
        <f>Rollover!C7</f>
        <v>2023</v>
      </c>
      <c r="G7" s="10">
        <v>58.487000000000002</v>
      </c>
      <c r="H7" s="11">
        <v>15.73</v>
      </c>
      <c r="I7" s="11">
        <v>20.558</v>
      </c>
      <c r="J7" s="11">
        <v>489.11</v>
      </c>
      <c r="K7" s="12">
        <v>958.13099999999997</v>
      </c>
      <c r="L7" s="10">
        <v>31.190999999999999</v>
      </c>
      <c r="M7" s="11">
        <v>8.4710000000000001</v>
      </c>
      <c r="N7" s="11">
        <v>35.805999999999997</v>
      </c>
      <c r="O7" s="11">
        <v>18.725999999999999</v>
      </c>
      <c r="P7" s="12">
        <v>2831.3870000000002</v>
      </c>
      <c r="Q7" s="23">
        <f t="shared" si="0"/>
        <v>2.4105211035487626E-6</v>
      </c>
      <c r="R7" s="5">
        <f t="shared" si="1"/>
        <v>1.9004109970005591E-2</v>
      </c>
      <c r="S7" s="5">
        <f t="shared" si="2"/>
        <v>6.7117020808888936E-3</v>
      </c>
      <c r="T7" s="24">
        <f t="shared" si="3"/>
        <v>1.4381537746728976E-3</v>
      </c>
      <c r="U7" s="23">
        <f t="shared" si="4"/>
        <v>2.9465969529275261E-8</v>
      </c>
      <c r="V7" s="24">
        <f t="shared" si="5"/>
        <v>2.5481365513878033E-2</v>
      </c>
      <c r="W7" s="23">
        <f t="shared" si="6"/>
        <v>2.7E-2</v>
      </c>
      <c r="X7" s="5">
        <f t="shared" si="7"/>
        <v>2.5000000000000001E-2</v>
      </c>
      <c r="Y7" s="24">
        <f t="shared" si="8"/>
        <v>2.5999999999999999E-2</v>
      </c>
      <c r="Z7" s="25">
        <f t="shared" si="9"/>
        <v>0.18</v>
      </c>
      <c r="AA7" s="88">
        <f t="shared" si="10"/>
        <v>0.17</v>
      </c>
      <c r="AB7" s="26">
        <f t="shared" si="11"/>
        <v>0.17</v>
      </c>
      <c r="AC7" s="21">
        <f t="shared" si="12"/>
        <v>5</v>
      </c>
      <c r="AD7" s="134">
        <f t="shared" si="13"/>
        <v>5</v>
      </c>
      <c r="AE7" s="22">
        <f t="shared" si="14"/>
        <v>5</v>
      </c>
      <c r="AF7" s="14"/>
      <c r="AG7" s="14"/>
      <c r="AH7" s="14"/>
      <c r="AI7" s="13"/>
      <c r="AJ7" s="13"/>
      <c r="AK7" s="13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1:48">
      <c r="A8" s="63"/>
      <c r="B8" s="131"/>
      <c r="C8" s="132" t="str">
        <f>Rollover!A8</f>
        <v>Audi</v>
      </c>
      <c r="D8" s="9" t="str">
        <f>Rollover!B8</f>
        <v>SQ7 SUV AWD</v>
      </c>
      <c r="E8" s="9"/>
      <c r="F8" s="133">
        <f>Rollover!C8</f>
        <v>2023</v>
      </c>
      <c r="G8" s="10"/>
      <c r="H8" s="11"/>
      <c r="I8" s="11"/>
      <c r="J8" s="11"/>
      <c r="K8" s="12"/>
      <c r="L8" s="10"/>
      <c r="M8" s="11"/>
      <c r="N8" s="11"/>
      <c r="O8" s="11"/>
      <c r="P8" s="12"/>
      <c r="Q8" s="23" t="e">
        <f t="shared" si="0"/>
        <v>#NUM!</v>
      </c>
      <c r="R8" s="5">
        <f t="shared" si="1"/>
        <v>4.5435171224880964E-3</v>
      </c>
      <c r="S8" s="5">
        <f t="shared" si="2"/>
        <v>2.3748578822706131E-3</v>
      </c>
      <c r="T8" s="24">
        <f t="shared" si="3"/>
        <v>5.0175335722563109E-4</v>
      </c>
      <c r="U8" s="23" t="e">
        <f t="shared" si="4"/>
        <v>#NUM!</v>
      </c>
      <c r="V8" s="24">
        <f t="shared" si="5"/>
        <v>1.8229037773026034E-3</v>
      </c>
      <c r="W8" s="23" t="e">
        <f t="shared" si="6"/>
        <v>#NUM!</v>
      </c>
      <c r="X8" s="5" t="e">
        <f t="shared" si="7"/>
        <v>#NUM!</v>
      </c>
      <c r="Y8" s="24" t="e">
        <f t="shared" si="8"/>
        <v>#NUM!</v>
      </c>
      <c r="Z8" s="25" t="e">
        <f t="shared" si="9"/>
        <v>#NUM!</v>
      </c>
      <c r="AA8" s="88" t="e">
        <f t="shared" si="10"/>
        <v>#NUM!</v>
      </c>
      <c r="AB8" s="26" t="e">
        <f t="shared" si="11"/>
        <v>#NUM!</v>
      </c>
      <c r="AC8" s="21" t="e">
        <f t="shared" si="12"/>
        <v>#NUM!</v>
      </c>
      <c r="AD8" s="134" t="e">
        <f t="shared" si="13"/>
        <v>#NUM!</v>
      </c>
      <c r="AE8" s="22" t="e">
        <f t="shared" si="14"/>
        <v>#NUM!</v>
      </c>
      <c r="AF8" s="14"/>
      <c r="AG8" s="14"/>
      <c r="AH8" s="14"/>
      <c r="AI8" s="13"/>
      <c r="AJ8" s="13"/>
      <c r="AK8" s="13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>
      <c r="A9" s="16">
        <v>14274</v>
      </c>
      <c r="B9" s="135" t="s">
        <v>168</v>
      </c>
      <c r="C9" s="132" t="str">
        <f>Rollover!A9</f>
        <v>Audi</v>
      </c>
      <c r="D9" s="9" t="str">
        <f>Rollover!B9</f>
        <v>Q8 AWD</v>
      </c>
      <c r="E9" s="9" t="s">
        <v>122</v>
      </c>
      <c r="F9" s="133">
        <f>Rollover!C9</f>
        <v>2023</v>
      </c>
      <c r="G9" s="17">
        <v>59.756999999999998</v>
      </c>
      <c r="H9" s="18">
        <v>16.727</v>
      </c>
      <c r="I9" s="18">
        <v>19.741</v>
      </c>
      <c r="J9" s="18">
        <v>612.15300000000002</v>
      </c>
      <c r="K9" s="19">
        <v>1077.9190000000001</v>
      </c>
      <c r="L9" s="17">
        <v>50.834000000000003</v>
      </c>
      <c r="M9" s="18">
        <v>6.83</v>
      </c>
      <c r="N9" s="18">
        <v>32.082000000000001</v>
      </c>
      <c r="O9" s="18">
        <v>4.2590000000000003</v>
      </c>
      <c r="P9" s="19">
        <v>2031.0309999999999</v>
      </c>
      <c r="Q9" s="23">
        <f>NORMDIST(LN(G9),7.45231,0.73998,1)</f>
        <v>2.767729645284086E-6</v>
      </c>
      <c r="R9" s="5">
        <f>1/(1+EXP(5.3895-0.0919*H9))</f>
        <v>2.0789701195843922E-2</v>
      </c>
      <c r="S9" s="5">
        <f>1/(1+EXP(6.04044-0.002133*J9))</f>
        <v>8.7084259943421248E-3</v>
      </c>
      <c r="T9" s="24">
        <f>1/(1+EXP(7.5969-0.0011*K9))</f>
        <v>1.640374316855941E-3</v>
      </c>
      <c r="U9" s="23">
        <f>NORMDIST(LN(L9),7.45231,0.73998,1)</f>
        <v>9.5867640607014258E-7</v>
      </c>
      <c r="V9" s="24">
        <f>1/(1+EXP(6.3055-0.00094*P9))</f>
        <v>1.2172474968832156E-2</v>
      </c>
      <c r="W9" s="23">
        <f>ROUND(1-(1-Q9)*(1-R9)*(1-S9)*(1-T9),3)</f>
        <v>3.1E-2</v>
      </c>
      <c r="X9" s="5">
        <f>IF(L9="N/A",L9,ROUND(1-(1-U9)*(1-V9),3))</f>
        <v>1.2E-2</v>
      </c>
      <c r="Y9" s="24">
        <f>ROUND(AVERAGE(W9:X9),3)</f>
        <v>2.1999999999999999E-2</v>
      </c>
      <c r="Z9" s="25">
        <f>ROUND(W9/0.15,2)</f>
        <v>0.21</v>
      </c>
      <c r="AA9" s="88">
        <f>IF(L9="N/A", L9, ROUND(X9/0.15,2))</f>
        <v>0.08</v>
      </c>
      <c r="AB9" s="26">
        <f>ROUND(Y9/0.15,2)</f>
        <v>0.15</v>
      </c>
      <c r="AC9" s="21">
        <f>IF(Z9&lt;0.67,5,IF(Z9&lt;1,4,IF(Z9&lt;1.33,3,IF(Z9&lt;2.67,2,1))))</f>
        <v>5</v>
      </c>
      <c r="AD9" s="134">
        <f>IF(L9="N/A",L9,IF(AA9&lt;0.67,5,IF(AA9&lt;1,4,IF(AA9&lt;1.33,3,IF(AA9&lt;2.67,2,1)))))</f>
        <v>5</v>
      </c>
      <c r="AE9" s="22">
        <f>IF(AB9&lt;0.67,5,IF(AB9&lt;1,4,IF(AB9&lt;1.33,3,IF(AB9&lt;2.67,2,1))))</f>
        <v>5</v>
      </c>
      <c r="AF9" s="14"/>
      <c r="AG9" s="14"/>
      <c r="AH9" s="14"/>
      <c r="AI9" s="13"/>
      <c r="AJ9" s="13"/>
      <c r="AK9" s="13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>
      <c r="A10" s="63"/>
      <c r="B10" s="131"/>
      <c r="C10" s="132" t="str">
        <f>Rollover!A10</f>
        <v>Audi</v>
      </c>
      <c r="D10" s="9" t="str">
        <f>Rollover!B10</f>
        <v>SQ8 AWD</v>
      </c>
      <c r="E10" s="9"/>
      <c r="F10" s="133">
        <f>Rollover!C10</f>
        <v>2023</v>
      </c>
      <c r="G10" s="10"/>
      <c r="H10" s="11"/>
      <c r="I10" s="11"/>
      <c r="J10" s="11"/>
      <c r="K10" s="12"/>
      <c r="L10" s="10"/>
      <c r="M10" s="11"/>
      <c r="N10" s="11"/>
      <c r="O10" s="11"/>
      <c r="P10" s="12"/>
      <c r="Q10" s="23" t="e">
        <f t="shared" si="0"/>
        <v>#NUM!</v>
      </c>
      <c r="R10" s="5">
        <f t="shared" si="1"/>
        <v>4.5435171224880964E-3</v>
      </c>
      <c r="S10" s="5">
        <f t="shared" si="2"/>
        <v>2.3748578822706131E-3</v>
      </c>
      <c r="T10" s="24">
        <f t="shared" si="3"/>
        <v>5.0175335722563109E-4</v>
      </c>
      <c r="U10" s="23" t="e">
        <f t="shared" si="4"/>
        <v>#NUM!</v>
      </c>
      <c r="V10" s="24">
        <f t="shared" si="5"/>
        <v>1.8229037773026034E-3</v>
      </c>
      <c r="W10" s="23" t="e">
        <f t="shared" si="6"/>
        <v>#NUM!</v>
      </c>
      <c r="X10" s="5" t="e">
        <f t="shared" si="7"/>
        <v>#NUM!</v>
      </c>
      <c r="Y10" s="24" t="e">
        <f t="shared" si="8"/>
        <v>#NUM!</v>
      </c>
      <c r="Z10" s="25" t="e">
        <f t="shared" si="9"/>
        <v>#NUM!</v>
      </c>
      <c r="AA10" s="88" t="e">
        <f t="shared" si="10"/>
        <v>#NUM!</v>
      </c>
      <c r="AB10" s="26" t="e">
        <f t="shared" si="11"/>
        <v>#NUM!</v>
      </c>
      <c r="AC10" s="21" t="e">
        <f t="shared" si="12"/>
        <v>#NUM!</v>
      </c>
      <c r="AD10" s="134" t="e">
        <f t="shared" si="13"/>
        <v>#NUM!</v>
      </c>
      <c r="AE10" s="22" t="e">
        <f t="shared" si="14"/>
        <v>#NUM!</v>
      </c>
      <c r="AF10" s="14"/>
      <c r="AG10" s="14"/>
      <c r="AH10" s="14"/>
      <c r="AI10" s="13"/>
      <c r="AJ10" s="13"/>
      <c r="AK10" s="13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ht="13.5" customHeight="1">
      <c r="A11" s="63"/>
      <c r="B11" s="131"/>
      <c r="C11" s="132" t="str">
        <f>Rollover!A11</f>
        <v>Audi</v>
      </c>
      <c r="D11" s="9" t="str">
        <f>Rollover!B11</f>
        <v>RS Q8 AWD</v>
      </c>
      <c r="E11" s="9"/>
      <c r="F11" s="133">
        <f>Rollover!C11</f>
        <v>2023</v>
      </c>
      <c r="G11" s="10"/>
      <c r="H11" s="11"/>
      <c r="I11" s="11"/>
      <c r="J11" s="11"/>
      <c r="K11" s="12"/>
      <c r="L11" s="10"/>
      <c r="M11" s="11"/>
      <c r="N11" s="11"/>
      <c r="O11" s="11"/>
      <c r="P11" s="12"/>
      <c r="Q11" s="23" t="e">
        <f t="shared" si="0"/>
        <v>#NUM!</v>
      </c>
      <c r="R11" s="5">
        <f t="shared" si="1"/>
        <v>4.5435171224880964E-3</v>
      </c>
      <c r="S11" s="5">
        <f t="shared" si="2"/>
        <v>2.3748578822706131E-3</v>
      </c>
      <c r="T11" s="24">
        <f t="shared" si="3"/>
        <v>5.0175335722563109E-4</v>
      </c>
      <c r="U11" s="23" t="e">
        <f t="shared" si="4"/>
        <v>#NUM!</v>
      </c>
      <c r="V11" s="24">
        <f t="shared" si="5"/>
        <v>1.8229037773026034E-3</v>
      </c>
      <c r="W11" s="23" t="e">
        <f t="shared" si="6"/>
        <v>#NUM!</v>
      </c>
      <c r="X11" s="5" t="e">
        <f t="shared" si="7"/>
        <v>#NUM!</v>
      </c>
      <c r="Y11" s="24" t="e">
        <f t="shared" si="8"/>
        <v>#NUM!</v>
      </c>
      <c r="Z11" s="25" t="e">
        <f t="shared" si="9"/>
        <v>#NUM!</v>
      </c>
      <c r="AA11" s="88" t="e">
        <f t="shared" si="10"/>
        <v>#NUM!</v>
      </c>
      <c r="AB11" s="26" t="e">
        <f t="shared" si="11"/>
        <v>#NUM!</v>
      </c>
      <c r="AC11" s="21" t="e">
        <f t="shared" si="12"/>
        <v>#NUM!</v>
      </c>
      <c r="AD11" s="134" t="e">
        <f t="shared" si="13"/>
        <v>#NUM!</v>
      </c>
      <c r="AE11" s="22" t="e">
        <f t="shared" si="14"/>
        <v>#NUM!</v>
      </c>
      <c r="AF11" s="14"/>
      <c r="AG11" s="14"/>
      <c r="AH11" s="14"/>
      <c r="AI11" s="13"/>
      <c r="AJ11" s="13"/>
      <c r="AK11" s="13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>
      <c r="A12" s="16">
        <v>14383</v>
      </c>
      <c r="B12" s="135" t="s">
        <v>169</v>
      </c>
      <c r="C12" s="27" t="str">
        <f>Rollover!A12</f>
        <v>BMW</v>
      </c>
      <c r="D12" s="47" t="str">
        <f>Rollover!B12</f>
        <v>X1 SUV AWD</v>
      </c>
      <c r="E12" s="9" t="s">
        <v>170</v>
      </c>
      <c r="F12" s="133">
        <f>Rollover!C12</f>
        <v>2023</v>
      </c>
      <c r="G12" s="17">
        <v>77.442999999999998</v>
      </c>
      <c r="H12" s="18">
        <v>20.768000000000001</v>
      </c>
      <c r="I12" s="18">
        <v>20.817</v>
      </c>
      <c r="J12" s="18">
        <v>632.89599999999996</v>
      </c>
      <c r="K12" s="19">
        <v>1469.4259999999999</v>
      </c>
      <c r="L12" s="17">
        <v>102.337</v>
      </c>
      <c r="M12" s="18">
        <v>12.186</v>
      </c>
      <c r="N12" s="18">
        <v>43.168999999999997</v>
      </c>
      <c r="O12" s="18">
        <v>9.44</v>
      </c>
      <c r="P12" s="19">
        <v>3004.893</v>
      </c>
      <c r="Q12" s="23">
        <f>NORMDIST(LN(G12),7.45231,0.73998,1)</f>
        <v>1.3761873857601468E-5</v>
      </c>
      <c r="R12" s="5">
        <f>1/(1+EXP(5.3895-0.0919*H12))</f>
        <v>2.985999417355353E-2</v>
      </c>
      <c r="S12" s="5">
        <f>1/(1+EXP(6.04044-0.002133*J12))</f>
        <v>9.0987951619086582E-3</v>
      </c>
      <c r="T12" s="24">
        <f>1/(1+EXP(7.5969-0.0011*K12))</f>
        <v>2.521110766749025E-3</v>
      </c>
      <c r="U12" s="23">
        <f>NORMDIST(LN(L12),7.45231,0.73998,1)</f>
        <v>6.7714229047714845E-5</v>
      </c>
      <c r="V12" s="24">
        <f>1/(1+EXP(6.3055-0.00094*P12))</f>
        <v>2.9860579919662636E-2</v>
      </c>
      <c r="W12" s="23">
        <f>ROUND(1-(1-Q12)*(1-R12)*(1-S12)*(1-T12),3)</f>
        <v>4.1000000000000002E-2</v>
      </c>
      <c r="X12" s="5">
        <f>IF(L12="N/A",L12,ROUND(1-(1-U12)*(1-V12),3))</f>
        <v>0.03</v>
      </c>
      <c r="Y12" s="24">
        <f>ROUND(AVERAGE(W12:X12),3)</f>
        <v>3.5999999999999997E-2</v>
      </c>
      <c r="Z12" s="25">
        <f>ROUND(W12/0.15,2)</f>
        <v>0.27</v>
      </c>
      <c r="AA12" s="88">
        <f>IF(L12="N/A", L12, ROUND(X12/0.15,2))</f>
        <v>0.2</v>
      </c>
      <c r="AB12" s="26">
        <f>ROUND(Y12/0.15,2)</f>
        <v>0.24</v>
      </c>
      <c r="AC12" s="21">
        <f>IF(Z12&lt;0.67,5,IF(Z12&lt;1,4,IF(Z12&lt;1.33,3,IF(Z12&lt;2.67,2,1))))</f>
        <v>5</v>
      </c>
      <c r="AD12" s="134">
        <f>IF(L12="N/A",L12,IF(AA12&lt;0.67,5,IF(AA12&lt;1,4,IF(AA12&lt;1.33,3,IF(AA12&lt;2.67,2,1)))))</f>
        <v>5</v>
      </c>
      <c r="AE12" s="22">
        <f>IF(AB12&lt;0.67,5,IF(AB12&lt;1,4,IF(AB12&lt;1.33,3,IF(AB12&lt;2.67,2,1))))</f>
        <v>5</v>
      </c>
      <c r="AF12" s="118"/>
      <c r="AG12" s="118"/>
      <c r="AH12" s="118"/>
      <c r="AI12" s="136"/>
      <c r="AJ12" s="136"/>
      <c r="AK12" s="136"/>
    </row>
    <row r="13" spans="1:48" ht="12" customHeight="1">
      <c r="A13" s="16">
        <v>14428</v>
      </c>
      <c r="B13" s="135" t="s">
        <v>171</v>
      </c>
      <c r="C13" s="27" t="str">
        <f>Rollover!A13</f>
        <v>Chevrolet</v>
      </c>
      <c r="D13" s="47" t="str">
        <f>Rollover!B13</f>
        <v>Colorado PU/CC RWD</v>
      </c>
      <c r="E13" s="9" t="s">
        <v>122</v>
      </c>
      <c r="F13" s="133">
        <f>Rollover!C13</f>
        <v>2023</v>
      </c>
      <c r="G13" s="17">
        <v>128.535</v>
      </c>
      <c r="H13" s="18">
        <v>40.764000000000003</v>
      </c>
      <c r="I13" s="18">
        <v>49.694000000000003</v>
      </c>
      <c r="J13" s="18">
        <v>829.49300000000005</v>
      </c>
      <c r="K13" s="19">
        <v>871.88099999999997</v>
      </c>
      <c r="L13" s="17">
        <v>63.914999999999999</v>
      </c>
      <c r="M13" s="18">
        <v>15.72</v>
      </c>
      <c r="N13" s="18">
        <v>30.195</v>
      </c>
      <c r="O13" s="18">
        <v>10.589</v>
      </c>
      <c r="P13" s="19">
        <v>1266.8699999999999</v>
      </c>
      <c r="Q13" s="23">
        <f t="shared" si="0"/>
        <v>2.2544779596321755E-4</v>
      </c>
      <c r="R13" s="5">
        <f t="shared" si="1"/>
        <v>0.16201810594898142</v>
      </c>
      <c r="S13" s="5">
        <f t="shared" si="2"/>
        <v>1.3773610804215334E-2</v>
      </c>
      <c r="T13" s="24">
        <f t="shared" si="3"/>
        <v>1.3081518907422656E-3</v>
      </c>
      <c r="U13" s="23">
        <f t="shared" si="4"/>
        <v>4.2439462876648557E-6</v>
      </c>
      <c r="V13" s="24">
        <f t="shared" si="5"/>
        <v>5.9722451495078923E-3</v>
      </c>
      <c r="W13" s="23">
        <f t="shared" si="6"/>
        <v>0.17499999999999999</v>
      </c>
      <c r="X13" s="5">
        <f t="shared" si="7"/>
        <v>6.0000000000000001E-3</v>
      </c>
      <c r="Y13" s="24">
        <f t="shared" si="8"/>
        <v>9.0999999999999998E-2</v>
      </c>
      <c r="Z13" s="25">
        <f t="shared" si="9"/>
        <v>1.17</v>
      </c>
      <c r="AA13" s="88">
        <f t="shared" si="10"/>
        <v>0.04</v>
      </c>
      <c r="AB13" s="26">
        <f t="shared" si="11"/>
        <v>0.61</v>
      </c>
      <c r="AC13" s="21">
        <f t="shared" si="12"/>
        <v>3</v>
      </c>
      <c r="AD13" s="134">
        <f t="shared" si="13"/>
        <v>5</v>
      </c>
      <c r="AE13" s="22">
        <f t="shared" si="14"/>
        <v>5</v>
      </c>
      <c r="AF13" s="14"/>
      <c r="AG13" s="14"/>
      <c r="AH13" s="14"/>
      <c r="AI13" s="13"/>
      <c r="AJ13" s="13"/>
      <c r="AK13" s="13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>
      <c r="A14" s="16">
        <v>14428</v>
      </c>
      <c r="B14" s="135" t="s">
        <v>171</v>
      </c>
      <c r="C14" s="27" t="str">
        <f>Rollover!A14</f>
        <v>Chevrolet</v>
      </c>
      <c r="D14" s="47" t="str">
        <f>Rollover!B14</f>
        <v>Colorado PU/CC 4WD</v>
      </c>
      <c r="E14" s="9" t="s">
        <v>122</v>
      </c>
      <c r="F14" s="133">
        <f>Rollover!C14</f>
        <v>2023</v>
      </c>
      <c r="G14" s="17">
        <v>128.535</v>
      </c>
      <c r="H14" s="18">
        <v>40.764000000000003</v>
      </c>
      <c r="I14" s="18">
        <v>49.694000000000003</v>
      </c>
      <c r="J14" s="18">
        <v>829.49300000000005</v>
      </c>
      <c r="K14" s="19">
        <v>871.88099999999997</v>
      </c>
      <c r="L14" s="17">
        <v>63.914999999999999</v>
      </c>
      <c r="M14" s="18">
        <v>15.72</v>
      </c>
      <c r="N14" s="18">
        <v>30.195</v>
      </c>
      <c r="O14" s="18">
        <v>10.589</v>
      </c>
      <c r="P14" s="19">
        <v>1266.8699999999999</v>
      </c>
      <c r="Q14" s="23">
        <f t="shared" si="0"/>
        <v>2.2544779596321755E-4</v>
      </c>
      <c r="R14" s="5">
        <f t="shared" si="1"/>
        <v>0.16201810594898142</v>
      </c>
      <c r="S14" s="5">
        <f t="shared" si="2"/>
        <v>1.3773610804215334E-2</v>
      </c>
      <c r="T14" s="24">
        <f t="shared" si="3"/>
        <v>1.3081518907422656E-3</v>
      </c>
      <c r="U14" s="23">
        <f t="shared" si="4"/>
        <v>4.2439462876648557E-6</v>
      </c>
      <c r="V14" s="24">
        <f t="shared" si="5"/>
        <v>5.9722451495078923E-3</v>
      </c>
      <c r="W14" s="23">
        <f t="shared" si="6"/>
        <v>0.17499999999999999</v>
      </c>
      <c r="X14" s="5">
        <f t="shared" si="7"/>
        <v>6.0000000000000001E-3</v>
      </c>
      <c r="Y14" s="24">
        <f t="shared" si="8"/>
        <v>9.0999999999999998E-2</v>
      </c>
      <c r="Z14" s="25">
        <f t="shared" si="9"/>
        <v>1.17</v>
      </c>
      <c r="AA14" s="88">
        <f t="shared" si="10"/>
        <v>0.04</v>
      </c>
      <c r="AB14" s="26">
        <f t="shared" si="11"/>
        <v>0.61</v>
      </c>
      <c r="AC14" s="21">
        <f t="shared" si="12"/>
        <v>3</v>
      </c>
      <c r="AD14" s="134">
        <f t="shared" si="13"/>
        <v>5</v>
      </c>
      <c r="AE14" s="22">
        <f t="shared" si="14"/>
        <v>5</v>
      </c>
      <c r="AF14" s="14"/>
      <c r="AG14" s="14"/>
      <c r="AH14" s="14"/>
      <c r="AI14" s="13"/>
      <c r="AJ14" s="13"/>
      <c r="AK14" s="13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>
      <c r="A15" s="16">
        <v>14428</v>
      </c>
      <c r="B15" s="135" t="s">
        <v>171</v>
      </c>
      <c r="C15" s="132" t="str">
        <f>Rollover!A15</f>
        <v>GMC</v>
      </c>
      <c r="D15" s="9" t="str">
        <f>Rollover!B15</f>
        <v>Canyon PU/CC RWD</v>
      </c>
      <c r="E15" s="9" t="s">
        <v>122</v>
      </c>
      <c r="F15" s="133">
        <f>Rollover!C15</f>
        <v>2023</v>
      </c>
      <c r="G15" s="17">
        <v>128.535</v>
      </c>
      <c r="H15" s="18">
        <v>40.764000000000003</v>
      </c>
      <c r="I15" s="18">
        <v>49.694000000000003</v>
      </c>
      <c r="J15" s="18">
        <v>829.49300000000005</v>
      </c>
      <c r="K15" s="19">
        <v>871.88099999999997</v>
      </c>
      <c r="L15" s="17">
        <v>63.914999999999999</v>
      </c>
      <c r="M15" s="18">
        <v>15.72</v>
      </c>
      <c r="N15" s="18">
        <v>30.195</v>
      </c>
      <c r="O15" s="18">
        <v>10.589</v>
      </c>
      <c r="P15" s="19">
        <v>1266.8699999999999</v>
      </c>
      <c r="Q15" s="23">
        <f t="shared" si="0"/>
        <v>2.2544779596321755E-4</v>
      </c>
      <c r="R15" s="5">
        <f t="shared" si="1"/>
        <v>0.16201810594898142</v>
      </c>
      <c r="S15" s="5">
        <f t="shared" si="2"/>
        <v>1.3773610804215334E-2</v>
      </c>
      <c r="T15" s="24">
        <f t="shared" si="3"/>
        <v>1.3081518907422656E-3</v>
      </c>
      <c r="U15" s="23">
        <f t="shared" si="4"/>
        <v>4.2439462876648557E-6</v>
      </c>
      <c r="V15" s="24">
        <f t="shared" si="5"/>
        <v>5.9722451495078923E-3</v>
      </c>
      <c r="W15" s="23">
        <f t="shared" si="6"/>
        <v>0.17499999999999999</v>
      </c>
      <c r="X15" s="5">
        <f t="shared" si="7"/>
        <v>6.0000000000000001E-3</v>
      </c>
      <c r="Y15" s="24">
        <f t="shared" si="8"/>
        <v>9.0999999999999998E-2</v>
      </c>
      <c r="Z15" s="25">
        <f t="shared" si="9"/>
        <v>1.17</v>
      </c>
      <c r="AA15" s="88">
        <f t="shared" si="10"/>
        <v>0.04</v>
      </c>
      <c r="AB15" s="26">
        <f t="shared" si="11"/>
        <v>0.61</v>
      </c>
      <c r="AC15" s="21">
        <f t="shared" si="12"/>
        <v>3</v>
      </c>
      <c r="AD15" s="134">
        <f t="shared" si="13"/>
        <v>5</v>
      </c>
      <c r="AE15" s="22">
        <f t="shared" si="14"/>
        <v>5</v>
      </c>
      <c r="AF15" s="14"/>
      <c r="AG15" s="14"/>
      <c r="AH15" s="14"/>
      <c r="AI15" s="13"/>
      <c r="AJ15" s="13"/>
      <c r="AK15" s="13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ht="13.15" customHeight="1">
      <c r="A16" s="16">
        <v>14428</v>
      </c>
      <c r="B16" s="135" t="s">
        <v>171</v>
      </c>
      <c r="C16" s="132" t="str">
        <f>Rollover!A16</f>
        <v>GMC</v>
      </c>
      <c r="D16" s="9" t="str">
        <f>Rollover!B16</f>
        <v>Canyon PU/CC 4WD</v>
      </c>
      <c r="E16" s="9" t="s">
        <v>122</v>
      </c>
      <c r="F16" s="133">
        <f>Rollover!C16</f>
        <v>2023</v>
      </c>
      <c r="G16" s="10">
        <v>128.535</v>
      </c>
      <c r="H16" s="11">
        <v>40.764000000000003</v>
      </c>
      <c r="I16" s="11">
        <v>49.694000000000003</v>
      </c>
      <c r="J16" s="11">
        <v>829.49300000000005</v>
      </c>
      <c r="K16" s="12">
        <v>871.88099999999997</v>
      </c>
      <c r="L16" s="10">
        <v>63.914999999999999</v>
      </c>
      <c r="M16" s="11">
        <v>15.72</v>
      </c>
      <c r="N16" s="11">
        <v>30.195</v>
      </c>
      <c r="O16" s="11">
        <v>10.589</v>
      </c>
      <c r="P16" s="12">
        <v>1266.8699999999999</v>
      </c>
      <c r="Q16" s="23">
        <f t="shared" si="0"/>
        <v>2.2544779596321755E-4</v>
      </c>
      <c r="R16" s="5">
        <f t="shared" si="1"/>
        <v>0.16201810594898142</v>
      </c>
      <c r="S16" s="5">
        <f t="shared" si="2"/>
        <v>1.3773610804215334E-2</v>
      </c>
      <c r="T16" s="24">
        <f t="shared" si="3"/>
        <v>1.3081518907422656E-3</v>
      </c>
      <c r="U16" s="23">
        <f t="shared" si="4"/>
        <v>4.2439462876648557E-6</v>
      </c>
      <c r="V16" s="24">
        <f t="shared" si="5"/>
        <v>5.9722451495078923E-3</v>
      </c>
      <c r="W16" s="23">
        <f t="shared" si="6"/>
        <v>0.17499999999999999</v>
      </c>
      <c r="X16" s="5">
        <f t="shared" si="7"/>
        <v>6.0000000000000001E-3</v>
      </c>
      <c r="Y16" s="24">
        <f t="shared" si="8"/>
        <v>9.0999999999999998E-2</v>
      </c>
      <c r="Z16" s="25">
        <f t="shared" si="9"/>
        <v>1.17</v>
      </c>
      <c r="AA16" s="88">
        <f t="shared" si="10"/>
        <v>0.04</v>
      </c>
      <c r="AB16" s="26">
        <f t="shared" si="11"/>
        <v>0.61</v>
      </c>
      <c r="AC16" s="21">
        <f t="shared" si="12"/>
        <v>3</v>
      </c>
      <c r="AD16" s="134">
        <f t="shared" si="13"/>
        <v>5</v>
      </c>
      <c r="AE16" s="22">
        <f t="shared" si="14"/>
        <v>5</v>
      </c>
      <c r="AF16" s="14"/>
      <c r="AG16" s="14"/>
      <c r="AH16" s="14"/>
      <c r="AI16" s="13"/>
      <c r="AJ16" s="13"/>
      <c r="AK16" s="13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ht="13.15" customHeight="1">
      <c r="A17" s="63">
        <v>14275</v>
      </c>
      <c r="B17" s="131" t="s">
        <v>172</v>
      </c>
      <c r="C17" s="132" t="str">
        <f>Rollover!A17</f>
        <v>Chevrolet</v>
      </c>
      <c r="D17" s="9" t="str">
        <f>Rollover!B17</f>
        <v>Malibu 4DR FWD</v>
      </c>
      <c r="E17" s="9" t="s">
        <v>122</v>
      </c>
      <c r="F17" s="133">
        <f>Rollover!C17</f>
        <v>2023</v>
      </c>
      <c r="G17" s="10">
        <v>231.21</v>
      </c>
      <c r="H17" s="11">
        <v>29.649000000000001</v>
      </c>
      <c r="I17" s="11">
        <v>32.805999999999997</v>
      </c>
      <c r="J17" s="11">
        <v>1112.498</v>
      </c>
      <c r="K17" s="12">
        <v>1225.6659999999999</v>
      </c>
      <c r="L17" s="10">
        <v>323.10599999999999</v>
      </c>
      <c r="M17" s="11">
        <v>35.347999999999999</v>
      </c>
      <c r="N17" s="11">
        <v>60.045000000000002</v>
      </c>
      <c r="O17" s="11">
        <v>32.554000000000002</v>
      </c>
      <c r="P17" s="12">
        <v>3929.5970000000002</v>
      </c>
      <c r="Q17" s="23">
        <f t="shared" si="0"/>
        <v>3.3146281941913887E-3</v>
      </c>
      <c r="R17" s="5">
        <f t="shared" si="1"/>
        <v>6.5085280401427303E-2</v>
      </c>
      <c r="S17" s="5">
        <f t="shared" si="2"/>
        <v>2.4904624794362104E-2</v>
      </c>
      <c r="T17" s="24">
        <f t="shared" si="3"/>
        <v>1.9292989845639268E-3</v>
      </c>
      <c r="U17" s="23">
        <f t="shared" si="4"/>
        <v>1.1828060978370828E-2</v>
      </c>
      <c r="V17" s="24">
        <f t="shared" si="5"/>
        <v>6.8390563036261731E-2</v>
      </c>
      <c r="W17" s="23">
        <f t="shared" si="6"/>
        <v>9.2999999999999999E-2</v>
      </c>
      <c r="X17" s="5">
        <f t="shared" si="7"/>
        <v>7.9000000000000001E-2</v>
      </c>
      <c r="Y17" s="24">
        <f t="shared" si="8"/>
        <v>8.5999999999999993E-2</v>
      </c>
      <c r="Z17" s="25">
        <f t="shared" si="9"/>
        <v>0.62</v>
      </c>
      <c r="AA17" s="88">
        <f t="shared" si="10"/>
        <v>0.53</v>
      </c>
      <c r="AB17" s="26">
        <f t="shared" si="11"/>
        <v>0.56999999999999995</v>
      </c>
      <c r="AC17" s="21">
        <f t="shared" si="12"/>
        <v>5</v>
      </c>
      <c r="AD17" s="134">
        <f t="shared" si="13"/>
        <v>5</v>
      </c>
      <c r="AE17" s="22">
        <f t="shared" si="14"/>
        <v>5</v>
      </c>
      <c r="AF17" s="14"/>
      <c r="AG17" s="14"/>
      <c r="AH17" s="14"/>
      <c r="AI17" s="13"/>
      <c r="AJ17" s="13"/>
      <c r="AK17" s="13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ht="13.15" customHeight="1">
      <c r="A18" s="63">
        <v>11052</v>
      </c>
      <c r="B18" s="131" t="s">
        <v>173</v>
      </c>
      <c r="C18" s="27" t="str">
        <f>Rollover!A18</f>
        <v>Ford</v>
      </c>
      <c r="D18" s="47" t="str">
        <f>Rollover!B18</f>
        <v>Explorer SUV RWD</v>
      </c>
      <c r="E18" s="9" t="s">
        <v>122</v>
      </c>
      <c r="F18" s="133">
        <f>Rollover!C18</f>
        <v>2023</v>
      </c>
      <c r="G18" s="10">
        <v>65.322000000000003</v>
      </c>
      <c r="H18" s="11">
        <v>23.38</v>
      </c>
      <c r="I18" s="11">
        <v>25.954999999999998</v>
      </c>
      <c r="J18" s="11">
        <v>717.81600000000003</v>
      </c>
      <c r="K18" s="12">
        <v>995.78800000000001</v>
      </c>
      <c r="L18" s="10">
        <v>85.927000000000007</v>
      </c>
      <c r="M18" s="11">
        <v>5.3220000000000001</v>
      </c>
      <c r="N18" s="11">
        <v>37.997999999999998</v>
      </c>
      <c r="O18" s="11">
        <v>17.690000000000001</v>
      </c>
      <c r="P18" s="12">
        <v>2684.75</v>
      </c>
      <c r="Q18" s="23">
        <f t="shared" si="0"/>
        <v>4.865477539214934E-6</v>
      </c>
      <c r="R18" s="5">
        <f t="shared" si="1"/>
        <v>3.7656060553967911E-2</v>
      </c>
      <c r="S18" s="5">
        <f t="shared" si="2"/>
        <v>1.0885930667405867E-2</v>
      </c>
      <c r="T18" s="24">
        <f t="shared" si="3"/>
        <v>1.4988858548271365E-3</v>
      </c>
      <c r="U18" s="23">
        <f t="shared" si="4"/>
        <v>2.5330324765789975E-5</v>
      </c>
      <c r="V18" s="24">
        <f t="shared" si="5"/>
        <v>2.2273442236653236E-2</v>
      </c>
      <c r="W18" s="23">
        <f t="shared" si="6"/>
        <v>0.05</v>
      </c>
      <c r="X18" s="5">
        <f t="shared" si="7"/>
        <v>2.1999999999999999E-2</v>
      </c>
      <c r="Y18" s="24">
        <f t="shared" si="8"/>
        <v>3.5999999999999997E-2</v>
      </c>
      <c r="Z18" s="25">
        <f t="shared" si="9"/>
        <v>0.33</v>
      </c>
      <c r="AA18" s="88">
        <f t="shared" si="10"/>
        <v>0.15</v>
      </c>
      <c r="AB18" s="26">
        <f t="shared" si="11"/>
        <v>0.24</v>
      </c>
      <c r="AC18" s="21">
        <f t="shared" si="12"/>
        <v>5</v>
      </c>
      <c r="AD18" s="134">
        <f t="shared" si="13"/>
        <v>5</v>
      </c>
      <c r="AE18" s="22">
        <f t="shared" si="14"/>
        <v>5</v>
      </c>
      <c r="AF18" s="14"/>
      <c r="AG18" s="14"/>
      <c r="AH18" s="14"/>
      <c r="AI18" s="13"/>
      <c r="AJ18" s="13"/>
      <c r="AK18" s="13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ht="13.15" customHeight="1">
      <c r="A19" s="63">
        <v>11052</v>
      </c>
      <c r="B19" s="131" t="s">
        <v>173</v>
      </c>
      <c r="C19" s="27" t="str">
        <f>Rollover!A19</f>
        <v>Ford</v>
      </c>
      <c r="D19" s="47" t="str">
        <f>Rollover!B19</f>
        <v>Explorer SUV 4WD</v>
      </c>
      <c r="E19" s="9" t="s">
        <v>122</v>
      </c>
      <c r="F19" s="133">
        <f>Rollover!C19</f>
        <v>2023</v>
      </c>
      <c r="G19" s="10">
        <v>65.322000000000003</v>
      </c>
      <c r="H19" s="11">
        <v>23.38</v>
      </c>
      <c r="I19" s="11">
        <v>25.954999999999998</v>
      </c>
      <c r="J19" s="11">
        <v>717.81600000000003</v>
      </c>
      <c r="K19" s="12">
        <v>995.78800000000001</v>
      </c>
      <c r="L19" s="10">
        <v>85.927000000000007</v>
      </c>
      <c r="M19" s="11">
        <v>5.3220000000000001</v>
      </c>
      <c r="N19" s="11">
        <v>37.997999999999998</v>
      </c>
      <c r="O19" s="11">
        <v>17.690000000000001</v>
      </c>
      <c r="P19" s="12">
        <v>2684.75</v>
      </c>
      <c r="Q19" s="23">
        <f t="shared" si="0"/>
        <v>4.865477539214934E-6</v>
      </c>
      <c r="R19" s="5">
        <f t="shared" si="1"/>
        <v>3.7656060553967911E-2</v>
      </c>
      <c r="S19" s="5">
        <f t="shared" si="2"/>
        <v>1.0885930667405867E-2</v>
      </c>
      <c r="T19" s="24">
        <f t="shared" si="3"/>
        <v>1.4988858548271365E-3</v>
      </c>
      <c r="U19" s="23">
        <f t="shared" si="4"/>
        <v>2.5330324765789975E-5</v>
      </c>
      <c r="V19" s="24">
        <f t="shared" si="5"/>
        <v>2.2273442236653236E-2</v>
      </c>
      <c r="W19" s="23">
        <f t="shared" si="6"/>
        <v>0.05</v>
      </c>
      <c r="X19" s="5">
        <f t="shared" si="7"/>
        <v>2.1999999999999999E-2</v>
      </c>
      <c r="Y19" s="24">
        <f t="shared" si="8"/>
        <v>3.5999999999999997E-2</v>
      </c>
      <c r="Z19" s="25">
        <f t="shared" si="9"/>
        <v>0.33</v>
      </c>
      <c r="AA19" s="88">
        <f t="shared" si="10"/>
        <v>0.15</v>
      </c>
      <c r="AB19" s="26">
        <f t="shared" si="11"/>
        <v>0.24</v>
      </c>
      <c r="AC19" s="21">
        <f t="shared" si="12"/>
        <v>5</v>
      </c>
      <c r="AD19" s="134">
        <f t="shared" si="13"/>
        <v>5</v>
      </c>
      <c r="AE19" s="22">
        <f t="shared" si="14"/>
        <v>5</v>
      </c>
      <c r="AF19" s="14"/>
      <c r="AG19" s="14"/>
      <c r="AH19" s="14"/>
      <c r="AI19" s="13"/>
      <c r="AJ19" s="13"/>
      <c r="AK19" s="13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>
      <c r="A20" s="63">
        <v>11052</v>
      </c>
      <c r="B20" s="131" t="s">
        <v>173</v>
      </c>
      <c r="C20" s="132" t="str">
        <f>Rollover!A20</f>
        <v>Ford</v>
      </c>
      <c r="D20" s="9" t="str">
        <f>Rollover!B20</f>
        <v>Explorer HEV SUV RWD</v>
      </c>
      <c r="E20" s="9" t="s">
        <v>122</v>
      </c>
      <c r="F20" s="133">
        <f>Rollover!C20</f>
        <v>2023</v>
      </c>
      <c r="G20" s="10">
        <v>65.322000000000003</v>
      </c>
      <c r="H20" s="11">
        <v>23.38</v>
      </c>
      <c r="I20" s="11">
        <v>25.954999999999998</v>
      </c>
      <c r="J20" s="11">
        <v>717.81600000000003</v>
      </c>
      <c r="K20" s="12">
        <v>995.78800000000001</v>
      </c>
      <c r="L20" s="10">
        <v>85.927000000000007</v>
      </c>
      <c r="M20" s="11">
        <v>5.3220000000000001</v>
      </c>
      <c r="N20" s="11">
        <v>37.997999999999998</v>
      </c>
      <c r="O20" s="11">
        <v>17.690000000000001</v>
      </c>
      <c r="P20" s="12">
        <v>2684.75</v>
      </c>
      <c r="Q20" s="23">
        <f t="shared" si="0"/>
        <v>4.865477539214934E-6</v>
      </c>
      <c r="R20" s="5">
        <f t="shared" si="1"/>
        <v>3.7656060553967911E-2</v>
      </c>
      <c r="S20" s="5">
        <f t="shared" si="2"/>
        <v>1.0885930667405867E-2</v>
      </c>
      <c r="T20" s="24">
        <f t="shared" si="3"/>
        <v>1.4988858548271365E-3</v>
      </c>
      <c r="U20" s="23">
        <f t="shared" si="4"/>
        <v>2.5330324765789975E-5</v>
      </c>
      <c r="V20" s="24">
        <f t="shared" si="5"/>
        <v>2.2273442236653236E-2</v>
      </c>
      <c r="W20" s="23">
        <f t="shared" si="6"/>
        <v>0.05</v>
      </c>
      <c r="X20" s="5">
        <f t="shared" si="7"/>
        <v>2.1999999999999999E-2</v>
      </c>
      <c r="Y20" s="24">
        <f t="shared" si="8"/>
        <v>3.5999999999999997E-2</v>
      </c>
      <c r="Z20" s="25">
        <f t="shared" si="9"/>
        <v>0.33</v>
      </c>
      <c r="AA20" s="88">
        <f t="shared" si="10"/>
        <v>0.15</v>
      </c>
      <c r="AB20" s="26">
        <f t="shared" si="11"/>
        <v>0.24</v>
      </c>
      <c r="AC20" s="21">
        <f t="shared" si="12"/>
        <v>5</v>
      </c>
      <c r="AD20" s="134">
        <f t="shared" si="13"/>
        <v>5</v>
      </c>
      <c r="AE20" s="22">
        <f t="shared" si="14"/>
        <v>5</v>
      </c>
      <c r="AF20" s="14"/>
      <c r="AG20" s="14"/>
      <c r="AH20" s="14"/>
      <c r="AI20" s="13"/>
      <c r="AJ20" s="13"/>
      <c r="AK20" s="13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>
      <c r="A21" s="63">
        <v>11052</v>
      </c>
      <c r="B21" s="131" t="s">
        <v>173</v>
      </c>
      <c r="C21" s="132" t="str">
        <f>Rollover!A21</f>
        <v>Ford</v>
      </c>
      <c r="D21" s="9" t="str">
        <f>Rollover!B21</f>
        <v>Explorer HEV SUV 4WD</v>
      </c>
      <c r="E21" s="9" t="s">
        <v>122</v>
      </c>
      <c r="F21" s="133">
        <f>Rollover!C21</f>
        <v>2023</v>
      </c>
      <c r="G21" s="10">
        <v>65.322000000000003</v>
      </c>
      <c r="H21" s="11">
        <v>23.38</v>
      </c>
      <c r="I21" s="11">
        <v>25.954999999999998</v>
      </c>
      <c r="J21" s="11">
        <v>717.81600000000003</v>
      </c>
      <c r="K21" s="12">
        <v>995.78800000000001</v>
      </c>
      <c r="L21" s="10">
        <v>85.927000000000007</v>
      </c>
      <c r="M21" s="11">
        <v>5.3220000000000001</v>
      </c>
      <c r="N21" s="11">
        <v>37.997999999999998</v>
      </c>
      <c r="O21" s="11">
        <v>17.690000000000001</v>
      </c>
      <c r="P21" s="12">
        <v>2684.75</v>
      </c>
      <c r="Q21" s="23">
        <f t="shared" si="0"/>
        <v>4.865477539214934E-6</v>
      </c>
      <c r="R21" s="5">
        <f t="shared" si="1"/>
        <v>3.7656060553967911E-2</v>
      </c>
      <c r="S21" s="5">
        <f t="shared" si="2"/>
        <v>1.0885930667405867E-2</v>
      </c>
      <c r="T21" s="24">
        <f t="shared" si="3"/>
        <v>1.4988858548271365E-3</v>
      </c>
      <c r="U21" s="23">
        <f t="shared" si="4"/>
        <v>2.5330324765789975E-5</v>
      </c>
      <c r="V21" s="24">
        <f t="shared" si="5"/>
        <v>2.2273442236653236E-2</v>
      </c>
      <c r="W21" s="23">
        <f t="shared" si="6"/>
        <v>0.05</v>
      </c>
      <c r="X21" s="5">
        <f t="shared" si="7"/>
        <v>2.1999999999999999E-2</v>
      </c>
      <c r="Y21" s="24">
        <f t="shared" si="8"/>
        <v>3.5999999999999997E-2</v>
      </c>
      <c r="Z21" s="25">
        <f t="shared" si="9"/>
        <v>0.33</v>
      </c>
      <c r="AA21" s="88">
        <f t="shared" si="10"/>
        <v>0.15</v>
      </c>
      <c r="AB21" s="26">
        <f t="shared" si="11"/>
        <v>0.24</v>
      </c>
      <c r="AC21" s="21">
        <f t="shared" si="12"/>
        <v>5</v>
      </c>
      <c r="AD21" s="134">
        <f t="shared" si="13"/>
        <v>5</v>
      </c>
      <c r="AE21" s="22">
        <f t="shared" si="14"/>
        <v>5</v>
      </c>
      <c r="AF21" s="14"/>
      <c r="AG21" s="14"/>
      <c r="AH21" s="14"/>
      <c r="AI21" s="13"/>
      <c r="AJ21" s="13"/>
      <c r="AK21" s="13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ht="13.15" customHeight="1">
      <c r="A22" s="63">
        <v>11052</v>
      </c>
      <c r="B22" s="131" t="s">
        <v>173</v>
      </c>
      <c r="C22" s="132" t="str">
        <f>Rollover!A22</f>
        <v>Lincoln</v>
      </c>
      <c r="D22" s="9" t="str">
        <f>Rollover!B22</f>
        <v>Aviator SUV RWD</v>
      </c>
      <c r="E22" s="9" t="s">
        <v>122</v>
      </c>
      <c r="F22" s="133">
        <f>Rollover!C22</f>
        <v>2023</v>
      </c>
      <c r="G22" s="10">
        <v>65.322000000000003</v>
      </c>
      <c r="H22" s="11">
        <v>23.38</v>
      </c>
      <c r="I22" s="11">
        <v>25.954999999999998</v>
      </c>
      <c r="J22" s="11">
        <v>717.81600000000003</v>
      </c>
      <c r="K22" s="12">
        <v>995.78800000000001</v>
      </c>
      <c r="L22" s="10">
        <v>85.927000000000007</v>
      </c>
      <c r="M22" s="11">
        <v>5.3220000000000001</v>
      </c>
      <c r="N22" s="11">
        <v>37.997999999999998</v>
      </c>
      <c r="O22" s="11">
        <v>17.690000000000001</v>
      </c>
      <c r="P22" s="12">
        <v>2684.75</v>
      </c>
      <c r="Q22" s="23">
        <f t="shared" si="0"/>
        <v>4.865477539214934E-6</v>
      </c>
      <c r="R22" s="5">
        <f t="shared" si="1"/>
        <v>3.7656060553967911E-2</v>
      </c>
      <c r="S22" s="5">
        <f t="shared" si="2"/>
        <v>1.0885930667405867E-2</v>
      </c>
      <c r="T22" s="24">
        <f t="shared" si="3"/>
        <v>1.4988858548271365E-3</v>
      </c>
      <c r="U22" s="23">
        <f t="shared" si="4"/>
        <v>2.5330324765789975E-5</v>
      </c>
      <c r="V22" s="24">
        <f t="shared" si="5"/>
        <v>2.2273442236653236E-2</v>
      </c>
      <c r="W22" s="23">
        <f t="shared" si="6"/>
        <v>0.05</v>
      </c>
      <c r="X22" s="5">
        <f t="shared" si="7"/>
        <v>2.1999999999999999E-2</v>
      </c>
      <c r="Y22" s="24">
        <f t="shared" si="8"/>
        <v>3.5999999999999997E-2</v>
      </c>
      <c r="Z22" s="25">
        <f t="shared" si="9"/>
        <v>0.33</v>
      </c>
      <c r="AA22" s="88">
        <f t="shared" si="10"/>
        <v>0.15</v>
      </c>
      <c r="AB22" s="26">
        <f t="shared" si="11"/>
        <v>0.24</v>
      </c>
      <c r="AC22" s="21">
        <f t="shared" si="12"/>
        <v>5</v>
      </c>
      <c r="AD22" s="134">
        <f t="shared" si="13"/>
        <v>5</v>
      </c>
      <c r="AE22" s="22">
        <f t="shared" si="14"/>
        <v>5</v>
      </c>
      <c r="AF22" s="14"/>
      <c r="AG22" s="14"/>
      <c r="AH22" s="14"/>
      <c r="AI22" s="13"/>
      <c r="AJ22" s="13"/>
      <c r="AK22" s="13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</row>
    <row r="23" spans="1:48" ht="13.15" customHeight="1">
      <c r="A23" s="63">
        <v>11052</v>
      </c>
      <c r="B23" s="131" t="s">
        <v>173</v>
      </c>
      <c r="C23" s="132" t="str">
        <f>Rollover!A23</f>
        <v>Lincoln</v>
      </c>
      <c r="D23" s="9" t="str">
        <f>Rollover!B23</f>
        <v>Aviator SUV 4WD</v>
      </c>
      <c r="E23" s="9" t="s">
        <v>122</v>
      </c>
      <c r="F23" s="133">
        <f>Rollover!C23</f>
        <v>2023</v>
      </c>
      <c r="G23" s="10">
        <v>65.322000000000003</v>
      </c>
      <c r="H23" s="11">
        <v>23.38</v>
      </c>
      <c r="I23" s="11">
        <v>25.954999999999998</v>
      </c>
      <c r="J23" s="11">
        <v>717.81600000000003</v>
      </c>
      <c r="K23" s="12">
        <v>995.78800000000001</v>
      </c>
      <c r="L23" s="10">
        <v>85.927000000000007</v>
      </c>
      <c r="M23" s="11">
        <v>5.3220000000000001</v>
      </c>
      <c r="N23" s="11">
        <v>37.997999999999998</v>
      </c>
      <c r="O23" s="11">
        <v>17.690000000000001</v>
      </c>
      <c r="P23" s="12">
        <v>2684.75</v>
      </c>
      <c r="Q23" s="23">
        <f t="shared" si="0"/>
        <v>4.865477539214934E-6</v>
      </c>
      <c r="R23" s="5">
        <f t="shared" si="1"/>
        <v>3.7656060553967911E-2</v>
      </c>
      <c r="S23" s="5">
        <f t="shared" si="2"/>
        <v>1.0885930667405867E-2</v>
      </c>
      <c r="T23" s="24">
        <f t="shared" si="3"/>
        <v>1.4988858548271365E-3</v>
      </c>
      <c r="U23" s="23">
        <f t="shared" si="4"/>
        <v>2.5330324765789975E-5</v>
      </c>
      <c r="V23" s="24">
        <f t="shared" si="5"/>
        <v>2.2273442236653236E-2</v>
      </c>
      <c r="W23" s="23">
        <f t="shared" si="6"/>
        <v>0.05</v>
      </c>
      <c r="X23" s="5">
        <f t="shared" si="7"/>
        <v>2.1999999999999999E-2</v>
      </c>
      <c r="Y23" s="24">
        <f t="shared" si="8"/>
        <v>3.5999999999999997E-2</v>
      </c>
      <c r="Z23" s="25">
        <f t="shared" si="9"/>
        <v>0.33</v>
      </c>
      <c r="AA23" s="88">
        <f t="shared" si="10"/>
        <v>0.15</v>
      </c>
      <c r="AB23" s="26">
        <f t="shared" si="11"/>
        <v>0.24</v>
      </c>
      <c r="AC23" s="21">
        <f t="shared" si="12"/>
        <v>5</v>
      </c>
      <c r="AD23" s="134">
        <f t="shared" si="13"/>
        <v>5</v>
      </c>
      <c r="AE23" s="22">
        <f t="shared" si="14"/>
        <v>5</v>
      </c>
      <c r="AF23" s="14"/>
      <c r="AG23" s="14"/>
      <c r="AH23" s="14"/>
      <c r="AI23" s="13"/>
      <c r="AJ23" s="13"/>
      <c r="AK23" s="13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>
      <c r="A24" s="63">
        <v>14273</v>
      </c>
      <c r="B24" s="63" t="s">
        <v>174</v>
      </c>
      <c r="C24" s="27" t="str">
        <f>Rollover!A24</f>
        <v xml:space="preserve">Honda </v>
      </c>
      <c r="D24" s="47" t="str">
        <f>Rollover!B24</f>
        <v>HR-V SUV FWD</v>
      </c>
      <c r="E24" s="9" t="s">
        <v>120</v>
      </c>
      <c r="F24" s="133">
        <f>Rollover!C24</f>
        <v>2023</v>
      </c>
      <c r="G24" s="10">
        <v>87.486000000000004</v>
      </c>
      <c r="H24" s="11">
        <v>17.439</v>
      </c>
      <c r="I24" s="11">
        <v>26.102</v>
      </c>
      <c r="J24" s="11">
        <v>524.91700000000003</v>
      </c>
      <c r="K24" s="12">
        <v>1861.2329999999999</v>
      </c>
      <c r="L24" s="10">
        <v>173.38200000000001</v>
      </c>
      <c r="M24" s="11">
        <v>12.121</v>
      </c>
      <c r="N24" s="11">
        <v>60.603000000000002</v>
      </c>
      <c r="O24" s="11">
        <v>9.7119999999999997</v>
      </c>
      <c r="P24" s="12">
        <v>4047.0810000000001</v>
      </c>
      <c r="Q24" s="23">
        <f t="shared" ref="Q24:Q47" si="15">NORMDIST(LN(G24),7.45231,0.73998,1)</f>
        <v>2.8095690632962448E-5</v>
      </c>
      <c r="R24" s="5">
        <f t="shared" ref="R24:R47" si="16">1/(1+EXP(5.3895-0.0919*H24))</f>
        <v>2.2164362280513397E-2</v>
      </c>
      <c r="S24" s="5">
        <f t="shared" ref="S24:S47" si="17">1/(1+EXP(6.04044-0.002133*J24))</f>
        <v>7.2405441029785231E-3</v>
      </c>
      <c r="T24" s="24">
        <f t="shared" ref="T24:T47" si="18">1/(1+EXP(7.5969-0.0011*K24))</f>
        <v>3.8741639744349337E-3</v>
      </c>
      <c r="U24" s="23">
        <f t="shared" ref="U24:U47" si="19">NORMDIST(LN(L24),7.45231,0.73998,1)</f>
        <v>9.5498809979887092E-4</v>
      </c>
      <c r="V24" s="24">
        <f t="shared" ref="V24:V47" si="20">1/(1+EXP(6.3055-0.00094*P24))</f>
        <v>7.5771026803307107E-2</v>
      </c>
      <c r="W24" s="23">
        <f t="shared" ref="W24:W47" si="21">ROUND(1-(1-Q24)*(1-R24)*(1-S24)*(1-T24),3)</f>
        <v>3.3000000000000002E-2</v>
      </c>
      <c r="X24" s="5">
        <f t="shared" ref="X24:X47" si="22">IF(L24="N/A",L24,ROUND(1-(1-U24)*(1-V24),3))</f>
        <v>7.6999999999999999E-2</v>
      </c>
      <c r="Y24" s="24">
        <f t="shared" ref="Y24:Y47" si="23">ROUND(AVERAGE(W24:X24),3)</f>
        <v>5.5E-2</v>
      </c>
      <c r="Z24" s="25">
        <f t="shared" ref="Z24:Z47" si="24">ROUND(W24/0.15,2)</f>
        <v>0.22</v>
      </c>
      <c r="AA24" s="88">
        <f t="shared" ref="AA24:AA47" si="25">IF(L24="N/A", L24, ROUND(X24/0.15,2))</f>
        <v>0.51</v>
      </c>
      <c r="AB24" s="26">
        <f t="shared" ref="AB24:AB47" si="26">ROUND(Y24/0.15,2)</f>
        <v>0.37</v>
      </c>
      <c r="AC24" s="21">
        <f t="shared" ref="AC24:AC47" si="27">IF(Z24&lt;0.67,5,IF(Z24&lt;1,4,IF(Z24&lt;1.33,3,IF(Z24&lt;2.67,2,1))))</f>
        <v>5</v>
      </c>
      <c r="AD24" s="134">
        <f t="shared" ref="AD24:AD47" si="28">IF(L24="N/A",L24,IF(AA24&lt;0.67,5,IF(AA24&lt;1,4,IF(AA24&lt;1.33,3,IF(AA24&lt;2.67,2,1)))))</f>
        <v>5</v>
      </c>
      <c r="AE24" s="22">
        <f t="shared" ref="AE24:AE47" si="29">IF(AB24&lt;0.67,5,IF(AB24&lt;1,4,IF(AB24&lt;1.33,3,IF(AB24&lt;2.67,2,1))))</f>
        <v>5</v>
      </c>
      <c r="AF24" s="14"/>
      <c r="AG24" s="14"/>
      <c r="AH24" s="14"/>
      <c r="AI24" s="13"/>
      <c r="AJ24" s="13"/>
      <c r="AK24" s="13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>
      <c r="A25" s="63">
        <v>14273</v>
      </c>
      <c r="B25" s="63" t="s">
        <v>174</v>
      </c>
      <c r="C25" s="27" t="str">
        <f>Rollover!A25</f>
        <v xml:space="preserve">Honda </v>
      </c>
      <c r="D25" s="47" t="str">
        <f>Rollover!B25</f>
        <v>HR-V SUV AWD</v>
      </c>
      <c r="E25" s="9" t="s">
        <v>120</v>
      </c>
      <c r="F25" s="133">
        <f>Rollover!C25</f>
        <v>2023</v>
      </c>
      <c r="G25" s="10">
        <v>87.486000000000004</v>
      </c>
      <c r="H25" s="11">
        <v>17.439</v>
      </c>
      <c r="I25" s="11">
        <v>26.102</v>
      </c>
      <c r="J25" s="11">
        <v>524.91700000000003</v>
      </c>
      <c r="K25" s="12">
        <v>1861.2329999999999</v>
      </c>
      <c r="L25" s="10">
        <v>173.38200000000001</v>
      </c>
      <c r="M25" s="11">
        <v>12.121</v>
      </c>
      <c r="N25" s="11">
        <v>60.603000000000002</v>
      </c>
      <c r="O25" s="11">
        <v>9.7119999999999997</v>
      </c>
      <c r="P25" s="12">
        <v>4047.0810000000001</v>
      </c>
      <c r="Q25" s="23">
        <f t="shared" si="15"/>
        <v>2.8095690632962448E-5</v>
      </c>
      <c r="R25" s="5">
        <f t="shared" si="16"/>
        <v>2.2164362280513397E-2</v>
      </c>
      <c r="S25" s="5">
        <f t="shared" si="17"/>
        <v>7.2405441029785231E-3</v>
      </c>
      <c r="T25" s="24">
        <f t="shared" si="18"/>
        <v>3.8741639744349337E-3</v>
      </c>
      <c r="U25" s="23">
        <f t="shared" si="19"/>
        <v>9.5498809979887092E-4</v>
      </c>
      <c r="V25" s="24">
        <f t="shared" si="20"/>
        <v>7.5771026803307107E-2</v>
      </c>
      <c r="W25" s="23">
        <f t="shared" si="21"/>
        <v>3.3000000000000002E-2</v>
      </c>
      <c r="X25" s="5">
        <f t="shared" si="22"/>
        <v>7.6999999999999999E-2</v>
      </c>
      <c r="Y25" s="24">
        <f t="shared" si="23"/>
        <v>5.5E-2</v>
      </c>
      <c r="Z25" s="25">
        <f t="shared" si="24"/>
        <v>0.22</v>
      </c>
      <c r="AA25" s="88">
        <f t="shared" si="25"/>
        <v>0.51</v>
      </c>
      <c r="AB25" s="26">
        <f t="shared" si="26"/>
        <v>0.37</v>
      </c>
      <c r="AC25" s="21">
        <f t="shared" si="27"/>
        <v>5</v>
      </c>
      <c r="AD25" s="134">
        <f t="shared" si="28"/>
        <v>5</v>
      </c>
      <c r="AE25" s="22">
        <f t="shared" si="29"/>
        <v>5</v>
      </c>
      <c r="AF25" s="14"/>
      <c r="AG25" s="14"/>
      <c r="AH25" s="14"/>
      <c r="AI25" s="13"/>
      <c r="AJ25" s="13"/>
      <c r="AK25" s="13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>
      <c r="A26" s="63">
        <v>14297</v>
      </c>
      <c r="B26" s="63" t="s">
        <v>175</v>
      </c>
      <c r="C26" s="27" t="str">
        <f>Rollover!A26</f>
        <v>Hyundai</v>
      </c>
      <c r="D26" s="47" t="str">
        <f>Rollover!B26</f>
        <v>Santa Cruz PU/CC FWD</v>
      </c>
      <c r="E26" s="9" t="s">
        <v>125</v>
      </c>
      <c r="F26" s="133">
        <f>Rollover!C26</f>
        <v>2023</v>
      </c>
      <c r="G26" s="10">
        <v>54.404000000000003</v>
      </c>
      <c r="H26" s="11">
        <v>17.617000000000001</v>
      </c>
      <c r="I26" s="11">
        <v>27.704000000000001</v>
      </c>
      <c r="J26" s="11">
        <v>950.625</v>
      </c>
      <c r="K26" s="12">
        <v>1415.2260000000001</v>
      </c>
      <c r="L26" s="10">
        <v>171.566</v>
      </c>
      <c r="M26" s="11">
        <v>8.4580000000000002</v>
      </c>
      <c r="N26" s="11">
        <v>43.063000000000002</v>
      </c>
      <c r="O26" s="11">
        <v>35.551000000000002</v>
      </c>
      <c r="P26" s="12">
        <v>2203.3040000000001</v>
      </c>
      <c r="Q26" s="23">
        <f t="shared" ref="Q26:Q33" si="30">NORMDIST(LN(G26),7.45231,0.73998,1)</f>
        <v>1.5043577328320129E-6</v>
      </c>
      <c r="R26" s="5">
        <f t="shared" ref="R26:R33" si="31">1/(1+EXP(5.3895-0.0919*H26))</f>
        <v>2.252168025847541E-2</v>
      </c>
      <c r="S26" s="5">
        <f t="shared" ref="S26:S33" si="32">1/(1+EXP(6.04044-0.002133*J26))</f>
        <v>1.7762269073937818E-2</v>
      </c>
      <c r="T26" s="24">
        <f t="shared" ref="T26:T33" si="33">1/(1+EXP(7.5969-0.0011*K26))</f>
        <v>2.3755417367726352E-3</v>
      </c>
      <c r="U26" s="23">
        <f t="shared" ref="U26:U33" si="34">NORMDIST(LN(L26),7.45231,0.73998,1)</f>
        <v>9.100620568079648E-4</v>
      </c>
      <c r="V26" s="24">
        <f t="shared" ref="V26:V33" si="35">1/(1+EXP(6.3055-0.00094*P26))</f>
        <v>1.4281663067686429E-2</v>
      </c>
      <c r="W26" s="23">
        <f t="shared" ref="W26:W33" si="36">ROUND(1-(1-Q26)*(1-R26)*(1-S26)*(1-T26),3)</f>
        <v>4.2000000000000003E-2</v>
      </c>
      <c r="X26" s="5">
        <f t="shared" ref="X26:X33" si="37">IF(L26="N/A",L26,ROUND(1-(1-U26)*(1-V26),3))</f>
        <v>1.4999999999999999E-2</v>
      </c>
      <c r="Y26" s="24">
        <f t="shared" ref="Y26:Y33" si="38">ROUND(AVERAGE(W26:X26),3)</f>
        <v>2.9000000000000001E-2</v>
      </c>
      <c r="Z26" s="25">
        <f t="shared" ref="Z26:Z33" si="39">ROUND(W26/0.15,2)</f>
        <v>0.28000000000000003</v>
      </c>
      <c r="AA26" s="88">
        <f t="shared" ref="AA26:AA33" si="40">IF(L26="N/A", L26, ROUND(X26/0.15,2))</f>
        <v>0.1</v>
      </c>
      <c r="AB26" s="26">
        <f t="shared" ref="AB26:AB33" si="41">ROUND(Y26/0.15,2)</f>
        <v>0.19</v>
      </c>
      <c r="AC26" s="21">
        <f t="shared" ref="AC26:AC33" si="42">IF(Z26&lt;0.67,5,IF(Z26&lt;1,4,IF(Z26&lt;1.33,3,IF(Z26&lt;2.67,2,1))))</f>
        <v>5</v>
      </c>
      <c r="AD26" s="134">
        <f t="shared" ref="AD26:AD33" si="43">IF(L26="N/A",L26,IF(AA26&lt;0.67,5,IF(AA26&lt;1,4,IF(AA26&lt;1.33,3,IF(AA26&lt;2.67,2,1)))))</f>
        <v>5</v>
      </c>
      <c r="AE26" s="22">
        <f t="shared" ref="AE26:AE33" si="44">IF(AB26&lt;0.67,5,IF(AB26&lt;1,4,IF(AB26&lt;1.33,3,IF(AB26&lt;2.67,2,1))))</f>
        <v>5</v>
      </c>
      <c r="AF26" s="14"/>
      <c r="AG26" s="14"/>
      <c r="AH26" s="14"/>
      <c r="AI26" s="13"/>
      <c r="AJ26" s="13"/>
      <c r="AK26" s="13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1:48">
      <c r="A27" s="63">
        <v>14297</v>
      </c>
      <c r="B27" s="63" t="s">
        <v>175</v>
      </c>
      <c r="C27" s="27" t="str">
        <f>Rollover!A27</f>
        <v>Hyundai</v>
      </c>
      <c r="D27" s="47" t="str">
        <f>Rollover!B27</f>
        <v>Santa Cruz PU/CC AWD</v>
      </c>
      <c r="E27" s="9" t="s">
        <v>125</v>
      </c>
      <c r="F27" s="133">
        <f>Rollover!C27</f>
        <v>2023</v>
      </c>
      <c r="G27" s="10">
        <v>54.404000000000003</v>
      </c>
      <c r="H27" s="11">
        <v>17.617000000000001</v>
      </c>
      <c r="I27" s="11">
        <v>27.704000000000001</v>
      </c>
      <c r="J27" s="11">
        <v>950.625</v>
      </c>
      <c r="K27" s="12">
        <v>1415.2260000000001</v>
      </c>
      <c r="L27" s="10">
        <v>171.566</v>
      </c>
      <c r="M27" s="11">
        <v>8.4580000000000002</v>
      </c>
      <c r="N27" s="11">
        <v>43.063000000000002</v>
      </c>
      <c r="O27" s="11">
        <v>35.551000000000002</v>
      </c>
      <c r="P27" s="12">
        <v>2203.3040000000001</v>
      </c>
      <c r="Q27" s="23">
        <f t="shared" si="30"/>
        <v>1.5043577328320129E-6</v>
      </c>
      <c r="R27" s="5">
        <f t="shared" si="31"/>
        <v>2.252168025847541E-2</v>
      </c>
      <c r="S27" s="5">
        <f t="shared" si="32"/>
        <v>1.7762269073937818E-2</v>
      </c>
      <c r="T27" s="24">
        <f t="shared" si="33"/>
        <v>2.3755417367726352E-3</v>
      </c>
      <c r="U27" s="23">
        <f t="shared" si="34"/>
        <v>9.100620568079648E-4</v>
      </c>
      <c r="V27" s="24">
        <f t="shared" si="35"/>
        <v>1.4281663067686429E-2</v>
      </c>
      <c r="W27" s="23">
        <f t="shared" si="36"/>
        <v>4.2000000000000003E-2</v>
      </c>
      <c r="X27" s="5">
        <f t="shared" si="37"/>
        <v>1.4999999999999999E-2</v>
      </c>
      <c r="Y27" s="24">
        <f t="shared" si="38"/>
        <v>2.9000000000000001E-2</v>
      </c>
      <c r="Z27" s="25">
        <f t="shared" si="39"/>
        <v>0.28000000000000003</v>
      </c>
      <c r="AA27" s="88">
        <f t="shared" si="40"/>
        <v>0.1</v>
      </c>
      <c r="AB27" s="26">
        <f t="shared" si="41"/>
        <v>0.19</v>
      </c>
      <c r="AC27" s="21">
        <f t="shared" si="42"/>
        <v>5</v>
      </c>
      <c r="AD27" s="134">
        <f t="shared" si="43"/>
        <v>5</v>
      </c>
      <c r="AE27" s="22">
        <f t="shared" si="44"/>
        <v>5</v>
      </c>
      <c r="AF27" s="14"/>
      <c r="AG27" s="14"/>
      <c r="AH27" s="14"/>
      <c r="AI27" s="13"/>
      <c r="AJ27" s="13"/>
      <c r="AK27" s="13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</row>
    <row r="28" spans="1:48">
      <c r="A28" s="63">
        <v>14363</v>
      </c>
      <c r="B28" s="63" t="s">
        <v>176</v>
      </c>
      <c r="C28" s="27" t="str">
        <f>Rollover!A28</f>
        <v>Hyundai</v>
      </c>
      <c r="D28" s="47" t="str">
        <f>Rollover!B28</f>
        <v>Kona Electric FWD</v>
      </c>
      <c r="E28" s="9" t="s">
        <v>134</v>
      </c>
      <c r="F28" s="133">
        <f>Rollover!C28</f>
        <v>2023</v>
      </c>
      <c r="G28" s="10">
        <v>128.95699999999999</v>
      </c>
      <c r="H28" s="11">
        <v>19.114999999999998</v>
      </c>
      <c r="I28" s="11">
        <v>25.9</v>
      </c>
      <c r="J28" s="11">
        <v>858.33</v>
      </c>
      <c r="K28" s="12">
        <v>1414.0709999999999</v>
      </c>
      <c r="L28" s="10">
        <v>236.79400000000001</v>
      </c>
      <c r="M28" s="11">
        <v>34.912999999999997</v>
      </c>
      <c r="N28" s="11">
        <v>66.518000000000001</v>
      </c>
      <c r="O28" s="11">
        <v>34.423000000000002</v>
      </c>
      <c r="P28" s="12">
        <v>2964.114</v>
      </c>
      <c r="Q28" s="23">
        <f t="shared" si="30"/>
        <v>2.2923122620454334E-4</v>
      </c>
      <c r="R28" s="5">
        <f t="shared" si="31"/>
        <v>2.5760082281863519E-2</v>
      </c>
      <c r="S28" s="5">
        <f t="shared" si="32"/>
        <v>1.463462651655905E-2</v>
      </c>
      <c r="T28" s="24">
        <f t="shared" si="33"/>
        <v>2.3725326835039619E-3</v>
      </c>
      <c r="U28" s="23">
        <f t="shared" si="34"/>
        <v>3.6518910316410591E-3</v>
      </c>
      <c r="V28" s="24">
        <f t="shared" si="35"/>
        <v>2.8769924329191801E-2</v>
      </c>
      <c r="W28" s="23">
        <f t="shared" si="36"/>
        <v>4.2999999999999997E-2</v>
      </c>
      <c r="X28" s="5">
        <f t="shared" si="37"/>
        <v>3.2000000000000001E-2</v>
      </c>
      <c r="Y28" s="24">
        <f t="shared" si="38"/>
        <v>3.7999999999999999E-2</v>
      </c>
      <c r="Z28" s="25">
        <f t="shared" si="39"/>
        <v>0.28999999999999998</v>
      </c>
      <c r="AA28" s="88">
        <f t="shared" si="40"/>
        <v>0.21</v>
      </c>
      <c r="AB28" s="26">
        <f t="shared" si="41"/>
        <v>0.25</v>
      </c>
      <c r="AC28" s="21">
        <f t="shared" si="42"/>
        <v>5</v>
      </c>
      <c r="AD28" s="134">
        <f t="shared" si="43"/>
        <v>5</v>
      </c>
      <c r="AE28" s="22">
        <f t="shared" si="44"/>
        <v>5</v>
      </c>
      <c r="AF28" s="14"/>
      <c r="AG28" s="14"/>
      <c r="AH28" s="14"/>
      <c r="AI28" s="13"/>
      <c r="AJ28" s="13"/>
      <c r="AK28" s="13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</row>
    <row r="29" spans="1:48">
      <c r="A29" s="63">
        <v>14284</v>
      </c>
      <c r="B29" s="63" t="s">
        <v>177</v>
      </c>
      <c r="C29" s="27" t="str">
        <f>Rollover!A29</f>
        <v>Jeep</v>
      </c>
      <c r="D29" s="47" t="str">
        <f>Rollover!B29</f>
        <v>Grand Cherokee SUV RWD</v>
      </c>
      <c r="E29" s="9" t="s">
        <v>125</v>
      </c>
      <c r="F29" s="133">
        <f>Rollover!C29</f>
        <v>2023</v>
      </c>
      <c r="G29" s="10">
        <v>87.034999999999997</v>
      </c>
      <c r="H29" s="11">
        <v>21.468</v>
      </c>
      <c r="I29" s="11">
        <v>24.266999999999999</v>
      </c>
      <c r="J29" s="11">
        <v>855.88699999999994</v>
      </c>
      <c r="K29" s="12">
        <v>1045.3900000000001</v>
      </c>
      <c r="L29" s="10">
        <v>163.732</v>
      </c>
      <c r="M29" s="11">
        <v>15.403</v>
      </c>
      <c r="N29" s="11">
        <v>38.738999999999997</v>
      </c>
      <c r="O29" s="11">
        <v>28.488</v>
      </c>
      <c r="P29" s="12">
        <v>2343.462</v>
      </c>
      <c r="Q29" s="23">
        <f t="shared" si="30"/>
        <v>2.7272821706389078E-5</v>
      </c>
      <c r="R29" s="5">
        <f t="shared" si="31"/>
        <v>3.1780965364620432E-2</v>
      </c>
      <c r="S29" s="5">
        <f t="shared" si="32"/>
        <v>1.4559672441086009E-2</v>
      </c>
      <c r="T29" s="24">
        <f t="shared" si="33"/>
        <v>1.5828075767440083E-3</v>
      </c>
      <c r="U29" s="23">
        <f t="shared" si="34"/>
        <v>7.3314465768704363E-4</v>
      </c>
      <c r="V29" s="24">
        <f t="shared" si="35"/>
        <v>1.626012493221983E-2</v>
      </c>
      <c r="W29" s="23">
        <f t="shared" si="36"/>
        <v>4.7E-2</v>
      </c>
      <c r="X29" s="5">
        <f t="shared" si="37"/>
        <v>1.7000000000000001E-2</v>
      </c>
      <c r="Y29" s="24">
        <f t="shared" si="38"/>
        <v>3.2000000000000001E-2</v>
      </c>
      <c r="Z29" s="25">
        <f t="shared" si="39"/>
        <v>0.31</v>
      </c>
      <c r="AA29" s="88">
        <f t="shared" si="40"/>
        <v>0.11</v>
      </c>
      <c r="AB29" s="26">
        <f>ROUND(Y29/0.15,2)</f>
        <v>0.21</v>
      </c>
      <c r="AC29" s="21">
        <f t="shared" si="42"/>
        <v>5</v>
      </c>
      <c r="AD29" s="134">
        <f t="shared" si="43"/>
        <v>5</v>
      </c>
      <c r="AE29" s="22">
        <f t="shared" si="44"/>
        <v>5</v>
      </c>
      <c r="AF29" s="14"/>
      <c r="AG29" s="14"/>
      <c r="AH29" s="14"/>
      <c r="AI29" s="13"/>
      <c r="AJ29" s="13"/>
      <c r="AK29" s="13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</row>
    <row r="30" spans="1:48" ht="13.15" customHeight="1">
      <c r="A30" s="63">
        <v>14284</v>
      </c>
      <c r="B30" s="63" t="s">
        <v>177</v>
      </c>
      <c r="C30" s="27" t="str">
        <f>Rollover!A30</f>
        <v xml:space="preserve">Jeep </v>
      </c>
      <c r="D30" s="47" t="str">
        <f>Rollover!B30</f>
        <v>Grand Cherokee SUV 4WD</v>
      </c>
      <c r="E30" s="9" t="s">
        <v>125</v>
      </c>
      <c r="F30" s="133">
        <f>Rollover!C30</f>
        <v>2023</v>
      </c>
      <c r="G30" s="10">
        <v>87.034999999999997</v>
      </c>
      <c r="H30" s="11">
        <v>21.468</v>
      </c>
      <c r="I30" s="11">
        <v>24.266999999999999</v>
      </c>
      <c r="J30" s="11">
        <v>855.88699999999994</v>
      </c>
      <c r="K30" s="12">
        <v>1045.3900000000001</v>
      </c>
      <c r="L30" s="10">
        <v>163.732</v>
      </c>
      <c r="M30" s="11">
        <v>15.403</v>
      </c>
      <c r="N30" s="11">
        <v>38.738999999999997</v>
      </c>
      <c r="O30" s="11">
        <v>28.488</v>
      </c>
      <c r="P30" s="12">
        <v>2343.462</v>
      </c>
      <c r="Q30" s="23">
        <f t="shared" si="30"/>
        <v>2.7272821706389078E-5</v>
      </c>
      <c r="R30" s="5">
        <f t="shared" si="31"/>
        <v>3.1780965364620432E-2</v>
      </c>
      <c r="S30" s="5">
        <f t="shared" si="32"/>
        <v>1.4559672441086009E-2</v>
      </c>
      <c r="T30" s="24">
        <f t="shared" si="33"/>
        <v>1.5828075767440083E-3</v>
      </c>
      <c r="U30" s="23">
        <f t="shared" si="34"/>
        <v>7.3314465768704363E-4</v>
      </c>
      <c r="V30" s="24">
        <f t="shared" si="35"/>
        <v>1.626012493221983E-2</v>
      </c>
      <c r="W30" s="23">
        <f t="shared" si="36"/>
        <v>4.7E-2</v>
      </c>
      <c r="X30" s="5">
        <f t="shared" si="37"/>
        <v>1.7000000000000001E-2</v>
      </c>
      <c r="Y30" s="24">
        <f t="shared" si="38"/>
        <v>3.2000000000000001E-2</v>
      </c>
      <c r="Z30" s="25">
        <f t="shared" si="39"/>
        <v>0.31</v>
      </c>
      <c r="AA30" s="88">
        <f t="shared" si="40"/>
        <v>0.11</v>
      </c>
      <c r="AB30" s="26">
        <f t="shared" si="41"/>
        <v>0.21</v>
      </c>
      <c r="AC30" s="21">
        <f t="shared" si="42"/>
        <v>5</v>
      </c>
      <c r="AD30" s="134">
        <f t="shared" si="43"/>
        <v>5</v>
      </c>
      <c r="AE30" s="22">
        <f t="shared" si="44"/>
        <v>5</v>
      </c>
      <c r="AF30" s="14"/>
      <c r="AG30" s="14"/>
      <c r="AH30" s="14"/>
      <c r="AI30" s="13"/>
      <c r="AJ30" s="13"/>
      <c r="AK30" s="13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</row>
    <row r="31" spans="1:48" ht="13.15" customHeight="1">
      <c r="A31" s="63">
        <v>14263</v>
      </c>
      <c r="B31" s="63" t="s">
        <v>178</v>
      </c>
      <c r="C31" s="132" t="str">
        <f>Rollover!A31</f>
        <v>Jeep</v>
      </c>
      <c r="D31" s="9" t="str">
        <f>Rollover!B31</f>
        <v>Grand Cherokee L SUV RWD</v>
      </c>
      <c r="E31" s="9" t="s">
        <v>134</v>
      </c>
      <c r="F31" s="133">
        <f>Rollover!C31</f>
        <v>2023</v>
      </c>
      <c r="G31" s="10">
        <v>89.466999999999999</v>
      </c>
      <c r="H31" s="11">
        <v>19.847999999999999</v>
      </c>
      <c r="I31" s="11">
        <v>26.631</v>
      </c>
      <c r="J31" s="11">
        <v>654.84299999999996</v>
      </c>
      <c r="K31" s="12">
        <v>1226.6030000000001</v>
      </c>
      <c r="L31" s="10">
        <v>91.754999999999995</v>
      </c>
      <c r="M31" s="11">
        <v>11.555999999999999</v>
      </c>
      <c r="N31" s="11">
        <v>33.531999999999996</v>
      </c>
      <c r="O31" s="11">
        <v>26.486000000000001</v>
      </c>
      <c r="P31" s="12">
        <v>1669.9090000000001</v>
      </c>
      <c r="Q31" s="23">
        <f t="shared" si="30"/>
        <v>3.1939954132623259E-5</v>
      </c>
      <c r="R31" s="5">
        <f t="shared" si="31"/>
        <v>2.7505757734622802E-2</v>
      </c>
      <c r="S31" s="5">
        <f t="shared" si="32"/>
        <v>9.5307077688838848E-3</v>
      </c>
      <c r="T31" s="24">
        <f t="shared" si="33"/>
        <v>1.9312846957732083E-3</v>
      </c>
      <c r="U31" s="23">
        <f t="shared" si="34"/>
        <v>3.6871480710660846E-5</v>
      </c>
      <c r="V31" s="24">
        <f t="shared" si="35"/>
        <v>8.6992121820302984E-3</v>
      </c>
      <c r="W31" s="23">
        <f t="shared" si="36"/>
        <v>3.9E-2</v>
      </c>
      <c r="X31" s="5">
        <f t="shared" si="37"/>
        <v>8.9999999999999993E-3</v>
      </c>
      <c r="Y31" s="24">
        <f t="shared" si="38"/>
        <v>2.4E-2</v>
      </c>
      <c r="Z31" s="25">
        <f t="shared" si="39"/>
        <v>0.26</v>
      </c>
      <c r="AA31" s="88">
        <f t="shared" si="40"/>
        <v>0.06</v>
      </c>
      <c r="AB31" s="26">
        <f t="shared" si="41"/>
        <v>0.16</v>
      </c>
      <c r="AC31" s="21">
        <f t="shared" si="42"/>
        <v>5</v>
      </c>
      <c r="AD31" s="134">
        <f t="shared" si="43"/>
        <v>5</v>
      </c>
      <c r="AE31" s="22">
        <f t="shared" si="44"/>
        <v>5</v>
      </c>
      <c r="AF31" s="14"/>
      <c r="AG31" s="14"/>
      <c r="AH31" s="14"/>
      <c r="AI31" s="13"/>
      <c r="AJ31" s="13"/>
      <c r="AK31" s="13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48" ht="13.15" customHeight="1">
      <c r="A32" s="63">
        <v>14263</v>
      </c>
      <c r="B32" s="63" t="s">
        <v>178</v>
      </c>
      <c r="C32" s="132" t="str">
        <f>Rollover!A32</f>
        <v>Jeep</v>
      </c>
      <c r="D32" s="9" t="str">
        <f>Rollover!B32</f>
        <v>Grand Cherokee L SUV 4WD</v>
      </c>
      <c r="E32" s="9" t="s">
        <v>134</v>
      </c>
      <c r="F32" s="133">
        <f>Rollover!C32</f>
        <v>2023</v>
      </c>
      <c r="G32" s="10">
        <v>89.466999999999999</v>
      </c>
      <c r="H32" s="11">
        <v>19.847999999999999</v>
      </c>
      <c r="I32" s="11">
        <v>26.631</v>
      </c>
      <c r="J32" s="11">
        <v>654.84299999999996</v>
      </c>
      <c r="K32" s="12">
        <v>1226.6030000000001</v>
      </c>
      <c r="L32" s="10">
        <v>91.754999999999995</v>
      </c>
      <c r="M32" s="11">
        <v>11.555999999999999</v>
      </c>
      <c r="N32" s="11">
        <v>33.531999999999996</v>
      </c>
      <c r="O32" s="11">
        <v>26.486000000000001</v>
      </c>
      <c r="P32" s="12">
        <v>1669.9090000000001</v>
      </c>
      <c r="Q32" s="23">
        <f t="shared" si="30"/>
        <v>3.1939954132623259E-5</v>
      </c>
      <c r="R32" s="5">
        <f t="shared" si="31"/>
        <v>2.7505757734622802E-2</v>
      </c>
      <c r="S32" s="5">
        <f t="shared" si="32"/>
        <v>9.5307077688838848E-3</v>
      </c>
      <c r="T32" s="24">
        <f t="shared" si="33"/>
        <v>1.9312846957732083E-3</v>
      </c>
      <c r="U32" s="23">
        <f t="shared" si="34"/>
        <v>3.6871480710660846E-5</v>
      </c>
      <c r="V32" s="24">
        <f t="shared" si="35"/>
        <v>8.6992121820302984E-3</v>
      </c>
      <c r="W32" s="23">
        <f t="shared" si="36"/>
        <v>3.9E-2</v>
      </c>
      <c r="X32" s="5">
        <f t="shared" si="37"/>
        <v>8.9999999999999993E-3</v>
      </c>
      <c r="Y32" s="24">
        <f t="shared" si="38"/>
        <v>2.4E-2</v>
      </c>
      <c r="Z32" s="25">
        <f t="shared" si="39"/>
        <v>0.26</v>
      </c>
      <c r="AA32" s="88">
        <f t="shared" si="40"/>
        <v>0.06</v>
      </c>
      <c r="AB32" s="26">
        <f t="shared" si="41"/>
        <v>0.16</v>
      </c>
      <c r="AC32" s="21">
        <f t="shared" si="42"/>
        <v>5</v>
      </c>
      <c r="AD32" s="134">
        <f t="shared" si="43"/>
        <v>5</v>
      </c>
      <c r="AE32" s="22">
        <f t="shared" si="44"/>
        <v>5</v>
      </c>
      <c r="AF32" s="14"/>
      <c r="AG32" s="14"/>
      <c r="AH32" s="14"/>
      <c r="AI32" s="13"/>
      <c r="AJ32" s="13"/>
      <c r="AK32" s="13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</row>
    <row r="33" spans="1:48" ht="13.15" customHeight="1">
      <c r="A33" s="63">
        <v>14286</v>
      </c>
      <c r="B33" s="63" t="s">
        <v>179</v>
      </c>
      <c r="C33" s="27" t="str">
        <f>Rollover!A33</f>
        <v>Jeep</v>
      </c>
      <c r="D33" s="47" t="str">
        <f>Rollover!B33</f>
        <v>Grand Cherokee 4xe PHEV SUV 4WD</v>
      </c>
      <c r="E33" s="9" t="s">
        <v>122</v>
      </c>
      <c r="F33" s="133">
        <f>Rollover!C33</f>
        <v>2023</v>
      </c>
      <c r="G33" s="10">
        <v>60.040999999999997</v>
      </c>
      <c r="H33" s="11">
        <v>16.465</v>
      </c>
      <c r="I33" s="11">
        <v>16.882000000000001</v>
      </c>
      <c r="J33" s="11">
        <v>580.12800000000004</v>
      </c>
      <c r="K33" s="12">
        <v>671.43600000000004</v>
      </c>
      <c r="L33" s="10">
        <v>127.23399999999999</v>
      </c>
      <c r="M33" s="11">
        <v>12.789</v>
      </c>
      <c r="N33" s="11">
        <v>35.588000000000001</v>
      </c>
      <c r="O33" s="11">
        <v>27.959</v>
      </c>
      <c r="P33" s="12">
        <v>2479.739</v>
      </c>
      <c r="Q33" s="23">
        <f t="shared" si="30"/>
        <v>2.8531318335332454E-6</v>
      </c>
      <c r="R33" s="5">
        <f t="shared" si="31"/>
        <v>2.0305151933019204E-2</v>
      </c>
      <c r="S33" s="5">
        <f t="shared" si="32"/>
        <v>8.1381013750321703E-3</v>
      </c>
      <c r="T33" s="24">
        <f t="shared" si="33"/>
        <v>1.0495744049560044E-3</v>
      </c>
      <c r="U33" s="23">
        <f t="shared" si="34"/>
        <v>2.1407290752320041E-4</v>
      </c>
      <c r="V33" s="24">
        <f t="shared" si="35"/>
        <v>1.8441368129272512E-2</v>
      </c>
      <c r="W33" s="23">
        <f t="shared" si="36"/>
        <v>2.9000000000000001E-2</v>
      </c>
      <c r="X33" s="5">
        <f t="shared" si="37"/>
        <v>1.9E-2</v>
      </c>
      <c r="Y33" s="24">
        <f t="shared" si="38"/>
        <v>2.4E-2</v>
      </c>
      <c r="Z33" s="25">
        <f t="shared" si="39"/>
        <v>0.19</v>
      </c>
      <c r="AA33" s="88">
        <f t="shared" si="40"/>
        <v>0.13</v>
      </c>
      <c r="AB33" s="26">
        <f t="shared" si="41"/>
        <v>0.16</v>
      </c>
      <c r="AC33" s="21">
        <f t="shared" si="42"/>
        <v>5</v>
      </c>
      <c r="AD33" s="134">
        <f t="shared" si="43"/>
        <v>5</v>
      </c>
      <c r="AE33" s="22">
        <f t="shared" si="44"/>
        <v>5</v>
      </c>
      <c r="AF33" s="14"/>
      <c r="AG33" s="14"/>
      <c r="AH33" s="14"/>
      <c r="AI33" s="13"/>
      <c r="AJ33" s="13"/>
      <c r="AK33" s="13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>
      <c r="A34" s="16"/>
      <c r="B34" s="131"/>
      <c r="C34" s="27" t="str">
        <f>Rollover!A34</f>
        <v>Jeep</v>
      </c>
      <c r="D34" s="47" t="str">
        <f>Rollover!B34</f>
        <v>Wrangler 4xe SUV PHEV 4WD</v>
      </c>
      <c r="E34" s="9"/>
      <c r="F34" s="133">
        <f>Rollover!C34</f>
        <v>2023</v>
      </c>
      <c r="G34" s="17"/>
      <c r="H34" s="18"/>
      <c r="I34" s="18"/>
      <c r="J34" s="18"/>
      <c r="K34" s="19"/>
      <c r="L34" s="17"/>
      <c r="M34" s="18"/>
      <c r="N34" s="18"/>
      <c r="O34" s="18"/>
      <c r="P34" s="19"/>
      <c r="Q34" s="23" t="e">
        <f t="shared" si="15"/>
        <v>#NUM!</v>
      </c>
      <c r="R34" s="5">
        <f t="shared" si="16"/>
        <v>4.5435171224880964E-3</v>
      </c>
      <c r="S34" s="5">
        <f t="shared" si="17"/>
        <v>2.3748578822706131E-3</v>
      </c>
      <c r="T34" s="24">
        <f t="shared" si="18"/>
        <v>5.0175335722563109E-4</v>
      </c>
      <c r="U34" s="23" t="e">
        <f t="shared" si="19"/>
        <v>#NUM!</v>
      </c>
      <c r="V34" s="24">
        <f t="shared" si="20"/>
        <v>1.8229037773026034E-3</v>
      </c>
      <c r="W34" s="23" t="e">
        <f t="shared" si="21"/>
        <v>#NUM!</v>
      </c>
      <c r="X34" s="5" t="e">
        <f t="shared" si="22"/>
        <v>#NUM!</v>
      </c>
      <c r="Y34" s="24" t="e">
        <f t="shared" si="23"/>
        <v>#NUM!</v>
      </c>
      <c r="Z34" s="25" t="e">
        <f t="shared" si="24"/>
        <v>#NUM!</v>
      </c>
      <c r="AA34" s="88" t="e">
        <f t="shared" si="25"/>
        <v>#NUM!</v>
      </c>
      <c r="AB34" s="26" t="e">
        <f t="shared" si="26"/>
        <v>#NUM!</v>
      </c>
      <c r="AC34" s="21" t="e">
        <f t="shared" si="27"/>
        <v>#NUM!</v>
      </c>
      <c r="AD34" s="134" t="e">
        <f t="shared" si="28"/>
        <v>#NUM!</v>
      </c>
      <c r="AE34" s="22" t="e">
        <f t="shared" si="29"/>
        <v>#NUM!</v>
      </c>
      <c r="AF34" s="14"/>
      <c r="AG34" s="14"/>
      <c r="AH34" s="14"/>
      <c r="AI34" s="13"/>
      <c r="AJ34" s="13"/>
      <c r="AK34" s="13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>
      <c r="A35" s="63">
        <v>14279</v>
      </c>
      <c r="B35" s="131" t="s">
        <v>180</v>
      </c>
      <c r="C35" s="27" t="str">
        <f>Rollover!A35</f>
        <v>Kia</v>
      </c>
      <c r="D35" s="47" t="str">
        <f>Rollover!B35</f>
        <v>Sportage SUV FWD</v>
      </c>
      <c r="E35" s="9" t="s">
        <v>122</v>
      </c>
      <c r="F35" s="133">
        <f>Rollover!C35</f>
        <v>2023</v>
      </c>
      <c r="G35" s="10">
        <v>64.322999999999993</v>
      </c>
      <c r="H35" s="11">
        <v>21.84</v>
      </c>
      <c r="I35" s="11">
        <v>29.079000000000001</v>
      </c>
      <c r="J35" s="11">
        <v>1060.3699999999999</v>
      </c>
      <c r="K35" s="12">
        <v>1155.624</v>
      </c>
      <c r="L35" s="10">
        <v>118.084</v>
      </c>
      <c r="M35" s="11">
        <v>9.9550000000000001</v>
      </c>
      <c r="N35" s="11">
        <v>48.423999999999999</v>
      </c>
      <c r="O35" s="11">
        <v>39.161999999999999</v>
      </c>
      <c r="P35" s="12">
        <v>2531.7779999999998</v>
      </c>
      <c r="Q35" s="23">
        <f t="shared" si="15"/>
        <v>4.4172557013024087E-6</v>
      </c>
      <c r="R35" s="5">
        <f t="shared" si="16"/>
        <v>3.2849931928341576E-2</v>
      </c>
      <c r="S35" s="5">
        <f t="shared" si="17"/>
        <v>2.2342454564349547E-2</v>
      </c>
      <c r="T35" s="24">
        <f t="shared" si="18"/>
        <v>1.7864914094789838E-3</v>
      </c>
      <c r="U35" s="23">
        <f t="shared" si="19"/>
        <v>1.4562861671688648E-4</v>
      </c>
      <c r="V35" s="24">
        <f t="shared" si="20"/>
        <v>1.9347998512623452E-2</v>
      </c>
      <c r="W35" s="23">
        <f t="shared" si="21"/>
        <v>5.6000000000000001E-2</v>
      </c>
      <c r="X35" s="5">
        <f t="shared" si="22"/>
        <v>1.9E-2</v>
      </c>
      <c r="Y35" s="24">
        <f t="shared" si="23"/>
        <v>3.7999999999999999E-2</v>
      </c>
      <c r="Z35" s="25">
        <f t="shared" si="24"/>
        <v>0.37</v>
      </c>
      <c r="AA35" s="88">
        <f t="shared" si="25"/>
        <v>0.13</v>
      </c>
      <c r="AB35" s="26">
        <f t="shared" si="26"/>
        <v>0.25</v>
      </c>
      <c r="AC35" s="21">
        <f t="shared" si="27"/>
        <v>5</v>
      </c>
      <c r="AD35" s="134">
        <f t="shared" si="28"/>
        <v>5</v>
      </c>
      <c r="AE35" s="22">
        <f t="shared" si="29"/>
        <v>5</v>
      </c>
      <c r="AF35" s="14"/>
      <c r="AG35" s="14"/>
      <c r="AH35" s="14"/>
      <c r="AI35" s="13"/>
      <c r="AJ35" s="13"/>
      <c r="AK35" s="13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48" ht="13.5" customHeight="1">
      <c r="A36" s="63">
        <v>14279</v>
      </c>
      <c r="B36" s="131" t="s">
        <v>180</v>
      </c>
      <c r="C36" s="27" t="str">
        <f>Rollover!A36</f>
        <v>Kia</v>
      </c>
      <c r="D36" s="47" t="str">
        <f>Rollover!B36</f>
        <v>Sportage SUV AWD</v>
      </c>
      <c r="E36" s="9" t="s">
        <v>122</v>
      </c>
      <c r="F36" s="133">
        <f>Rollover!C36</f>
        <v>2023</v>
      </c>
      <c r="G36" s="10">
        <v>64.322999999999993</v>
      </c>
      <c r="H36" s="11">
        <v>21.84</v>
      </c>
      <c r="I36" s="11">
        <v>29.079000000000001</v>
      </c>
      <c r="J36" s="11">
        <v>1060.3699999999999</v>
      </c>
      <c r="K36" s="12">
        <v>1155.624</v>
      </c>
      <c r="L36" s="10">
        <v>118.084</v>
      </c>
      <c r="M36" s="11">
        <v>9.9550000000000001</v>
      </c>
      <c r="N36" s="11">
        <v>48.423999999999999</v>
      </c>
      <c r="O36" s="11">
        <v>39.161999999999999</v>
      </c>
      <c r="P36" s="12">
        <v>2531.7779999999998</v>
      </c>
      <c r="Q36" s="23">
        <f t="shared" si="15"/>
        <v>4.4172557013024087E-6</v>
      </c>
      <c r="R36" s="5">
        <f t="shared" si="16"/>
        <v>3.2849931928341576E-2</v>
      </c>
      <c r="S36" s="5">
        <f t="shared" si="17"/>
        <v>2.2342454564349547E-2</v>
      </c>
      <c r="T36" s="24">
        <f t="shared" si="18"/>
        <v>1.7864914094789838E-3</v>
      </c>
      <c r="U36" s="23">
        <f t="shared" si="19"/>
        <v>1.4562861671688648E-4</v>
      </c>
      <c r="V36" s="24">
        <f t="shared" si="20"/>
        <v>1.9347998512623452E-2</v>
      </c>
      <c r="W36" s="23">
        <f t="shared" si="21"/>
        <v>5.6000000000000001E-2</v>
      </c>
      <c r="X36" s="5">
        <f t="shared" si="22"/>
        <v>1.9E-2</v>
      </c>
      <c r="Y36" s="24">
        <f t="shared" si="23"/>
        <v>3.7999999999999999E-2</v>
      </c>
      <c r="Z36" s="25">
        <f t="shared" si="24"/>
        <v>0.37</v>
      </c>
      <c r="AA36" s="88">
        <f t="shared" si="25"/>
        <v>0.13</v>
      </c>
      <c r="AB36" s="26">
        <f t="shared" si="26"/>
        <v>0.25</v>
      </c>
      <c r="AC36" s="21">
        <f t="shared" si="27"/>
        <v>5</v>
      </c>
      <c r="AD36" s="134">
        <f t="shared" si="28"/>
        <v>5</v>
      </c>
      <c r="AE36" s="22">
        <f t="shared" si="29"/>
        <v>5</v>
      </c>
      <c r="AF36" s="14"/>
      <c r="AG36" s="14"/>
      <c r="AH36" s="14"/>
      <c r="AI36" s="13"/>
      <c r="AJ36" s="13"/>
      <c r="AK36" s="13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>
      <c r="A37" s="63">
        <v>14279</v>
      </c>
      <c r="B37" s="131" t="s">
        <v>180</v>
      </c>
      <c r="C37" s="132" t="str">
        <f>Rollover!A37</f>
        <v>Kia</v>
      </c>
      <c r="D37" s="9" t="str">
        <f>Rollover!B37</f>
        <v>Sportage Hybrid SUV FWD</v>
      </c>
      <c r="E37" s="9" t="s">
        <v>122</v>
      </c>
      <c r="F37" s="133">
        <f>Rollover!C37</f>
        <v>2023</v>
      </c>
      <c r="G37" s="10">
        <v>64.322999999999993</v>
      </c>
      <c r="H37" s="11">
        <v>21.84</v>
      </c>
      <c r="I37" s="11">
        <v>29.079000000000001</v>
      </c>
      <c r="J37" s="11">
        <v>1060.3699999999999</v>
      </c>
      <c r="K37" s="12">
        <v>1155.624</v>
      </c>
      <c r="L37" s="10">
        <v>118.084</v>
      </c>
      <c r="M37" s="11">
        <v>9.9550000000000001</v>
      </c>
      <c r="N37" s="11">
        <v>48.423999999999999</v>
      </c>
      <c r="O37" s="11">
        <v>39.161999999999999</v>
      </c>
      <c r="P37" s="12">
        <v>2531.7779999999998</v>
      </c>
      <c r="Q37" s="23">
        <f t="shared" si="15"/>
        <v>4.4172557013024087E-6</v>
      </c>
      <c r="R37" s="5">
        <f t="shared" si="16"/>
        <v>3.2849931928341576E-2</v>
      </c>
      <c r="S37" s="5">
        <f t="shared" si="17"/>
        <v>2.2342454564349547E-2</v>
      </c>
      <c r="T37" s="24">
        <f t="shared" si="18"/>
        <v>1.7864914094789838E-3</v>
      </c>
      <c r="U37" s="23">
        <f t="shared" si="19"/>
        <v>1.4562861671688648E-4</v>
      </c>
      <c r="V37" s="24">
        <f t="shared" si="20"/>
        <v>1.9347998512623452E-2</v>
      </c>
      <c r="W37" s="23">
        <f t="shared" si="21"/>
        <v>5.6000000000000001E-2</v>
      </c>
      <c r="X37" s="5">
        <f t="shared" si="22"/>
        <v>1.9E-2</v>
      </c>
      <c r="Y37" s="24">
        <f t="shared" si="23"/>
        <v>3.7999999999999999E-2</v>
      </c>
      <c r="Z37" s="25">
        <f t="shared" si="24"/>
        <v>0.37</v>
      </c>
      <c r="AA37" s="88">
        <f t="shared" si="25"/>
        <v>0.13</v>
      </c>
      <c r="AB37" s="26">
        <f t="shared" si="26"/>
        <v>0.25</v>
      </c>
      <c r="AC37" s="21">
        <f t="shared" si="27"/>
        <v>5</v>
      </c>
      <c r="AD37" s="134">
        <f t="shared" si="28"/>
        <v>5</v>
      </c>
      <c r="AE37" s="22">
        <f t="shared" si="29"/>
        <v>5</v>
      </c>
      <c r="AF37" s="14"/>
      <c r="AG37" s="14"/>
      <c r="AH37" s="14"/>
      <c r="AI37" s="13"/>
      <c r="AJ37" s="13"/>
      <c r="AK37" s="13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ht="30.75" customHeight="1">
      <c r="A38" s="63">
        <v>14279</v>
      </c>
      <c r="B38" s="131" t="s">
        <v>180</v>
      </c>
      <c r="C38" s="132" t="str">
        <f>Rollover!A38</f>
        <v>Kia</v>
      </c>
      <c r="D38" s="9" t="str">
        <f>Rollover!B38</f>
        <v>Sportage Hybrid SUV AWD</v>
      </c>
      <c r="E38" s="9" t="s">
        <v>122</v>
      </c>
      <c r="F38" s="133">
        <f>Rollover!C38</f>
        <v>2023</v>
      </c>
      <c r="G38" s="10">
        <v>64.322999999999993</v>
      </c>
      <c r="H38" s="11">
        <v>21.84</v>
      </c>
      <c r="I38" s="11">
        <v>29.079000000000001</v>
      </c>
      <c r="J38" s="11">
        <v>1060.3699999999999</v>
      </c>
      <c r="K38" s="12">
        <v>1155.624</v>
      </c>
      <c r="L38" s="10">
        <v>118.084</v>
      </c>
      <c r="M38" s="11">
        <v>9.9550000000000001</v>
      </c>
      <c r="N38" s="11">
        <v>48.423999999999999</v>
      </c>
      <c r="O38" s="11">
        <v>39.161999999999999</v>
      </c>
      <c r="P38" s="12">
        <v>2531.7779999999998</v>
      </c>
      <c r="Q38" s="23">
        <f t="shared" si="15"/>
        <v>4.4172557013024087E-6</v>
      </c>
      <c r="R38" s="5">
        <f t="shared" si="16"/>
        <v>3.2849931928341576E-2</v>
      </c>
      <c r="S38" s="5">
        <f t="shared" si="17"/>
        <v>2.2342454564349547E-2</v>
      </c>
      <c r="T38" s="24">
        <f t="shared" si="18"/>
        <v>1.7864914094789838E-3</v>
      </c>
      <c r="U38" s="23">
        <f t="shared" si="19"/>
        <v>1.4562861671688648E-4</v>
      </c>
      <c r="V38" s="24">
        <f t="shared" si="20"/>
        <v>1.9347998512623452E-2</v>
      </c>
      <c r="W38" s="23">
        <f t="shared" si="21"/>
        <v>5.6000000000000001E-2</v>
      </c>
      <c r="X38" s="5">
        <f t="shared" si="22"/>
        <v>1.9E-2</v>
      </c>
      <c r="Y38" s="24">
        <f t="shared" si="23"/>
        <v>3.7999999999999999E-2</v>
      </c>
      <c r="Z38" s="25">
        <f t="shared" si="24"/>
        <v>0.37</v>
      </c>
      <c r="AA38" s="88">
        <f t="shared" si="25"/>
        <v>0.13</v>
      </c>
      <c r="AB38" s="26">
        <f t="shared" si="26"/>
        <v>0.25</v>
      </c>
      <c r="AC38" s="21">
        <f t="shared" si="27"/>
        <v>5</v>
      </c>
      <c r="AD38" s="134">
        <f t="shared" si="28"/>
        <v>5</v>
      </c>
      <c r="AE38" s="22">
        <f t="shared" si="29"/>
        <v>5</v>
      </c>
      <c r="AF38" s="14"/>
      <c r="AG38" s="14"/>
      <c r="AH38" s="14"/>
      <c r="AI38" s="13"/>
      <c r="AJ38" s="13"/>
      <c r="AK38" s="13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>
      <c r="A39" s="63">
        <v>14388</v>
      </c>
      <c r="B39" s="131" t="s">
        <v>181</v>
      </c>
      <c r="C39" s="27" t="str">
        <f>Rollover!A39</f>
        <v>Kia</v>
      </c>
      <c r="D39" s="47" t="str">
        <f>Rollover!B39</f>
        <v>Telluride SUV FWD</v>
      </c>
      <c r="E39" s="9" t="s">
        <v>120</v>
      </c>
      <c r="F39" s="133">
        <f>Rollover!C39</f>
        <v>2023</v>
      </c>
      <c r="G39" s="10">
        <v>31.978000000000002</v>
      </c>
      <c r="H39" s="11">
        <v>15.228</v>
      </c>
      <c r="I39" s="11">
        <v>21.713999999999999</v>
      </c>
      <c r="J39" s="11">
        <v>371.428</v>
      </c>
      <c r="K39" s="12">
        <v>1520.319</v>
      </c>
      <c r="L39" s="10">
        <v>46.414000000000001</v>
      </c>
      <c r="M39" s="11">
        <v>11.624000000000001</v>
      </c>
      <c r="N39" s="11">
        <v>39.034999999999997</v>
      </c>
      <c r="O39" s="11">
        <v>13.321999999999999</v>
      </c>
      <c r="P39" s="12">
        <v>1293.3530000000001</v>
      </c>
      <c r="Q39" s="23">
        <f t="shared" si="15"/>
        <v>3.5556249261597266E-8</v>
      </c>
      <c r="R39" s="5">
        <f t="shared" si="16"/>
        <v>1.8162856426753395E-2</v>
      </c>
      <c r="S39" s="5">
        <f t="shared" si="17"/>
        <v>5.2295640392780833E-3</v>
      </c>
      <c r="T39" s="24">
        <f t="shared" si="18"/>
        <v>2.6658867259209129E-3</v>
      </c>
      <c r="U39" s="23">
        <f t="shared" si="19"/>
        <v>5.1747579192785766E-7</v>
      </c>
      <c r="V39" s="24">
        <f t="shared" si="20"/>
        <v>6.1218627480098264E-3</v>
      </c>
      <c r="W39" s="23">
        <f t="shared" si="21"/>
        <v>2.5999999999999999E-2</v>
      </c>
      <c r="X39" s="5">
        <f t="shared" si="22"/>
        <v>6.0000000000000001E-3</v>
      </c>
      <c r="Y39" s="24">
        <f t="shared" si="23"/>
        <v>1.6E-2</v>
      </c>
      <c r="Z39" s="25">
        <f t="shared" si="24"/>
        <v>0.17</v>
      </c>
      <c r="AA39" s="88">
        <f t="shared" si="25"/>
        <v>0.04</v>
      </c>
      <c r="AB39" s="26">
        <f t="shared" si="26"/>
        <v>0.11</v>
      </c>
      <c r="AC39" s="21">
        <f t="shared" si="27"/>
        <v>5</v>
      </c>
      <c r="AD39" s="134">
        <f t="shared" si="28"/>
        <v>5</v>
      </c>
      <c r="AE39" s="22">
        <f t="shared" si="29"/>
        <v>5</v>
      </c>
      <c r="AF39" s="14"/>
      <c r="AG39" s="14"/>
      <c r="AH39" s="14"/>
      <c r="AI39" s="13"/>
      <c r="AJ39" s="13"/>
      <c r="AK39" s="13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>
      <c r="A40" s="63">
        <v>14388</v>
      </c>
      <c r="B40" s="131" t="s">
        <v>181</v>
      </c>
      <c r="C40" s="27" t="str">
        <f>Rollover!A40</f>
        <v>Kia</v>
      </c>
      <c r="D40" s="47" t="str">
        <f>Rollover!B40</f>
        <v>Telluride SUV AWD</v>
      </c>
      <c r="E40" s="9" t="s">
        <v>120</v>
      </c>
      <c r="F40" s="133">
        <f>Rollover!C40</f>
        <v>2023</v>
      </c>
      <c r="G40" s="10">
        <v>31.978000000000002</v>
      </c>
      <c r="H40" s="11">
        <v>15.228</v>
      </c>
      <c r="I40" s="11">
        <v>21.713999999999999</v>
      </c>
      <c r="J40" s="11">
        <v>371.428</v>
      </c>
      <c r="K40" s="12">
        <v>1520.319</v>
      </c>
      <c r="L40" s="10">
        <v>46.414000000000001</v>
      </c>
      <c r="M40" s="11">
        <v>11.624000000000001</v>
      </c>
      <c r="N40" s="11">
        <v>39.034999999999997</v>
      </c>
      <c r="O40" s="11">
        <v>13.321999999999999</v>
      </c>
      <c r="P40" s="12">
        <v>1293.3530000000001</v>
      </c>
      <c r="Q40" s="23">
        <f t="shared" si="15"/>
        <v>3.5556249261597266E-8</v>
      </c>
      <c r="R40" s="5">
        <f t="shared" si="16"/>
        <v>1.8162856426753395E-2</v>
      </c>
      <c r="S40" s="5">
        <f t="shared" si="17"/>
        <v>5.2295640392780833E-3</v>
      </c>
      <c r="T40" s="24">
        <f t="shared" si="18"/>
        <v>2.6658867259209129E-3</v>
      </c>
      <c r="U40" s="23">
        <f t="shared" si="19"/>
        <v>5.1747579192785766E-7</v>
      </c>
      <c r="V40" s="24">
        <f t="shared" si="20"/>
        <v>6.1218627480098264E-3</v>
      </c>
      <c r="W40" s="23">
        <f t="shared" si="21"/>
        <v>2.5999999999999999E-2</v>
      </c>
      <c r="X40" s="5">
        <f t="shared" si="22"/>
        <v>6.0000000000000001E-3</v>
      </c>
      <c r="Y40" s="24">
        <f t="shared" si="23"/>
        <v>1.6E-2</v>
      </c>
      <c r="Z40" s="25">
        <f t="shared" si="24"/>
        <v>0.17</v>
      </c>
      <c r="AA40" s="88">
        <f t="shared" si="25"/>
        <v>0.04</v>
      </c>
      <c r="AB40" s="26">
        <f t="shared" si="26"/>
        <v>0.11</v>
      </c>
      <c r="AC40" s="21">
        <f t="shared" si="27"/>
        <v>5</v>
      </c>
      <c r="AD40" s="134">
        <f t="shared" si="28"/>
        <v>5</v>
      </c>
      <c r="AE40" s="22">
        <f t="shared" si="29"/>
        <v>5</v>
      </c>
      <c r="AF40" s="14"/>
      <c r="AG40" s="14"/>
      <c r="AH40" s="14"/>
      <c r="AI40" s="13"/>
      <c r="AJ40" s="13"/>
      <c r="AK40" s="13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>
      <c r="A41" s="63">
        <v>14328</v>
      </c>
      <c r="B41" s="131" t="s">
        <v>182</v>
      </c>
      <c r="C41" s="27" t="str">
        <f>Rollover!A41</f>
        <v>Kia</v>
      </c>
      <c r="D41" s="47" t="str">
        <f>Rollover!B41</f>
        <v>Niro HEV SUV FWD</v>
      </c>
      <c r="E41" s="9" t="s">
        <v>120</v>
      </c>
      <c r="F41" s="133">
        <f>Rollover!C41</f>
        <v>2023</v>
      </c>
      <c r="G41" s="10">
        <v>175.292</v>
      </c>
      <c r="H41" s="11">
        <v>20.443999999999999</v>
      </c>
      <c r="I41" s="11">
        <v>32.115000000000002</v>
      </c>
      <c r="J41" s="11">
        <v>960.22</v>
      </c>
      <c r="K41" s="12">
        <v>1554.8150000000001</v>
      </c>
      <c r="L41" s="10">
        <v>287.24400000000003</v>
      </c>
      <c r="M41" s="11">
        <v>41.128999999999998</v>
      </c>
      <c r="N41" s="11">
        <v>77.552999999999997</v>
      </c>
      <c r="O41" s="11">
        <v>33.265000000000001</v>
      </c>
      <c r="P41" s="12">
        <v>3599.21</v>
      </c>
      <c r="Q41" s="23">
        <f t="shared" si="15"/>
        <v>1.003889451656387E-3</v>
      </c>
      <c r="R41" s="5">
        <f t="shared" si="16"/>
        <v>2.900941329823882E-2</v>
      </c>
      <c r="S41" s="5">
        <f t="shared" si="17"/>
        <v>1.8122883554606645E-2</v>
      </c>
      <c r="T41" s="24">
        <f t="shared" si="18"/>
        <v>2.7687037083073095E-3</v>
      </c>
      <c r="U41" s="23">
        <f t="shared" si="19"/>
        <v>7.7249563618231633E-3</v>
      </c>
      <c r="V41" s="24">
        <f t="shared" si="20"/>
        <v>5.1064921115508345E-2</v>
      </c>
      <c r="W41" s="23">
        <f t="shared" si="21"/>
        <v>0.05</v>
      </c>
      <c r="X41" s="5">
        <f t="shared" si="22"/>
        <v>5.8000000000000003E-2</v>
      </c>
      <c r="Y41" s="24">
        <f t="shared" si="23"/>
        <v>5.3999999999999999E-2</v>
      </c>
      <c r="Z41" s="25">
        <f t="shared" si="24"/>
        <v>0.33</v>
      </c>
      <c r="AA41" s="88">
        <f t="shared" si="25"/>
        <v>0.39</v>
      </c>
      <c r="AB41" s="26">
        <f t="shared" si="26"/>
        <v>0.36</v>
      </c>
      <c r="AC41" s="21">
        <f t="shared" si="27"/>
        <v>5</v>
      </c>
      <c r="AD41" s="134">
        <f t="shared" si="28"/>
        <v>5</v>
      </c>
      <c r="AE41" s="22">
        <f t="shared" si="29"/>
        <v>5</v>
      </c>
      <c r="AF41" s="14"/>
      <c r="AG41" s="14"/>
      <c r="AH41" s="14"/>
      <c r="AI41" s="13"/>
      <c r="AJ41" s="13"/>
      <c r="AK41" s="13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ht="13.15" customHeight="1">
      <c r="A42" s="63">
        <v>14365</v>
      </c>
      <c r="B42" s="131" t="s">
        <v>183</v>
      </c>
      <c r="C42" s="27" t="str">
        <f>Rollover!A42</f>
        <v>Mazda</v>
      </c>
      <c r="D42" s="47" t="str">
        <f>Rollover!B42</f>
        <v>Mazda CX-50 SUV AWD</v>
      </c>
      <c r="E42" s="9" t="s">
        <v>120</v>
      </c>
      <c r="F42" s="133">
        <f>Rollover!C42</f>
        <v>2023</v>
      </c>
      <c r="G42" s="17">
        <v>49.404000000000003</v>
      </c>
      <c r="H42" s="18">
        <v>25.561</v>
      </c>
      <c r="I42" s="18">
        <v>27.722999999999999</v>
      </c>
      <c r="J42" s="18">
        <v>965.86800000000005</v>
      </c>
      <c r="K42" s="19">
        <v>1086.5730000000001</v>
      </c>
      <c r="L42" s="17">
        <v>82.25</v>
      </c>
      <c r="M42" s="18">
        <v>7.1779999999999999</v>
      </c>
      <c r="N42" s="18">
        <v>34.732999999999997</v>
      </c>
      <c r="O42" s="18">
        <v>11.451000000000001</v>
      </c>
      <c r="P42" s="19">
        <v>2421.9299999999998</v>
      </c>
      <c r="Q42" s="23">
        <f t="shared" ref="Q42" si="45">NORMDIST(LN(G42),7.45231,0.73998,1)</f>
        <v>7.9132521878317942E-7</v>
      </c>
      <c r="R42" s="5">
        <f t="shared" ref="R42" si="46">1/(1+EXP(5.3895-0.0919*H42))</f>
        <v>4.5631826520484448E-2</v>
      </c>
      <c r="S42" s="5">
        <f t="shared" ref="S42" si="47">1/(1+EXP(6.04044-0.002133*J42))</f>
        <v>1.8338505638342585E-2</v>
      </c>
      <c r="T42" s="24">
        <f t="shared" ref="T42" si="48">1/(1+EXP(7.5969-0.0011*K42))</f>
        <v>1.6560382739110111E-3</v>
      </c>
      <c r="U42" s="23">
        <f t="shared" ref="U42" si="49">NORMDIST(LN(L42),7.45231,0.73998,1)</f>
        <v>1.9641174018734702E-5</v>
      </c>
      <c r="V42" s="24">
        <f t="shared" ref="V42" si="50">1/(1+EXP(6.3055-0.00094*P42))</f>
        <v>1.7483049233381748E-2</v>
      </c>
      <c r="W42" s="23">
        <f t="shared" ref="W42" si="51">ROUND(1-(1-Q42)*(1-R42)*(1-S42)*(1-T42),3)</f>
        <v>6.5000000000000002E-2</v>
      </c>
      <c r="X42" s="5">
        <f t="shared" ref="X42" si="52">IF(L42="N/A",L42,ROUND(1-(1-U42)*(1-V42),3))</f>
        <v>1.7999999999999999E-2</v>
      </c>
      <c r="Y42" s="24">
        <f t="shared" ref="Y42" si="53">ROUND(AVERAGE(W42:X42),3)</f>
        <v>4.2000000000000003E-2</v>
      </c>
      <c r="Z42" s="25">
        <f t="shared" ref="Z42" si="54">ROUND(W42/0.15,2)</f>
        <v>0.43</v>
      </c>
      <c r="AA42" s="88">
        <f t="shared" ref="AA42" si="55">IF(L42="N/A", L42, ROUND(X42/0.15,2))</f>
        <v>0.12</v>
      </c>
      <c r="AB42" s="26">
        <f t="shared" ref="AB42" si="56">ROUND(Y42/0.15,2)</f>
        <v>0.28000000000000003</v>
      </c>
      <c r="AC42" s="21">
        <f t="shared" ref="AC42" si="57">IF(Z42&lt;0.67,5,IF(Z42&lt;1,4,IF(Z42&lt;1.33,3,IF(Z42&lt;2.67,2,1))))</f>
        <v>5</v>
      </c>
      <c r="AD42" s="134">
        <f t="shared" ref="AD42" si="58">IF(L42="N/A",L42,IF(AA42&lt;0.67,5,IF(AA42&lt;1,4,IF(AA42&lt;1.33,3,IF(AA42&lt;2.67,2,1)))))</f>
        <v>5</v>
      </c>
      <c r="AE42" s="22">
        <f t="shared" ref="AE42" si="59">IF(AB42&lt;0.67,5,IF(AB42&lt;1,4,IF(AB42&lt;1.33,3,IF(AB42&lt;2.67,2,1))))</f>
        <v>5</v>
      </c>
      <c r="AF42" s="14"/>
      <c r="AG42" s="14"/>
      <c r="AH42" s="14"/>
      <c r="AI42" s="13"/>
      <c r="AJ42" s="13"/>
      <c r="AK42" s="13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>
      <c r="A43" s="16">
        <v>14436</v>
      </c>
      <c r="B43" s="135" t="s">
        <v>184</v>
      </c>
      <c r="C43" s="27" t="str">
        <f>Rollover!A43</f>
        <v>Mazda</v>
      </c>
      <c r="D43" s="47" t="str">
        <f>Rollover!B43</f>
        <v>Mazda CX-30 SUV AWD</v>
      </c>
      <c r="E43" s="9" t="s">
        <v>122</v>
      </c>
      <c r="F43" s="133">
        <f>Rollover!C43</f>
        <v>2023</v>
      </c>
      <c r="G43" s="17">
        <v>59.972000000000001</v>
      </c>
      <c r="H43" s="18">
        <v>19.484000000000002</v>
      </c>
      <c r="I43" s="18">
        <v>25.251000000000001</v>
      </c>
      <c r="J43" s="18">
        <v>1024.876</v>
      </c>
      <c r="K43" s="19">
        <v>1062.0730000000001</v>
      </c>
      <c r="L43" s="17">
        <v>121.113</v>
      </c>
      <c r="M43" s="18">
        <v>13.856999999999999</v>
      </c>
      <c r="N43" s="18">
        <v>33.015000000000001</v>
      </c>
      <c r="O43" s="18">
        <v>14.083</v>
      </c>
      <c r="P43" s="19">
        <v>2772.3850000000002</v>
      </c>
      <c r="Q43" s="23">
        <f t="shared" si="15"/>
        <v>2.8321911802506649E-6</v>
      </c>
      <c r="R43" s="5">
        <f t="shared" si="16"/>
        <v>2.6624958271663411E-2</v>
      </c>
      <c r="S43" s="5">
        <f t="shared" si="17"/>
        <v>2.0747180537787863E-2</v>
      </c>
      <c r="T43" s="24">
        <f t="shared" si="18"/>
        <v>1.6120750549384109E-3</v>
      </c>
      <c r="U43" s="23">
        <f t="shared" si="19"/>
        <v>1.6614846413496467E-4</v>
      </c>
      <c r="V43" s="24">
        <f t="shared" si="20"/>
        <v>2.4139783694219673E-2</v>
      </c>
      <c r="W43" s="23">
        <f t="shared" si="21"/>
        <v>4.8000000000000001E-2</v>
      </c>
      <c r="X43" s="5">
        <f t="shared" si="22"/>
        <v>2.4E-2</v>
      </c>
      <c r="Y43" s="24">
        <f t="shared" si="23"/>
        <v>3.5999999999999997E-2</v>
      </c>
      <c r="Z43" s="25">
        <f t="shared" si="24"/>
        <v>0.32</v>
      </c>
      <c r="AA43" s="88">
        <f t="shared" si="25"/>
        <v>0.16</v>
      </c>
      <c r="AB43" s="26">
        <f t="shared" si="26"/>
        <v>0.24</v>
      </c>
      <c r="AC43" s="21">
        <f t="shared" si="27"/>
        <v>5</v>
      </c>
      <c r="AD43" s="134">
        <f t="shared" si="28"/>
        <v>5</v>
      </c>
      <c r="AE43" s="22">
        <f t="shared" si="29"/>
        <v>5</v>
      </c>
      <c r="AF43" s="14"/>
      <c r="AG43" s="14"/>
      <c r="AH43" s="14"/>
      <c r="AI43" s="13"/>
      <c r="AJ43" s="13"/>
      <c r="AK43" s="13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ht="13.15" customHeight="1">
      <c r="A44" s="63">
        <v>14298</v>
      </c>
      <c r="B44" s="131" t="s">
        <v>185</v>
      </c>
      <c r="C44" s="27" t="str">
        <f>Rollover!A44</f>
        <v xml:space="preserve">Mitsubishi </v>
      </c>
      <c r="D44" s="47" t="str">
        <f>Rollover!B44</f>
        <v>Outlander SUV FWD</v>
      </c>
      <c r="E44" s="9" t="s">
        <v>134</v>
      </c>
      <c r="F44" s="133">
        <f>Rollover!C44</f>
        <v>2023</v>
      </c>
      <c r="G44" s="10">
        <v>140.232</v>
      </c>
      <c r="H44" s="11">
        <v>21.132000000000001</v>
      </c>
      <c r="I44" s="11">
        <v>27.753</v>
      </c>
      <c r="J44" s="11">
        <v>826.13400000000001</v>
      </c>
      <c r="K44" s="12">
        <v>1678.42</v>
      </c>
      <c r="L44" s="10">
        <v>176.41300000000001</v>
      </c>
      <c r="M44" s="11">
        <v>15.756</v>
      </c>
      <c r="N44" s="11">
        <v>31.068000000000001</v>
      </c>
      <c r="O44" s="11">
        <v>17.681999999999999</v>
      </c>
      <c r="P44" s="12">
        <v>2263.8580000000002</v>
      </c>
      <c r="Q44" s="23">
        <f t="shared" si="15"/>
        <v>3.4863780302565812E-4</v>
      </c>
      <c r="R44" s="5">
        <f t="shared" si="16"/>
        <v>3.0844422914256535E-2</v>
      </c>
      <c r="S44" s="5">
        <f t="shared" si="17"/>
        <v>1.3676623895672858E-2</v>
      </c>
      <c r="T44" s="24">
        <f t="shared" si="18"/>
        <v>3.1706657323299441E-3</v>
      </c>
      <c r="U44" s="23">
        <f t="shared" si="19"/>
        <v>1.0333897572288723E-3</v>
      </c>
      <c r="V44" s="24">
        <f t="shared" si="20"/>
        <v>1.5105531732234178E-2</v>
      </c>
      <c r="W44" s="23">
        <f t="shared" si="21"/>
        <v>4.7E-2</v>
      </c>
      <c r="X44" s="5">
        <f t="shared" si="22"/>
        <v>1.6E-2</v>
      </c>
      <c r="Y44" s="24">
        <f t="shared" si="23"/>
        <v>3.2000000000000001E-2</v>
      </c>
      <c r="Z44" s="25">
        <f t="shared" si="24"/>
        <v>0.31</v>
      </c>
      <c r="AA44" s="88">
        <f t="shared" si="25"/>
        <v>0.11</v>
      </c>
      <c r="AB44" s="26">
        <f t="shared" si="26"/>
        <v>0.21</v>
      </c>
      <c r="AC44" s="21">
        <f t="shared" si="27"/>
        <v>5</v>
      </c>
      <c r="AD44" s="134">
        <f t="shared" si="28"/>
        <v>5</v>
      </c>
      <c r="AE44" s="22">
        <f t="shared" si="29"/>
        <v>5</v>
      </c>
      <c r="AF44" s="14"/>
      <c r="AG44" s="14"/>
      <c r="AH44" s="14"/>
      <c r="AI44" s="13"/>
      <c r="AJ44" s="13"/>
      <c r="AK44" s="13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48" ht="13.15" customHeight="1">
      <c r="A45" s="63">
        <v>14298</v>
      </c>
      <c r="B45" s="131" t="s">
        <v>185</v>
      </c>
      <c r="C45" s="27" t="str">
        <f>Rollover!A45</f>
        <v xml:space="preserve">Mitsubishi </v>
      </c>
      <c r="D45" s="47" t="str">
        <f>Rollover!B45</f>
        <v>Outlander SUV AWD</v>
      </c>
      <c r="E45" s="9" t="s">
        <v>134</v>
      </c>
      <c r="F45" s="133">
        <f>Rollover!C45</f>
        <v>2023</v>
      </c>
      <c r="G45" s="10">
        <v>140.232</v>
      </c>
      <c r="H45" s="11">
        <v>21.132000000000001</v>
      </c>
      <c r="I45" s="11">
        <v>27.753</v>
      </c>
      <c r="J45" s="11">
        <v>826.13400000000001</v>
      </c>
      <c r="K45" s="12">
        <v>1678.42</v>
      </c>
      <c r="L45" s="10">
        <v>176.41300000000001</v>
      </c>
      <c r="M45" s="11">
        <v>15.756</v>
      </c>
      <c r="N45" s="11">
        <v>31.068000000000001</v>
      </c>
      <c r="O45" s="11">
        <v>17.681999999999999</v>
      </c>
      <c r="P45" s="12">
        <v>2263.8580000000002</v>
      </c>
      <c r="Q45" s="23">
        <f t="shared" si="15"/>
        <v>3.4863780302565812E-4</v>
      </c>
      <c r="R45" s="5">
        <f t="shared" si="16"/>
        <v>3.0844422914256535E-2</v>
      </c>
      <c r="S45" s="5">
        <f t="shared" si="17"/>
        <v>1.3676623895672858E-2</v>
      </c>
      <c r="T45" s="24">
        <f t="shared" si="18"/>
        <v>3.1706657323299441E-3</v>
      </c>
      <c r="U45" s="23">
        <f t="shared" si="19"/>
        <v>1.0333897572288723E-3</v>
      </c>
      <c r="V45" s="24">
        <f t="shared" si="20"/>
        <v>1.5105531732234178E-2</v>
      </c>
      <c r="W45" s="23">
        <f t="shared" si="21"/>
        <v>4.7E-2</v>
      </c>
      <c r="X45" s="5">
        <f t="shared" si="22"/>
        <v>1.6E-2</v>
      </c>
      <c r="Y45" s="24">
        <f t="shared" si="23"/>
        <v>3.2000000000000001E-2</v>
      </c>
      <c r="Z45" s="25">
        <f t="shared" si="24"/>
        <v>0.31</v>
      </c>
      <c r="AA45" s="88">
        <f t="shared" si="25"/>
        <v>0.11</v>
      </c>
      <c r="AB45" s="26">
        <f t="shared" si="26"/>
        <v>0.21</v>
      </c>
      <c r="AC45" s="21">
        <f t="shared" si="27"/>
        <v>5</v>
      </c>
      <c r="AD45" s="134">
        <f t="shared" si="28"/>
        <v>5</v>
      </c>
      <c r="AE45" s="22">
        <f t="shared" si="29"/>
        <v>5</v>
      </c>
      <c r="AF45" s="14"/>
      <c r="AG45" s="14"/>
      <c r="AH45" s="14"/>
      <c r="AI45" s="13"/>
      <c r="AJ45" s="13"/>
      <c r="AK45" s="13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48">
      <c r="A46" s="16">
        <v>14296</v>
      </c>
      <c r="B46" s="131" t="s">
        <v>186</v>
      </c>
      <c r="C46" s="27" t="str">
        <f>Rollover!A46</f>
        <v>Nissan</v>
      </c>
      <c r="D46" s="47" t="str">
        <f>Rollover!B46</f>
        <v>Armada SUV RWD</v>
      </c>
      <c r="E46" s="9" t="s">
        <v>134</v>
      </c>
      <c r="F46" s="133">
        <f>Rollover!C46</f>
        <v>2023</v>
      </c>
      <c r="G46" s="17">
        <v>29.303999999999998</v>
      </c>
      <c r="H46" s="18">
        <v>21.878</v>
      </c>
      <c r="I46" s="18">
        <v>23.06</v>
      </c>
      <c r="J46" s="18">
        <v>277.94200000000001</v>
      </c>
      <c r="K46" s="19">
        <v>682.50599999999997</v>
      </c>
      <c r="L46" s="17">
        <v>15.222</v>
      </c>
      <c r="M46" s="18">
        <v>0.08</v>
      </c>
      <c r="N46" s="18">
        <v>14.442</v>
      </c>
      <c r="O46" s="18">
        <v>0.67</v>
      </c>
      <c r="P46" s="19">
        <v>832.00199999999995</v>
      </c>
      <c r="Q46" s="23">
        <f t="shared" si="15"/>
        <v>1.8317898973802062E-8</v>
      </c>
      <c r="R46" s="5">
        <f t="shared" si="16"/>
        <v>3.2961063149118133E-2</v>
      </c>
      <c r="S46" s="5">
        <f t="shared" si="17"/>
        <v>4.2882046105921032E-3</v>
      </c>
      <c r="T46" s="24">
        <f t="shared" si="18"/>
        <v>1.0624195429549265E-3</v>
      </c>
      <c r="U46" s="23">
        <f t="shared" si="19"/>
        <v>8.2143247808291304E-11</v>
      </c>
      <c r="V46" s="24">
        <f t="shared" si="20"/>
        <v>3.9763047281059323E-3</v>
      </c>
      <c r="W46" s="23">
        <f t="shared" si="21"/>
        <v>3.7999999999999999E-2</v>
      </c>
      <c r="X46" s="5">
        <f t="shared" si="22"/>
        <v>4.0000000000000001E-3</v>
      </c>
      <c r="Y46" s="24">
        <f t="shared" si="23"/>
        <v>2.1000000000000001E-2</v>
      </c>
      <c r="Z46" s="25">
        <f t="shared" si="24"/>
        <v>0.25</v>
      </c>
      <c r="AA46" s="88">
        <f t="shared" si="25"/>
        <v>0.03</v>
      </c>
      <c r="AB46" s="26">
        <f t="shared" si="26"/>
        <v>0.14000000000000001</v>
      </c>
      <c r="AC46" s="21">
        <f t="shared" si="27"/>
        <v>5</v>
      </c>
      <c r="AD46" s="134">
        <f t="shared" si="28"/>
        <v>5</v>
      </c>
      <c r="AE46" s="22">
        <f t="shared" si="29"/>
        <v>5</v>
      </c>
      <c r="AF46" s="14"/>
      <c r="AG46" s="14"/>
      <c r="AH46" s="14"/>
      <c r="AI46" s="13"/>
      <c r="AJ46" s="13"/>
      <c r="AK46" s="13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:48">
      <c r="A47" s="63">
        <v>14296</v>
      </c>
      <c r="B47" s="131" t="s">
        <v>186</v>
      </c>
      <c r="C47" s="27" t="str">
        <f>Rollover!A47</f>
        <v>Nissan</v>
      </c>
      <c r="D47" s="47" t="str">
        <f>Rollover!B47</f>
        <v>Armada SUV 4WD</v>
      </c>
      <c r="E47" s="9" t="s">
        <v>134</v>
      </c>
      <c r="F47" s="133">
        <f>Rollover!C47</f>
        <v>2023</v>
      </c>
      <c r="G47" s="17">
        <v>29.303999999999998</v>
      </c>
      <c r="H47" s="18">
        <v>21.878</v>
      </c>
      <c r="I47" s="18">
        <v>23.06</v>
      </c>
      <c r="J47" s="18">
        <v>277.94200000000001</v>
      </c>
      <c r="K47" s="19">
        <v>682.50599999999997</v>
      </c>
      <c r="L47" s="17">
        <v>15.222</v>
      </c>
      <c r="M47" s="18">
        <v>0.08</v>
      </c>
      <c r="N47" s="18">
        <v>14.442</v>
      </c>
      <c r="O47" s="18">
        <v>0.67</v>
      </c>
      <c r="P47" s="19">
        <v>832.00199999999995</v>
      </c>
      <c r="Q47" s="23">
        <f t="shared" si="15"/>
        <v>1.8317898973802062E-8</v>
      </c>
      <c r="R47" s="5">
        <f t="shared" si="16"/>
        <v>3.2961063149118133E-2</v>
      </c>
      <c r="S47" s="5">
        <f t="shared" si="17"/>
        <v>4.2882046105921032E-3</v>
      </c>
      <c r="T47" s="24">
        <f t="shared" si="18"/>
        <v>1.0624195429549265E-3</v>
      </c>
      <c r="U47" s="23">
        <f t="shared" si="19"/>
        <v>8.2143247808291304E-11</v>
      </c>
      <c r="V47" s="24">
        <f t="shared" si="20"/>
        <v>3.9763047281059323E-3</v>
      </c>
      <c r="W47" s="23">
        <f t="shared" si="21"/>
        <v>3.7999999999999999E-2</v>
      </c>
      <c r="X47" s="5">
        <f t="shared" si="22"/>
        <v>4.0000000000000001E-3</v>
      </c>
      <c r="Y47" s="24">
        <f t="shared" si="23"/>
        <v>2.1000000000000001E-2</v>
      </c>
      <c r="Z47" s="25">
        <f t="shared" si="24"/>
        <v>0.25</v>
      </c>
      <c r="AA47" s="88">
        <f t="shared" si="25"/>
        <v>0.03</v>
      </c>
      <c r="AB47" s="26">
        <f t="shared" si="26"/>
        <v>0.14000000000000001</v>
      </c>
      <c r="AC47" s="21">
        <f t="shared" si="27"/>
        <v>5</v>
      </c>
      <c r="AD47" s="134">
        <f t="shared" si="28"/>
        <v>5</v>
      </c>
      <c r="AE47" s="22">
        <f t="shared" si="29"/>
        <v>5</v>
      </c>
      <c r="AF47" s="14"/>
      <c r="AG47" s="14"/>
      <c r="AH47" s="14"/>
      <c r="AI47" s="13"/>
      <c r="AJ47" s="13"/>
      <c r="AK47" s="13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</row>
    <row r="48" spans="1:48">
      <c r="A48" s="16">
        <v>14296</v>
      </c>
      <c r="B48" s="131" t="s">
        <v>186</v>
      </c>
      <c r="C48" s="132" t="str">
        <f>Rollover!A48</f>
        <v xml:space="preserve">Infiniti </v>
      </c>
      <c r="D48" s="9" t="str">
        <f>Rollover!B48</f>
        <v>QX80 SUV RWD</v>
      </c>
      <c r="E48" s="9" t="s">
        <v>134</v>
      </c>
      <c r="F48" s="133">
        <f>Rollover!C48</f>
        <v>2023</v>
      </c>
      <c r="G48" s="17">
        <v>29.303999999999998</v>
      </c>
      <c r="H48" s="18">
        <v>21.878</v>
      </c>
      <c r="I48" s="18">
        <v>23.06</v>
      </c>
      <c r="J48" s="18">
        <v>277.94200000000001</v>
      </c>
      <c r="K48" s="19">
        <v>682.50599999999997</v>
      </c>
      <c r="L48" s="17">
        <v>15.222</v>
      </c>
      <c r="M48" s="18">
        <v>0.08</v>
      </c>
      <c r="N48" s="18">
        <v>14.442</v>
      </c>
      <c r="O48" s="18">
        <v>0.67</v>
      </c>
      <c r="P48" s="19">
        <v>832.00199999999995</v>
      </c>
      <c r="Q48" s="23">
        <f t="shared" ref="Q48" si="60">NORMDIST(LN(G48),7.45231,0.73998,1)</f>
        <v>1.8317898973802062E-8</v>
      </c>
      <c r="R48" s="5">
        <f t="shared" ref="R48" si="61">1/(1+EXP(5.3895-0.0919*H48))</f>
        <v>3.2961063149118133E-2</v>
      </c>
      <c r="S48" s="5">
        <f t="shared" ref="S48" si="62">1/(1+EXP(6.04044-0.002133*J48))</f>
        <v>4.2882046105921032E-3</v>
      </c>
      <c r="T48" s="24">
        <f t="shared" ref="T48" si="63">1/(1+EXP(7.5969-0.0011*K48))</f>
        <v>1.0624195429549265E-3</v>
      </c>
      <c r="U48" s="23">
        <f t="shared" ref="U48" si="64">NORMDIST(LN(L48),7.45231,0.73998,1)</f>
        <v>8.2143247808291304E-11</v>
      </c>
      <c r="V48" s="24">
        <f t="shared" ref="V48" si="65">1/(1+EXP(6.3055-0.00094*P48))</f>
        <v>3.9763047281059323E-3</v>
      </c>
      <c r="W48" s="23">
        <f t="shared" ref="W48" si="66">ROUND(1-(1-Q48)*(1-R48)*(1-S48)*(1-T48),3)</f>
        <v>3.7999999999999999E-2</v>
      </c>
      <c r="X48" s="5">
        <f t="shared" ref="X48" si="67">IF(L48="N/A",L48,ROUND(1-(1-U48)*(1-V48),3))</f>
        <v>4.0000000000000001E-3</v>
      </c>
      <c r="Y48" s="24">
        <f t="shared" ref="Y48" si="68">ROUND(AVERAGE(W48:X48),3)</f>
        <v>2.1000000000000001E-2</v>
      </c>
      <c r="Z48" s="25">
        <f t="shared" ref="Z48" si="69">ROUND(W48/0.15,2)</f>
        <v>0.25</v>
      </c>
      <c r="AA48" s="88">
        <f t="shared" ref="AA48" si="70">IF(L48="N/A", L48, ROUND(X48/0.15,2))</f>
        <v>0.03</v>
      </c>
      <c r="AB48" s="26">
        <f t="shared" ref="AB48" si="71">ROUND(Y48/0.15,2)</f>
        <v>0.14000000000000001</v>
      </c>
      <c r="AC48" s="21">
        <f t="shared" ref="AC48" si="72">IF(Z48&lt;0.67,5,IF(Z48&lt;1,4,IF(Z48&lt;1.33,3,IF(Z48&lt;2.67,2,1))))</f>
        <v>5</v>
      </c>
      <c r="AD48" s="134">
        <f t="shared" ref="AD48" si="73">IF(L48="N/A",L48,IF(AA48&lt;0.67,5,IF(AA48&lt;1,4,IF(AA48&lt;1.33,3,IF(AA48&lt;2.67,2,1)))))</f>
        <v>5</v>
      </c>
      <c r="AE48" s="22">
        <f t="shared" ref="AE48" si="74">IF(AB48&lt;0.67,5,IF(AB48&lt;1,4,IF(AB48&lt;1.33,3,IF(AB48&lt;2.67,2,1))))</f>
        <v>5</v>
      </c>
      <c r="AF48" s="14"/>
      <c r="AG48" s="14"/>
      <c r="AH48" s="14"/>
      <c r="AI48" s="13"/>
      <c r="AJ48" s="13"/>
      <c r="AK48" s="13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48">
      <c r="A49" s="63">
        <v>14296</v>
      </c>
      <c r="B49" s="131" t="s">
        <v>186</v>
      </c>
      <c r="C49" s="132" t="str">
        <f>Rollover!A49</f>
        <v xml:space="preserve">Infiniti </v>
      </c>
      <c r="D49" s="9" t="str">
        <f>Rollover!B49</f>
        <v>QX80 SUV 4WD</v>
      </c>
      <c r="E49" s="9" t="s">
        <v>134</v>
      </c>
      <c r="F49" s="133">
        <f>Rollover!C49</f>
        <v>2023</v>
      </c>
      <c r="G49" s="17">
        <v>29.303999999999998</v>
      </c>
      <c r="H49" s="18">
        <v>21.878</v>
      </c>
      <c r="I49" s="18">
        <v>23.06</v>
      </c>
      <c r="J49" s="18">
        <v>277.94200000000001</v>
      </c>
      <c r="K49" s="19">
        <v>682.50599999999997</v>
      </c>
      <c r="L49" s="17">
        <v>15.222</v>
      </c>
      <c r="M49" s="18">
        <v>0.08</v>
      </c>
      <c r="N49" s="18">
        <v>14.442</v>
      </c>
      <c r="O49" s="18">
        <v>0.67</v>
      </c>
      <c r="P49" s="19">
        <v>832.00199999999995</v>
      </c>
      <c r="Q49" s="23">
        <f t="shared" ref="Q49:Q55" si="75">NORMDIST(LN(G49),7.45231,0.73998,1)</f>
        <v>1.8317898973802062E-8</v>
      </c>
      <c r="R49" s="5">
        <f t="shared" ref="R49:R55" si="76">1/(1+EXP(5.3895-0.0919*H49))</f>
        <v>3.2961063149118133E-2</v>
      </c>
      <c r="S49" s="5">
        <f t="shared" ref="S49:S55" si="77">1/(1+EXP(6.04044-0.002133*J49))</f>
        <v>4.2882046105921032E-3</v>
      </c>
      <c r="T49" s="24">
        <f t="shared" ref="T49:T55" si="78">1/(1+EXP(7.5969-0.0011*K49))</f>
        <v>1.0624195429549265E-3</v>
      </c>
      <c r="U49" s="23">
        <f t="shared" ref="U49:U55" si="79">NORMDIST(LN(L49),7.45231,0.73998,1)</f>
        <v>8.2143247808291304E-11</v>
      </c>
      <c r="V49" s="24">
        <f t="shared" ref="V49:V55" si="80">1/(1+EXP(6.3055-0.00094*P49))</f>
        <v>3.9763047281059323E-3</v>
      </c>
      <c r="W49" s="23">
        <f t="shared" ref="W49:W55" si="81">ROUND(1-(1-Q49)*(1-R49)*(1-S49)*(1-T49),3)</f>
        <v>3.7999999999999999E-2</v>
      </c>
      <c r="X49" s="5">
        <f t="shared" ref="X49:X55" si="82">IF(L49="N/A",L49,ROUND(1-(1-U49)*(1-V49),3))</f>
        <v>4.0000000000000001E-3</v>
      </c>
      <c r="Y49" s="24">
        <f t="shared" ref="Y49:Y55" si="83">ROUND(AVERAGE(W49:X49),3)</f>
        <v>2.1000000000000001E-2</v>
      </c>
      <c r="Z49" s="25">
        <f t="shared" ref="Z49:Z55" si="84">ROUND(W49/0.15,2)</f>
        <v>0.25</v>
      </c>
      <c r="AA49" s="88">
        <f t="shared" ref="AA49:AA55" si="85">IF(L49="N/A", L49, ROUND(X49/0.15,2))</f>
        <v>0.03</v>
      </c>
      <c r="AB49" s="26">
        <f t="shared" ref="AB49:AB55" si="86">ROUND(Y49/0.15,2)</f>
        <v>0.14000000000000001</v>
      </c>
      <c r="AC49" s="21">
        <f t="shared" ref="AC49:AC55" si="87">IF(Z49&lt;0.67,5,IF(Z49&lt;1,4,IF(Z49&lt;1.33,3,IF(Z49&lt;2.67,2,1))))</f>
        <v>5</v>
      </c>
      <c r="AD49" s="134">
        <f t="shared" ref="AD49:AD55" si="88">IF(L49="N/A",L49,IF(AA49&lt;0.67,5,IF(AA49&lt;1,4,IF(AA49&lt;1.33,3,IF(AA49&lt;2.67,2,1)))))</f>
        <v>5</v>
      </c>
      <c r="AE49" s="22">
        <f t="shared" ref="AE49:AE55" si="89">IF(AB49&lt;0.67,5,IF(AB49&lt;1,4,IF(AB49&lt;1.33,3,IF(AB49&lt;2.67,2,1))))</f>
        <v>5</v>
      </c>
      <c r="AF49" s="14"/>
      <c r="AG49" s="14"/>
      <c r="AH49" s="14"/>
      <c r="AI49" s="13"/>
      <c r="AJ49" s="13"/>
      <c r="AK49" s="13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48">
      <c r="A50" s="63"/>
      <c r="B50" s="131"/>
      <c r="C50" s="27" t="str">
        <f>Rollover!A50</f>
        <v>Rivian</v>
      </c>
      <c r="D50" s="47" t="str">
        <f>Rollover!B50</f>
        <v>R1S SUV BEV AWD</v>
      </c>
      <c r="E50" s="9"/>
      <c r="F50" s="133">
        <f>Rollover!C50</f>
        <v>2023</v>
      </c>
      <c r="G50" s="10"/>
      <c r="H50" s="11"/>
      <c r="I50" s="11"/>
      <c r="J50" s="11"/>
      <c r="K50" s="12"/>
      <c r="L50" s="10"/>
      <c r="M50" s="11"/>
      <c r="N50" s="11"/>
      <c r="O50" s="11"/>
      <c r="P50" s="12"/>
      <c r="Q50" s="23" t="e">
        <f t="shared" si="75"/>
        <v>#NUM!</v>
      </c>
      <c r="R50" s="5">
        <f t="shared" si="76"/>
        <v>4.5435171224880964E-3</v>
      </c>
      <c r="S50" s="5">
        <f t="shared" si="77"/>
        <v>2.3748578822706131E-3</v>
      </c>
      <c r="T50" s="24">
        <f t="shared" si="78"/>
        <v>5.0175335722563109E-4</v>
      </c>
      <c r="U50" s="23" t="e">
        <f t="shared" si="79"/>
        <v>#NUM!</v>
      </c>
      <c r="V50" s="24">
        <f t="shared" si="80"/>
        <v>1.8229037773026034E-3</v>
      </c>
      <c r="W50" s="23" t="e">
        <f t="shared" si="81"/>
        <v>#NUM!</v>
      </c>
      <c r="X50" s="5" t="e">
        <f t="shared" si="82"/>
        <v>#NUM!</v>
      </c>
      <c r="Y50" s="24" t="e">
        <f t="shared" si="83"/>
        <v>#NUM!</v>
      </c>
      <c r="Z50" s="25" t="e">
        <f t="shared" si="84"/>
        <v>#NUM!</v>
      </c>
      <c r="AA50" s="88" t="e">
        <f t="shared" si="85"/>
        <v>#NUM!</v>
      </c>
      <c r="AB50" s="26" t="e">
        <f t="shared" si="86"/>
        <v>#NUM!</v>
      </c>
      <c r="AC50" s="21" t="e">
        <f t="shared" si="87"/>
        <v>#NUM!</v>
      </c>
      <c r="AD50" s="134" t="e">
        <f t="shared" si="88"/>
        <v>#NUM!</v>
      </c>
      <c r="AE50" s="22" t="e">
        <f t="shared" si="89"/>
        <v>#NUM!</v>
      </c>
      <c r="AF50" s="14"/>
      <c r="AG50" s="14"/>
      <c r="AH50" s="14"/>
      <c r="AI50" s="13"/>
      <c r="AJ50" s="13"/>
      <c r="AK50" s="13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>
      <c r="A51" s="63">
        <v>14392</v>
      </c>
      <c r="B51" s="131" t="s">
        <v>187</v>
      </c>
      <c r="C51" s="27" t="str">
        <f>Rollover!A51</f>
        <v>Subaru</v>
      </c>
      <c r="D51" s="47" t="str">
        <f>Rollover!B51</f>
        <v>Solterra SUV BEV AWD</v>
      </c>
      <c r="E51" s="9" t="s">
        <v>120</v>
      </c>
      <c r="F51" s="133">
        <f>Rollover!C51</f>
        <v>2023</v>
      </c>
      <c r="G51" s="10">
        <v>102.9</v>
      </c>
      <c r="H51" s="11">
        <v>10.59</v>
      </c>
      <c r="I51" s="11">
        <v>19.614000000000001</v>
      </c>
      <c r="J51" s="11">
        <v>383.25700000000001</v>
      </c>
      <c r="K51" s="12">
        <v>1056.125</v>
      </c>
      <c r="L51" s="10">
        <v>222.523</v>
      </c>
      <c r="M51" s="11">
        <v>10.430999999999999</v>
      </c>
      <c r="N51" s="11">
        <v>46.316000000000003</v>
      </c>
      <c r="O51" s="11">
        <v>21.082999999999998</v>
      </c>
      <c r="P51" s="12">
        <v>2707.3150000000001</v>
      </c>
      <c r="Q51" s="23">
        <f t="shared" si="75"/>
        <v>6.9776975217795764E-5</v>
      </c>
      <c r="R51" s="5">
        <f t="shared" si="76"/>
        <v>1.193493190132771E-2</v>
      </c>
      <c r="S51" s="5">
        <f t="shared" si="77"/>
        <v>5.3624746429901558E-3</v>
      </c>
      <c r="T51" s="24">
        <f t="shared" si="78"/>
        <v>1.6015788376660635E-3</v>
      </c>
      <c r="U51" s="23">
        <f t="shared" si="79"/>
        <v>2.8316134225695429E-3</v>
      </c>
      <c r="V51" s="24">
        <f t="shared" si="80"/>
        <v>2.2740074426684138E-2</v>
      </c>
      <c r="W51" s="23">
        <f t="shared" si="81"/>
        <v>1.9E-2</v>
      </c>
      <c r="X51" s="5">
        <f t="shared" si="82"/>
        <v>2.5999999999999999E-2</v>
      </c>
      <c r="Y51" s="24">
        <f t="shared" si="83"/>
        <v>2.3E-2</v>
      </c>
      <c r="Z51" s="25">
        <f t="shared" si="84"/>
        <v>0.13</v>
      </c>
      <c r="AA51" s="88">
        <f t="shared" si="85"/>
        <v>0.17</v>
      </c>
      <c r="AB51" s="26">
        <f t="shared" si="86"/>
        <v>0.15</v>
      </c>
      <c r="AC51" s="21">
        <f t="shared" si="87"/>
        <v>5</v>
      </c>
      <c r="AD51" s="134">
        <f t="shared" si="88"/>
        <v>5</v>
      </c>
      <c r="AE51" s="22">
        <f t="shared" si="89"/>
        <v>5</v>
      </c>
      <c r="AF51" s="14"/>
      <c r="AG51" s="14"/>
      <c r="AH51" s="14"/>
      <c r="AI51" s="13"/>
      <c r="AJ51" s="13"/>
      <c r="AK51" s="13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48">
      <c r="A52" s="63">
        <v>14392</v>
      </c>
      <c r="B52" s="131" t="s">
        <v>188</v>
      </c>
      <c r="C52" s="132" t="str">
        <f>Rollover!A52</f>
        <v>Toyota</v>
      </c>
      <c r="D52" s="9" t="str">
        <f>Rollover!B52</f>
        <v>bZ4X SUV BEV FWD</v>
      </c>
      <c r="E52" s="9" t="s">
        <v>120</v>
      </c>
      <c r="F52" s="133">
        <f>Rollover!C52</f>
        <v>2023</v>
      </c>
      <c r="G52" s="10">
        <v>102.9</v>
      </c>
      <c r="H52" s="11">
        <v>10.59</v>
      </c>
      <c r="I52" s="11">
        <v>19.614000000000001</v>
      </c>
      <c r="J52" s="11">
        <v>383.25700000000001</v>
      </c>
      <c r="K52" s="12">
        <v>1056.125</v>
      </c>
      <c r="L52" s="10">
        <v>222.523</v>
      </c>
      <c r="M52" s="11">
        <v>10.430999999999999</v>
      </c>
      <c r="N52" s="11">
        <v>46.316000000000003</v>
      </c>
      <c r="O52" s="11">
        <v>21.082999999999998</v>
      </c>
      <c r="P52" s="12">
        <v>2707.3150000000001</v>
      </c>
      <c r="Q52" s="23">
        <f t="shared" si="75"/>
        <v>6.9776975217795764E-5</v>
      </c>
      <c r="R52" s="5">
        <f t="shared" si="76"/>
        <v>1.193493190132771E-2</v>
      </c>
      <c r="S52" s="5">
        <f t="shared" si="77"/>
        <v>5.3624746429901558E-3</v>
      </c>
      <c r="T52" s="24">
        <f t="shared" si="78"/>
        <v>1.6015788376660635E-3</v>
      </c>
      <c r="U52" s="23">
        <f t="shared" si="79"/>
        <v>2.8316134225695429E-3</v>
      </c>
      <c r="V52" s="24">
        <f t="shared" si="80"/>
        <v>2.2740074426684138E-2</v>
      </c>
      <c r="W52" s="23">
        <f t="shared" si="81"/>
        <v>1.9E-2</v>
      </c>
      <c r="X52" s="5">
        <f t="shared" si="82"/>
        <v>2.5999999999999999E-2</v>
      </c>
      <c r="Y52" s="24">
        <f t="shared" si="83"/>
        <v>2.3E-2</v>
      </c>
      <c r="Z52" s="25">
        <f t="shared" si="84"/>
        <v>0.13</v>
      </c>
      <c r="AA52" s="88">
        <f t="shared" si="85"/>
        <v>0.17</v>
      </c>
      <c r="AB52" s="26">
        <f t="shared" si="86"/>
        <v>0.15</v>
      </c>
      <c r="AC52" s="21">
        <f t="shared" si="87"/>
        <v>5</v>
      </c>
      <c r="AD52" s="134">
        <f t="shared" si="88"/>
        <v>5</v>
      </c>
      <c r="AE52" s="22">
        <f t="shared" si="89"/>
        <v>5</v>
      </c>
      <c r="AF52" s="14"/>
      <c r="AG52" s="14"/>
      <c r="AH52" s="14"/>
      <c r="AI52" s="13"/>
      <c r="AJ52" s="13"/>
      <c r="AK52" s="13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  <row r="53" spans="1:48">
      <c r="A53" s="63">
        <v>14392</v>
      </c>
      <c r="B53" s="131" t="s">
        <v>189</v>
      </c>
      <c r="C53" s="132" t="str">
        <f>Rollover!A53</f>
        <v>Toyota</v>
      </c>
      <c r="D53" s="9" t="str">
        <f>Rollover!B53</f>
        <v>bZ4X SUV BEV AWD</v>
      </c>
      <c r="E53" s="9" t="s">
        <v>120</v>
      </c>
      <c r="F53" s="133">
        <f>Rollover!C53</f>
        <v>2023</v>
      </c>
      <c r="G53" s="10">
        <v>102.9</v>
      </c>
      <c r="H53" s="11">
        <v>10.59</v>
      </c>
      <c r="I53" s="11">
        <v>19.614000000000001</v>
      </c>
      <c r="J53" s="11">
        <v>383.25700000000001</v>
      </c>
      <c r="K53" s="12">
        <v>1056.125</v>
      </c>
      <c r="L53" s="10">
        <v>222.523</v>
      </c>
      <c r="M53" s="11">
        <v>10.430999999999999</v>
      </c>
      <c r="N53" s="11">
        <v>46.316000000000003</v>
      </c>
      <c r="O53" s="11">
        <v>21.082999999999998</v>
      </c>
      <c r="P53" s="12">
        <v>2707.3150000000001</v>
      </c>
      <c r="Q53" s="23">
        <f t="shared" si="75"/>
        <v>6.9776975217795764E-5</v>
      </c>
      <c r="R53" s="5">
        <f t="shared" si="76"/>
        <v>1.193493190132771E-2</v>
      </c>
      <c r="S53" s="5">
        <f t="shared" si="77"/>
        <v>5.3624746429901558E-3</v>
      </c>
      <c r="T53" s="24">
        <f t="shared" si="78"/>
        <v>1.6015788376660635E-3</v>
      </c>
      <c r="U53" s="23">
        <f t="shared" si="79"/>
        <v>2.8316134225695429E-3</v>
      </c>
      <c r="V53" s="24">
        <f t="shared" si="80"/>
        <v>2.2740074426684138E-2</v>
      </c>
      <c r="W53" s="23">
        <f t="shared" si="81"/>
        <v>1.9E-2</v>
      </c>
      <c r="X53" s="5">
        <f t="shared" si="82"/>
        <v>2.5999999999999999E-2</v>
      </c>
      <c r="Y53" s="24">
        <f t="shared" si="83"/>
        <v>2.3E-2</v>
      </c>
      <c r="Z53" s="25">
        <f t="shared" si="84"/>
        <v>0.13</v>
      </c>
      <c r="AA53" s="88">
        <f t="shared" si="85"/>
        <v>0.17</v>
      </c>
      <c r="AB53" s="26">
        <f t="shared" si="86"/>
        <v>0.15</v>
      </c>
      <c r="AC53" s="21">
        <f t="shared" si="87"/>
        <v>5</v>
      </c>
      <c r="AD53" s="134">
        <f t="shared" si="88"/>
        <v>5</v>
      </c>
      <c r="AE53" s="22">
        <f t="shared" si="89"/>
        <v>5</v>
      </c>
      <c r="AF53" s="14"/>
      <c r="AG53" s="14"/>
      <c r="AH53" s="14"/>
      <c r="AI53" s="13"/>
      <c r="AJ53" s="13"/>
      <c r="AK53" s="13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48">
      <c r="A54" s="63">
        <v>10187</v>
      </c>
      <c r="B54" s="63" t="s">
        <v>190</v>
      </c>
      <c r="C54" s="27" t="str">
        <f>Rollover!A54</f>
        <v>Volkswagen</v>
      </c>
      <c r="D54" s="47" t="str">
        <f>Rollover!B54</f>
        <v>Tiguan SUV FWD</v>
      </c>
      <c r="E54" s="9" t="s">
        <v>134</v>
      </c>
      <c r="F54" s="133">
        <f>Rollover!C54</f>
        <v>2023</v>
      </c>
      <c r="G54" s="10">
        <v>49.058</v>
      </c>
      <c r="H54" s="11">
        <v>18.257999999999999</v>
      </c>
      <c r="I54" s="11">
        <v>24.5</v>
      </c>
      <c r="J54" s="11">
        <v>365.13</v>
      </c>
      <c r="K54" s="12">
        <v>1497.665</v>
      </c>
      <c r="L54" s="10">
        <v>156.28</v>
      </c>
      <c r="M54" s="11">
        <v>11.340999999999999</v>
      </c>
      <c r="N54" s="11">
        <v>43.716000000000001</v>
      </c>
      <c r="O54" s="11">
        <v>36.020000000000003</v>
      </c>
      <c r="P54" s="12">
        <v>2269.6680000000001</v>
      </c>
      <c r="Q54" s="23">
        <f t="shared" si="75"/>
        <v>7.5463653822369169E-7</v>
      </c>
      <c r="R54" s="5">
        <f t="shared" si="76"/>
        <v>2.3855640417907786E-2</v>
      </c>
      <c r="S54" s="5">
        <f t="shared" si="77"/>
        <v>5.1601418407426786E-3</v>
      </c>
      <c r="T54" s="24">
        <f t="shared" si="78"/>
        <v>2.6004459407897402E-3</v>
      </c>
      <c r="U54" s="23">
        <f t="shared" si="79"/>
        <v>5.8885585840708782E-4</v>
      </c>
      <c r="V54" s="24">
        <f t="shared" si="80"/>
        <v>1.5186998454782181E-2</v>
      </c>
      <c r="W54" s="23">
        <f t="shared" si="81"/>
        <v>3.1E-2</v>
      </c>
      <c r="X54" s="5">
        <f t="shared" si="82"/>
        <v>1.6E-2</v>
      </c>
      <c r="Y54" s="24">
        <f t="shared" si="83"/>
        <v>2.4E-2</v>
      </c>
      <c r="Z54" s="25">
        <f t="shared" si="84"/>
        <v>0.21</v>
      </c>
      <c r="AA54" s="88">
        <f t="shared" si="85"/>
        <v>0.11</v>
      </c>
      <c r="AB54" s="26">
        <f t="shared" si="86"/>
        <v>0.16</v>
      </c>
      <c r="AC54" s="21">
        <f t="shared" si="87"/>
        <v>5</v>
      </c>
      <c r="AD54" s="134">
        <f t="shared" si="88"/>
        <v>5</v>
      </c>
      <c r="AE54" s="22">
        <f t="shared" si="89"/>
        <v>5</v>
      </c>
      <c r="AF54" s="14"/>
      <c r="AG54" s="14"/>
      <c r="AH54" s="14"/>
      <c r="AI54" s="13"/>
      <c r="AJ54" s="13"/>
      <c r="AK54" s="13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48">
      <c r="A55" s="63">
        <v>10187</v>
      </c>
      <c r="B55" s="63" t="s">
        <v>190</v>
      </c>
      <c r="C55" s="27" t="str">
        <f>Rollover!A55</f>
        <v>Volkswagen</v>
      </c>
      <c r="D55" s="47" t="str">
        <f>Rollover!B55</f>
        <v>Tiguan SUV AWD</v>
      </c>
      <c r="E55" s="9" t="s">
        <v>134</v>
      </c>
      <c r="F55" s="133">
        <f>Rollover!C55</f>
        <v>2023</v>
      </c>
      <c r="G55" s="10">
        <v>49.058</v>
      </c>
      <c r="H55" s="11">
        <v>18.257999999999999</v>
      </c>
      <c r="I55" s="11">
        <v>24.5</v>
      </c>
      <c r="J55" s="11">
        <v>365.13</v>
      </c>
      <c r="K55" s="12">
        <v>1497.665</v>
      </c>
      <c r="L55" s="10">
        <v>156.28</v>
      </c>
      <c r="M55" s="11">
        <v>11.340999999999999</v>
      </c>
      <c r="N55" s="11">
        <v>43.716000000000001</v>
      </c>
      <c r="O55" s="11">
        <v>36.020000000000003</v>
      </c>
      <c r="P55" s="12">
        <v>2269.6680000000001</v>
      </c>
      <c r="Q55" s="23">
        <f t="shared" si="75"/>
        <v>7.5463653822369169E-7</v>
      </c>
      <c r="R55" s="5">
        <f t="shared" si="76"/>
        <v>2.3855640417907786E-2</v>
      </c>
      <c r="S55" s="5">
        <f t="shared" si="77"/>
        <v>5.1601418407426786E-3</v>
      </c>
      <c r="T55" s="24">
        <f t="shared" si="78"/>
        <v>2.6004459407897402E-3</v>
      </c>
      <c r="U55" s="23">
        <f t="shared" si="79"/>
        <v>5.8885585840708782E-4</v>
      </c>
      <c r="V55" s="24">
        <f t="shared" si="80"/>
        <v>1.5186998454782181E-2</v>
      </c>
      <c r="W55" s="23">
        <f t="shared" si="81"/>
        <v>3.1E-2</v>
      </c>
      <c r="X55" s="5">
        <f t="shared" si="82"/>
        <v>1.6E-2</v>
      </c>
      <c r="Y55" s="24">
        <f t="shared" si="83"/>
        <v>2.4E-2</v>
      </c>
      <c r="Z55" s="25">
        <f t="shared" si="84"/>
        <v>0.21</v>
      </c>
      <c r="AA55" s="88">
        <f t="shared" si="85"/>
        <v>0.11</v>
      </c>
      <c r="AB55" s="26">
        <f t="shared" si="86"/>
        <v>0.16</v>
      </c>
      <c r="AC55" s="21">
        <f t="shared" si="87"/>
        <v>5</v>
      </c>
      <c r="AD55" s="134">
        <f t="shared" si="88"/>
        <v>5</v>
      </c>
      <c r="AE55" s="22">
        <f t="shared" si="89"/>
        <v>5</v>
      </c>
      <c r="AF55" s="14"/>
      <c r="AG55" s="14"/>
      <c r="AH55" s="14"/>
      <c r="AI55" s="13"/>
      <c r="AJ55" s="13"/>
      <c r="AK55" s="13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48">
      <c r="AE56" s="2"/>
    </row>
    <row r="57" spans="1:48">
      <c r="AE57" s="2"/>
    </row>
    <row r="58" spans="1:48">
      <c r="AE58" s="2"/>
    </row>
    <row r="59" spans="1:48">
      <c r="AE59" s="2"/>
    </row>
    <row r="60" spans="1:48">
      <c r="AE60" s="2"/>
    </row>
    <row r="61" spans="1:48">
      <c r="AE61" s="2"/>
    </row>
    <row r="62" spans="1:48">
      <c r="AE62" s="2"/>
    </row>
    <row r="63" spans="1:48">
      <c r="AE63" s="2"/>
    </row>
    <row r="64" spans="1:48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84"/>
  <sheetViews>
    <sheetView zoomScaleNormal="100" workbookViewId="0">
      <pane xSplit="6" ySplit="2" topLeftCell="G3" activePane="bottomRight" state="frozen"/>
      <selection pane="bottomRight" activeCell="A12" sqref="A12:XFD12"/>
      <selection pane="bottomLeft" activeCell="O24" sqref="O24"/>
      <selection pane="topRight" activeCell="O24" sqref="O24"/>
    </sheetView>
  </sheetViews>
  <sheetFormatPr defaultColWidth="9.140625" defaultRowHeight="13.9" customHeight="1"/>
  <cols>
    <col min="1" max="1" width="8.5703125" style="181" bestFit="1" customWidth="1"/>
    <col min="2" max="2" width="9" style="181" bestFit="1" customWidth="1"/>
    <col min="3" max="3" width="12" style="182" bestFit="1" customWidth="1"/>
    <col min="4" max="4" width="31" style="182" customWidth="1"/>
    <col min="5" max="5" width="6.5703125" style="183" customWidth="1"/>
    <col min="6" max="6" width="7.42578125" style="184" bestFit="1" customWidth="1"/>
    <col min="7" max="10" width="8.7109375" style="174" customWidth="1"/>
    <col min="11" max="11" width="14.5703125" style="174" customWidth="1"/>
    <col min="12" max="12" width="7" style="174" customWidth="1"/>
    <col min="13" max="13" width="7.42578125" style="174" customWidth="1"/>
    <col min="14" max="14" width="7.85546875" style="185" customWidth="1"/>
    <col min="15" max="15" width="8.5703125" style="185" bestFit="1" customWidth="1"/>
    <col min="16" max="16" width="8.28515625" style="186" customWidth="1"/>
    <col min="17" max="17" width="9.28515625" style="185" customWidth="1"/>
    <col min="18" max="18" width="10.140625" style="174" customWidth="1"/>
    <col min="19" max="19" width="6" style="181" customWidth="1"/>
    <col min="20" max="20" width="10.28515625" style="181" bestFit="1" customWidth="1"/>
    <col min="21" max="21" width="10.140625" style="181" customWidth="1"/>
    <col min="22" max="22" width="10.28515625" style="181" bestFit="1" customWidth="1"/>
    <col min="23" max="16384" width="9.140625" style="174"/>
  </cols>
  <sheetData>
    <row r="1" spans="1:34" s="116" customFormat="1" ht="13.9" customHeight="1" thickBot="1">
      <c r="A1" s="147"/>
      <c r="B1" s="148"/>
      <c r="C1" s="149"/>
      <c r="D1" s="149"/>
      <c r="E1" s="150"/>
      <c r="F1" s="151"/>
      <c r="G1" s="230" t="s">
        <v>191</v>
      </c>
      <c r="H1" s="230"/>
      <c r="I1" s="230"/>
      <c r="J1" s="230"/>
      <c r="K1" s="230"/>
      <c r="L1" s="225" t="s">
        <v>191</v>
      </c>
      <c r="M1" s="225"/>
      <c r="N1" s="152" t="s">
        <v>91</v>
      </c>
      <c r="O1" s="153" t="s">
        <v>91</v>
      </c>
      <c r="P1" s="40" t="s">
        <v>192</v>
      </c>
      <c r="Q1" s="154" t="s">
        <v>91</v>
      </c>
      <c r="R1" s="155" t="s">
        <v>91</v>
      </c>
      <c r="S1" s="39" t="s">
        <v>91</v>
      </c>
      <c r="T1" s="39" t="s">
        <v>193</v>
      </c>
      <c r="U1" s="39" t="s">
        <v>194</v>
      </c>
      <c r="V1" s="40" t="s">
        <v>193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117" customFormat="1" ht="45.75" thickBot="1">
      <c r="A2" s="38" t="s">
        <v>95</v>
      </c>
      <c r="B2" s="39" t="s">
        <v>96</v>
      </c>
      <c r="C2" s="156" t="s">
        <v>1</v>
      </c>
      <c r="D2" s="156" t="s">
        <v>2</v>
      </c>
      <c r="E2" s="157" t="s">
        <v>97</v>
      </c>
      <c r="F2" s="158" t="s">
        <v>3</v>
      </c>
      <c r="G2" s="159" t="s">
        <v>154</v>
      </c>
      <c r="H2" s="160" t="s">
        <v>195</v>
      </c>
      <c r="I2" s="160" t="s">
        <v>196</v>
      </c>
      <c r="J2" s="160" t="s">
        <v>197</v>
      </c>
      <c r="K2" s="161" t="s">
        <v>160</v>
      </c>
      <c r="L2" s="162" t="s">
        <v>161</v>
      </c>
      <c r="M2" s="163" t="s">
        <v>163</v>
      </c>
      <c r="N2" s="162" t="s">
        <v>164</v>
      </c>
      <c r="O2" s="164" t="s">
        <v>198</v>
      </c>
      <c r="P2" s="30" t="s">
        <v>10</v>
      </c>
      <c r="Q2" s="165" t="s">
        <v>199</v>
      </c>
      <c r="R2" s="160" t="s">
        <v>200</v>
      </c>
      <c r="S2" s="166" t="s">
        <v>201</v>
      </c>
      <c r="T2" s="160" t="s">
        <v>202</v>
      </c>
      <c r="U2" s="160" t="s">
        <v>203</v>
      </c>
      <c r="V2" s="43" t="s">
        <v>204</v>
      </c>
      <c r="W2" s="44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13.9" customHeight="1">
      <c r="A3" s="167">
        <v>14260</v>
      </c>
      <c r="B3" s="168" t="s">
        <v>205</v>
      </c>
      <c r="C3" s="169" t="str">
        <f>Rollover!A3</f>
        <v>Acura</v>
      </c>
      <c r="D3" s="169" t="str">
        <f>Rollover!B3</f>
        <v>Integra 5 HB FWD</v>
      </c>
      <c r="E3" s="66" t="s">
        <v>120</v>
      </c>
      <c r="F3" s="170">
        <f>Rollover!C3</f>
        <v>2023</v>
      </c>
      <c r="G3" s="120">
        <v>235.989</v>
      </c>
      <c r="H3" s="11">
        <v>19.187000000000001</v>
      </c>
      <c r="I3" s="11">
        <v>45.485999999999997</v>
      </c>
      <c r="J3" s="121">
        <v>21.614999999999998</v>
      </c>
      <c r="K3" s="12">
        <v>2871.9740000000002</v>
      </c>
      <c r="L3" s="23">
        <f>NORMDIST(LN(G3),7.45231,0.73998,1)</f>
        <v>3.6019529688484063E-3</v>
      </c>
      <c r="M3" s="24">
        <f t="shared" ref="M3:M23" si="0">1/(1+EXP(6.3055-0.00094*K3))</f>
        <v>2.6446101315489901E-2</v>
      </c>
      <c r="N3" s="23">
        <f t="shared" ref="N3:N23" si="1">ROUND(1-(1-L3)*(1-M3),3)</f>
        <v>0.03</v>
      </c>
      <c r="O3" s="5">
        <f t="shared" ref="O3:O23" si="2">ROUND(N3/0.15,2)</f>
        <v>0.2</v>
      </c>
      <c r="P3" s="22">
        <f t="shared" ref="P3:P23" si="3">IF(O3&lt;0.67,5,IF(O3&lt;1,4,IF(O3&lt;1.33,3,IF(O3&lt;2.67,2,1))))</f>
        <v>5</v>
      </c>
      <c r="Q3" s="171">
        <f>ROUND((0.8*'Side MDB'!W3+0.2*'Side Pole'!N3),3)</f>
        <v>5.5E-2</v>
      </c>
      <c r="R3" s="172">
        <f t="shared" ref="R3:R23" si="4">ROUND((Q3)/0.15,2)</f>
        <v>0.37</v>
      </c>
      <c r="S3" s="134">
        <f t="shared" ref="S3:S23" si="5">IF(R3&lt;0.67,5,IF(R3&lt;1,4,IF(R3&lt;1.33,3,IF(R3&lt;2.67,2,1))))</f>
        <v>5</v>
      </c>
      <c r="T3" s="172">
        <f>ROUND(((0.8*'Side MDB'!W3+0.2*'Side Pole'!N3)+(IF('Side MDB'!X3="N/A",(0.8*'Side MDB'!W3+0.2*'Side Pole'!N3),'Side MDB'!X3)))/2,3)</f>
        <v>3.6999999999999998E-2</v>
      </c>
      <c r="U3" s="172">
        <f t="shared" ref="U3:U23" si="6">ROUND((T3)/0.15,2)</f>
        <v>0.25</v>
      </c>
      <c r="V3" s="22">
        <f t="shared" ref="V3:V23" si="7">IF(U3&lt;0.67,5,IF(U3&lt;1,4,IF(U3&lt;1.33,3,IF(U3&lt;2.67,2,1))))</f>
        <v>5</v>
      </c>
      <c r="W3" s="8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</row>
    <row r="4" spans="1:34" ht="13.9" customHeight="1">
      <c r="A4" s="167"/>
      <c r="B4" s="168"/>
      <c r="C4" s="175" t="str">
        <f>Rollover!A4</f>
        <v>Honda</v>
      </c>
      <c r="D4" s="175" t="str">
        <f>Rollover!B4</f>
        <v>Civic Hatchback FWD</v>
      </c>
      <c r="E4" s="66"/>
      <c r="F4" s="170">
        <f>Rollover!C4</f>
        <v>2023</v>
      </c>
      <c r="G4" s="120"/>
      <c r="H4" s="11"/>
      <c r="I4" s="11"/>
      <c r="J4" s="121"/>
      <c r="K4" s="12"/>
      <c r="L4" s="23" t="e">
        <f t="shared" ref="L4" si="8">NORMDIST(LN(G4),7.45231,0.73998,1)</f>
        <v>#NUM!</v>
      </c>
      <c r="M4" s="24">
        <f t="shared" si="0"/>
        <v>1.8229037773026034E-3</v>
      </c>
      <c r="N4" s="23" t="e">
        <f t="shared" si="1"/>
        <v>#NUM!</v>
      </c>
      <c r="O4" s="5" t="e">
        <f t="shared" si="2"/>
        <v>#NUM!</v>
      </c>
      <c r="P4" s="22" t="e">
        <f t="shared" si="3"/>
        <v>#NUM!</v>
      </c>
      <c r="Q4" s="171" t="e">
        <f>ROUND((0.8*'Side MDB'!W4+0.2*'Side Pole'!N4),3)</f>
        <v>#NUM!</v>
      </c>
      <c r="R4" s="172" t="e">
        <f t="shared" si="4"/>
        <v>#NUM!</v>
      </c>
      <c r="S4" s="134" t="e">
        <f t="shared" si="5"/>
        <v>#NUM!</v>
      </c>
      <c r="T4" s="172" t="e">
        <f>ROUND(((0.8*'Side MDB'!W4+0.2*'Side Pole'!N4)+(IF('Side MDB'!X4="N/A",(0.8*'Side MDB'!W4+0.2*'Side Pole'!N4),'Side MDB'!X4)))/2,3)</f>
        <v>#NUM!</v>
      </c>
      <c r="U4" s="172" t="e">
        <f t="shared" si="6"/>
        <v>#NUM!</v>
      </c>
      <c r="V4" s="22" t="e">
        <f t="shared" si="7"/>
        <v>#NUM!</v>
      </c>
      <c r="W4" s="82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</row>
    <row r="5" spans="1:34" ht="13.9" customHeight="1">
      <c r="A5" s="167"/>
      <c r="B5" s="168"/>
      <c r="C5" s="175" t="str">
        <f>Rollover!A5</f>
        <v>Honda</v>
      </c>
      <c r="D5" s="175" t="str">
        <f>Rollover!B5</f>
        <v>Civic Hatchback Typer R FWD</v>
      </c>
      <c r="E5" s="66"/>
      <c r="F5" s="170">
        <f>Rollover!C5</f>
        <v>2023</v>
      </c>
      <c r="G5" s="120"/>
      <c r="H5" s="11"/>
      <c r="I5" s="11"/>
      <c r="J5" s="121"/>
      <c r="K5" s="12"/>
      <c r="L5" s="23" t="e">
        <f t="shared" ref="L5:L6" si="9">NORMDIST(LN(G5),7.45231,0.73998,1)</f>
        <v>#NUM!</v>
      </c>
      <c r="M5" s="24">
        <f t="shared" si="0"/>
        <v>1.8229037773026034E-3</v>
      </c>
      <c r="N5" s="23" t="e">
        <f t="shared" si="1"/>
        <v>#NUM!</v>
      </c>
      <c r="O5" s="5" t="e">
        <f t="shared" si="2"/>
        <v>#NUM!</v>
      </c>
      <c r="P5" s="22" t="e">
        <f t="shared" si="3"/>
        <v>#NUM!</v>
      </c>
      <c r="Q5" s="171" t="e">
        <f>ROUND((0.8*'Side MDB'!W5+0.2*'Side Pole'!N5),3)</f>
        <v>#NUM!</v>
      </c>
      <c r="R5" s="172" t="e">
        <f t="shared" si="4"/>
        <v>#NUM!</v>
      </c>
      <c r="S5" s="134" t="e">
        <f t="shared" si="5"/>
        <v>#NUM!</v>
      </c>
      <c r="T5" s="172" t="e">
        <f>ROUND(((0.8*'Side MDB'!W5+0.2*'Side Pole'!N5)+(IF('Side MDB'!X5="N/A",(0.8*'Side MDB'!W5+0.2*'Side Pole'!N5),'Side MDB'!X5)))/2,3)</f>
        <v>#NUM!</v>
      </c>
      <c r="U5" s="172" t="e">
        <f t="shared" si="6"/>
        <v>#NUM!</v>
      </c>
      <c r="V5" s="22" t="e">
        <f t="shared" si="7"/>
        <v>#NUM!</v>
      </c>
      <c r="W5" s="82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</row>
    <row r="6" spans="1:34" ht="13.9" customHeight="1">
      <c r="A6" s="167"/>
      <c r="B6" s="168"/>
      <c r="C6" s="175" t="str">
        <f>Rollover!A6</f>
        <v>Honda</v>
      </c>
      <c r="D6" s="175" t="str">
        <f>Rollover!B6</f>
        <v>Civic Sedan FWD</v>
      </c>
      <c r="E6" s="66"/>
      <c r="F6" s="170">
        <f>Rollover!C6</f>
        <v>2023</v>
      </c>
      <c r="G6" s="120"/>
      <c r="H6" s="11"/>
      <c r="I6" s="11"/>
      <c r="J6" s="121"/>
      <c r="K6" s="12"/>
      <c r="L6" s="23" t="e">
        <f t="shared" si="9"/>
        <v>#NUM!</v>
      </c>
      <c r="M6" s="24">
        <f t="shared" si="0"/>
        <v>1.8229037773026034E-3</v>
      </c>
      <c r="N6" s="23" t="e">
        <f t="shared" si="1"/>
        <v>#NUM!</v>
      </c>
      <c r="O6" s="5" t="e">
        <f t="shared" si="2"/>
        <v>#NUM!</v>
      </c>
      <c r="P6" s="22" t="e">
        <f t="shared" si="3"/>
        <v>#NUM!</v>
      </c>
      <c r="Q6" s="171" t="e">
        <f>ROUND((0.8*'Side MDB'!W6+0.2*'Side Pole'!N6),3)</f>
        <v>#NUM!</v>
      </c>
      <c r="R6" s="172" t="e">
        <f t="shared" si="4"/>
        <v>#NUM!</v>
      </c>
      <c r="S6" s="134" t="e">
        <f t="shared" si="5"/>
        <v>#NUM!</v>
      </c>
      <c r="T6" s="172" t="e">
        <f>ROUND(((0.8*'Side MDB'!W6+0.2*'Side Pole'!N6)+(IF('Side MDB'!X6="N/A",(0.8*'Side MDB'!W6+0.2*'Side Pole'!N6),'Side MDB'!X6)))/2,3)</f>
        <v>#NUM!</v>
      </c>
      <c r="U6" s="172" t="e">
        <f t="shared" si="6"/>
        <v>#NUM!</v>
      </c>
      <c r="V6" s="22" t="e">
        <f t="shared" si="7"/>
        <v>#NUM!</v>
      </c>
      <c r="W6" s="82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</row>
    <row r="7" spans="1:34" ht="13.9" customHeight="1">
      <c r="A7" s="168">
        <v>11825</v>
      </c>
      <c r="B7" s="168" t="s">
        <v>206</v>
      </c>
      <c r="C7" s="169" t="str">
        <f>Rollover!A7</f>
        <v>Audi</v>
      </c>
      <c r="D7" s="169" t="str">
        <f>Rollover!B7</f>
        <v>Q7 SUV AWD</v>
      </c>
      <c r="E7" s="5" t="s">
        <v>120</v>
      </c>
      <c r="F7" s="170">
        <f>Rollover!C7</f>
        <v>2023</v>
      </c>
      <c r="G7" s="120">
        <v>268.27100000000002</v>
      </c>
      <c r="H7" s="11">
        <v>24.117000000000001</v>
      </c>
      <c r="I7" s="11">
        <v>40.027000000000001</v>
      </c>
      <c r="J7" s="121">
        <v>19.065000000000001</v>
      </c>
      <c r="K7" s="121">
        <v>2158.5639999999999</v>
      </c>
      <c r="L7" s="23">
        <f t="shared" ref="L7:L23" si="10">NORMDIST(LN(G7),7.45231,0.73998,1)</f>
        <v>5.9684618569986036E-3</v>
      </c>
      <c r="M7" s="24">
        <f t="shared" si="0"/>
        <v>1.3701552585304883E-2</v>
      </c>
      <c r="N7" s="23">
        <f t="shared" si="1"/>
        <v>0.02</v>
      </c>
      <c r="O7" s="5">
        <f t="shared" si="2"/>
        <v>0.13</v>
      </c>
      <c r="P7" s="22">
        <f t="shared" si="3"/>
        <v>5</v>
      </c>
      <c r="Q7" s="171">
        <f>ROUND((0.8*'Side MDB'!W7+0.2*'Side Pole'!N7),3)</f>
        <v>2.5999999999999999E-2</v>
      </c>
      <c r="R7" s="172">
        <f t="shared" si="4"/>
        <v>0.17</v>
      </c>
      <c r="S7" s="134">
        <f t="shared" si="5"/>
        <v>5</v>
      </c>
      <c r="T7" s="172">
        <f>ROUND(((0.8*'Side MDB'!W7+0.2*'Side Pole'!N7)+(IF('Side MDB'!X7="N/A",(0.8*'Side MDB'!W7+0.2*'Side Pole'!N7),'Side MDB'!X7)))/2,3)</f>
        <v>2.5000000000000001E-2</v>
      </c>
      <c r="U7" s="172">
        <f t="shared" si="6"/>
        <v>0.17</v>
      </c>
      <c r="V7" s="22">
        <f t="shared" si="7"/>
        <v>5</v>
      </c>
      <c r="W7" s="82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</row>
    <row r="8" spans="1:34" ht="13.9" customHeight="1">
      <c r="A8" s="168"/>
      <c r="B8" s="168"/>
      <c r="C8" s="175" t="str">
        <f>Rollover!A8</f>
        <v>Audi</v>
      </c>
      <c r="D8" s="175" t="str">
        <f>Rollover!B8</f>
        <v>SQ7 SUV AWD</v>
      </c>
      <c r="E8" s="5"/>
      <c r="F8" s="170">
        <f>Rollover!C8</f>
        <v>2023</v>
      </c>
      <c r="G8" s="120"/>
      <c r="H8" s="11"/>
      <c r="I8" s="11"/>
      <c r="J8" s="121"/>
      <c r="K8" s="121"/>
      <c r="L8" s="23" t="e">
        <f t="shared" si="10"/>
        <v>#NUM!</v>
      </c>
      <c r="M8" s="24">
        <f t="shared" si="0"/>
        <v>1.8229037773026034E-3</v>
      </c>
      <c r="N8" s="23" t="e">
        <f t="shared" si="1"/>
        <v>#NUM!</v>
      </c>
      <c r="O8" s="5" t="e">
        <f t="shared" si="2"/>
        <v>#NUM!</v>
      </c>
      <c r="P8" s="22" t="e">
        <f t="shared" si="3"/>
        <v>#NUM!</v>
      </c>
      <c r="Q8" s="171" t="e">
        <f>ROUND((0.8*'Side MDB'!W8+0.2*'Side Pole'!N8),3)</f>
        <v>#NUM!</v>
      </c>
      <c r="R8" s="172" t="e">
        <f t="shared" si="4"/>
        <v>#NUM!</v>
      </c>
      <c r="S8" s="134" t="e">
        <f t="shared" si="5"/>
        <v>#NUM!</v>
      </c>
      <c r="T8" s="172" t="e">
        <f>ROUND(((0.8*'Side MDB'!W8+0.2*'Side Pole'!N8)+(IF('Side MDB'!X8="N/A",(0.8*'Side MDB'!W8+0.2*'Side Pole'!N8),'Side MDB'!X8)))/2,3)</f>
        <v>#NUM!</v>
      </c>
      <c r="U8" s="172" t="e">
        <f t="shared" si="6"/>
        <v>#NUM!</v>
      </c>
      <c r="V8" s="22" t="e">
        <f t="shared" si="7"/>
        <v>#NUM!</v>
      </c>
      <c r="W8" s="82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</row>
    <row r="9" spans="1:34" ht="13.9" customHeight="1">
      <c r="A9" s="167">
        <v>10659</v>
      </c>
      <c r="B9" s="168" t="s">
        <v>207</v>
      </c>
      <c r="C9" s="169" t="str">
        <f>Rollover!A9</f>
        <v>Audi</v>
      </c>
      <c r="D9" s="169" t="str">
        <f>Rollover!B9</f>
        <v>Q8 AWD</v>
      </c>
      <c r="E9" s="66" t="s">
        <v>120</v>
      </c>
      <c r="F9" s="170">
        <f>Rollover!C9</f>
        <v>2023</v>
      </c>
      <c r="G9" s="120">
        <v>282.40699999999998</v>
      </c>
      <c r="H9" s="11">
        <v>23.873000000000001</v>
      </c>
      <c r="I9" s="11">
        <v>49.451000000000001</v>
      </c>
      <c r="J9" s="121">
        <v>19.324000000000002</v>
      </c>
      <c r="K9" s="12">
        <v>2639.1370000000002</v>
      </c>
      <c r="L9" s="23">
        <f t="shared" si="10"/>
        <v>7.2504915713740578E-3</v>
      </c>
      <c r="M9" s="24">
        <f t="shared" si="0"/>
        <v>2.1358591522434224E-2</v>
      </c>
      <c r="N9" s="23">
        <f t="shared" si="1"/>
        <v>2.8000000000000001E-2</v>
      </c>
      <c r="O9" s="5">
        <f t="shared" si="2"/>
        <v>0.19</v>
      </c>
      <c r="P9" s="22">
        <f t="shared" si="3"/>
        <v>5</v>
      </c>
      <c r="Q9" s="171">
        <f>ROUND((0.8*'Side MDB'!W9+0.2*'Side Pole'!N9),3)</f>
        <v>0.03</v>
      </c>
      <c r="R9" s="172">
        <f t="shared" si="4"/>
        <v>0.2</v>
      </c>
      <c r="S9" s="134">
        <f t="shared" si="5"/>
        <v>5</v>
      </c>
      <c r="T9" s="172">
        <f>ROUND(((0.8*'Side MDB'!W9+0.2*'Side Pole'!N9)+(IF('Side MDB'!X9="N/A",(0.8*'Side MDB'!W9+0.2*'Side Pole'!N9),'Side MDB'!X9)))/2,3)</f>
        <v>2.1000000000000001E-2</v>
      </c>
      <c r="U9" s="172">
        <f t="shared" si="6"/>
        <v>0.14000000000000001</v>
      </c>
      <c r="V9" s="22">
        <f t="shared" si="7"/>
        <v>5</v>
      </c>
      <c r="W9" s="82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</row>
    <row r="10" spans="1:34" ht="13.9" customHeight="1">
      <c r="A10" s="167"/>
      <c r="B10" s="168"/>
      <c r="C10" s="175" t="str">
        <f>Rollover!A10</f>
        <v>Audi</v>
      </c>
      <c r="D10" s="175" t="str">
        <f>Rollover!B10</f>
        <v>SQ8 AWD</v>
      </c>
      <c r="E10" s="66"/>
      <c r="F10" s="170">
        <f>Rollover!C10</f>
        <v>2023</v>
      </c>
      <c r="G10" s="120"/>
      <c r="H10" s="11"/>
      <c r="I10" s="11"/>
      <c r="J10" s="121"/>
      <c r="K10" s="12"/>
      <c r="L10" s="23" t="e">
        <f t="shared" si="10"/>
        <v>#NUM!</v>
      </c>
      <c r="M10" s="24">
        <f t="shared" si="0"/>
        <v>1.8229037773026034E-3</v>
      </c>
      <c r="N10" s="23" t="e">
        <f t="shared" si="1"/>
        <v>#NUM!</v>
      </c>
      <c r="O10" s="5" t="e">
        <f t="shared" si="2"/>
        <v>#NUM!</v>
      </c>
      <c r="P10" s="22" t="e">
        <f t="shared" si="3"/>
        <v>#NUM!</v>
      </c>
      <c r="Q10" s="171" t="e">
        <f>ROUND((0.8*'Side MDB'!W10+0.2*'Side Pole'!N10),3)</f>
        <v>#NUM!</v>
      </c>
      <c r="R10" s="172" t="e">
        <f t="shared" si="4"/>
        <v>#NUM!</v>
      </c>
      <c r="S10" s="134" t="e">
        <f t="shared" si="5"/>
        <v>#NUM!</v>
      </c>
      <c r="T10" s="172" t="e">
        <f>ROUND(((0.8*'Side MDB'!W10+0.2*'Side Pole'!N10)+(IF('Side MDB'!X10="N/A",(0.8*'Side MDB'!W10+0.2*'Side Pole'!N10),'Side MDB'!X10)))/2,3)</f>
        <v>#NUM!</v>
      </c>
      <c r="U10" s="172" t="e">
        <f t="shared" si="6"/>
        <v>#NUM!</v>
      </c>
      <c r="V10" s="22" t="e">
        <f t="shared" si="7"/>
        <v>#NUM!</v>
      </c>
      <c r="W10" s="82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</row>
    <row r="11" spans="1:34" ht="13.9" customHeight="1">
      <c r="A11" s="167"/>
      <c r="B11" s="168"/>
      <c r="C11" s="175" t="str">
        <f>Rollover!A11</f>
        <v>Audi</v>
      </c>
      <c r="D11" s="175" t="str">
        <f>Rollover!B11</f>
        <v>RS Q8 AWD</v>
      </c>
      <c r="E11" s="66"/>
      <c r="F11" s="170">
        <f>Rollover!C11</f>
        <v>2023</v>
      </c>
      <c r="G11" s="120"/>
      <c r="H11" s="11"/>
      <c r="I11" s="11"/>
      <c r="J11" s="121"/>
      <c r="K11" s="12"/>
      <c r="L11" s="23" t="e">
        <f t="shared" si="10"/>
        <v>#NUM!</v>
      </c>
      <c r="M11" s="24">
        <f t="shared" si="0"/>
        <v>1.8229037773026034E-3</v>
      </c>
      <c r="N11" s="23" t="e">
        <f t="shared" si="1"/>
        <v>#NUM!</v>
      </c>
      <c r="O11" s="5" t="e">
        <f t="shared" si="2"/>
        <v>#NUM!</v>
      </c>
      <c r="P11" s="22" t="e">
        <f t="shared" si="3"/>
        <v>#NUM!</v>
      </c>
      <c r="Q11" s="171" t="e">
        <f>ROUND((0.8*'Side MDB'!W11+0.2*'Side Pole'!N11),3)</f>
        <v>#NUM!</v>
      </c>
      <c r="R11" s="172" t="e">
        <f t="shared" si="4"/>
        <v>#NUM!</v>
      </c>
      <c r="S11" s="134" t="e">
        <f t="shared" si="5"/>
        <v>#NUM!</v>
      </c>
      <c r="T11" s="172" t="e">
        <f>ROUND(((0.8*'Side MDB'!W11+0.2*'Side Pole'!N11)+(IF('Side MDB'!X11="N/A",(0.8*'Side MDB'!W11+0.2*'Side Pole'!N11),'Side MDB'!X11)))/2,3)</f>
        <v>#NUM!</v>
      </c>
      <c r="U11" s="172" t="e">
        <f t="shared" si="6"/>
        <v>#NUM!</v>
      </c>
      <c r="V11" s="22" t="e">
        <f t="shared" si="7"/>
        <v>#NUM!</v>
      </c>
      <c r="W11" s="82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</row>
    <row r="12" spans="1:34" ht="13.9" customHeight="1">
      <c r="A12" s="176">
        <v>14382</v>
      </c>
      <c r="B12" s="177" t="s">
        <v>208</v>
      </c>
      <c r="C12" s="47" t="str">
        <f>Rollover!A12</f>
        <v>BMW</v>
      </c>
      <c r="D12" s="47" t="str">
        <f>Rollover!B12</f>
        <v>X1 SUV AWD</v>
      </c>
      <c r="E12" s="5" t="s">
        <v>125</v>
      </c>
      <c r="F12" s="178">
        <f>Rollover!C12</f>
        <v>2023</v>
      </c>
      <c r="G12" s="179">
        <v>230.4</v>
      </c>
      <c r="H12" s="18">
        <v>25.341000000000001</v>
      </c>
      <c r="I12" s="18">
        <v>41.853000000000002</v>
      </c>
      <c r="J12" s="180">
        <v>24.596</v>
      </c>
      <c r="K12" s="19">
        <v>2883.4720000000002</v>
      </c>
      <c r="L12" s="23">
        <f>NORMDIST(LN(G12),7.45231,0.73998,1)</f>
        <v>3.2674660530342637E-3</v>
      </c>
      <c r="M12" s="24">
        <f>1/(1+EXP(6.3055-0.00094*K12))</f>
        <v>2.6725803650528155E-2</v>
      </c>
      <c r="N12" s="23">
        <f>ROUND(1-(1-L12)*(1-M12),3)</f>
        <v>0.03</v>
      </c>
      <c r="O12" s="5">
        <f>ROUND(N12/0.15,2)</f>
        <v>0.2</v>
      </c>
      <c r="P12" s="22">
        <f>IF(O12&lt;0.67,5,IF(O12&lt;1,4,IF(O12&lt;1.33,3,IF(O12&lt;2.67,2,1))))</f>
        <v>5</v>
      </c>
      <c r="Q12" s="171">
        <f>ROUND((0.8*'Side MDB'!W12+0.2*'Side Pole'!N12),3)</f>
        <v>3.9E-2</v>
      </c>
      <c r="R12" s="172">
        <f>ROUND((Q12)/0.15,2)</f>
        <v>0.26</v>
      </c>
      <c r="S12" s="134">
        <f>IF(R12&lt;0.67,5,IF(R12&lt;1,4,IF(R12&lt;1.33,3,IF(R12&lt;2.67,2,1))))</f>
        <v>5</v>
      </c>
      <c r="T12" s="172">
        <f>ROUND(((0.8*'Side MDB'!W12+0.2*'Side Pole'!N12)+(IF('Side MDB'!X12="N/A",(0.8*'Side MDB'!W12+0.2*'Side Pole'!N12),'Side MDB'!X12)))/2,3)</f>
        <v>3.4000000000000002E-2</v>
      </c>
      <c r="U12" s="172">
        <f>ROUND((T12)/0.15,2)</f>
        <v>0.23</v>
      </c>
      <c r="V12" s="22">
        <f>IF(U12&lt;0.67,5,IF(U12&lt;1,4,IF(U12&lt;1.33,3,IF(U12&lt;2.67,2,1))))</f>
        <v>5</v>
      </c>
      <c r="W12" s="119"/>
    </row>
    <row r="13" spans="1:34" ht="13.9" customHeight="1">
      <c r="A13" s="176">
        <v>14429</v>
      </c>
      <c r="B13" s="177" t="s">
        <v>209</v>
      </c>
      <c r="C13" s="169" t="str">
        <f>Rollover!A13</f>
        <v>Chevrolet</v>
      </c>
      <c r="D13" s="169" t="str">
        <f>Rollover!B13</f>
        <v>Colorado PU/CC RWD</v>
      </c>
      <c r="E13" s="66" t="s">
        <v>122</v>
      </c>
      <c r="F13" s="170">
        <f>Rollover!C13</f>
        <v>2023</v>
      </c>
      <c r="G13" s="179">
        <v>251.13300000000001</v>
      </c>
      <c r="H13" s="18">
        <v>17.489000000000001</v>
      </c>
      <c r="I13" s="18">
        <v>32.159999999999997</v>
      </c>
      <c r="J13" s="180">
        <v>13.288</v>
      </c>
      <c r="K13" s="19">
        <v>2608.7979999999998</v>
      </c>
      <c r="L13" s="23">
        <f t="shared" si="10"/>
        <v>4.6176956721782148E-3</v>
      </c>
      <c r="M13" s="24">
        <f t="shared" si="0"/>
        <v>2.0770549773006203E-2</v>
      </c>
      <c r="N13" s="23">
        <f t="shared" si="1"/>
        <v>2.5000000000000001E-2</v>
      </c>
      <c r="O13" s="5">
        <f t="shared" si="2"/>
        <v>0.17</v>
      </c>
      <c r="P13" s="22">
        <f t="shared" si="3"/>
        <v>5</v>
      </c>
      <c r="Q13" s="171">
        <f>ROUND((0.8*'Side MDB'!W13+0.2*'Side Pole'!N13),3)</f>
        <v>0.14499999999999999</v>
      </c>
      <c r="R13" s="172">
        <f t="shared" si="4"/>
        <v>0.97</v>
      </c>
      <c r="S13" s="134">
        <f t="shared" si="5"/>
        <v>4</v>
      </c>
      <c r="T13" s="172">
        <f>ROUND(((0.8*'Side MDB'!W13+0.2*'Side Pole'!N13)+(IF('Side MDB'!X13="N/A",(0.8*'Side MDB'!W13+0.2*'Side Pole'!N13),'Side MDB'!X13)))/2,3)</f>
        <v>7.5999999999999998E-2</v>
      </c>
      <c r="U13" s="172">
        <f t="shared" si="6"/>
        <v>0.51</v>
      </c>
      <c r="V13" s="22">
        <f t="shared" si="7"/>
        <v>5</v>
      </c>
      <c r="W13" s="82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</row>
    <row r="14" spans="1:34" ht="13.9" customHeight="1">
      <c r="A14" s="176">
        <v>14429</v>
      </c>
      <c r="B14" s="177" t="s">
        <v>209</v>
      </c>
      <c r="C14" s="169" t="str">
        <f>Rollover!A14</f>
        <v>Chevrolet</v>
      </c>
      <c r="D14" s="169" t="str">
        <f>Rollover!B14</f>
        <v>Colorado PU/CC 4WD</v>
      </c>
      <c r="E14" s="66" t="s">
        <v>122</v>
      </c>
      <c r="F14" s="170">
        <f>Rollover!C14</f>
        <v>2023</v>
      </c>
      <c r="G14" s="179">
        <v>251.13300000000001</v>
      </c>
      <c r="H14" s="18">
        <v>17.489000000000001</v>
      </c>
      <c r="I14" s="18">
        <v>32.159999999999997</v>
      </c>
      <c r="J14" s="180">
        <v>13.288</v>
      </c>
      <c r="K14" s="19">
        <v>2608.7979999999998</v>
      </c>
      <c r="L14" s="23">
        <f t="shared" si="10"/>
        <v>4.6176956721782148E-3</v>
      </c>
      <c r="M14" s="24">
        <f t="shared" si="0"/>
        <v>2.0770549773006203E-2</v>
      </c>
      <c r="N14" s="23">
        <f t="shared" si="1"/>
        <v>2.5000000000000001E-2</v>
      </c>
      <c r="O14" s="5">
        <f t="shared" si="2"/>
        <v>0.17</v>
      </c>
      <c r="P14" s="22">
        <f t="shared" si="3"/>
        <v>5</v>
      </c>
      <c r="Q14" s="171">
        <f>ROUND((0.8*'Side MDB'!W14+0.2*'Side Pole'!N14),3)</f>
        <v>0.14499999999999999</v>
      </c>
      <c r="R14" s="172">
        <f t="shared" si="4"/>
        <v>0.97</v>
      </c>
      <c r="S14" s="134">
        <f t="shared" si="5"/>
        <v>4</v>
      </c>
      <c r="T14" s="172">
        <f>ROUND(((0.8*'Side MDB'!W14+0.2*'Side Pole'!N14)+(IF('Side MDB'!X14="N/A",(0.8*'Side MDB'!W14+0.2*'Side Pole'!N14),'Side MDB'!X14)))/2,3)</f>
        <v>7.5999999999999998E-2</v>
      </c>
      <c r="U14" s="172">
        <f t="shared" si="6"/>
        <v>0.51</v>
      </c>
      <c r="V14" s="22">
        <f t="shared" si="7"/>
        <v>5</v>
      </c>
      <c r="W14" s="82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</row>
    <row r="15" spans="1:34" ht="13.9" customHeight="1">
      <c r="A15" s="176">
        <v>14429</v>
      </c>
      <c r="B15" s="177" t="s">
        <v>209</v>
      </c>
      <c r="C15" s="175" t="str">
        <f>Rollover!A15</f>
        <v>GMC</v>
      </c>
      <c r="D15" s="175" t="str">
        <f>Rollover!B15</f>
        <v>Canyon PU/CC RWD</v>
      </c>
      <c r="E15" s="66" t="s">
        <v>122</v>
      </c>
      <c r="F15" s="170">
        <f>Rollover!C15</f>
        <v>2023</v>
      </c>
      <c r="G15" s="179">
        <v>251.13300000000001</v>
      </c>
      <c r="H15" s="18">
        <v>17.489000000000001</v>
      </c>
      <c r="I15" s="18">
        <v>32.159999999999997</v>
      </c>
      <c r="J15" s="180">
        <v>13.288</v>
      </c>
      <c r="K15" s="19">
        <v>2608.7979999999998</v>
      </c>
      <c r="L15" s="23">
        <f t="shared" si="10"/>
        <v>4.6176956721782148E-3</v>
      </c>
      <c r="M15" s="24">
        <f t="shared" si="0"/>
        <v>2.0770549773006203E-2</v>
      </c>
      <c r="N15" s="23">
        <f t="shared" si="1"/>
        <v>2.5000000000000001E-2</v>
      </c>
      <c r="O15" s="5">
        <f t="shared" si="2"/>
        <v>0.17</v>
      </c>
      <c r="P15" s="22">
        <f t="shared" si="3"/>
        <v>5</v>
      </c>
      <c r="Q15" s="171">
        <f>ROUND((0.8*'Side MDB'!W15+0.2*'Side Pole'!N15),3)</f>
        <v>0.14499999999999999</v>
      </c>
      <c r="R15" s="172">
        <f t="shared" si="4"/>
        <v>0.97</v>
      </c>
      <c r="S15" s="134">
        <f t="shared" si="5"/>
        <v>4</v>
      </c>
      <c r="T15" s="172">
        <f>ROUND(((0.8*'Side MDB'!W15+0.2*'Side Pole'!N15)+(IF('Side MDB'!X15="N/A",(0.8*'Side MDB'!W15+0.2*'Side Pole'!N15),'Side MDB'!X15)))/2,3)</f>
        <v>7.5999999999999998E-2</v>
      </c>
      <c r="U15" s="172">
        <f t="shared" si="6"/>
        <v>0.51</v>
      </c>
      <c r="V15" s="22">
        <f t="shared" si="7"/>
        <v>5</v>
      </c>
      <c r="W15" s="82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</row>
    <row r="16" spans="1:34" ht="13.9" customHeight="1">
      <c r="A16" s="176">
        <v>14429</v>
      </c>
      <c r="B16" s="177" t="s">
        <v>209</v>
      </c>
      <c r="C16" s="175" t="str">
        <f>Rollover!A16</f>
        <v>GMC</v>
      </c>
      <c r="D16" s="175" t="str">
        <f>Rollover!B16</f>
        <v>Canyon PU/CC 4WD</v>
      </c>
      <c r="E16" s="66" t="s">
        <v>122</v>
      </c>
      <c r="F16" s="170">
        <f>Rollover!C16</f>
        <v>2023</v>
      </c>
      <c r="G16" s="179">
        <v>251.13300000000001</v>
      </c>
      <c r="H16" s="18">
        <v>17.489000000000001</v>
      </c>
      <c r="I16" s="18">
        <v>32.159999999999997</v>
      </c>
      <c r="J16" s="180">
        <v>13.288</v>
      </c>
      <c r="K16" s="19">
        <v>2608.7979999999998</v>
      </c>
      <c r="L16" s="23">
        <f t="shared" si="10"/>
        <v>4.6176956721782148E-3</v>
      </c>
      <c r="M16" s="24">
        <f t="shared" si="0"/>
        <v>2.0770549773006203E-2</v>
      </c>
      <c r="N16" s="23">
        <f t="shared" si="1"/>
        <v>2.5000000000000001E-2</v>
      </c>
      <c r="O16" s="5">
        <f t="shared" si="2"/>
        <v>0.17</v>
      </c>
      <c r="P16" s="22">
        <f t="shared" si="3"/>
        <v>5</v>
      </c>
      <c r="Q16" s="171">
        <f>ROUND((0.8*'Side MDB'!W16+0.2*'Side Pole'!N16),3)</f>
        <v>0.14499999999999999</v>
      </c>
      <c r="R16" s="172">
        <f t="shared" si="4"/>
        <v>0.97</v>
      </c>
      <c r="S16" s="134">
        <f t="shared" si="5"/>
        <v>4</v>
      </c>
      <c r="T16" s="172">
        <f>ROUND(((0.8*'Side MDB'!W16+0.2*'Side Pole'!N16)+(IF('Side MDB'!X16="N/A",(0.8*'Side MDB'!W16+0.2*'Side Pole'!N16),'Side MDB'!X16)))/2,3)</f>
        <v>7.5999999999999998E-2</v>
      </c>
      <c r="U16" s="172">
        <f t="shared" si="6"/>
        <v>0.51</v>
      </c>
      <c r="V16" s="22">
        <f t="shared" si="7"/>
        <v>5</v>
      </c>
      <c r="W16" s="82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</row>
    <row r="17" spans="1:34" ht="13.9" customHeight="1">
      <c r="A17" s="176">
        <v>14276</v>
      </c>
      <c r="B17" s="177" t="s">
        <v>210</v>
      </c>
      <c r="C17" s="175" t="str">
        <f>Rollover!A17</f>
        <v>Chevrolet</v>
      </c>
      <c r="D17" s="175" t="str">
        <f>Rollover!B17</f>
        <v>Malibu 4DR FWD</v>
      </c>
      <c r="E17" s="66" t="s">
        <v>122</v>
      </c>
      <c r="F17" s="170">
        <f>Rollover!C17</f>
        <v>2023</v>
      </c>
      <c r="G17" s="179">
        <v>395.714</v>
      </c>
      <c r="H17" s="18">
        <v>15.023999999999999</v>
      </c>
      <c r="I17" s="18">
        <v>31.832000000000001</v>
      </c>
      <c r="J17" s="180">
        <v>15.891</v>
      </c>
      <c r="K17" s="19">
        <v>2202.7109999999998</v>
      </c>
      <c r="L17" s="23">
        <f t="shared" si="10"/>
        <v>2.3365667102117772E-2</v>
      </c>
      <c r="M17" s="24">
        <f t="shared" si="0"/>
        <v>1.4273818001978942E-2</v>
      </c>
      <c r="N17" s="23">
        <f t="shared" si="1"/>
        <v>3.6999999999999998E-2</v>
      </c>
      <c r="O17" s="5">
        <f t="shared" si="2"/>
        <v>0.25</v>
      </c>
      <c r="P17" s="22">
        <f t="shared" si="3"/>
        <v>5</v>
      </c>
      <c r="Q17" s="171">
        <f>ROUND((0.8*'Side MDB'!W17+0.2*'Side Pole'!N17),3)</f>
        <v>8.2000000000000003E-2</v>
      </c>
      <c r="R17" s="172">
        <f t="shared" si="4"/>
        <v>0.55000000000000004</v>
      </c>
      <c r="S17" s="134">
        <f t="shared" si="5"/>
        <v>5</v>
      </c>
      <c r="T17" s="172">
        <f>ROUND(((0.8*'Side MDB'!W17+0.2*'Side Pole'!N17)+(IF('Side MDB'!X17="N/A",(0.8*'Side MDB'!W17+0.2*'Side Pole'!N17),'Side MDB'!X17)))/2,3)</f>
        <v>0.08</v>
      </c>
      <c r="U17" s="172">
        <f t="shared" si="6"/>
        <v>0.53</v>
      </c>
      <c r="V17" s="22">
        <f t="shared" si="7"/>
        <v>5</v>
      </c>
      <c r="W17" s="82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</row>
    <row r="18" spans="1:34" ht="13.9" customHeight="1">
      <c r="A18" s="176">
        <v>11051</v>
      </c>
      <c r="B18" s="177" t="s">
        <v>211</v>
      </c>
      <c r="C18" s="169" t="str">
        <f>Rollover!A18</f>
        <v>Ford</v>
      </c>
      <c r="D18" s="169" t="str">
        <f>Rollover!B18</f>
        <v>Explorer SUV RWD</v>
      </c>
      <c r="E18" s="5" t="s">
        <v>128</v>
      </c>
      <c r="F18" s="170">
        <f>Rollover!C18</f>
        <v>2023</v>
      </c>
      <c r="G18" s="120">
        <v>287.851</v>
      </c>
      <c r="H18" s="11">
        <v>21.36</v>
      </c>
      <c r="I18" s="11">
        <v>39.426000000000002</v>
      </c>
      <c r="J18" s="121">
        <v>22.838000000000001</v>
      </c>
      <c r="K18" s="121">
        <v>2546.933</v>
      </c>
      <c r="L18" s="23">
        <f t="shared" si="10"/>
        <v>7.785801547796658E-3</v>
      </c>
      <c r="M18" s="24">
        <f t="shared" si="0"/>
        <v>1.9620150370070557E-2</v>
      </c>
      <c r="N18" s="23">
        <f t="shared" si="1"/>
        <v>2.7E-2</v>
      </c>
      <c r="O18" s="5">
        <f t="shared" si="2"/>
        <v>0.18</v>
      </c>
      <c r="P18" s="22">
        <f t="shared" si="3"/>
        <v>5</v>
      </c>
      <c r="Q18" s="171">
        <f>ROUND((0.8*'Side MDB'!W18+0.2*'Side Pole'!N18),3)</f>
        <v>4.4999999999999998E-2</v>
      </c>
      <c r="R18" s="172">
        <f t="shared" si="4"/>
        <v>0.3</v>
      </c>
      <c r="S18" s="134">
        <f t="shared" si="5"/>
        <v>5</v>
      </c>
      <c r="T18" s="172">
        <f>ROUND(((0.8*'Side MDB'!W18+0.2*'Side Pole'!N18)+(IF('Side MDB'!X18="N/A",(0.8*'Side MDB'!W18+0.2*'Side Pole'!N18),'Side MDB'!X18)))/2,3)</f>
        <v>3.4000000000000002E-2</v>
      </c>
      <c r="U18" s="172">
        <f t="shared" si="6"/>
        <v>0.23</v>
      </c>
      <c r="V18" s="22">
        <f t="shared" si="7"/>
        <v>5</v>
      </c>
      <c r="W18" s="82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</row>
    <row r="19" spans="1:34" ht="13.9" customHeight="1">
      <c r="A19" s="176">
        <v>11051</v>
      </c>
      <c r="B19" s="177" t="s">
        <v>211</v>
      </c>
      <c r="C19" s="169" t="str">
        <f>Rollover!A19</f>
        <v>Ford</v>
      </c>
      <c r="D19" s="169" t="str">
        <f>Rollover!B19</f>
        <v>Explorer SUV 4WD</v>
      </c>
      <c r="E19" s="5" t="s">
        <v>128</v>
      </c>
      <c r="F19" s="170">
        <f>Rollover!C19</f>
        <v>2023</v>
      </c>
      <c r="G19" s="120">
        <v>287.851</v>
      </c>
      <c r="H19" s="11">
        <v>21.36</v>
      </c>
      <c r="I19" s="11">
        <v>39.426000000000002</v>
      </c>
      <c r="J19" s="121">
        <v>22.838000000000001</v>
      </c>
      <c r="K19" s="121">
        <v>2546.933</v>
      </c>
      <c r="L19" s="23">
        <f t="shared" si="10"/>
        <v>7.785801547796658E-3</v>
      </c>
      <c r="M19" s="24">
        <f t="shared" si="0"/>
        <v>1.9620150370070557E-2</v>
      </c>
      <c r="N19" s="23">
        <f t="shared" si="1"/>
        <v>2.7E-2</v>
      </c>
      <c r="O19" s="5">
        <f t="shared" si="2"/>
        <v>0.18</v>
      </c>
      <c r="P19" s="22">
        <f t="shared" si="3"/>
        <v>5</v>
      </c>
      <c r="Q19" s="171">
        <f>ROUND((0.8*'Side MDB'!W19+0.2*'Side Pole'!N19),3)</f>
        <v>4.4999999999999998E-2</v>
      </c>
      <c r="R19" s="172">
        <f t="shared" si="4"/>
        <v>0.3</v>
      </c>
      <c r="S19" s="134">
        <f t="shared" si="5"/>
        <v>5</v>
      </c>
      <c r="T19" s="172">
        <f>ROUND(((0.8*'Side MDB'!W19+0.2*'Side Pole'!N19)+(IF('Side MDB'!X19="N/A",(0.8*'Side MDB'!W19+0.2*'Side Pole'!N19),'Side MDB'!X19)))/2,3)</f>
        <v>3.4000000000000002E-2</v>
      </c>
      <c r="U19" s="172">
        <f t="shared" si="6"/>
        <v>0.23</v>
      </c>
      <c r="V19" s="22">
        <f t="shared" si="7"/>
        <v>5</v>
      </c>
      <c r="W19" s="82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</row>
    <row r="20" spans="1:34" ht="13.9" customHeight="1">
      <c r="A20" s="176">
        <v>11051</v>
      </c>
      <c r="B20" s="177" t="s">
        <v>211</v>
      </c>
      <c r="C20" s="175" t="str">
        <f>Rollover!A20</f>
        <v>Ford</v>
      </c>
      <c r="D20" s="175" t="str">
        <f>Rollover!B20</f>
        <v>Explorer HEV SUV RWD</v>
      </c>
      <c r="E20" s="5" t="s">
        <v>128</v>
      </c>
      <c r="F20" s="170">
        <f>Rollover!C20</f>
        <v>2023</v>
      </c>
      <c r="G20" s="120">
        <v>287.851</v>
      </c>
      <c r="H20" s="11">
        <v>21.36</v>
      </c>
      <c r="I20" s="11">
        <v>39.426000000000002</v>
      </c>
      <c r="J20" s="121">
        <v>22.838000000000001</v>
      </c>
      <c r="K20" s="121">
        <v>2546.933</v>
      </c>
      <c r="L20" s="23">
        <f t="shared" si="10"/>
        <v>7.785801547796658E-3</v>
      </c>
      <c r="M20" s="24">
        <f t="shared" si="0"/>
        <v>1.9620150370070557E-2</v>
      </c>
      <c r="N20" s="23">
        <f t="shared" si="1"/>
        <v>2.7E-2</v>
      </c>
      <c r="O20" s="5">
        <f t="shared" si="2"/>
        <v>0.18</v>
      </c>
      <c r="P20" s="22">
        <f t="shared" si="3"/>
        <v>5</v>
      </c>
      <c r="Q20" s="171">
        <f>ROUND((0.8*'Side MDB'!W20+0.2*'Side Pole'!N20),3)</f>
        <v>4.4999999999999998E-2</v>
      </c>
      <c r="R20" s="172">
        <f t="shared" si="4"/>
        <v>0.3</v>
      </c>
      <c r="S20" s="134">
        <f t="shared" si="5"/>
        <v>5</v>
      </c>
      <c r="T20" s="172">
        <f>ROUND(((0.8*'Side MDB'!W20+0.2*'Side Pole'!N20)+(IF('Side MDB'!X20="N/A",(0.8*'Side MDB'!W20+0.2*'Side Pole'!N20),'Side MDB'!X20)))/2,3)</f>
        <v>3.4000000000000002E-2</v>
      </c>
      <c r="U20" s="172">
        <f t="shared" si="6"/>
        <v>0.23</v>
      </c>
      <c r="V20" s="22">
        <f t="shared" si="7"/>
        <v>5</v>
      </c>
      <c r="W20" s="82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</row>
    <row r="21" spans="1:34" ht="13.9" customHeight="1">
      <c r="A21" s="176">
        <v>11051</v>
      </c>
      <c r="B21" s="177" t="s">
        <v>211</v>
      </c>
      <c r="C21" s="175" t="str">
        <f>Rollover!A21</f>
        <v>Ford</v>
      </c>
      <c r="D21" s="175" t="str">
        <f>Rollover!B21</f>
        <v>Explorer HEV SUV 4WD</v>
      </c>
      <c r="E21" s="5" t="s">
        <v>128</v>
      </c>
      <c r="F21" s="170">
        <f>Rollover!C21</f>
        <v>2023</v>
      </c>
      <c r="G21" s="120">
        <v>287.851</v>
      </c>
      <c r="H21" s="11">
        <v>21.36</v>
      </c>
      <c r="I21" s="11">
        <v>39.426000000000002</v>
      </c>
      <c r="J21" s="121">
        <v>22.838000000000001</v>
      </c>
      <c r="K21" s="121">
        <v>2546.933</v>
      </c>
      <c r="L21" s="23">
        <f t="shared" si="10"/>
        <v>7.785801547796658E-3</v>
      </c>
      <c r="M21" s="24">
        <f t="shared" si="0"/>
        <v>1.9620150370070557E-2</v>
      </c>
      <c r="N21" s="23">
        <f t="shared" si="1"/>
        <v>2.7E-2</v>
      </c>
      <c r="O21" s="5">
        <f t="shared" si="2"/>
        <v>0.18</v>
      </c>
      <c r="P21" s="22">
        <f t="shared" si="3"/>
        <v>5</v>
      </c>
      <c r="Q21" s="171">
        <f>ROUND((0.8*'Side MDB'!W21+0.2*'Side Pole'!N21),3)</f>
        <v>4.4999999999999998E-2</v>
      </c>
      <c r="R21" s="172">
        <f t="shared" si="4"/>
        <v>0.3</v>
      </c>
      <c r="S21" s="134">
        <f t="shared" si="5"/>
        <v>5</v>
      </c>
      <c r="T21" s="172">
        <f>ROUND(((0.8*'Side MDB'!W21+0.2*'Side Pole'!N21)+(IF('Side MDB'!X21="N/A",(0.8*'Side MDB'!W21+0.2*'Side Pole'!N21),'Side MDB'!X21)))/2,3)</f>
        <v>3.4000000000000002E-2</v>
      </c>
      <c r="U21" s="172">
        <f t="shared" si="6"/>
        <v>0.23</v>
      </c>
      <c r="V21" s="22">
        <f t="shared" si="7"/>
        <v>5</v>
      </c>
      <c r="W21" s="82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</row>
    <row r="22" spans="1:34" ht="13.9" customHeight="1">
      <c r="A22" s="176">
        <v>11051</v>
      </c>
      <c r="B22" s="177" t="s">
        <v>211</v>
      </c>
      <c r="C22" s="175" t="str">
        <f>Rollover!A22</f>
        <v>Lincoln</v>
      </c>
      <c r="D22" s="175" t="str">
        <f>Rollover!B22</f>
        <v>Aviator SUV RWD</v>
      </c>
      <c r="E22" s="5" t="s">
        <v>128</v>
      </c>
      <c r="F22" s="170">
        <f>Rollover!C22</f>
        <v>2023</v>
      </c>
      <c r="G22" s="120">
        <v>287.851</v>
      </c>
      <c r="H22" s="11">
        <v>21.36</v>
      </c>
      <c r="I22" s="11">
        <v>39.426000000000002</v>
      </c>
      <c r="J22" s="121">
        <v>22.838000000000001</v>
      </c>
      <c r="K22" s="121">
        <v>2546.933</v>
      </c>
      <c r="L22" s="23">
        <f t="shared" si="10"/>
        <v>7.785801547796658E-3</v>
      </c>
      <c r="M22" s="24">
        <f t="shared" si="0"/>
        <v>1.9620150370070557E-2</v>
      </c>
      <c r="N22" s="23">
        <f t="shared" si="1"/>
        <v>2.7E-2</v>
      </c>
      <c r="O22" s="5">
        <f t="shared" si="2"/>
        <v>0.18</v>
      </c>
      <c r="P22" s="22">
        <f t="shared" si="3"/>
        <v>5</v>
      </c>
      <c r="Q22" s="171">
        <f>ROUND((0.8*'Side MDB'!W22+0.2*'Side Pole'!N22),3)</f>
        <v>4.4999999999999998E-2</v>
      </c>
      <c r="R22" s="172">
        <f t="shared" si="4"/>
        <v>0.3</v>
      </c>
      <c r="S22" s="134">
        <f t="shared" si="5"/>
        <v>5</v>
      </c>
      <c r="T22" s="172">
        <f>ROUND(((0.8*'Side MDB'!W22+0.2*'Side Pole'!N22)+(IF('Side MDB'!X22="N/A",(0.8*'Side MDB'!W22+0.2*'Side Pole'!N22),'Side MDB'!X22)))/2,3)</f>
        <v>3.4000000000000002E-2</v>
      </c>
      <c r="U22" s="172">
        <f t="shared" si="6"/>
        <v>0.23</v>
      </c>
      <c r="V22" s="22">
        <f t="shared" si="7"/>
        <v>5</v>
      </c>
      <c r="W22" s="82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</row>
    <row r="23" spans="1:34" ht="13.9" customHeight="1">
      <c r="A23" s="176">
        <v>11051</v>
      </c>
      <c r="B23" s="177" t="s">
        <v>211</v>
      </c>
      <c r="C23" s="175" t="str">
        <f>Rollover!A23</f>
        <v>Lincoln</v>
      </c>
      <c r="D23" s="175" t="str">
        <f>Rollover!B23</f>
        <v>Aviator SUV 4WD</v>
      </c>
      <c r="E23" s="5" t="s">
        <v>128</v>
      </c>
      <c r="F23" s="170">
        <f>Rollover!C23</f>
        <v>2023</v>
      </c>
      <c r="G23" s="120">
        <v>287.851</v>
      </c>
      <c r="H23" s="11">
        <v>21.36</v>
      </c>
      <c r="I23" s="11">
        <v>39.426000000000002</v>
      </c>
      <c r="J23" s="121">
        <v>22.838000000000001</v>
      </c>
      <c r="K23" s="121">
        <v>2546.933</v>
      </c>
      <c r="L23" s="23">
        <f t="shared" si="10"/>
        <v>7.785801547796658E-3</v>
      </c>
      <c r="M23" s="24">
        <f t="shared" si="0"/>
        <v>1.9620150370070557E-2</v>
      </c>
      <c r="N23" s="23">
        <f t="shared" si="1"/>
        <v>2.7E-2</v>
      </c>
      <c r="O23" s="5">
        <f t="shared" si="2"/>
        <v>0.18</v>
      </c>
      <c r="P23" s="22">
        <f t="shared" si="3"/>
        <v>5</v>
      </c>
      <c r="Q23" s="171">
        <f>ROUND((0.8*'Side MDB'!W23+0.2*'Side Pole'!N23),3)</f>
        <v>4.4999999999999998E-2</v>
      </c>
      <c r="R23" s="172">
        <f t="shared" si="4"/>
        <v>0.3</v>
      </c>
      <c r="S23" s="134">
        <f t="shared" si="5"/>
        <v>5</v>
      </c>
      <c r="T23" s="172">
        <f>ROUND(((0.8*'Side MDB'!W23+0.2*'Side Pole'!N23)+(IF('Side MDB'!X23="N/A",(0.8*'Side MDB'!W23+0.2*'Side Pole'!N23),'Side MDB'!X23)))/2,3)</f>
        <v>3.4000000000000002E-2</v>
      </c>
      <c r="U23" s="172">
        <f t="shared" si="6"/>
        <v>0.23</v>
      </c>
      <c r="V23" s="22">
        <f t="shared" si="7"/>
        <v>5</v>
      </c>
      <c r="W23" s="82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</row>
    <row r="24" spans="1:34" ht="13.9" customHeight="1">
      <c r="A24" s="168">
        <v>14291</v>
      </c>
      <c r="B24" s="168" t="s">
        <v>212</v>
      </c>
      <c r="C24" s="169" t="str">
        <f>Rollover!A24</f>
        <v xml:space="preserve">Honda </v>
      </c>
      <c r="D24" s="169" t="str">
        <f>Rollover!B24</f>
        <v>HR-V SUV FWD</v>
      </c>
      <c r="E24" s="66" t="s">
        <v>120</v>
      </c>
      <c r="F24" s="170">
        <f>Rollover!C24</f>
        <v>2023</v>
      </c>
      <c r="G24" s="120">
        <v>292.072</v>
      </c>
      <c r="H24" s="11">
        <v>19.196999999999999</v>
      </c>
      <c r="I24" s="11">
        <v>41.743000000000002</v>
      </c>
      <c r="J24" s="121">
        <v>18.065999999999999</v>
      </c>
      <c r="K24" s="121">
        <v>2510.424</v>
      </c>
      <c r="L24" s="23">
        <f t="shared" ref="L24:L47" si="11">NORMDIST(LN(G24),7.45231,0.73998,1)</f>
        <v>8.216995987454857E-3</v>
      </c>
      <c r="M24" s="24">
        <f t="shared" ref="M24:M47" si="12">1/(1+EXP(6.3055-0.00094*K24))</f>
        <v>1.8970796831674203E-2</v>
      </c>
      <c r="N24" s="23">
        <f t="shared" ref="N24:N47" si="13">ROUND(1-(1-L24)*(1-M24),3)</f>
        <v>2.7E-2</v>
      </c>
      <c r="O24" s="5">
        <f t="shared" ref="O24:O47" si="14">ROUND(N24/0.15,2)</f>
        <v>0.18</v>
      </c>
      <c r="P24" s="22">
        <f t="shared" ref="P24:P47" si="15">IF(O24&lt;0.67,5,IF(O24&lt;1,4,IF(O24&lt;1.33,3,IF(O24&lt;2.67,2,1))))</f>
        <v>5</v>
      </c>
      <c r="Q24" s="171">
        <f>ROUND((0.8*'Side MDB'!W24+0.2*'Side Pole'!N24),3)</f>
        <v>3.2000000000000001E-2</v>
      </c>
      <c r="R24" s="172">
        <f t="shared" ref="R24:R47" si="16">ROUND((Q24)/0.15,2)</f>
        <v>0.21</v>
      </c>
      <c r="S24" s="134">
        <f t="shared" ref="S24:S47" si="17">IF(R24&lt;0.67,5,IF(R24&lt;1,4,IF(R24&lt;1.33,3,IF(R24&lt;2.67,2,1))))</f>
        <v>5</v>
      </c>
      <c r="T24" s="172">
        <f>ROUND(((0.8*'Side MDB'!W24+0.2*'Side Pole'!N24)+(IF('Side MDB'!X24="N/A",(0.8*'Side MDB'!W24+0.2*'Side Pole'!N24),'Side MDB'!X24)))/2,3)</f>
        <v>5.3999999999999999E-2</v>
      </c>
      <c r="U24" s="172">
        <f t="shared" ref="U24:U47" si="18">ROUND((T24)/0.15,2)</f>
        <v>0.36</v>
      </c>
      <c r="V24" s="22">
        <f t="shared" ref="V24:V47" si="19">IF(U24&lt;0.67,5,IF(U24&lt;1,4,IF(U24&lt;1.33,3,IF(U24&lt;2.67,2,1))))</f>
        <v>5</v>
      </c>
      <c r="W24" s="82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</row>
    <row r="25" spans="1:34" ht="13.9" customHeight="1">
      <c r="A25" s="168">
        <v>14291</v>
      </c>
      <c r="B25" s="168" t="s">
        <v>212</v>
      </c>
      <c r="C25" s="169" t="str">
        <f>Rollover!A25</f>
        <v xml:space="preserve">Honda </v>
      </c>
      <c r="D25" s="169" t="str">
        <f>Rollover!B25</f>
        <v>HR-V SUV AWD</v>
      </c>
      <c r="E25" s="66" t="s">
        <v>120</v>
      </c>
      <c r="F25" s="170">
        <f>Rollover!C25</f>
        <v>2023</v>
      </c>
      <c r="G25" s="120">
        <v>292.072</v>
      </c>
      <c r="H25" s="11">
        <v>19.196999999999999</v>
      </c>
      <c r="I25" s="11">
        <v>41.743000000000002</v>
      </c>
      <c r="J25" s="121">
        <v>18.065999999999999</v>
      </c>
      <c r="K25" s="121">
        <v>2510.424</v>
      </c>
      <c r="L25" s="23">
        <f t="shared" si="11"/>
        <v>8.216995987454857E-3</v>
      </c>
      <c r="M25" s="24">
        <f t="shared" si="12"/>
        <v>1.8970796831674203E-2</v>
      </c>
      <c r="N25" s="23">
        <f t="shared" si="13"/>
        <v>2.7E-2</v>
      </c>
      <c r="O25" s="5">
        <f t="shared" si="14"/>
        <v>0.18</v>
      </c>
      <c r="P25" s="22">
        <f t="shared" si="15"/>
        <v>5</v>
      </c>
      <c r="Q25" s="171">
        <f>ROUND((0.8*'Side MDB'!W25+0.2*'Side Pole'!N25),3)</f>
        <v>3.2000000000000001E-2</v>
      </c>
      <c r="R25" s="172">
        <f t="shared" si="16"/>
        <v>0.21</v>
      </c>
      <c r="S25" s="134">
        <f t="shared" si="17"/>
        <v>5</v>
      </c>
      <c r="T25" s="172">
        <f>ROUND(((0.8*'Side MDB'!W25+0.2*'Side Pole'!N25)+(IF('Side MDB'!X25="N/A",(0.8*'Side MDB'!W25+0.2*'Side Pole'!N25),'Side MDB'!X25)))/2,3)</f>
        <v>5.3999999999999999E-2</v>
      </c>
      <c r="U25" s="172">
        <f t="shared" si="18"/>
        <v>0.36</v>
      </c>
      <c r="V25" s="22">
        <f t="shared" si="19"/>
        <v>5</v>
      </c>
      <c r="W25" s="82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</row>
    <row r="26" spans="1:34" ht="13.9" customHeight="1">
      <c r="A26" s="168">
        <v>14288</v>
      </c>
      <c r="B26" s="168" t="s">
        <v>213</v>
      </c>
      <c r="C26" s="169" t="str">
        <f>Rollover!A26</f>
        <v>Hyundai</v>
      </c>
      <c r="D26" s="169" t="str">
        <f>Rollover!B26</f>
        <v>Santa Cruz PU/CC FWD</v>
      </c>
      <c r="E26" s="66" t="s">
        <v>125</v>
      </c>
      <c r="F26" s="170">
        <f>Rollover!C26</f>
        <v>2023</v>
      </c>
      <c r="G26" s="120">
        <v>303.279</v>
      </c>
      <c r="H26" s="11">
        <v>26.388999999999999</v>
      </c>
      <c r="I26" s="11">
        <v>37.317</v>
      </c>
      <c r="J26" s="121">
        <v>17.004000000000001</v>
      </c>
      <c r="K26" s="121">
        <v>3017.1260000000002</v>
      </c>
      <c r="L26" s="23">
        <f t="shared" ref="L26:L33" si="20">NORMDIST(LN(G26),7.45231,0.73998,1)</f>
        <v>9.4309696370993342E-3</v>
      </c>
      <c r="M26" s="24">
        <f t="shared" ref="M26:M33" si="21">1/(1+EXP(6.3055-0.00094*K26))</f>
        <v>3.0195501116786514E-2</v>
      </c>
      <c r="N26" s="23">
        <f t="shared" ref="N26:N33" si="22">ROUND(1-(1-L26)*(1-M26),3)</f>
        <v>3.9E-2</v>
      </c>
      <c r="O26" s="5">
        <f t="shared" ref="O26:O33" si="23">ROUND(N26/0.15,2)</f>
        <v>0.26</v>
      </c>
      <c r="P26" s="22">
        <f t="shared" ref="P26:P33" si="24">IF(O26&lt;0.67,5,IF(O26&lt;1,4,IF(O26&lt;1.33,3,IF(O26&lt;2.67,2,1))))</f>
        <v>5</v>
      </c>
      <c r="Q26" s="171">
        <f>ROUND((0.8*'Side MDB'!W26+0.2*'Side Pole'!N26),3)</f>
        <v>4.1000000000000002E-2</v>
      </c>
      <c r="R26" s="172">
        <f t="shared" ref="R26:R33" si="25">ROUND((Q26)/0.15,2)</f>
        <v>0.27</v>
      </c>
      <c r="S26" s="134">
        <f t="shared" ref="S26:S33" si="26">IF(R26&lt;0.67,5,IF(R26&lt;1,4,IF(R26&lt;1.33,3,IF(R26&lt;2.67,2,1))))</f>
        <v>5</v>
      </c>
      <c r="T26" s="172">
        <f>ROUND(((0.8*'Side MDB'!W26+0.2*'Side Pole'!N26)+(IF('Side MDB'!X26="N/A",(0.8*'Side MDB'!W26+0.2*'Side Pole'!N26),'Side MDB'!X26)))/2,3)</f>
        <v>2.8000000000000001E-2</v>
      </c>
      <c r="U26" s="172">
        <f t="shared" ref="U26:U33" si="27">ROUND((T26)/0.15,2)</f>
        <v>0.19</v>
      </c>
      <c r="V26" s="22">
        <f t="shared" ref="V26:V33" si="28">IF(U26&lt;0.67,5,IF(U26&lt;1,4,IF(U26&lt;1.33,3,IF(U26&lt;2.67,2,1))))</f>
        <v>5</v>
      </c>
      <c r="W26" s="82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</row>
    <row r="27" spans="1:34" ht="13.9" customHeight="1">
      <c r="A27" s="168">
        <v>14288</v>
      </c>
      <c r="B27" s="168" t="s">
        <v>213</v>
      </c>
      <c r="C27" s="169" t="str">
        <f>Rollover!A27</f>
        <v>Hyundai</v>
      </c>
      <c r="D27" s="169" t="str">
        <f>Rollover!B27</f>
        <v>Santa Cruz PU/CC AWD</v>
      </c>
      <c r="E27" s="66" t="s">
        <v>125</v>
      </c>
      <c r="F27" s="170">
        <f>Rollover!C27</f>
        <v>2023</v>
      </c>
      <c r="G27" s="120">
        <v>303.279</v>
      </c>
      <c r="H27" s="11">
        <v>26.388999999999999</v>
      </c>
      <c r="I27" s="11">
        <v>37.317</v>
      </c>
      <c r="J27" s="121">
        <v>17.004000000000001</v>
      </c>
      <c r="K27" s="121">
        <v>3017.1260000000002</v>
      </c>
      <c r="L27" s="23">
        <f t="shared" si="20"/>
        <v>9.4309696370993342E-3</v>
      </c>
      <c r="M27" s="24">
        <f t="shared" si="21"/>
        <v>3.0195501116786514E-2</v>
      </c>
      <c r="N27" s="23">
        <f t="shared" si="22"/>
        <v>3.9E-2</v>
      </c>
      <c r="O27" s="5">
        <f t="shared" si="23"/>
        <v>0.26</v>
      </c>
      <c r="P27" s="22">
        <f t="shared" si="24"/>
        <v>5</v>
      </c>
      <c r="Q27" s="171">
        <f>ROUND((0.8*'Side MDB'!W27+0.2*'Side Pole'!N27),3)</f>
        <v>4.1000000000000002E-2</v>
      </c>
      <c r="R27" s="172">
        <f t="shared" si="25"/>
        <v>0.27</v>
      </c>
      <c r="S27" s="134">
        <f t="shared" si="26"/>
        <v>5</v>
      </c>
      <c r="T27" s="172">
        <f>ROUND(((0.8*'Side MDB'!W27+0.2*'Side Pole'!N27)+(IF('Side MDB'!X27="N/A",(0.8*'Side MDB'!W27+0.2*'Side Pole'!N27),'Side MDB'!X27)))/2,3)</f>
        <v>2.8000000000000001E-2</v>
      </c>
      <c r="U27" s="172">
        <f t="shared" si="27"/>
        <v>0.19</v>
      </c>
      <c r="V27" s="22">
        <f t="shared" si="28"/>
        <v>5</v>
      </c>
      <c r="W27" s="82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</row>
    <row r="28" spans="1:34" ht="13.9" customHeight="1">
      <c r="A28" s="167">
        <v>14329</v>
      </c>
      <c r="B28" s="168" t="s">
        <v>214</v>
      </c>
      <c r="C28" s="169" t="str">
        <f>Rollover!A28</f>
        <v>Hyundai</v>
      </c>
      <c r="D28" s="169" t="str">
        <f>Rollover!B28</f>
        <v>Kona Electric FWD</v>
      </c>
      <c r="E28" s="66" t="s">
        <v>134</v>
      </c>
      <c r="F28" s="170">
        <f>Rollover!C28</f>
        <v>2023</v>
      </c>
      <c r="G28" s="120">
        <v>189.04499999999999</v>
      </c>
      <c r="H28" s="11">
        <v>19.010000000000002</v>
      </c>
      <c r="I28" s="11">
        <v>41.798999999999999</v>
      </c>
      <c r="J28" s="121">
        <v>24.765999999999998</v>
      </c>
      <c r="K28" s="12">
        <v>4530.59</v>
      </c>
      <c r="L28" s="23">
        <f t="shared" si="20"/>
        <v>1.4086196077860052E-3</v>
      </c>
      <c r="M28" s="24">
        <f t="shared" si="21"/>
        <v>0.11438165381017007</v>
      </c>
      <c r="N28" s="23">
        <f t="shared" si="22"/>
        <v>0.11600000000000001</v>
      </c>
      <c r="O28" s="5">
        <f t="shared" si="23"/>
        <v>0.77</v>
      </c>
      <c r="P28" s="22">
        <f t="shared" si="24"/>
        <v>4</v>
      </c>
      <c r="Q28" s="171">
        <f>ROUND((0.8*'Side MDB'!W28+0.2*'Side Pole'!N28),3)</f>
        <v>5.8000000000000003E-2</v>
      </c>
      <c r="R28" s="172">
        <f t="shared" si="25"/>
        <v>0.39</v>
      </c>
      <c r="S28" s="134">
        <f t="shared" si="26"/>
        <v>5</v>
      </c>
      <c r="T28" s="172">
        <f>ROUND(((0.8*'Side MDB'!W28+0.2*'Side Pole'!N28)+(IF('Side MDB'!X28="N/A",(0.8*'Side MDB'!W28+0.2*'Side Pole'!N28),'Side MDB'!X28)))/2,3)</f>
        <v>4.4999999999999998E-2</v>
      </c>
      <c r="U28" s="172">
        <f t="shared" si="27"/>
        <v>0.3</v>
      </c>
      <c r="V28" s="22">
        <f t="shared" si="28"/>
        <v>5</v>
      </c>
      <c r="W28" s="82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</row>
    <row r="29" spans="1:34" ht="13.9" customHeight="1">
      <c r="A29" s="168">
        <v>14277</v>
      </c>
      <c r="B29" s="168" t="s">
        <v>215</v>
      </c>
      <c r="C29" s="169" t="str">
        <f>Rollover!A29</f>
        <v>Jeep</v>
      </c>
      <c r="D29" s="169" t="str">
        <f>Rollover!B29</f>
        <v>Grand Cherokee SUV RWD</v>
      </c>
      <c r="E29" s="66" t="s">
        <v>125</v>
      </c>
      <c r="F29" s="170">
        <f>Rollover!C29</f>
        <v>2023</v>
      </c>
      <c r="G29" s="120">
        <v>458.16500000000002</v>
      </c>
      <c r="H29" s="11">
        <v>27.802</v>
      </c>
      <c r="I29" s="11">
        <v>41.142000000000003</v>
      </c>
      <c r="J29" s="121">
        <v>27.253</v>
      </c>
      <c r="K29" s="121">
        <v>2348.3760000000002</v>
      </c>
      <c r="L29" s="23">
        <f t="shared" si="20"/>
        <v>3.6670894891490342E-2</v>
      </c>
      <c r="M29" s="24">
        <f t="shared" si="21"/>
        <v>1.6334177119369801E-2</v>
      </c>
      <c r="N29" s="23">
        <f t="shared" si="22"/>
        <v>5.1999999999999998E-2</v>
      </c>
      <c r="O29" s="5">
        <f t="shared" si="23"/>
        <v>0.35</v>
      </c>
      <c r="P29" s="22">
        <f t="shared" si="24"/>
        <v>5</v>
      </c>
      <c r="Q29" s="171">
        <f>ROUND((0.8*'Side MDB'!W29+0.2*'Side Pole'!N29),3)</f>
        <v>4.8000000000000001E-2</v>
      </c>
      <c r="R29" s="172">
        <f t="shared" si="25"/>
        <v>0.32</v>
      </c>
      <c r="S29" s="134">
        <f t="shared" si="26"/>
        <v>5</v>
      </c>
      <c r="T29" s="172">
        <f>ROUND(((0.8*'Side MDB'!W29+0.2*'Side Pole'!N29)+(IF('Side MDB'!X29="N/A",(0.8*'Side MDB'!W29+0.2*'Side Pole'!N29),'Side MDB'!X29)))/2,3)</f>
        <v>3.3000000000000002E-2</v>
      </c>
      <c r="U29" s="172">
        <f t="shared" si="27"/>
        <v>0.22</v>
      </c>
      <c r="V29" s="22">
        <f t="shared" si="28"/>
        <v>5</v>
      </c>
      <c r="W29" s="82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</row>
    <row r="30" spans="1:34" ht="13.9" customHeight="1">
      <c r="A30" s="168">
        <v>14277</v>
      </c>
      <c r="B30" s="168" t="s">
        <v>215</v>
      </c>
      <c r="C30" s="169" t="str">
        <f>Rollover!A30</f>
        <v xml:space="preserve">Jeep </v>
      </c>
      <c r="D30" s="169" t="str">
        <f>Rollover!B30</f>
        <v>Grand Cherokee SUV 4WD</v>
      </c>
      <c r="E30" s="66" t="s">
        <v>125</v>
      </c>
      <c r="F30" s="170">
        <f>Rollover!C30</f>
        <v>2023</v>
      </c>
      <c r="G30" s="120">
        <v>458.16500000000002</v>
      </c>
      <c r="H30" s="11">
        <v>27.802</v>
      </c>
      <c r="I30" s="11">
        <v>41.142000000000003</v>
      </c>
      <c r="J30" s="121">
        <v>27.253</v>
      </c>
      <c r="K30" s="121">
        <v>2348.3760000000002</v>
      </c>
      <c r="L30" s="23">
        <f t="shared" si="20"/>
        <v>3.6670894891490342E-2</v>
      </c>
      <c r="M30" s="24">
        <f t="shared" si="21"/>
        <v>1.6334177119369801E-2</v>
      </c>
      <c r="N30" s="23">
        <f t="shared" si="22"/>
        <v>5.1999999999999998E-2</v>
      </c>
      <c r="O30" s="5">
        <f t="shared" si="23"/>
        <v>0.35</v>
      </c>
      <c r="P30" s="22">
        <f t="shared" si="24"/>
        <v>5</v>
      </c>
      <c r="Q30" s="171">
        <f>ROUND((0.8*'Side MDB'!W30+0.2*'Side Pole'!N30),3)</f>
        <v>4.8000000000000001E-2</v>
      </c>
      <c r="R30" s="172">
        <f t="shared" si="25"/>
        <v>0.32</v>
      </c>
      <c r="S30" s="134">
        <f t="shared" si="26"/>
        <v>5</v>
      </c>
      <c r="T30" s="172">
        <f>ROUND(((0.8*'Side MDB'!W30+0.2*'Side Pole'!N30)+(IF('Side MDB'!X30="N/A",(0.8*'Side MDB'!W30+0.2*'Side Pole'!N30),'Side MDB'!X30)))/2,3)</f>
        <v>3.3000000000000002E-2</v>
      </c>
      <c r="U30" s="172">
        <f t="shared" si="27"/>
        <v>0.22</v>
      </c>
      <c r="V30" s="22">
        <f t="shared" si="28"/>
        <v>5</v>
      </c>
      <c r="W30" s="82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</row>
    <row r="31" spans="1:34" ht="13.9" customHeight="1">
      <c r="A31" s="168">
        <v>14249</v>
      </c>
      <c r="B31" s="168" t="s">
        <v>216</v>
      </c>
      <c r="C31" s="175" t="str">
        <f>Rollover!A31</f>
        <v>Jeep</v>
      </c>
      <c r="D31" s="175" t="str">
        <f>Rollover!B31</f>
        <v>Grand Cherokee L SUV RWD</v>
      </c>
      <c r="E31" s="5" t="s">
        <v>134</v>
      </c>
      <c r="F31" s="170">
        <f>Rollover!C31</f>
        <v>2023</v>
      </c>
      <c r="G31" s="120">
        <v>376.43900000000002</v>
      </c>
      <c r="H31" s="11">
        <v>23.91</v>
      </c>
      <c r="I31" s="11">
        <v>31.498000000000001</v>
      </c>
      <c r="J31" s="121">
        <v>21.652999999999999</v>
      </c>
      <c r="K31" s="121">
        <v>1921.046</v>
      </c>
      <c r="L31" s="23">
        <f t="shared" si="20"/>
        <v>1.9881158367278041E-2</v>
      </c>
      <c r="M31" s="24">
        <f t="shared" si="21"/>
        <v>1.0990020807831475E-2</v>
      </c>
      <c r="N31" s="23">
        <f t="shared" si="22"/>
        <v>3.1E-2</v>
      </c>
      <c r="O31" s="5">
        <f t="shared" si="23"/>
        <v>0.21</v>
      </c>
      <c r="P31" s="22">
        <f t="shared" si="24"/>
        <v>5</v>
      </c>
      <c r="Q31" s="171">
        <f>ROUND((0.8*'Side MDB'!W31+0.2*'Side Pole'!N31),3)</f>
        <v>3.6999999999999998E-2</v>
      </c>
      <c r="R31" s="172">
        <f t="shared" si="25"/>
        <v>0.25</v>
      </c>
      <c r="S31" s="134">
        <f t="shared" si="26"/>
        <v>5</v>
      </c>
      <c r="T31" s="172">
        <f>ROUND(((0.8*'Side MDB'!W31+0.2*'Side Pole'!N31)+(IF('Side MDB'!X31="N/A",(0.8*'Side MDB'!W31+0.2*'Side Pole'!N31),'Side MDB'!X31)))/2,3)</f>
        <v>2.3E-2</v>
      </c>
      <c r="U31" s="172">
        <f t="shared" si="27"/>
        <v>0.15</v>
      </c>
      <c r="V31" s="22">
        <f t="shared" si="28"/>
        <v>5</v>
      </c>
      <c r="W31" s="82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</row>
    <row r="32" spans="1:34" ht="13.9" customHeight="1">
      <c r="A32" s="168">
        <v>14249</v>
      </c>
      <c r="B32" s="168" t="s">
        <v>216</v>
      </c>
      <c r="C32" s="175" t="str">
        <f>Rollover!A32</f>
        <v>Jeep</v>
      </c>
      <c r="D32" s="175" t="str">
        <f>Rollover!B32</f>
        <v>Grand Cherokee L SUV 4WD</v>
      </c>
      <c r="E32" s="5" t="s">
        <v>134</v>
      </c>
      <c r="F32" s="170">
        <f>Rollover!C32</f>
        <v>2023</v>
      </c>
      <c r="G32" s="120">
        <v>376.43900000000002</v>
      </c>
      <c r="H32" s="11">
        <v>23.91</v>
      </c>
      <c r="I32" s="11">
        <v>31.498000000000001</v>
      </c>
      <c r="J32" s="121">
        <v>21.652999999999999</v>
      </c>
      <c r="K32" s="121">
        <v>1921.046</v>
      </c>
      <c r="L32" s="23">
        <f t="shared" si="20"/>
        <v>1.9881158367278041E-2</v>
      </c>
      <c r="M32" s="24">
        <f t="shared" si="21"/>
        <v>1.0990020807831475E-2</v>
      </c>
      <c r="N32" s="23">
        <f t="shared" si="22"/>
        <v>3.1E-2</v>
      </c>
      <c r="O32" s="5">
        <f t="shared" si="23"/>
        <v>0.21</v>
      </c>
      <c r="P32" s="22">
        <f t="shared" si="24"/>
        <v>5</v>
      </c>
      <c r="Q32" s="171">
        <f>ROUND((0.8*'Side MDB'!W32+0.2*'Side Pole'!N32),3)</f>
        <v>3.6999999999999998E-2</v>
      </c>
      <c r="R32" s="172">
        <f t="shared" si="25"/>
        <v>0.25</v>
      </c>
      <c r="S32" s="134">
        <f t="shared" si="26"/>
        <v>5</v>
      </c>
      <c r="T32" s="172">
        <f>ROUND(((0.8*'Side MDB'!W32+0.2*'Side Pole'!N32)+(IF('Side MDB'!X32="N/A",(0.8*'Side MDB'!W32+0.2*'Side Pole'!N32),'Side MDB'!X32)))/2,3)</f>
        <v>2.3E-2</v>
      </c>
      <c r="U32" s="172">
        <f t="shared" si="27"/>
        <v>0.15</v>
      </c>
      <c r="V32" s="22">
        <f t="shared" si="28"/>
        <v>5</v>
      </c>
      <c r="W32" s="82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</row>
    <row r="33" spans="1:34" ht="13.9" customHeight="1">
      <c r="A33" s="168">
        <v>14285</v>
      </c>
      <c r="B33" s="168" t="s">
        <v>217</v>
      </c>
      <c r="C33" s="169" t="str">
        <f>Rollover!A33</f>
        <v>Jeep</v>
      </c>
      <c r="D33" s="169" t="str">
        <f>Rollover!B33</f>
        <v>Grand Cherokee 4xe PHEV SUV 4WD</v>
      </c>
      <c r="E33" s="66" t="s">
        <v>128</v>
      </c>
      <c r="F33" s="170">
        <f>Rollover!C33</f>
        <v>2023</v>
      </c>
      <c r="G33" s="120">
        <v>286.03199999999998</v>
      </c>
      <c r="H33" s="11">
        <v>21.111999999999998</v>
      </c>
      <c r="I33" s="11">
        <v>39.401000000000003</v>
      </c>
      <c r="J33" s="121">
        <v>17.605</v>
      </c>
      <c r="K33" s="121">
        <v>2308.5940000000001</v>
      </c>
      <c r="L33" s="23">
        <f t="shared" si="20"/>
        <v>7.6043382912081882E-3</v>
      </c>
      <c r="M33" s="24">
        <f t="shared" si="21"/>
        <v>1.5744078186014261E-2</v>
      </c>
      <c r="N33" s="23">
        <f t="shared" si="22"/>
        <v>2.3E-2</v>
      </c>
      <c r="O33" s="5">
        <f t="shared" si="23"/>
        <v>0.15</v>
      </c>
      <c r="P33" s="22">
        <f t="shared" si="24"/>
        <v>5</v>
      </c>
      <c r="Q33" s="171">
        <f>ROUND((0.8*'Side MDB'!W33+0.2*'Side Pole'!N33),3)</f>
        <v>2.8000000000000001E-2</v>
      </c>
      <c r="R33" s="172">
        <f t="shared" si="25"/>
        <v>0.19</v>
      </c>
      <c r="S33" s="134">
        <f t="shared" si="26"/>
        <v>5</v>
      </c>
      <c r="T33" s="172">
        <f>ROUND(((0.8*'Side MDB'!W33+0.2*'Side Pole'!N33)+(IF('Side MDB'!X33="N/A",(0.8*'Side MDB'!W33+0.2*'Side Pole'!N33),'Side MDB'!X33)))/2,3)</f>
        <v>2.3E-2</v>
      </c>
      <c r="U33" s="172">
        <f t="shared" si="27"/>
        <v>0.15</v>
      </c>
      <c r="V33" s="22">
        <f t="shared" si="28"/>
        <v>5</v>
      </c>
      <c r="W33" s="82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</row>
    <row r="34" spans="1:34" ht="13.9" customHeight="1">
      <c r="A34" s="176"/>
      <c r="B34" s="168"/>
      <c r="C34" s="169" t="str">
        <f>Rollover!A34</f>
        <v>Jeep</v>
      </c>
      <c r="D34" s="169" t="str">
        <f>Rollover!B34</f>
        <v>Wrangler 4xe SUV PHEV 4WD</v>
      </c>
      <c r="E34" s="66"/>
      <c r="F34" s="170">
        <f>Rollover!C34</f>
        <v>2023</v>
      </c>
      <c r="G34" s="120"/>
      <c r="H34" s="11"/>
      <c r="I34" s="11"/>
      <c r="J34" s="121"/>
      <c r="K34" s="12"/>
      <c r="L34" s="23" t="e">
        <f t="shared" si="11"/>
        <v>#NUM!</v>
      </c>
      <c r="M34" s="24">
        <f t="shared" si="12"/>
        <v>1.8229037773026034E-3</v>
      </c>
      <c r="N34" s="23" t="e">
        <f t="shared" si="13"/>
        <v>#NUM!</v>
      </c>
      <c r="O34" s="5" t="e">
        <f t="shared" si="14"/>
        <v>#NUM!</v>
      </c>
      <c r="P34" s="22" t="e">
        <f t="shared" si="15"/>
        <v>#NUM!</v>
      </c>
      <c r="Q34" s="171" t="e">
        <f>ROUND((0.8*'Side MDB'!W34+0.2*'Side Pole'!N34),3)</f>
        <v>#NUM!</v>
      </c>
      <c r="R34" s="172" t="e">
        <f t="shared" si="16"/>
        <v>#NUM!</v>
      </c>
      <c r="S34" s="134" t="e">
        <f t="shared" si="17"/>
        <v>#NUM!</v>
      </c>
      <c r="T34" s="172" t="e">
        <f>ROUND(((0.8*'Side MDB'!W34+0.2*'Side Pole'!N34)+(IF('Side MDB'!X34="N/A",(0.8*'Side MDB'!W34+0.2*'Side Pole'!N34),'Side MDB'!X34)))/2,3)</f>
        <v>#NUM!</v>
      </c>
      <c r="U34" s="172" t="e">
        <f t="shared" si="18"/>
        <v>#NUM!</v>
      </c>
      <c r="V34" s="22" t="e">
        <f t="shared" si="19"/>
        <v>#NUM!</v>
      </c>
      <c r="W34" s="82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</row>
    <row r="35" spans="1:34" ht="13.9" customHeight="1">
      <c r="A35" s="167">
        <v>14278</v>
      </c>
      <c r="B35" s="168" t="s">
        <v>218</v>
      </c>
      <c r="C35" s="169" t="str">
        <f>Rollover!A35</f>
        <v>Kia</v>
      </c>
      <c r="D35" s="169" t="str">
        <f>Rollover!B35</f>
        <v>Sportage SUV FWD</v>
      </c>
      <c r="E35" s="66" t="s">
        <v>122</v>
      </c>
      <c r="F35" s="170">
        <f>Rollover!C35</f>
        <v>2023</v>
      </c>
      <c r="G35" s="120">
        <v>293.28699999999998</v>
      </c>
      <c r="H35" s="11">
        <v>19.539000000000001</v>
      </c>
      <c r="I35" s="11">
        <v>43.857999999999997</v>
      </c>
      <c r="J35" s="121">
        <v>27.492000000000001</v>
      </c>
      <c r="K35" s="12">
        <v>3246.58</v>
      </c>
      <c r="L35" s="23">
        <f t="shared" si="11"/>
        <v>8.3437421478290887E-3</v>
      </c>
      <c r="M35" s="24">
        <f t="shared" si="12"/>
        <v>3.719363042791022E-2</v>
      </c>
      <c r="N35" s="23">
        <f t="shared" si="13"/>
        <v>4.4999999999999998E-2</v>
      </c>
      <c r="O35" s="5">
        <f t="shared" si="14"/>
        <v>0.3</v>
      </c>
      <c r="P35" s="22">
        <f t="shared" si="15"/>
        <v>5</v>
      </c>
      <c r="Q35" s="171">
        <f>ROUND((0.8*'Side MDB'!W35+0.2*'Side Pole'!N35),3)</f>
        <v>5.3999999999999999E-2</v>
      </c>
      <c r="R35" s="172">
        <f t="shared" si="16"/>
        <v>0.36</v>
      </c>
      <c r="S35" s="134">
        <f t="shared" si="17"/>
        <v>5</v>
      </c>
      <c r="T35" s="172">
        <f>ROUND(((0.8*'Side MDB'!W35+0.2*'Side Pole'!N35)+(IF('Side MDB'!X35="N/A",(0.8*'Side MDB'!W35+0.2*'Side Pole'!N35),'Side MDB'!X35)))/2,3)</f>
        <v>3.5999999999999997E-2</v>
      </c>
      <c r="U35" s="172">
        <f t="shared" si="18"/>
        <v>0.24</v>
      </c>
      <c r="V35" s="22">
        <f t="shared" si="19"/>
        <v>5</v>
      </c>
      <c r="W35" s="82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</row>
    <row r="36" spans="1:34" ht="13.9" customHeight="1">
      <c r="A36" s="167">
        <v>14278</v>
      </c>
      <c r="B36" s="168" t="s">
        <v>218</v>
      </c>
      <c r="C36" s="169" t="str">
        <f>Rollover!A36</f>
        <v>Kia</v>
      </c>
      <c r="D36" s="169" t="str">
        <f>Rollover!B36</f>
        <v>Sportage SUV AWD</v>
      </c>
      <c r="E36" s="66" t="s">
        <v>122</v>
      </c>
      <c r="F36" s="170">
        <f>Rollover!C36</f>
        <v>2023</v>
      </c>
      <c r="G36" s="120">
        <v>293.28699999999998</v>
      </c>
      <c r="H36" s="11">
        <v>19.539000000000001</v>
      </c>
      <c r="I36" s="11">
        <v>43.857999999999997</v>
      </c>
      <c r="J36" s="121">
        <v>27.492000000000001</v>
      </c>
      <c r="K36" s="12">
        <v>3246.58</v>
      </c>
      <c r="L36" s="23">
        <f t="shared" si="11"/>
        <v>8.3437421478290887E-3</v>
      </c>
      <c r="M36" s="24">
        <f t="shared" si="12"/>
        <v>3.719363042791022E-2</v>
      </c>
      <c r="N36" s="23">
        <f t="shared" si="13"/>
        <v>4.4999999999999998E-2</v>
      </c>
      <c r="O36" s="5">
        <f t="shared" si="14"/>
        <v>0.3</v>
      </c>
      <c r="P36" s="22">
        <f t="shared" si="15"/>
        <v>5</v>
      </c>
      <c r="Q36" s="171">
        <f>ROUND((0.8*'Side MDB'!W36+0.2*'Side Pole'!N36),3)</f>
        <v>5.3999999999999999E-2</v>
      </c>
      <c r="R36" s="172">
        <f t="shared" si="16"/>
        <v>0.36</v>
      </c>
      <c r="S36" s="134">
        <f t="shared" si="17"/>
        <v>5</v>
      </c>
      <c r="T36" s="172">
        <f>ROUND(((0.8*'Side MDB'!W36+0.2*'Side Pole'!N36)+(IF('Side MDB'!X36="N/A",(0.8*'Side MDB'!W36+0.2*'Side Pole'!N36),'Side MDB'!X36)))/2,3)</f>
        <v>3.5999999999999997E-2</v>
      </c>
      <c r="U36" s="172">
        <f t="shared" si="18"/>
        <v>0.24</v>
      </c>
      <c r="V36" s="22">
        <f t="shared" si="19"/>
        <v>5</v>
      </c>
      <c r="W36" s="82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</row>
    <row r="37" spans="1:34" ht="13.9" customHeight="1">
      <c r="A37" s="167">
        <v>14278</v>
      </c>
      <c r="B37" s="168" t="s">
        <v>218</v>
      </c>
      <c r="C37" s="175" t="str">
        <f>Rollover!A37</f>
        <v>Kia</v>
      </c>
      <c r="D37" s="175" t="str">
        <f>Rollover!B37</f>
        <v>Sportage Hybrid SUV FWD</v>
      </c>
      <c r="E37" s="66" t="s">
        <v>122</v>
      </c>
      <c r="F37" s="170">
        <f>Rollover!C37</f>
        <v>2023</v>
      </c>
      <c r="G37" s="120">
        <v>293.28699999999998</v>
      </c>
      <c r="H37" s="11">
        <v>19.539000000000001</v>
      </c>
      <c r="I37" s="11">
        <v>43.857999999999997</v>
      </c>
      <c r="J37" s="121">
        <v>27.492000000000001</v>
      </c>
      <c r="K37" s="12">
        <v>3246.58</v>
      </c>
      <c r="L37" s="23">
        <f t="shared" si="11"/>
        <v>8.3437421478290887E-3</v>
      </c>
      <c r="M37" s="24">
        <f t="shared" si="12"/>
        <v>3.719363042791022E-2</v>
      </c>
      <c r="N37" s="23">
        <f t="shared" si="13"/>
        <v>4.4999999999999998E-2</v>
      </c>
      <c r="O37" s="5">
        <f t="shared" si="14"/>
        <v>0.3</v>
      </c>
      <c r="P37" s="22">
        <f t="shared" si="15"/>
        <v>5</v>
      </c>
      <c r="Q37" s="171">
        <f>ROUND((0.8*'Side MDB'!W37+0.2*'Side Pole'!N37),3)</f>
        <v>5.3999999999999999E-2</v>
      </c>
      <c r="R37" s="172">
        <f t="shared" si="16"/>
        <v>0.36</v>
      </c>
      <c r="S37" s="134">
        <f t="shared" si="17"/>
        <v>5</v>
      </c>
      <c r="T37" s="172">
        <f>ROUND(((0.8*'Side MDB'!W37+0.2*'Side Pole'!N37)+(IF('Side MDB'!X37="N/A",(0.8*'Side MDB'!W37+0.2*'Side Pole'!N37),'Side MDB'!X37)))/2,3)</f>
        <v>3.5999999999999997E-2</v>
      </c>
      <c r="U37" s="172">
        <f t="shared" si="18"/>
        <v>0.24</v>
      </c>
      <c r="V37" s="22">
        <f t="shared" si="19"/>
        <v>5</v>
      </c>
      <c r="W37" s="82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</row>
    <row r="38" spans="1:34" ht="13.9" customHeight="1">
      <c r="A38" s="167">
        <v>14278</v>
      </c>
      <c r="B38" s="168" t="s">
        <v>218</v>
      </c>
      <c r="C38" s="175" t="str">
        <f>Rollover!A38</f>
        <v>Kia</v>
      </c>
      <c r="D38" s="175" t="str">
        <f>Rollover!B38</f>
        <v>Sportage Hybrid SUV AWD</v>
      </c>
      <c r="E38" s="66" t="s">
        <v>122</v>
      </c>
      <c r="F38" s="170">
        <f>Rollover!C38</f>
        <v>2023</v>
      </c>
      <c r="G38" s="120">
        <v>293.28699999999998</v>
      </c>
      <c r="H38" s="11">
        <v>19.539000000000001</v>
      </c>
      <c r="I38" s="11">
        <v>43.857999999999997</v>
      </c>
      <c r="J38" s="121">
        <v>27.492000000000001</v>
      </c>
      <c r="K38" s="12">
        <v>3246.58</v>
      </c>
      <c r="L38" s="23">
        <f t="shared" si="11"/>
        <v>8.3437421478290887E-3</v>
      </c>
      <c r="M38" s="24">
        <f t="shared" si="12"/>
        <v>3.719363042791022E-2</v>
      </c>
      <c r="N38" s="23">
        <f t="shared" si="13"/>
        <v>4.4999999999999998E-2</v>
      </c>
      <c r="O38" s="5">
        <f t="shared" si="14"/>
        <v>0.3</v>
      </c>
      <c r="P38" s="22">
        <f t="shared" si="15"/>
        <v>5</v>
      </c>
      <c r="Q38" s="171">
        <f>ROUND((0.8*'Side MDB'!W38+0.2*'Side Pole'!N38),3)</f>
        <v>5.3999999999999999E-2</v>
      </c>
      <c r="R38" s="172">
        <f t="shared" si="16"/>
        <v>0.36</v>
      </c>
      <c r="S38" s="134">
        <f t="shared" si="17"/>
        <v>5</v>
      </c>
      <c r="T38" s="172">
        <f>ROUND(((0.8*'Side MDB'!W38+0.2*'Side Pole'!N38)+(IF('Side MDB'!X38="N/A",(0.8*'Side MDB'!W38+0.2*'Side Pole'!N38),'Side MDB'!X38)))/2,3)</f>
        <v>3.5999999999999997E-2</v>
      </c>
      <c r="U38" s="172">
        <f t="shared" si="18"/>
        <v>0.24</v>
      </c>
      <c r="V38" s="22">
        <f t="shared" si="19"/>
        <v>5</v>
      </c>
      <c r="W38" s="82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</row>
    <row r="39" spans="1:34" ht="13.9" customHeight="1">
      <c r="A39" s="167">
        <v>14308</v>
      </c>
      <c r="B39" s="168" t="s">
        <v>219</v>
      </c>
      <c r="C39" s="169" t="str">
        <f>Rollover!A39</f>
        <v>Kia</v>
      </c>
      <c r="D39" s="169" t="str">
        <f>Rollover!B39</f>
        <v>Telluride SUV FWD</v>
      </c>
      <c r="E39" s="66" t="s">
        <v>120</v>
      </c>
      <c r="F39" s="170">
        <f>Rollover!C39</f>
        <v>2023</v>
      </c>
      <c r="G39" s="120">
        <v>443.54700000000003</v>
      </c>
      <c r="H39" s="11">
        <v>21.733000000000001</v>
      </c>
      <c r="I39" s="11">
        <v>50.802</v>
      </c>
      <c r="J39" s="121">
        <v>20.274999999999999</v>
      </c>
      <c r="K39" s="12">
        <v>2414.056</v>
      </c>
      <c r="L39" s="23">
        <f t="shared" si="11"/>
        <v>3.3288609357280993E-2</v>
      </c>
      <c r="M39" s="24">
        <f t="shared" si="12"/>
        <v>1.7356362757868494E-2</v>
      </c>
      <c r="N39" s="23">
        <f t="shared" si="13"/>
        <v>0.05</v>
      </c>
      <c r="O39" s="5">
        <f t="shared" si="14"/>
        <v>0.33</v>
      </c>
      <c r="P39" s="22">
        <f t="shared" si="15"/>
        <v>5</v>
      </c>
      <c r="Q39" s="171">
        <f>ROUND((0.8*'Side MDB'!W39+0.2*'Side Pole'!N39),3)</f>
        <v>3.1E-2</v>
      </c>
      <c r="R39" s="172">
        <f t="shared" si="16"/>
        <v>0.21</v>
      </c>
      <c r="S39" s="134">
        <f t="shared" si="17"/>
        <v>5</v>
      </c>
      <c r="T39" s="172">
        <f>ROUND(((0.8*'Side MDB'!W39+0.2*'Side Pole'!N39)+(IF('Side MDB'!X39="N/A",(0.8*'Side MDB'!W39+0.2*'Side Pole'!N39),'Side MDB'!X39)))/2,3)</f>
        <v>1.7999999999999999E-2</v>
      </c>
      <c r="U39" s="172">
        <f t="shared" si="18"/>
        <v>0.12</v>
      </c>
      <c r="V39" s="22">
        <f t="shared" si="19"/>
        <v>5</v>
      </c>
      <c r="W39" s="82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</row>
    <row r="40" spans="1:34" ht="13.9" customHeight="1">
      <c r="A40" s="167">
        <v>14308</v>
      </c>
      <c r="B40" s="168" t="s">
        <v>219</v>
      </c>
      <c r="C40" s="169" t="str">
        <f>Rollover!A40</f>
        <v>Kia</v>
      </c>
      <c r="D40" s="169" t="str">
        <f>Rollover!B40</f>
        <v>Telluride SUV AWD</v>
      </c>
      <c r="E40" s="66" t="s">
        <v>120</v>
      </c>
      <c r="F40" s="170">
        <f>Rollover!C40</f>
        <v>2023</v>
      </c>
      <c r="G40" s="120">
        <v>443.54700000000003</v>
      </c>
      <c r="H40" s="11">
        <v>21.733000000000001</v>
      </c>
      <c r="I40" s="11">
        <v>50.802</v>
      </c>
      <c r="J40" s="121">
        <v>20.274999999999999</v>
      </c>
      <c r="K40" s="12">
        <v>2414.056</v>
      </c>
      <c r="L40" s="23">
        <f t="shared" si="11"/>
        <v>3.3288609357280993E-2</v>
      </c>
      <c r="M40" s="24">
        <f t="shared" si="12"/>
        <v>1.7356362757868494E-2</v>
      </c>
      <c r="N40" s="23">
        <f t="shared" si="13"/>
        <v>0.05</v>
      </c>
      <c r="O40" s="5">
        <f t="shared" si="14"/>
        <v>0.33</v>
      </c>
      <c r="P40" s="22">
        <f t="shared" si="15"/>
        <v>5</v>
      </c>
      <c r="Q40" s="171">
        <f>ROUND((0.8*'Side MDB'!W40+0.2*'Side Pole'!N40),3)</f>
        <v>3.1E-2</v>
      </c>
      <c r="R40" s="172">
        <f t="shared" si="16"/>
        <v>0.21</v>
      </c>
      <c r="S40" s="134">
        <f t="shared" si="17"/>
        <v>5</v>
      </c>
      <c r="T40" s="172">
        <f>ROUND(((0.8*'Side MDB'!W40+0.2*'Side Pole'!N40)+(IF('Side MDB'!X40="N/A",(0.8*'Side MDB'!W40+0.2*'Side Pole'!N40),'Side MDB'!X40)))/2,3)</f>
        <v>1.7999999999999999E-2</v>
      </c>
      <c r="U40" s="172">
        <f t="shared" si="18"/>
        <v>0.12</v>
      </c>
      <c r="V40" s="22">
        <f t="shared" si="19"/>
        <v>5</v>
      </c>
      <c r="W40" s="82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</row>
    <row r="41" spans="1:34" ht="13.9" customHeight="1">
      <c r="A41" s="167">
        <v>14364</v>
      </c>
      <c r="B41" s="168" t="s">
        <v>220</v>
      </c>
      <c r="C41" s="175" t="str">
        <f>Rollover!A41</f>
        <v>Kia</v>
      </c>
      <c r="D41" s="175" t="str">
        <f>Rollover!B41</f>
        <v>Niro HEV SUV FWD</v>
      </c>
      <c r="E41" s="66" t="s">
        <v>120</v>
      </c>
      <c r="F41" s="170">
        <f>Rollover!C41</f>
        <v>2023</v>
      </c>
      <c r="G41" s="120">
        <v>473.77800000000002</v>
      </c>
      <c r="H41" s="11">
        <v>22.263000000000002</v>
      </c>
      <c r="I41" s="11">
        <v>43.289000000000001</v>
      </c>
      <c r="J41" s="121">
        <v>20.806999999999999</v>
      </c>
      <c r="K41" s="12">
        <v>3076.1559999999999</v>
      </c>
      <c r="L41" s="23">
        <f t="shared" si="11"/>
        <v>4.0456451574064349E-2</v>
      </c>
      <c r="M41" s="24">
        <f t="shared" si="12"/>
        <v>3.1863456061846297E-2</v>
      </c>
      <c r="N41" s="23">
        <f t="shared" si="13"/>
        <v>7.0999999999999994E-2</v>
      </c>
      <c r="O41" s="5">
        <f t="shared" si="14"/>
        <v>0.47</v>
      </c>
      <c r="P41" s="22">
        <f t="shared" si="15"/>
        <v>5</v>
      </c>
      <c r="Q41" s="171">
        <f>ROUND((0.8*'Side MDB'!W41+0.2*'Side Pole'!N41),3)</f>
        <v>5.3999999999999999E-2</v>
      </c>
      <c r="R41" s="172">
        <f t="shared" si="16"/>
        <v>0.36</v>
      </c>
      <c r="S41" s="134">
        <f t="shared" si="17"/>
        <v>5</v>
      </c>
      <c r="T41" s="172">
        <f>ROUND(((0.8*'Side MDB'!W41+0.2*'Side Pole'!N41)+(IF('Side MDB'!X41="N/A",(0.8*'Side MDB'!W41+0.2*'Side Pole'!N41),'Side MDB'!X41)))/2,3)</f>
        <v>5.6000000000000001E-2</v>
      </c>
      <c r="U41" s="172">
        <f t="shared" si="18"/>
        <v>0.37</v>
      </c>
      <c r="V41" s="22">
        <f t="shared" si="19"/>
        <v>5</v>
      </c>
      <c r="W41" s="82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</row>
    <row r="42" spans="1:34" ht="13.9" customHeight="1">
      <c r="A42" s="167">
        <v>14389</v>
      </c>
      <c r="B42" s="168" t="s">
        <v>221</v>
      </c>
      <c r="C42" s="169" t="str">
        <f>Rollover!A42</f>
        <v>Mazda</v>
      </c>
      <c r="D42" s="169" t="str">
        <f>Rollover!B42</f>
        <v>Mazda CX-50 SUV AWD</v>
      </c>
      <c r="E42" s="66" t="s">
        <v>120</v>
      </c>
      <c r="F42" s="170">
        <f>Rollover!C42</f>
        <v>2023</v>
      </c>
      <c r="G42" s="179">
        <v>333.95499999999998</v>
      </c>
      <c r="H42" s="18">
        <v>34.802999999999997</v>
      </c>
      <c r="I42" s="18">
        <v>40.884999999999998</v>
      </c>
      <c r="J42" s="180">
        <v>31.318000000000001</v>
      </c>
      <c r="K42" s="19">
        <v>3289.7420000000002</v>
      </c>
      <c r="L42" s="23">
        <f t="shared" ref="L42" si="29">NORMDIST(LN(G42),7.45231,0.73998,1)</f>
        <v>1.3276121357934304E-2</v>
      </c>
      <c r="M42" s="24">
        <f t="shared" ref="M42" si="30">1/(1+EXP(6.3055-0.00094*K42))</f>
        <v>3.8674130934275859E-2</v>
      </c>
      <c r="N42" s="23">
        <f t="shared" ref="N42" si="31">ROUND(1-(1-L42)*(1-M42),3)</f>
        <v>5.0999999999999997E-2</v>
      </c>
      <c r="O42" s="5">
        <f t="shared" ref="O42" si="32">ROUND(N42/0.15,2)</f>
        <v>0.34</v>
      </c>
      <c r="P42" s="22">
        <f t="shared" ref="P42" si="33">IF(O42&lt;0.67,5,IF(O42&lt;1,4,IF(O42&lt;1.33,3,IF(O42&lt;2.67,2,1))))</f>
        <v>5</v>
      </c>
      <c r="Q42" s="171">
        <f>ROUND((0.8*'Side MDB'!W42+0.2*'Side Pole'!N42),3)</f>
        <v>6.2E-2</v>
      </c>
      <c r="R42" s="172">
        <f t="shared" ref="R42" si="34">ROUND((Q42)/0.15,2)</f>
        <v>0.41</v>
      </c>
      <c r="S42" s="134">
        <f t="shared" ref="S42" si="35">IF(R42&lt;0.67,5,IF(R42&lt;1,4,IF(R42&lt;1.33,3,IF(R42&lt;2.67,2,1))))</f>
        <v>5</v>
      </c>
      <c r="T42" s="172">
        <f>ROUND(((0.8*'Side MDB'!W42+0.2*'Side Pole'!N42)+(IF('Side MDB'!X42="N/A",(0.8*'Side MDB'!W42+0.2*'Side Pole'!N42),'Side MDB'!X42)))/2,3)</f>
        <v>0.04</v>
      </c>
      <c r="U42" s="172">
        <f t="shared" ref="U42" si="36">ROUND((T42)/0.15,2)</f>
        <v>0.27</v>
      </c>
      <c r="V42" s="22">
        <f t="shared" ref="V42" si="37">IF(U42&lt;0.67,5,IF(U42&lt;1,4,IF(U42&lt;1.33,3,IF(U42&lt;2.67,2,1))))</f>
        <v>5</v>
      </c>
      <c r="W42" s="82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</row>
    <row r="43" spans="1:34" ht="13.9" customHeight="1">
      <c r="A43" s="176">
        <v>14437</v>
      </c>
      <c r="B43" s="177" t="s">
        <v>222</v>
      </c>
      <c r="C43" s="169" t="str">
        <f>Rollover!A43</f>
        <v>Mazda</v>
      </c>
      <c r="D43" s="169" t="str">
        <f>Rollover!B43</f>
        <v>Mazda CX-30 SUV AWD</v>
      </c>
      <c r="E43" s="66" t="s">
        <v>122</v>
      </c>
      <c r="F43" s="170">
        <f>Rollover!C43</f>
        <v>2023</v>
      </c>
      <c r="G43" s="179">
        <v>160.916</v>
      </c>
      <c r="H43" s="18">
        <v>25.331</v>
      </c>
      <c r="I43" s="18">
        <v>39.664999999999999</v>
      </c>
      <c r="J43" s="180">
        <v>24.125</v>
      </c>
      <c r="K43" s="19">
        <v>3045.7719999999999</v>
      </c>
      <c r="L43" s="23">
        <f t="shared" si="11"/>
        <v>6.75973431837136E-4</v>
      </c>
      <c r="M43" s="24">
        <f t="shared" si="12"/>
        <v>3.0994085488813494E-2</v>
      </c>
      <c r="N43" s="23">
        <f t="shared" si="13"/>
        <v>3.2000000000000001E-2</v>
      </c>
      <c r="O43" s="5">
        <f t="shared" si="14"/>
        <v>0.21</v>
      </c>
      <c r="P43" s="22">
        <f t="shared" si="15"/>
        <v>5</v>
      </c>
      <c r="Q43" s="171">
        <f>ROUND((0.8*'Side MDB'!W43+0.2*'Side Pole'!N43),3)</f>
        <v>4.4999999999999998E-2</v>
      </c>
      <c r="R43" s="172">
        <f t="shared" si="16"/>
        <v>0.3</v>
      </c>
      <c r="S43" s="134">
        <f t="shared" si="17"/>
        <v>5</v>
      </c>
      <c r="T43" s="172">
        <f>ROUND(((0.8*'Side MDB'!W43+0.2*'Side Pole'!N43)+(IF('Side MDB'!X43="N/A",(0.8*'Side MDB'!W43+0.2*'Side Pole'!N43),'Side MDB'!X43)))/2,3)</f>
        <v>3.4000000000000002E-2</v>
      </c>
      <c r="U43" s="172">
        <f t="shared" si="18"/>
        <v>0.23</v>
      </c>
      <c r="V43" s="22">
        <f t="shared" si="19"/>
        <v>5</v>
      </c>
      <c r="W43" s="82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</row>
    <row r="44" spans="1:34" ht="13.9" customHeight="1">
      <c r="A44" s="167">
        <v>14287</v>
      </c>
      <c r="B44" s="168" t="s">
        <v>223</v>
      </c>
      <c r="C44" s="169" t="str">
        <f>Rollover!A44</f>
        <v xml:space="preserve">Mitsubishi </v>
      </c>
      <c r="D44" s="169" t="str">
        <f>Rollover!B44</f>
        <v>Outlander SUV FWD</v>
      </c>
      <c r="E44" s="66" t="s">
        <v>134</v>
      </c>
      <c r="F44" s="170">
        <f>Rollover!C44</f>
        <v>2023</v>
      </c>
      <c r="G44" s="120">
        <v>335.69900000000001</v>
      </c>
      <c r="H44" s="11">
        <v>21.617000000000001</v>
      </c>
      <c r="I44" s="11">
        <v>36.158000000000001</v>
      </c>
      <c r="J44" s="121">
        <v>17.225000000000001</v>
      </c>
      <c r="K44" s="12">
        <v>2735.703</v>
      </c>
      <c r="L44" s="23">
        <f t="shared" si="11"/>
        <v>1.3517951523300719E-2</v>
      </c>
      <c r="M44" s="24">
        <f t="shared" si="12"/>
        <v>2.3340701659832964E-2</v>
      </c>
      <c r="N44" s="23">
        <f t="shared" si="13"/>
        <v>3.6999999999999998E-2</v>
      </c>
      <c r="O44" s="5">
        <f t="shared" si="14"/>
        <v>0.25</v>
      </c>
      <c r="P44" s="22">
        <f t="shared" si="15"/>
        <v>5</v>
      </c>
      <c r="Q44" s="171">
        <f>ROUND((0.8*'Side MDB'!W44+0.2*'Side Pole'!N44),3)</f>
        <v>4.4999999999999998E-2</v>
      </c>
      <c r="R44" s="172">
        <f t="shared" si="16"/>
        <v>0.3</v>
      </c>
      <c r="S44" s="134">
        <f t="shared" si="17"/>
        <v>5</v>
      </c>
      <c r="T44" s="172">
        <f>ROUND(((0.8*'Side MDB'!W44+0.2*'Side Pole'!N44)+(IF('Side MDB'!X44="N/A",(0.8*'Side MDB'!W44+0.2*'Side Pole'!N44),'Side MDB'!X44)))/2,3)</f>
        <v>3.1E-2</v>
      </c>
      <c r="U44" s="172">
        <f t="shared" si="18"/>
        <v>0.21</v>
      </c>
      <c r="V44" s="22">
        <f t="shared" si="19"/>
        <v>5</v>
      </c>
      <c r="W44" s="82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</row>
    <row r="45" spans="1:34" ht="13.9" customHeight="1">
      <c r="A45" s="168">
        <v>14287</v>
      </c>
      <c r="B45" s="168" t="s">
        <v>223</v>
      </c>
      <c r="C45" s="169" t="str">
        <f>Rollover!A45</f>
        <v xml:space="preserve">Mitsubishi </v>
      </c>
      <c r="D45" s="169" t="str">
        <f>Rollover!B45</f>
        <v>Outlander SUV AWD</v>
      </c>
      <c r="E45" s="66" t="s">
        <v>134</v>
      </c>
      <c r="F45" s="170">
        <f>Rollover!C45</f>
        <v>2023</v>
      </c>
      <c r="G45" s="120">
        <v>335.69900000000001</v>
      </c>
      <c r="H45" s="11">
        <v>21.617000000000001</v>
      </c>
      <c r="I45" s="11">
        <v>36.158000000000001</v>
      </c>
      <c r="J45" s="121">
        <v>17.225000000000001</v>
      </c>
      <c r="K45" s="121">
        <v>2735.703</v>
      </c>
      <c r="L45" s="23">
        <f>NORMDIST(LN(G45),7.45231,0.73998,1)</f>
        <v>1.3517951523300719E-2</v>
      </c>
      <c r="M45" s="24">
        <f>1/(1+EXP(6.3055-0.00094*K45))</f>
        <v>2.3340701659832964E-2</v>
      </c>
      <c r="N45" s="23">
        <f>ROUND(1-(1-L45)*(1-M45),3)</f>
        <v>3.6999999999999998E-2</v>
      </c>
      <c r="O45" s="5">
        <f t="shared" si="14"/>
        <v>0.25</v>
      </c>
      <c r="P45" s="22">
        <f t="shared" si="15"/>
        <v>5</v>
      </c>
      <c r="Q45" s="171">
        <f>ROUND((0.8*'Side MDB'!W45+0.2*'Side Pole'!N45),3)</f>
        <v>4.4999999999999998E-2</v>
      </c>
      <c r="R45" s="172">
        <f t="shared" si="16"/>
        <v>0.3</v>
      </c>
      <c r="S45" s="134">
        <f t="shared" si="17"/>
        <v>5</v>
      </c>
      <c r="T45" s="172">
        <f>ROUND(((0.8*'Side MDB'!W45+0.2*'Side Pole'!N45)+(IF('Side MDB'!X45="N/A",(0.8*'Side MDB'!W45+0.2*'Side Pole'!N45),'Side MDB'!X45)))/2,3)</f>
        <v>3.1E-2</v>
      </c>
      <c r="U45" s="172">
        <f t="shared" si="18"/>
        <v>0.21</v>
      </c>
      <c r="V45" s="22">
        <f t="shared" si="19"/>
        <v>5</v>
      </c>
      <c r="W45" s="82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</row>
    <row r="46" spans="1:34" ht="13.9" customHeight="1">
      <c r="A46" s="167">
        <v>14280</v>
      </c>
      <c r="B46" s="168" t="s">
        <v>224</v>
      </c>
      <c r="C46" s="169" t="str">
        <f>Rollover!A46</f>
        <v>Nissan</v>
      </c>
      <c r="D46" s="169" t="str">
        <f>Rollover!B46</f>
        <v>Armada SUV RWD</v>
      </c>
      <c r="E46" s="66" t="s">
        <v>134</v>
      </c>
      <c r="F46" s="170">
        <f>Rollover!C46</f>
        <v>2023</v>
      </c>
      <c r="G46" s="179">
        <v>287.33800000000002</v>
      </c>
      <c r="H46" s="18">
        <v>18.010999999999999</v>
      </c>
      <c r="I46" s="18">
        <v>63.542000000000002</v>
      </c>
      <c r="J46" s="180">
        <v>14.643000000000001</v>
      </c>
      <c r="K46" s="180">
        <v>2591.3789999999999</v>
      </c>
      <c r="L46" s="23">
        <f t="shared" si="11"/>
        <v>7.7343597622726093E-3</v>
      </c>
      <c r="M46" s="24">
        <f t="shared" si="12"/>
        <v>2.0440119851584899E-2</v>
      </c>
      <c r="N46" s="23">
        <f t="shared" si="13"/>
        <v>2.8000000000000001E-2</v>
      </c>
      <c r="O46" s="5">
        <f t="shared" si="14"/>
        <v>0.19</v>
      </c>
      <c r="P46" s="22">
        <f t="shared" si="15"/>
        <v>5</v>
      </c>
      <c r="Q46" s="171">
        <f>ROUND((0.8*'Side MDB'!W46+0.2*'Side Pole'!N46),3)</f>
        <v>3.5999999999999997E-2</v>
      </c>
      <c r="R46" s="172">
        <f t="shared" si="16"/>
        <v>0.24</v>
      </c>
      <c r="S46" s="134">
        <f t="shared" si="17"/>
        <v>5</v>
      </c>
      <c r="T46" s="172">
        <f>ROUND(((0.8*'Side MDB'!W46+0.2*'Side Pole'!N46)+(IF('Side MDB'!X46="N/A",(0.8*'Side MDB'!W46+0.2*'Side Pole'!N46),'Side MDB'!X46)))/2,3)</f>
        <v>0.02</v>
      </c>
      <c r="U46" s="172">
        <f t="shared" si="18"/>
        <v>0.13</v>
      </c>
      <c r="V46" s="22">
        <f t="shared" si="19"/>
        <v>5</v>
      </c>
      <c r="W46" s="82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</row>
    <row r="47" spans="1:34" ht="13.9" customHeight="1">
      <c r="A47" s="176">
        <v>14280</v>
      </c>
      <c r="B47" s="177" t="s">
        <v>224</v>
      </c>
      <c r="C47" s="169" t="str">
        <f>Rollover!A47</f>
        <v>Nissan</v>
      </c>
      <c r="D47" s="169" t="str">
        <f>Rollover!B47</f>
        <v>Armada SUV 4WD</v>
      </c>
      <c r="E47" s="66" t="s">
        <v>134</v>
      </c>
      <c r="F47" s="170">
        <f>Rollover!C47</f>
        <v>2023</v>
      </c>
      <c r="G47" s="120">
        <v>287.33800000000002</v>
      </c>
      <c r="H47" s="11">
        <v>18.010999999999999</v>
      </c>
      <c r="I47" s="11">
        <v>63.542000000000002</v>
      </c>
      <c r="J47" s="121">
        <v>14.643000000000001</v>
      </c>
      <c r="K47" s="12">
        <v>2591.3789999999999</v>
      </c>
      <c r="L47" s="23">
        <f t="shared" si="11"/>
        <v>7.7343597622726093E-3</v>
      </c>
      <c r="M47" s="24">
        <f t="shared" si="12"/>
        <v>2.0440119851584899E-2</v>
      </c>
      <c r="N47" s="23">
        <f t="shared" si="13"/>
        <v>2.8000000000000001E-2</v>
      </c>
      <c r="O47" s="5">
        <f t="shared" si="14"/>
        <v>0.19</v>
      </c>
      <c r="P47" s="22">
        <f t="shared" si="15"/>
        <v>5</v>
      </c>
      <c r="Q47" s="171">
        <f>ROUND((0.8*'Side MDB'!W47+0.2*'Side Pole'!N47),3)</f>
        <v>3.5999999999999997E-2</v>
      </c>
      <c r="R47" s="172">
        <f t="shared" si="16"/>
        <v>0.24</v>
      </c>
      <c r="S47" s="134">
        <f t="shared" si="17"/>
        <v>5</v>
      </c>
      <c r="T47" s="172">
        <f>ROUND(((0.8*'Side MDB'!W47+0.2*'Side Pole'!N47)+(IF('Side MDB'!X47="N/A",(0.8*'Side MDB'!W47+0.2*'Side Pole'!N47),'Side MDB'!X47)))/2,3)</f>
        <v>0.02</v>
      </c>
      <c r="U47" s="172">
        <f t="shared" si="18"/>
        <v>0.13</v>
      </c>
      <c r="V47" s="22">
        <f t="shared" si="19"/>
        <v>5</v>
      </c>
      <c r="W47" s="82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</row>
    <row r="48" spans="1:34" ht="13.9" customHeight="1">
      <c r="A48" s="167">
        <v>14280</v>
      </c>
      <c r="B48" s="168" t="s">
        <v>224</v>
      </c>
      <c r="C48" s="175" t="str">
        <f>Rollover!A48</f>
        <v xml:space="preserve">Infiniti </v>
      </c>
      <c r="D48" s="175" t="str">
        <f>Rollover!B48</f>
        <v>QX80 SUV RWD</v>
      </c>
      <c r="E48" s="66" t="s">
        <v>134</v>
      </c>
      <c r="F48" s="170">
        <f>Rollover!C48</f>
        <v>2023</v>
      </c>
      <c r="G48" s="120">
        <v>287.33800000000002</v>
      </c>
      <c r="H48" s="11">
        <v>18.010999999999999</v>
      </c>
      <c r="I48" s="11">
        <v>63.542000000000002</v>
      </c>
      <c r="J48" s="121">
        <v>14.643000000000001</v>
      </c>
      <c r="K48" s="12">
        <v>2591.3789999999999</v>
      </c>
      <c r="L48" s="23">
        <f t="shared" ref="L48" si="38">NORMDIST(LN(G48),7.45231,0.73998,1)</f>
        <v>7.7343597622726093E-3</v>
      </c>
      <c r="M48" s="24">
        <f t="shared" ref="M48" si="39">1/(1+EXP(6.3055-0.00094*K48))</f>
        <v>2.0440119851584899E-2</v>
      </c>
      <c r="N48" s="23">
        <f t="shared" ref="N48" si="40">ROUND(1-(1-L48)*(1-M48),3)</f>
        <v>2.8000000000000001E-2</v>
      </c>
      <c r="O48" s="5">
        <f t="shared" ref="O48" si="41">ROUND(N48/0.15,2)</f>
        <v>0.19</v>
      </c>
      <c r="P48" s="22">
        <f t="shared" ref="P48" si="42">IF(O48&lt;0.67,5,IF(O48&lt;1,4,IF(O48&lt;1.33,3,IF(O48&lt;2.67,2,1))))</f>
        <v>5</v>
      </c>
      <c r="Q48" s="171">
        <f>ROUND((0.8*'Side MDB'!W48+0.2*'Side Pole'!N48),3)</f>
        <v>3.5999999999999997E-2</v>
      </c>
      <c r="R48" s="172">
        <f t="shared" ref="R48" si="43">ROUND((Q48)/0.15,2)</f>
        <v>0.24</v>
      </c>
      <c r="S48" s="134">
        <f t="shared" ref="S48" si="44">IF(R48&lt;0.67,5,IF(R48&lt;1,4,IF(R48&lt;1.33,3,IF(R48&lt;2.67,2,1))))</f>
        <v>5</v>
      </c>
      <c r="T48" s="172">
        <f>ROUND(((0.8*'Side MDB'!W48+0.2*'Side Pole'!N48)+(IF('Side MDB'!X48="N/A",(0.8*'Side MDB'!W48+0.2*'Side Pole'!N48),'Side MDB'!X48)))/2,3)</f>
        <v>0.02</v>
      </c>
      <c r="U48" s="172">
        <f t="shared" ref="U48" si="45">ROUND((T48)/0.15,2)</f>
        <v>0.13</v>
      </c>
      <c r="V48" s="22">
        <f t="shared" ref="V48" si="46">IF(U48&lt;0.67,5,IF(U48&lt;1,4,IF(U48&lt;1.33,3,IF(U48&lt;2.67,2,1))))</f>
        <v>5</v>
      </c>
      <c r="W48" s="82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</row>
    <row r="49" spans="1:34" ht="13.9" customHeight="1">
      <c r="A49" s="167">
        <v>14280</v>
      </c>
      <c r="B49" s="168" t="s">
        <v>224</v>
      </c>
      <c r="C49" s="175" t="str">
        <f>Rollover!A49</f>
        <v xml:space="preserve">Infiniti </v>
      </c>
      <c r="D49" s="175" t="str">
        <f>Rollover!B49</f>
        <v>QX80 SUV 4WD</v>
      </c>
      <c r="E49" s="66" t="s">
        <v>134</v>
      </c>
      <c r="F49" s="170">
        <f>Rollover!C49</f>
        <v>2023</v>
      </c>
      <c r="G49" s="120">
        <v>287.33800000000002</v>
      </c>
      <c r="H49" s="11">
        <v>18.010999999999999</v>
      </c>
      <c r="I49" s="11">
        <v>63.542000000000002</v>
      </c>
      <c r="J49" s="121">
        <v>14.643000000000001</v>
      </c>
      <c r="K49" s="12">
        <v>2591.3789999999999</v>
      </c>
      <c r="L49" s="23">
        <f t="shared" ref="L49:L55" si="47">NORMDIST(LN(G49),7.45231,0.73998,1)</f>
        <v>7.7343597622726093E-3</v>
      </c>
      <c r="M49" s="24">
        <f t="shared" ref="M49:M55" si="48">1/(1+EXP(6.3055-0.00094*K49))</f>
        <v>2.0440119851584899E-2</v>
      </c>
      <c r="N49" s="23">
        <f t="shared" ref="N49:N55" si="49">ROUND(1-(1-L49)*(1-M49),3)</f>
        <v>2.8000000000000001E-2</v>
      </c>
      <c r="O49" s="5">
        <f t="shared" ref="O49:O55" si="50">ROUND(N49/0.15,2)</f>
        <v>0.19</v>
      </c>
      <c r="P49" s="22">
        <f t="shared" ref="P49:P55" si="51">IF(O49&lt;0.67,5,IF(O49&lt;1,4,IF(O49&lt;1.33,3,IF(O49&lt;2.67,2,1))))</f>
        <v>5</v>
      </c>
      <c r="Q49" s="171">
        <f>ROUND((0.8*'Side MDB'!W49+0.2*'Side Pole'!N49),3)</f>
        <v>3.5999999999999997E-2</v>
      </c>
      <c r="R49" s="172">
        <f t="shared" ref="R49:R55" si="52">ROUND((Q49)/0.15,2)</f>
        <v>0.24</v>
      </c>
      <c r="S49" s="134">
        <f t="shared" ref="S49:S55" si="53">IF(R49&lt;0.67,5,IF(R49&lt;1,4,IF(R49&lt;1.33,3,IF(R49&lt;2.67,2,1))))</f>
        <v>5</v>
      </c>
      <c r="T49" s="172">
        <f>ROUND(((0.8*'Side MDB'!W49+0.2*'Side Pole'!N49)+(IF('Side MDB'!X49="N/A",(0.8*'Side MDB'!W49+0.2*'Side Pole'!N49),'Side MDB'!X49)))/2,3)</f>
        <v>0.02</v>
      </c>
      <c r="U49" s="172">
        <f t="shared" ref="U49:U55" si="54">ROUND((T49)/0.15,2)</f>
        <v>0.13</v>
      </c>
      <c r="V49" s="22">
        <f t="shared" ref="V49:V55" si="55">IF(U49&lt;0.67,5,IF(U49&lt;1,4,IF(U49&lt;1.33,3,IF(U49&lt;2.67,2,1))))</f>
        <v>5</v>
      </c>
      <c r="W49" s="82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</row>
    <row r="50" spans="1:34" ht="13.9" customHeight="1">
      <c r="A50" s="176"/>
      <c r="B50" s="177"/>
      <c r="C50" s="169" t="str">
        <f>Rollover!A50</f>
        <v>Rivian</v>
      </c>
      <c r="D50" s="169" t="str">
        <f>Rollover!B50</f>
        <v>R1S SUV BEV AWD</v>
      </c>
      <c r="E50" s="66"/>
      <c r="F50" s="170">
        <f>Rollover!C50</f>
        <v>2023</v>
      </c>
      <c r="G50" s="120"/>
      <c r="H50" s="11"/>
      <c r="I50" s="11"/>
      <c r="J50" s="121"/>
      <c r="K50" s="12"/>
      <c r="L50" s="23" t="e">
        <f t="shared" si="47"/>
        <v>#NUM!</v>
      </c>
      <c r="M50" s="24">
        <f t="shared" si="48"/>
        <v>1.8229037773026034E-3</v>
      </c>
      <c r="N50" s="23" t="e">
        <f t="shared" si="49"/>
        <v>#NUM!</v>
      </c>
      <c r="O50" s="5" t="e">
        <f t="shared" si="50"/>
        <v>#NUM!</v>
      </c>
      <c r="P50" s="22" t="e">
        <f t="shared" si="51"/>
        <v>#NUM!</v>
      </c>
      <c r="Q50" s="171" t="e">
        <f>ROUND((0.8*'Side MDB'!W50+0.2*'Side Pole'!N50),3)</f>
        <v>#NUM!</v>
      </c>
      <c r="R50" s="172" t="e">
        <f t="shared" si="52"/>
        <v>#NUM!</v>
      </c>
      <c r="S50" s="134" t="e">
        <f t="shared" si="53"/>
        <v>#NUM!</v>
      </c>
      <c r="T50" s="172" t="e">
        <f>ROUND(((0.8*'Side MDB'!W50+0.2*'Side Pole'!N50)+(IF('Side MDB'!X50="N/A",(0.8*'Side MDB'!W50+0.2*'Side Pole'!N50),'Side MDB'!X50)))/2,3)</f>
        <v>#NUM!</v>
      </c>
      <c r="U50" s="172" t="e">
        <f t="shared" si="54"/>
        <v>#NUM!</v>
      </c>
      <c r="V50" s="22" t="e">
        <f t="shared" si="55"/>
        <v>#NUM!</v>
      </c>
      <c r="W50" s="82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</row>
    <row r="51" spans="1:34" ht="13.9" customHeight="1">
      <c r="A51" s="176">
        <v>14399</v>
      </c>
      <c r="B51" s="177" t="s">
        <v>225</v>
      </c>
      <c r="C51" s="169" t="str">
        <f>Rollover!A51</f>
        <v>Subaru</v>
      </c>
      <c r="D51" s="169" t="str">
        <f>Rollover!B51</f>
        <v>Solterra SUV BEV AWD</v>
      </c>
      <c r="E51" s="66" t="s">
        <v>120</v>
      </c>
      <c r="F51" s="170">
        <f>Rollover!C51</f>
        <v>2023</v>
      </c>
      <c r="G51" s="120">
        <v>315.09899999999999</v>
      </c>
      <c r="H51" s="11">
        <v>17.474</v>
      </c>
      <c r="I51" s="11">
        <v>38.281999999999996</v>
      </c>
      <c r="J51" s="121">
        <v>20.462</v>
      </c>
      <c r="K51" s="12">
        <v>4000.721</v>
      </c>
      <c r="L51" s="23">
        <f t="shared" si="47"/>
        <v>1.0821375863867104E-2</v>
      </c>
      <c r="M51" s="24">
        <f t="shared" si="48"/>
        <v>7.2775101550895227E-2</v>
      </c>
      <c r="N51" s="23">
        <f t="shared" si="49"/>
        <v>8.3000000000000004E-2</v>
      </c>
      <c r="O51" s="5">
        <f t="shared" si="50"/>
        <v>0.55000000000000004</v>
      </c>
      <c r="P51" s="22">
        <f t="shared" si="51"/>
        <v>5</v>
      </c>
      <c r="Q51" s="171">
        <f>ROUND((0.8*'Side MDB'!W51+0.2*'Side Pole'!N51),3)</f>
        <v>3.2000000000000001E-2</v>
      </c>
      <c r="R51" s="172">
        <f t="shared" si="52"/>
        <v>0.21</v>
      </c>
      <c r="S51" s="134">
        <f t="shared" si="53"/>
        <v>5</v>
      </c>
      <c r="T51" s="172">
        <f>ROUND(((0.8*'Side MDB'!W51+0.2*'Side Pole'!N51)+(IF('Side MDB'!X51="N/A",(0.8*'Side MDB'!W51+0.2*'Side Pole'!N51),'Side MDB'!X51)))/2,3)</f>
        <v>2.9000000000000001E-2</v>
      </c>
      <c r="U51" s="172">
        <f t="shared" si="54"/>
        <v>0.19</v>
      </c>
      <c r="V51" s="22">
        <f t="shared" si="55"/>
        <v>5</v>
      </c>
      <c r="W51" s="82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</row>
    <row r="52" spans="1:34" ht="13.9" customHeight="1">
      <c r="A52" s="167">
        <v>14399</v>
      </c>
      <c r="B52" s="168" t="s">
        <v>225</v>
      </c>
      <c r="C52" s="175" t="str">
        <f>Rollover!A52</f>
        <v>Toyota</v>
      </c>
      <c r="D52" s="175" t="str">
        <f>Rollover!B52</f>
        <v>bZ4X SUV BEV FWD</v>
      </c>
      <c r="E52" s="66" t="s">
        <v>120</v>
      </c>
      <c r="F52" s="170">
        <f>Rollover!C52</f>
        <v>2023</v>
      </c>
      <c r="G52" s="120">
        <v>315.09899999999999</v>
      </c>
      <c r="H52" s="11">
        <v>17.474</v>
      </c>
      <c r="I52" s="11">
        <v>38.281999999999996</v>
      </c>
      <c r="J52" s="121">
        <v>20.462</v>
      </c>
      <c r="K52" s="12">
        <v>4000.721</v>
      </c>
      <c r="L52" s="23">
        <f t="shared" si="47"/>
        <v>1.0821375863867104E-2</v>
      </c>
      <c r="M52" s="24">
        <f t="shared" si="48"/>
        <v>7.2775101550895227E-2</v>
      </c>
      <c r="N52" s="23">
        <f t="shared" si="49"/>
        <v>8.3000000000000004E-2</v>
      </c>
      <c r="O52" s="5">
        <f t="shared" si="50"/>
        <v>0.55000000000000004</v>
      </c>
      <c r="P52" s="22">
        <f t="shared" si="51"/>
        <v>5</v>
      </c>
      <c r="Q52" s="171">
        <f>ROUND((0.8*'Side MDB'!W52+0.2*'Side Pole'!N52),3)</f>
        <v>3.2000000000000001E-2</v>
      </c>
      <c r="R52" s="172">
        <f t="shared" si="52"/>
        <v>0.21</v>
      </c>
      <c r="S52" s="134">
        <f t="shared" si="53"/>
        <v>5</v>
      </c>
      <c r="T52" s="172">
        <f>ROUND(((0.8*'Side MDB'!W52+0.2*'Side Pole'!N52)+(IF('Side MDB'!X52="N/A",(0.8*'Side MDB'!W52+0.2*'Side Pole'!N52),'Side MDB'!X52)))/2,3)</f>
        <v>2.9000000000000001E-2</v>
      </c>
      <c r="U52" s="172">
        <f t="shared" si="54"/>
        <v>0.19</v>
      </c>
      <c r="V52" s="22">
        <f t="shared" si="55"/>
        <v>5</v>
      </c>
      <c r="W52" s="82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</row>
    <row r="53" spans="1:34" ht="13.9" customHeight="1">
      <c r="A53" s="168">
        <v>14399</v>
      </c>
      <c r="B53" s="168" t="s">
        <v>225</v>
      </c>
      <c r="C53" s="175" t="str">
        <f>Rollover!A53</f>
        <v>Toyota</v>
      </c>
      <c r="D53" s="175" t="str">
        <f>Rollover!B53</f>
        <v>bZ4X SUV BEV AWD</v>
      </c>
      <c r="E53" s="66" t="s">
        <v>120</v>
      </c>
      <c r="F53" s="170">
        <f>Rollover!C53</f>
        <v>2023</v>
      </c>
      <c r="G53" s="120">
        <v>315.09899999999999</v>
      </c>
      <c r="H53" s="11">
        <v>17.474</v>
      </c>
      <c r="I53" s="11">
        <v>38.281999999999996</v>
      </c>
      <c r="J53" s="121">
        <v>20.462</v>
      </c>
      <c r="K53" s="121">
        <v>4000.721</v>
      </c>
      <c r="L53" s="23">
        <f t="shared" si="47"/>
        <v>1.0821375863867104E-2</v>
      </c>
      <c r="M53" s="24">
        <f t="shared" si="48"/>
        <v>7.2775101550895227E-2</v>
      </c>
      <c r="N53" s="23">
        <f t="shared" si="49"/>
        <v>8.3000000000000004E-2</v>
      </c>
      <c r="O53" s="5">
        <f t="shared" si="50"/>
        <v>0.55000000000000004</v>
      </c>
      <c r="P53" s="22">
        <f t="shared" si="51"/>
        <v>5</v>
      </c>
      <c r="Q53" s="171">
        <f>ROUND((0.8*'Side MDB'!W53+0.2*'Side Pole'!N53),3)</f>
        <v>3.2000000000000001E-2</v>
      </c>
      <c r="R53" s="172">
        <f t="shared" si="52"/>
        <v>0.21</v>
      </c>
      <c r="S53" s="134">
        <f t="shared" si="53"/>
        <v>5</v>
      </c>
      <c r="T53" s="172">
        <f>ROUND(((0.8*'Side MDB'!W53+0.2*'Side Pole'!N53)+(IF('Side MDB'!X53="N/A",(0.8*'Side MDB'!W53+0.2*'Side Pole'!N53),'Side MDB'!X53)))/2,3)</f>
        <v>2.9000000000000001E-2</v>
      </c>
      <c r="U53" s="172">
        <f t="shared" si="54"/>
        <v>0.19</v>
      </c>
      <c r="V53" s="22">
        <f t="shared" si="55"/>
        <v>5</v>
      </c>
      <c r="W53" s="82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</row>
    <row r="54" spans="1:34" ht="13.9" customHeight="1">
      <c r="A54" s="168">
        <v>10188</v>
      </c>
      <c r="B54" s="168" t="s">
        <v>226</v>
      </c>
      <c r="C54" s="169" t="str">
        <f>Rollover!A54</f>
        <v>Volkswagen</v>
      </c>
      <c r="D54" s="169" t="str">
        <f>Rollover!B54</f>
        <v>Tiguan SUV FWD</v>
      </c>
      <c r="E54" s="66" t="s">
        <v>134</v>
      </c>
      <c r="F54" s="170">
        <f>Rollover!C54</f>
        <v>2023</v>
      </c>
      <c r="G54" s="120">
        <v>330.14</v>
      </c>
      <c r="H54" s="11">
        <v>24.722000000000001</v>
      </c>
      <c r="I54" s="11">
        <v>48.917000000000002</v>
      </c>
      <c r="J54" s="121">
        <v>17.233000000000001</v>
      </c>
      <c r="K54" s="121">
        <v>3804.1909999999998</v>
      </c>
      <c r="L54" s="23">
        <f t="shared" si="47"/>
        <v>1.2755864986237399E-2</v>
      </c>
      <c r="M54" s="24">
        <f t="shared" si="48"/>
        <v>6.1251431361813748E-2</v>
      </c>
      <c r="N54" s="23">
        <f t="shared" si="49"/>
        <v>7.2999999999999995E-2</v>
      </c>
      <c r="O54" s="5">
        <f t="shared" si="50"/>
        <v>0.49</v>
      </c>
      <c r="P54" s="22">
        <f t="shared" si="51"/>
        <v>5</v>
      </c>
      <c r="Q54" s="171">
        <f>ROUND((0.8*'Side MDB'!W54+0.2*'Side Pole'!N54),3)</f>
        <v>3.9E-2</v>
      </c>
      <c r="R54" s="172">
        <f t="shared" si="52"/>
        <v>0.26</v>
      </c>
      <c r="S54" s="134">
        <f t="shared" si="53"/>
        <v>5</v>
      </c>
      <c r="T54" s="172">
        <f>ROUND(((0.8*'Side MDB'!W54+0.2*'Side Pole'!N54)+(IF('Side MDB'!X54="N/A",(0.8*'Side MDB'!W54+0.2*'Side Pole'!N54),'Side MDB'!X54)))/2,3)</f>
        <v>2.8000000000000001E-2</v>
      </c>
      <c r="U54" s="172">
        <f t="shared" si="54"/>
        <v>0.19</v>
      </c>
      <c r="V54" s="22">
        <f t="shared" si="55"/>
        <v>5</v>
      </c>
      <c r="W54" s="82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</row>
    <row r="55" spans="1:34" ht="13.9" customHeight="1">
      <c r="A55" s="168">
        <v>10188</v>
      </c>
      <c r="B55" s="168" t="s">
        <v>226</v>
      </c>
      <c r="C55" s="169" t="str">
        <f>Rollover!A55</f>
        <v>Volkswagen</v>
      </c>
      <c r="D55" s="169" t="str">
        <f>Rollover!B55</f>
        <v>Tiguan SUV AWD</v>
      </c>
      <c r="E55" s="66" t="s">
        <v>134</v>
      </c>
      <c r="F55" s="170">
        <f>Rollover!C55</f>
        <v>2023</v>
      </c>
      <c r="G55" s="120">
        <v>330.14</v>
      </c>
      <c r="H55" s="11">
        <v>24.722000000000001</v>
      </c>
      <c r="I55" s="11">
        <v>48.917000000000002</v>
      </c>
      <c r="J55" s="121">
        <v>17.233000000000001</v>
      </c>
      <c r="K55" s="121">
        <v>3804.1909999999998</v>
      </c>
      <c r="L55" s="23">
        <f t="shared" si="47"/>
        <v>1.2755864986237399E-2</v>
      </c>
      <c r="M55" s="24">
        <f t="shared" si="48"/>
        <v>6.1251431361813748E-2</v>
      </c>
      <c r="N55" s="23">
        <f t="shared" si="49"/>
        <v>7.2999999999999995E-2</v>
      </c>
      <c r="O55" s="5">
        <f t="shared" si="50"/>
        <v>0.49</v>
      </c>
      <c r="P55" s="22">
        <f t="shared" si="51"/>
        <v>5</v>
      </c>
      <c r="Q55" s="171">
        <f>ROUND((0.8*'Side MDB'!W55+0.2*'Side Pole'!N55),3)</f>
        <v>3.9E-2</v>
      </c>
      <c r="R55" s="172">
        <f t="shared" si="52"/>
        <v>0.26</v>
      </c>
      <c r="S55" s="134">
        <f t="shared" si="53"/>
        <v>5</v>
      </c>
      <c r="T55" s="172">
        <f>ROUND(((0.8*'Side MDB'!W55+0.2*'Side Pole'!N55)+(IF('Side MDB'!X55="N/A",(0.8*'Side MDB'!W55+0.2*'Side Pole'!N55),'Side MDB'!X55)))/2,3)</f>
        <v>2.8000000000000001E-2</v>
      </c>
      <c r="U55" s="172">
        <f t="shared" si="54"/>
        <v>0.19</v>
      </c>
      <c r="V55" s="22">
        <f t="shared" si="55"/>
        <v>5</v>
      </c>
      <c r="W55" s="82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</row>
    <row r="56" spans="1:34" ht="13.9" customHeight="1">
      <c r="N56" s="174"/>
      <c r="O56" s="174"/>
      <c r="P56" s="181"/>
      <c r="Q56" s="174"/>
    </row>
    <row r="57" spans="1:34" ht="13.9" customHeight="1">
      <c r="N57" s="174"/>
      <c r="O57" s="174"/>
      <c r="P57" s="181"/>
      <c r="Q57" s="174"/>
    </row>
    <row r="58" spans="1:34" ht="13.9" customHeight="1">
      <c r="N58" s="174"/>
      <c r="O58" s="174"/>
      <c r="P58" s="181"/>
      <c r="Q58" s="174"/>
    </row>
    <row r="59" spans="1:34" ht="13.9" customHeight="1">
      <c r="N59" s="174"/>
      <c r="O59" s="174"/>
      <c r="P59" s="181"/>
      <c r="Q59" s="174"/>
    </row>
    <row r="60" spans="1:34" ht="13.9" customHeight="1">
      <c r="N60" s="174"/>
      <c r="O60" s="174"/>
      <c r="P60" s="181"/>
      <c r="Q60" s="174"/>
    </row>
    <row r="61" spans="1:34" ht="13.9" customHeight="1">
      <c r="N61" s="174"/>
      <c r="O61" s="174"/>
      <c r="P61" s="181"/>
      <c r="Q61" s="174"/>
    </row>
    <row r="62" spans="1:34" ht="13.9" customHeight="1">
      <c r="N62" s="174"/>
      <c r="O62" s="174"/>
      <c r="P62" s="181"/>
      <c r="Q62" s="174"/>
    </row>
    <row r="63" spans="1:34" ht="13.9" customHeight="1">
      <c r="N63" s="174"/>
      <c r="O63" s="174"/>
      <c r="P63" s="181"/>
      <c r="Q63" s="174"/>
    </row>
    <row r="64" spans="1:34" ht="13.9" customHeight="1">
      <c r="N64" s="174"/>
      <c r="O64" s="174"/>
      <c r="P64" s="181"/>
      <c r="Q64" s="174"/>
    </row>
    <row r="65" spans="14:17" ht="13.9" customHeight="1">
      <c r="N65" s="174"/>
      <c r="O65" s="174"/>
      <c r="P65" s="181"/>
      <c r="Q65" s="174"/>
    </row>
    <row r="66" spans="14:17" ht="13.9" customHeight="1">
      <c r="N66" s="174"/>
      <c r="O66" s="174"/>
      <c r="P66" s="181"/>
      <c r="Q66" s="174"/>
    </row>
    <row r="67" spans="14:17" ht="13.9" customHeight="1">
      <c r="N67" s="174"/>
      <c r="O67" s="174"/>
      <c r="P67" s="181"/>
      <c r="Q67" s="174"/>
    </row>
    <row r="68" spans="14:17" ht="13.9" customHeight="1">
      <c r="N68" s="174"/>
      <c r="O68" s="174"/>
      <c r="P68" s="181"/>
      <c r="Q68" s="174"/>
    </row>
    <row r="69" spans="14:17" ht="13.9" customHeight="1">
      <c r="N69" s="174"/>
      <c r="O69" s="174"/>
      <c r="P69" s="181"/>
      <c r="Q69" s="174"/>
    </row>
    <row r="70" spans="14:17" ht="13.9" customHeight="1">
      <c r="N70" s="174"/>
      <c r="O70" s="174"/>
      <c r="P70" s="181"/>
      <c r="Q70" s="174"/>
    </row>
    <row r="71" spans="14:17" ht="13.9" customHeight="1">
      <c r="N71" s="174"/>
      <c r="O71" s="174"/>
      <c r="P71" s="181"/>
      <c r="Q71" s="174"/>
    </row>
    <row r="72" spans="14:17" ht="13.9" customHeight="1">
      <c r="N72" s="174"/>
      <c r="O72" s="174"/>
      <c r="P72" s="181"/>
      <c r="Q72" s="174"/>
    </row>
    <row r="73" spans="14:17" ht="13.9" customHeight="1">
      <c r="N73" s="174"/>
      <c r="O73" s="174"/>
      <c r="P73" s="181"/>
      <c r="Q73" s="174"/>
    </row>
    <row r="74" spans="14:17" ht="13.9" customHeight="1">
      <c r="N74" s="174"/>
      <c r="O74" s="174"/>
      <c r="P74" s="181"/>
      <c r="Q74" s="174"/>
    </row>
    <row r="75" spans="14:17" ht="13.9" customHeight="1">
      <c r="N75" s="174"/>
      <c r="O75" s="174"/>
      <c r="P75" s="181"/>
      <c r="Q75" s="174"/>
    </row>
    <row r="76" spans="14:17" ht="13.9" customHeight="1">
      <c r="N76" s="174"/>
      <c r="O76" s="174"/>
      <c r="P76" s="181"/>
      <c r="Q76" s="174"/>
    </row>
    <row r="77" spans="14:17" ht="13.9" customHeight="1">
      <c r="N77" s="174"/>
      <c r="O77" s="174"/>
      <c r="P77" s="181"/>
      <c r="Q77" s="174"/>
    </row>
    <row r="78" spans="14:17" ht="13.9" customHeight="1">
      <c r="N78" s="174"/>
      <c r="O78" s="174"/>
      <c r="P78" s="181"/>
      <c r="Q78" s="174"/>
    </row>
    <row r="79" spans="14:17" ht="13.9" customHeight="1">
      <c r="N79" s="174"/>
      <c r="O79" s="174"/>
      <c r="P79" s="181"/>
      <c r="Q79" s="174"/>
    </row>
    <row r="80" spans="14:17" ht="13.9" customHeight="1">
      <c r="N80" s="174"/>
      <c r="O80" s="174"/>
      <c r="P80" s="181"/>
      <c r="Q80" s="174"/>
    </row>
    <row r="81" spans="14:17" ht="13.9" customHeight="1">
      <c r="N81" s="174"/>
      <c r="O81" s="174"/>
      <c r="P81" s="181"/>
      <c r="Q81" s="174"/>
    </row>
    <row r="82" spans="14:17" ht="13.9" customHeight="1">
      <c r="N82" s="174"/>
      <c r="O82" s="174"/>
      <c r="P82" s="181"/>
      <c r="Q82" s="174"/>
    </row>
    <row r="83" spans="14:17" ht="13.9" customHeight="1">
      <c r="N83" s="174"/>
      <c r="O83" s="174"/>
      <c r="P83" s="181"/>
      <c r="Q83" s="174"/>
    </row>
    <row r="84" spans="14:17" ht="13.9" customHeight="1">
      <c r="N84" s="174"/>
      <c r="O84" s="174"/>
      <c r="P84" s="181"/>
      <c r="Q84" s="174"/>
    </row>
    <row r="85" spans="14:17" ht="13.9" customHeight="1">
      <c r="N85" s="174"/>
      <c r="O85" s="174"/>
      <c r="P85" s="181"/>
      <c r="Q85" s="174"/>
    </row>
    <row r="86" spans="14:17" ht="13.9" customHeight="1">
      <c r="N86" s="174"/>
      <c r="O86" s="174"/>
      <c r="P86" s="181"/>
      <c r="Q86" s="174"/>
    </row>
    <row r="87" spans="14:17" ht="13.9" customHeight="1">
      <c r="N87" s="174"/>
      <c r="O87" s="174"/>
      <c r="P87" s="181"/>
      <c r="Q87" s="174"/>
    </row>
    <row r="88" spans="14:17" ht="13.9" customHeight="1">
      <c r="N88" s="174"/>
      <c r="O88" s="174"/>
      <c r="P88" s="181"/>
      <c r="Q88" s="174"/>
    </row>
    <row r="89" spans="14:17" ht="13.9" customHeight="1">
      <c r="N89" s="174"/>
      <c r="O89" s="174"/>
      <c r="P89" s="181"/>
      <c r="Q89" s="174"/>
    </row>
    <row r="90" spans="14:17" ht="13.9" customHeight="1">
      <c r="N90" s="174"/>
      <c r="O90" s="174"/>
      <c r="P90" s="181"/>
      <c r="Q90" s="174"/>
    </row>
    <row r="91" spans="14:17" ht="13.9" customHeight="1">
      <c r="N91" s="174"/>
      <c r="O91" s="174"/>
      <c r="P91" s="181"/>
      <c r="Q91" s="174"/>
    </row>
    <row r="92" spans="14:17" ht="13.9" customHeight="1">
      <c r="N92" s="174"/>
      <c r="O92" s="174"/>
      <c r="P92" s="181"/>
      <c r="Q92" s="174"/>
    </row>
    <row r="93" spans="14:17" ht="13.9" customHeight="1">
      <c r="N93" s="174"/>
      <c r="O93" s="174"/>
      <c r="P93" s="181"/>
      <c r="Q93" s="174"/>
    </row>
    <row r="94" spans="14:17" ht="13.9" customHeight="1">
      <c r="N94" s="174"/>
      <c r="O94" s="174"/>
      <c r="P94" s="181"/>
      <c r="Q94" s="174"/>
    </row>
    <row r="95" spans="14:17" ht="13.9" customHeight="1">
      <c r="N95" s="174"/>
      <c r="O95" s="174"/>
      <c r="P95" s="181"/>
      <c r="Q95" s="174"/>
    </row>
    <row r="96" spans="14:17" ht="13.9" customHeight="1">
      <c r="N96" s="174"/>
      <c r="O96" s="174"/>
      <c r="P96" s="181"/>
      <c r="Q96" s="174"/>
    </row>
    <row r="97" spans="14:17" ht="13.9" customHeight="1">
      <c r="N97" s="174"/>
      <c r="O97" s="174"/>
      <c r="P97" s="181"/>
      <c r="Q97" s="174"/>
    </row>
    <row r="98" spans="14:17" ht="13.9" customHeight="1">
      <c r="N98" s="174"/>
      <c r="O98" s="174"/>
      <c r="P98" s="181"/>
      <c r="Q98" s="174"/>
    </row>
    <row r="99" spans="14:17" ht="13.9" customHeight="1">
      <c r="N99" s="174"/>
      <c r="O99" s="174"/>
      <c r="P99" s="181"/>
      <c r="Q99" s="174"/>
    </row>
    <row r="100" spans="14:17" ht="13.9" customHeight="1">
      <c r="N100" s="174"/>
      <c r="O100" s="174"/>
      <c r="P100" s="181"/>
      <c r="Q100" s="174"/>
    </row>
    <row r="101" spans="14:17" ht="13.9" customHeight="1">
      <c r="N101" s="174"/>
      <c r="O101" s="174"/>
      <c r="P101" s="181"/>
      <c r="Q101" s="174"/>
    </row>
    <row r="102" spans="14:17" ht="13.9" customHeight="1">
      <c r="N102" s="174"/>
      <c r="O102" s="174"/>
      <c r="P102" s="181"/>
      <c r="Q102" s="174"/>
    </row>
    <row r="103" spans="14:17" ht="13.9" customHeight="1">
      <c r="N103" s="174"/>
      <c r="O103" s="174"/>
      <c r="P103" s="181"/>
      <c r="Q103" s="174"/>
    </row>
    <row r="104" spans="14:17" ht="13.9" customHeight="1">
      <c r="N104" s="174"/>
      <c r="O104" s="174"/>
      <c r="P104" s="181"/>
      <c r="Q104" s="174"/>
    </row>
    <row r="105" spans="14:17" ht="13.9" customHeight="1">
      <c r="N105" s="174"/>
      <c r="O105" s="174"/>
      <c r="P105" s="181"/>
      <c r="Q105" s="174"/>
    </row>
    <row r="106" spans="14:17" ht="13.9" customHeight="1">
      <c r="N106" s="174"/>
      <c r="O106" s="174"/>
      <c r="P106" s="181"/>
      <c r="Q106" s="174"/>
    </row>
    <row r="107" spans="14:17" ht="13.9" customHeight="1">
      <c r="N107" s="174"/>
      <c r="O107" s="174"/>
      <c r="P107" s="181"/>
      <c r="Q107" s="174"/>
    </row>
    <row r="108" spans="14:17" ht="13.9" customHeight="1">
      <c r="N108" s="174"/>
      <c r="O108" s="174"/>
      <c r="P108" s="181"/>
      <c r="Q108" s="174"/>
    </row>
    <row r="109" spans="14:17" ht="13.9" customHeight="1">
      <c r="N109" s="174"/>
      <c r="O109" s="174"/>
      <c r="P109" s="181"/>
      <c r="Q109" s="174"/>
    </row>
    <row r="110" spans="14:17" ht="13.9" customHeight="1">
      <c r="N110" s="174"/>
      <c r="O110" s="174"/>
      <c r="P110" s="181"/>
      <c r="Q110" s="174"/>
    </row>
    <row r="111" spans="14:17" ht="13.9" customHeight="1">
      <c r="N111" s="174"/>
      <c r="O111" s="174"/>
      <c r="P111" s="181"/>
      <c r="Q111" s="174"/>
    </row>
    <row r="112" spans="14:17" ht="13.9" customHeight="1">
      <c r="N112" s="174"/>
      <c r="O112" s="174"/>
      <c r="P112" s="181"/>
      <c r="Q112" s="174"/>
    </row>
    <row r="113" spans="14:17" ht="13.9" customHeight="1">
      <c r="N113" s="174"/>
      <c r="O113" s="174"/>
      <c r="P113" s="181"/>
      <c r="Q113" s="174"/>
    </row>
    <row r="114" spans="14:17" ht="13.9" customHeight="1">
      <c r="N114" s="174"/>
      <c r="O114" s="174"/>
      <c r="P114" s="181"/>
      <c r="Q114" s="174"/>
    </row>
    <row r="115" spans="14:17" ht="13.9" customHeight="1">
      <c r="N115" s="174"/>
      <c r="O115" s="174"/>
      <c r="P115" s="181"/>
      <c r="Q115" s="174"/>
    </row>
    <row r="116" spans="14:17" ht="13.9" customHeight="1">
      <c r="N116" s="174"/>
      <c r="O116" s="174"/>
      <c r="P116" s="181"/>
      <c r="Q116" s="174"/>
    </row>
    <row r="117" spans="14:17" ht="13.9" customHeight="1">
      <c r="N117" s="174"/>
      <c r="O117" s="174"/>
      <c r="P117" s="181"/>
      <c r="Q117" s="174"/>
    </row>
    <row r="118" spans="14:17" ht="13.9" customHeight="1">
      <c r="N118" s="174"/>
      <c r="O118" s="174"/>
      <c r="P118" s="181"/>
      <c r="Q118" s="174"/>
    </row>
    <row r="119" spans="14:17" ht="13.9" customHeight="1">
      <c r="N119" s="174"/>
      <c r="O119" s="174"/>
      <c r="P119" s="181"/>
      <c r="Q119" s="174"/>
    </row>
    <row r="120" spans="14:17" ht="13.9" customHeight="1">
      <c r="N120" s="174"/>
      <c r="O120" s="174"/>
      <c r="P120" s="181"/>
      <c r="Q120" s="174"/>
    </row>
    <row r="121" spans="14:17" ht="13.9" customHeight="1">
      <c r="N121" s="174"/>
      <c r="O121" s="174"/>
      <c r="P121" s="181"/>
      <c r="Q121" s="174"/>
    </row>
    <row r="122" spans="14:17" ht="13.9" customHeight="1">
      <c r="N122" s="174"/>
      <c r="O122" s="174"/>
      <c r="P122" s="181"/>
      <c r="Q122" s="174"/>
    </row>
    <row r="123" spans="14:17" ht="13.9" customHeight="1">
      <c r="N123" s="174"/>
      <c r="O123" s="174"/>
      <c r="P123" s="181"/>
      <c r="Q123" s="174"/>
    </row>
    <row r="124" spans="14:17" ht="13.9" customHeight="1">
      <c r="N124" s="174"/>
      <c r="O124" s="174"/>
      <c r="P124" s="181"/>
      <c r="Q124" s="174"/>
    </row>
    <row r="125" spans="14:17" ht="13.9" customHeight="1">
      <c r="N125" s="174"/>
      <c r="O125" s="174"/>
      <c r="P125" s="181"/>
      <c r="Q125" s="174"/>
    </row>
    <row r="126" spans="14:17" ht="13.9" customHeight="1">
      <c r="N126" s="174"/>
      <c r="O126" s="174"/>
      <c r="P126" s="181"/>
      <c r="Q126" s="174"/>
    </row>
    <row r="127" spans="14:17" ht="13.9" customHeight="1">
      <c r="N127" s="174"/>
      <c r="O127" s="174"/>
      <c r="P127" s="181"/>
      <c r="Q127" s="174"/>
    </row>
    <row r="128" spans="14:17" ht="13.9" customHeight="1">
      <c r="N128" s="174"/>
      <c r="O128" s="174"/>
      <c r="P128" s="181"/>
      <c r="Q128" s="174"/>
    </row>
    <row r="129" spans="14:17" ht="13.9" customHeight="1">
      <c r="N129" s="174"/>
      <c r="O129" s="174"/>
      <c r="P129" s="181"/>
      <c r="Q129" s="174"/>
    </row>
    <row r="130" spans="14:17" ht="13.9" customHeight="1">
      <c r="N130" s="174"/>
      <c r="O130" s="174"/>
      <c r="P130" s="181"/>
      <c r="Q130" s="174"/>
    </row>
    <row r="131" spans="14:17" ht="13.9" customHeight="1">
      <c r="N131" s="174"/>
      <c r="O131" s="174"/>
      <c r="P131" s="181"/>
      <c r="Q131" s="174"/>
    </row>
    <row r="132" spans="14:17" ht="13.9" customHeight="1">
      <c r="N132" s="174"/>
      <c r="O132" s="174"/>
      <c r="P132" s="181"/>
      <c r="Q132" s="174"/>
    </row>
    <row r="133" spans="14:17" ht="13.9" customHeight="1">
      <c r="N133" s="174"/>
      <c r="O133" s="174"/>
      <c r="P133" s="181"/>
      <c r="Q133" s="174"/>
    </row>
    <row r="134" spans="14:17" ht="13.9" customHeight="1">
      <c r="N134" s="174"/>
      <c r="O134" s="174"/>
      <c r="P134" s="181"/>
      <c r="Q134" s="174"/>
    </row>
    <row r="135" spans="14:17" ht="13.9" customHeight="1">
      <c r="N135" s="174"/>
      <c r="O135" s="174"/>
      <c r="P135" s="181"/>
      <c r="Q135" s="174"/>
    </row>
    <row r="136" spans="14:17" ht="13.9" customHeight="1">
      <c r="N136" s="174"/>
      <c r="O136" s="174"/>
      <c r="P136" s="181"/>
      <c r="Q136" s="174"/>
    </row>
    <row r="137" spans="14:17" ht="13.9" customHeight="1">
      <c r="N137" s="174"/>
      <c r="O137" s="174"/>
      <c r="P137" s="181"/>
      <c r="Q137" s="174"/>
    </row>
    <row r="138" spans="14:17" ht="13.9" customHeight="1">
      <c r="N138" s="174"/>
      <c r="O138" s="174"/>
      <c r="P138" s="181"/>
      <c r="Q138" s="174"/>
    </row>
    <row r="139" spans="14:17" ht="13.9" customHeight="1">
      <c r="N139" s="174"/>
      <c r="O139" s="174"/>
      <c r="P139" s="181"/>
      <c r="Q139" s="174"/>
    </row>
    <row r="140" spans="14:17" ht="13.9" customHeight="1">
      <c r="N140" s="174"/>
      <c r="O140" s="174"/>
      <c r="P140" s="181"/>
      <c r="Q140" s="174"/>
    </row>
    <row r="141" spans="14:17" ht="13.9" customHeight="1">
      <c r="N141" s="174"/>
      <c r="O141" s="174"/>
      <c r="P141" s="181"/>
      <c r="Q141" s="174"/>
    </row>
    <row r="142" spans="14:17" ht="13.9" customHeight="1">
      <c r="N142" s="174"/>
      <c r="O142" s="174"/>
      <c r="P142" s="181"/>
      <c r="Q142" s="174"/>
    </row>
    <row r="143" spans="14:17" ht="13.9" customHeight="1">
      <c r="N143" s="174"/>
      <c r="O143" s="174"/>
      <c r="P143" s="181"/>
      <c r="Q143" s="174"/>
    </row>
    <row r="144" spans="14:17" ht="13.9" customHeight="1">
      <c r="N144" s="174"/>
      <c r="O144" s="174"/>
      <c r="P144" s="181"/>
      <c r="Q144" s="174"/>
    </row>
    <row r="145" spans="14:17" ht="13.9" customHeight="1">
      <c r="N145" s="174"/>
      <c r="O145" s="174"/>
      <c r="P145" s="181"/>
      <c r="Q145" s="174"/>
    </row>
    <row r="146" spans="14:17" ht="13.9" customHeight="1">
      <c r="N146" s="174"/>
      <c r="O146" s="174"/>
      <c r="P146" s="181"/>
      <c r="Q146" s="174"/>
    </row>
    <row r="147" spans="14:17" ht="13.9" customHeight="1">
      <c r="N147" s="174"/>
      <c r="O147" s="174"/>
      <c r="P147" s="181"/>
      <c r="Q147" s="174"/>
    </row>
    <row r="148" spans="14:17" ht="13.9" customHeight="1">
      <c r="N148" s="174"/>
      <c r="O148" s="174"/>
      <c r="P148" s="181"/>
      <c r="Q148" s="174"/>
    </row>
    <row r="149" spans="14:17" ht="13.9" customHeight="1">
      <c r="N149" s="174"/>
      <c r="O149" s="174"/>
      <c r="P149" s="181"/>
      <c r="Q149" s="174"/>
    </row>
    <row r="150" spans="14:17" ht="13.9" customHeight="1">
      <c r="N150" s="174"/>
      <c r="O150" s="174"/>
      <c r="P150" s="181"/>
      <c r="Q150" s="174"/>
    </row>
    <row r="151" spans="14:17" ht="13.9" customHeight="1">
      <c r="N151" s="174"/>
      <c r="O151" s="174"/>
      <c r="P151" s="181"/>
      <c r="Q151" s="174"/>
    </row>
    <row r="152" spans="14:17" ht="13.9" customHeight="1">
      <c r="N152" s="174"/>
      <c r="O152" s="174"/>
      <c r="P152" s="181"/>
      <c r="Q152" s="174"/>
    </row>
    <row r="153" spans="14:17" ht="13.9" customHeight="1">
      <c r="N153" s="174"/>
      <c r="O153" s="174"/>
      <c r="P153" s="181"/>
      <c r="Q153" s="174"/>
    </row>
    <row r="154" spans="14:17" ht="13.9" customHeight="1">
      <c r="N154" s="174"/>
      <c r="O154" s="174"/>
      <c r="P154" s="181"/>
      <c r="Q154" s="174"/>
    </row>
    <row r="155" spans="14:17" ht="13.9" customHeight="1">
      <c r="N155" s="174"/>
      <c r="O155" s="174"/>
      <c r="P155" s="181"/>
      <c r="Q155" s="174"/>
    </row>
    <row r="156" spans="14:17" ht="13.9" customHeight="1">
      <c r="N156" s="174"/>
      <c r="O156" s="174"/>
      <c r="P156" s="181"/>
      <c r="Q156" s="174"/>
    </row>
    <row r="157" spans="14:17" ht="13.9" customHeight="1">
      <c r="N157" s="174"/>
      <c r="O157" s="174"/>
      <c r="P157" s="181"/>
      <c r="Q157" s="174"/>
    </row>
    <row r="158" spans="14:17" ht="13.9" customHeight="1">
      <c r="N158" s="174"/>
      <c r="O158" s="174"/>
      <c r="P158" s="181"/>
      <c r="Q158" s="174"/>
    </row>
    <row r="159" spans="14:17" ht="13.9" customHeight="1">
      <c r="N159" s="174"/>
      <c r="O159" s="174"/>
      <c r="P159" s="181"/>
      <c r="Q159" s="174"/>
    </row>
    <row r="160" spans="14:17" ht="13.9" customHeight="1">
      <c r="N160" s="174"/>
      <c r="O160" s="174"/>
      <c r="P160" s="181"/>
      <c r="Q160" s="174"/>
    </row>
    <row r="161" spans="14:17" ht="13.9" customHeight="1">
      <c r="N161" s="174"/>
      <c r="O161" s="174"/>
      <c r="P161" s="181"/>
      <c r="Q161" s="174"/>
    </row>
    <row r="162" spans="14:17" ht="13.9" customHeight="1">
      <c r="N162" s="174"/>
      <c r="O162" s="174"/>
      <c r="P162" s="181"/>
      <c r="Q162" s="174"/>
    </row>
    <row r="163" spans="14:17" ht="13.9" customHeight="1">
      <c r="N163" s="174"/>
      <c r="O163" s="174"/>
      <c r="P163" s="181"/>
      <c r="Q163" s="174"/>
    </row>
    <row r="164" spans="14:17" ht="13.9" customHeight="1">
      <c r="N164" s="174"/>
      <c r="O164" s="174"/>
      <c r="P164" s="181"/>
      <c r="Q164" s="174"/>
    </row>
    <row r="165" spans="14:17" ht="13.9" customHeight="1">
      <c r="N165" s="174"/>
      <c r="O165" s="174"/>
      <c r="P165" s="181"/>
      <c r="Q165" s="174"/>
    </row>
    <row r="166" spans="14:17" ht="13.9" customHeight="1">
      <c r="N166" s="174"/>
      <c r="O166" s="174"/>
      <c r="P166" s="181"/>
      <c r="Q166" s="174"/>
    </row>
    <row r="167" spans="14:17" ht="13.9" customHeight="1">
      <c r="N167" s="174"/>
      <c r="O167" s="174"/>
      <c r="P167" s="181"/>
      <c r="Q167" s="174"/>
    </row>
    <row r="168" spans="14:17" ht="13.9" customHeight="1">
      <c r="N168" s="174"/>
      <c r="O168" s="174"/>
      <c r="P168" s="181"/>
      <c r="Q168" s="174"/>
    </row>
    <row r="169" spans="14:17" ht="13.9" customHeight="1">
      <c r="N169" s="174"/>
      <c r="O169" s="174"/>
      <c r="P169" s="181"/>
      <c r="Q169" s="174"/>
    </row>
    <row r="170" spans="14:17" ht="13.9" customHeight="1">
      <c r="N170" s="174"/>
      <c r="O170" s="174"/>
      <c r="P170" s="181"/>
      <c r="Q170" s="174"/>
    </row>
    <row r="171" spans="14:17" ht="13.9" customHeight="1">
      <c r="N171" s="174"/>
      <c r="O171" s="174"/>
      <c r="P171" s="181"/>
      <c r="Q171" s="174"/>
    </row>
    <row r="172" spans="14:17" ht="13.9" customHeight="1">
      <c r="N172" s="174"/>
      <c r="O172" s="174"/>
      <c r="P172" s="181"/>
      <c r="Q172" s="174"/>
    </row>
    <row r="173" spans="14:17" ht="13.9" customHeight="1">
      <c r="N173" s="174"/>
      <c r="O173" s="174"/>
      <c r="P173" s="181"/>
      <c r="Q173" s="174"/>
    </row>
    <row r="174" spans="14:17" ht="13.9" customHeight="1">
      <c r="N174" s="174"/>
      <c r="O174" s="174"/>
      <c r="P174" s="181"/>
      <c r="Q174" s="174"/>
    </row>
    <row r="175" spans="14:17" ht="13.9" customHeight="1">
      <c r="N175" s="174"/>
      <c r="O175" s="174"/>
      <c r="P175" s="181"/>
      <c r="Q175" s="174"/>
    </row>
    <row r="176" spans="14:17" ht="13.9" customHeight="1">
      <c r="N176" s="174"/>
      <c r="O176" s="174"/>
      <c r="P176" s="181"/>
      <c r="Q176" s="174"/>
    </row>
    <row r="177" spans="14:17" ht="13.9" customHeight="1">
      <c r="N177" s="174"/>
      <c r="O177" s="174"/>
      <c r="P177" s="181"/>
      <c r="Q177" s="174"/>
    </row>
    <row r="178" spans="14:17" ht="13.9" customHeight="1">
      <c r="N178" s="174"/>
      <c r="O178" s="174"/>
      <c r="P178" s="181"/>
      <c r="Q178" s="174"/>
    </row>
    <row r="179" spans="14:17" ht="13.9" customHeight="1">
      <c r="N179" s="174"/>
      <c r="O179" s="174"/>
      <c r="P179" s="181"/>
      <c r="Q179" s="174"/>
    </row>
    <row r="180" spans="14:17" ht="13.9" customHeight="1">
      <c r="N180" s="174"/>
      <c r="O180" s="174"/>
      <c r="P180" s="181"/>
      <c r="Q180" s="174"/>
    </row>
    <row r="181" spans="14:17" ht="13.9" customHeight="1">
      <c r="N181" s="174"/>
      <c r="O181" s="174"/>
      <c r="P181" s="181"/>
      <c r="Q181" s="174"/>
    </row>
    <row r="182" spans="14:17" ht="13.9" customHeight="1">
      <c r="N182" s="174"/>
      <c r="O182" s="174"/>
      <c r="P182" s="181"/>
      <c r="Q182" s="174"/>
    </row>
    <row r="183" spans="14:17" ht="13.9" customHeight="1">
      <c r="N183" s="174"/>
      <c r="O183" s="174"/>
      <c r="P183" s="181"/>
      <c r="Q183" s="174"/>
    </row>
    <row r="184" spans="14:17" ht="13.9" customHeight="1">
      <c r="N184" s="174"/>
      <c r="O184" s="174"/>
      <c r="P184" s="181"/>
      <c r="Q184" s="174"/>
    </row>
  </sheetData>
  <mergeCells count="2">
    <mergeCell ref="G1:K1"/>
    <mergeCell ref="L1:M1"/>
  </mergeCells>
  <phoneticPr fontId="2" type="noConversion"/>
  <conditionalFormatting sqref="H24">
    <cfRule type="cellIs" dxfId="2" priority="7" operator="greaterThan">
      <formula>38*0.8</formula>
    </cfRule>
  </conditionalFormatting>
  <conditionalFormatting sqref="H25:H27 H29">
    <cfRule type="cellIs" dxfId="1" priority="4" operator="greaterThan">
      <formula>38*0.8</formula>
    </cfRule>
  </conditionalFormatting>
  <conditionalFormatting sqref="H30 H33">
    <cfRule type="cellIs" dxfId="0" priority="3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4"/>
  <sheetViews>
    <sheetView tabSelected="1" zoomScaleNormal="100" workbookViewId="0">
      <pane xSplit="4" ySplit="2" topLeftCell="E3" activePane="bottomRight" state="frozen"/>
      <selection pane="bottomRight" activeCell="A12" sqref="A12"/>
      <selection pane="bottomLeft" activeCell="O24" sqref="O24"/>
      <selection pane="topRight" activeCell="O24" sqref="O24"/>
    </sheetView>
  </sheetViews>
  <sheetFormatPr defaultColWidth="9.140625" defaultRowHeight="14.45" customHeight="1"/>
  <cols>
    <col min="1" max="1" width="9.28515625" style="104" customWidth="1"/>
    <col min="2" max="2" width="12.85546875" style="106" customWidth="1"/>
    <col min="3" max="3" width="27.5703125" style="106" customWidth="1"/>
    <col min="4" max="4" width="5.85546875" style="106" customWidth="1"/>
    <col min="5" max="5" width="6.140625" style="107" customWidth="1"/>
    <col min="6" max="6" width="5.42578125" style="108" customWidth="1"/>
    <col min="7" max="7" width="6.28515625" style="108" customWidth="1"/>
    <col min="8" max="8" width="6.42578125" style="108" customWidth="1"/>
    <col min="9" max="9" width="5.7109375" style="108" bestFit="1" customWidth="1"/>
    <col min="10" max="10" width="7.140625" style="108" customWidth="1"/>
    <col min="11" max="12" width="9.28515625" style="109" customWidth="1"/>
    <col min="13" max="13" width="10" style="109" customWidth="1"/>
    <col min="14" max="14" width="7.42578125" style="107" customWidth="1"/>
    <col min="15" max="15" width="9" style="110" customWidth="1"/>
    <col min="16" max="16" width="9.7109375" style="104" customWidth="1"/>
    <col min="17" max="17" width="9.140625" style="104"/>
    <col min="18" max="18" width="56.140625" style="104" customWidth="1"/>
    <col min="19" max="16384" width="9.140625" style="104"/>
  </cols>
  <sheetData>
    <row r="1" spans="1:18" s="95" customFormat="1" ht="24" customHeight="1">
      <c r="A1" s="232" t="s">
        <v>227</v>
      </c>
      <c r="B1" s="89"/>
      <c r="C1" s="89"/>
      <c r="D1" s="90"/>
      <c r="E1" s="231" t="s">
        <v>228</v>
      </c>
      <c r="F1" s="231"/>
      <c r="G1" s="231"/>
      <c r="H1" s="231" t="s">
        <v>229</v>
      </c>
      <c r="I1" s="231"/>
      <c r="J1" s="231"/>
      <c r="K1" s="91" t="s">
        <v>230</v>
      </c>
      <c r="L1" s="91" t="s">
        <v>231</v>
      </c>
      <c r="M1" s="91" t="s">
        <v>232</v>
      </c>
      <c r="N1" s="92" t="s">
        <v>233</v>
      </c>
      <c r="O1" s="93" t="s">
        <v>151</v>
      </c>
      <c r="P1" s="94" t="s">
        <v>151</v>
      </c>
    </row>
    <row r="2" spans="1:18" s="78" customFormat="1" ht="19.899999999999999" customHeight="1" thickBot="1">
      <c r="A2" s="232"/>
      <c r="B2" s="96" t="s">
        <v>1</v>
      </c>
      <c r="C2" s="96" t="s">
        <v>2</v>
      </c>
      <c r="D2" s="97" t="s">
        <v>3</v>
      </c>
      <c r="E2" s="98" t="s">
        <v>91</v>
      </c>
      <c r="F2" s="96" t="s">
        <v>234</v>
      </c>
      <c r="G2" s="99" t="s">
        <v>152</v>
      </c>
      <c r="H2" s="98" t="s">
        <v>91</v>
      </c>
      <c r="I2" s="96" t="s">
        <v>234</v>
      </c>
      <c r="J2" s="99" t="s">
        <v>152</v>
      </c>
      <c r="K2" s="100" t="s">
        <v>91</v>
      </c>
      <c r="L2" s="100" t="s">
        <v>91</v>
      </c>
      <c r="M2" s="100" t="s">
        <v>151</v>
      </c>
      <c r="N2" s="101" t="s">
        <v>235</v>
      </c>
      <c r="O2" s="102" t="s">
        <v>236</v>
      </c>
      <c r="P2" s="103" t="s">
        <v>235</v>
      </c>
      <c r="R2" s="224"/>
    </row>
    <row r="3" spans="1:18" ht="14.45" customHeight="1">
      <c r="A3" s="143">
        <v>45035</v>
      </c>
      <c r="B3" s="47" t="str">
        <f>Rollover!A3</f>
        <v>Acura</v>
      </c>
      <c r="C3" s="47" t="str">
        <f>Rollover!B3</f>
        <v>Integra 5 HB FWD</v>
      </c>
      <c r="D3" s="9">
        <f>Rollover!C3</f>
        <v>2023</v>
      </c>
      <c r="E3" s="21">
        <f>Front!AW3</f>
        <v>5</v>
      </c>
      <c r="F3" s="47">
        <f>Front!AX3</f>
        <v>5</v>
      </c>
      <c r="G3" s="47">
        <f>Front!AY3</f>
        <v>5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83">
        <f>'Side Pole'!P3</f>
        <v>5</v>
      </c>
      <c r="L3" s="83">
        <f>'Side Pole'!S3</f>
        <v>5</v>
      </c>
      <c r="M3" s="83">
        <f>'Side Pole'!V3</f>
        <v>5</v>
      </c>
      <c r="N3" s="84">
        <f>Rollover!J3</f>
        <v>5</v>
      </c>
      <c r="O3" s="85">
        <f>ROUND(5/12*Front!AV3+4/12*'Side Pole'!U3+3/12*Rollover!I3,2)</f>
        <v>0.49</v>
      </c>
      <c r="P3" s="86">
        <f t="shared" ref="P3" si="0">IF(O3&lt;0.67,5,IF(O3&lt;1,4,IF(O3&lt;1.33,3,IF(O3&lt;2.67,2,1))))</f>
        <v>5</v>
      </c>
      <c r="R3" s="224"/>
    </row>
    <row r="4" spans="1:18" ht="14.45" customHeight="1">
      <c r="A4" s="143">
        <v>45035</v>
      </c>
      <c r="B4" s="9" t="str">
        <f>Rollover!A4</f>
        <v>Honda</v>
      </c>
      <c r="C4" s="9" t="str">
        <f>Rollover!B4</f>
        <v>Civic Hatchback FWD</v>
      </c>
      <c r="D4" s="9">
        <f>Rollover!C4</f>
        <v>2023</v>
      </c>
      <c r="E4" s="21" t="e">
        <f>Front!AW4</f>
        <v>#NUM!</v>
      </c>
      <c r="F4" s="47" t="e">
        <f>Front!AX4</f>
        <v>#NUM!</v>
      </c>
      <c r="G4" s="47" t="e">
        <f>Front!AY4</f>
        <v>#NUM!</v>
      </c>
      <c r="H4" s="21" t="e">
        <f>'Side MDB'!AC4</f>
        <v>#NUM!</v>
      </c>
      <c r="I4" s="21" t="e">
        <f>'Side MDB'!AD4</f>
        <v>#NUM!</v>
      </c>
      <c r="J4" s="21" t="e">
        <f>'Side MDB'!AE4</f>
        <v>#NUM!</v>
      </c>
      <c r="K4" s="83" t="e">
        <f>'Side Pole'!P4</f>
        <v>#NUM!</v>
      </c>
      <c r="L4" s="83" t="e">
        <f>'Side Pole'!S4</f>
        <v>#NUM!</v>
      </c>
      <c r="M4" s="83" t="e">
        <f>'Side Pole'!V4</f>
        <v>#NUM!</v>
      </c>
      <c r="N4" s="84">
        <f>Rollover!J4</f>
        <v>5</v>
      </c>
      <c r="O4" s="85" t="e">
        <f>ROUND(5/12*Front!AV4+4/12*'Side Pole'!U4+3/12*Rollover!I4,2)</f>
        <v>#NUM!</v>
      </c>
      <c r="P4" s="86" t="e">
        <f t="shared" ref="P4:P43" si="1">IF(O4&lt;0.67,5,IF(O4&lt;1,4,IF(O4&lt;1.33,3,IF(O4&lt;2.67,2,1))))</f>
        <v>#NUM!</v>
      </c>
      <c r="R4" s="224"/>
    </row>
    <row r="5" spans="1:18" ht="14.45" customHeight="1">
      <c r="A5" s="143">
        <v>45035</v>
      </c>
      <c r="B5" s="9" t="str">
        <f>Rollover!A5</f>
        <v>Honda</v>
      </c>
      <c r="C5" s="9" t="str">
        <f>Rollover!B5</f>
        <v>Civic Hatchback Typer R FWD</v>
      </c>
      <c r="D5" s="9">
        <f>Rollover!C5</f>
        <v>2023</v>
      </c>
      <c r="E5" s="21" t="e">
        <f>Front!AW5</f>
        <v>#NUM!</v>
      </c>
      <c r="F5" s="47" t="e">
        <f>Front!AX5</f>
        <v>#NUM!</v>
      </c>
      <c r="G5" s="47" t="e">
        <f>Front!AY5</f>
        <v>#NUM!</v>
      </c>
      <c r="H5" s="21" t="e">
        <f>'Side MDB'!AC5</f>
        <v>#NUM!</v>
      </c>
      <c r="I5" s="21" t="e">
        <f>'Side MDB'!AD5</f>
        <v>#NUM!</v>
      </c>
      <c r="J5" s="21" t="e">
        <f>'Side MDB'!AE5</f>
        <v>#NUM!</v>
      </c>
      <c r="K5" s="83" t="e">
        <f>'Side Pole'!P5</f>
        <v>#NUM!</v>
      </c>
      <c r="L5" s="83" t="e">
        <f>'Side Pole'!S5</f>
        <v>#NUM!</v>
      </c>
      <c r="M5" s="83" t="e">
        <f>'Side Pole'!V5</f>
        <v>#NUM!</v>
      </c>
      <c r="N5" s="84">
        <f>Rollover!J5</f>
        <v>5</v>
      </c>
      <c r="O5" s="85" t="e">
        <f>ROUND(5/12*Front!AV5+4/12*'Side Pole'!U5+3/12*Rollover!I5,2)</f>
        <v>#NUM!</v>
      </c>
      <c r="P5" s="86" t="e">
        <f t="shared" si="1"/>
        <v>#NUM!</v>
      </c>
      <c r="R5" s="224"/>
    </row>
    <row r="6" spans="1:18" ht="14.45" customHeight="1">
      <c r="A6" s="143">
        <v>45035</v>
      </c>
      <c r="B6" s="9" t="str">
        <f>Rollover!A6</f>
        <v>Honda</v>
      </c>
      <c r="C6" s="9" t="str">
        <f>Rollover!B6</f>
        <v>Civic Sedan FWD</v>
      </c>
      <c r="D6" s="9">
        <f>Rollover!C6</f>
        <v>2023</v>
      </c>
      <c r="E6" s="21" t="e">
        <f>Front!AW6</f>
        <v>#NUM!</v>
      </c>
      <c r="F6" s="47" t="e">
        <f>Front!AX6</f>
        <v>#NUM!</v>
      </c>
      <c r="G6" s="47" t="e">
        <f>Front!AY6</f>
        <v>#NUM!</v>
      </c>
      <c r="H6" s="21" t="e">
        <f>'Side MDB'!AC6</f>
        <v>#NUM!</v>
      </c>
      <c r="I6" s="21" t="e">
        <f>'Side MDB'!AD6</f>
        <v>#NUM!</v>
      </c>
      <c r="J6" s="21" t="e">
        <f>'Side MDB'!AE6</f>
        <v>#NUM!</v>
      </c>
      <c r="K6" s="83" t="e">
        <f>'Side Pole'!P6</f>
        <v>#NUM!</v>
      </c>
      <c r="L6" s="83" t="e">
        <f>'Side Pole'!S6</f>
        <v>#NUM!</v>
      </c>
      <c r="M6" s="83" t="e">
        <f>'Side Pole'!V6</f>
        <v>#NUM!</v>
      </c>
      <c r="N6" s="84">
        <f>Rollover!J6</f>
        <v>5</v>
      </c>
      <c r="O6" s="85" t="e">
        <f>ROUND(5/12*Front!AV6+4/12*'Side Pole'!U6+3/12*Rollover!I6,2)</f>
        <v>#NUM!</v>
      </c>
      <c r="P6" s="86" t="e">
        <f t="shared" si="1"/>
        <v>#NUM!</v>
      </c>
    </row>
    <row r="7" spans="1:18" ht="14.45" customHeight="1">
      <c r="A7" s="143">
        <v>45153</v>
      </c>
      <c r="B7" s="47" t="str">
        <f>Rollover!A7</f>
        <v>Audi</v>
      </c>
      <c r="C7" s="47" t="str">
        <f>Rollover!B7</f>
        <v>Q7 SUV AWD</v>
      </c>
      <c r="D7" s="9">
        <f>Rollover!C7</f>
        <v>2023</v>
      </c>
      <c r="E7" s="21">
        <f>Front!AW7</f>
        <v>4</v>
      </c>
      <c r="F7" s="47">
        <f>Front!AX7</f>
        <v>5</v>
      </c>
      <c r="G7" s="47">
        <f>Front!AY7</f>
        <v>4</v>
      </c>
      <c r="H7" s="21">
        <f>'Side MDB'!AC7</f>
        <v>5</v>
      </c>
      <c r="I7" s="21">
        <f>'Side MDB'!AD7</f>
        <v>5</v>
      </c>
      <c r="J7" s="21">
        <f>'Side MDB'!AE7</f>
        <v>5</v>
      </c>
      <c r="K7" s="83">
        <f>'Side Pole'!P7</f>
        <v>5</v>
      </c>
      <c r="L7" s="83">
        <f>'Side Pole'!S7</f>
        <v>5</v>
      </c>
      <c r="M7" s="83">
        <f>'Side Pole'!V7</f>
        <v>5</v>
      </c>
      <c r="N7" s="84">
        <f>Rollover!J7</f>
        <v>4</v>
      </c>
      <c r="O7" s="85">
        <f>ROUND(5/12*Front!AV7+4/12*'Side Pole'!U7+3/12*Rollover!I7,2)</f>
        <v>0.61</v>
      </c>
      <c r="P7" s="86">
        <f t="shared" si="1"/>
        <v>5</v>
      </c>
    </row>
    <row r="8" spans="1:18" ht="15" customHeight="1">
      <c r="A8" s="143">
        <v>45153</v>
      </c>
      <c r="B8" s="9" t="str">
        <f>Rollover!A8</f>
        <v>Audi</v>
      </c>
      <c r="C8" s="9" t="str">
        <f>Rollover!B8</f>
        <v>SQ7 SUV AWD</v>
      </c>
      <c r="D8" s="9">
        <f>Rollover!C8</f>
        <v>2023</v>
      </c>
      <c r="E8" s="21" t="e">
        <f>Front!AW8</f>
        <v>#NUM!</v>
      </c>
      <c r="F8" s="47" t="e">
        <f>Front!AX8</f>
        <v>#NUM!</v>
      </c>
      <c r="G8" s="47" t="e">
        <f>Front!AY8</f>
        <v>#NUM!</v>
      </c>
      <c r="H8" s="21" t="e">
        <f>'Side MDB'!AC8</f>
        <v>#NUM!</v>
      </c>
      <c r="I8" s="21" t="e">
        <f>'Side MDB'!AD8</f>
        <v>#NUM!</v>
      </c>
      <c r="J8" s="21" t="e">
        <f>'Side MDB'!AE8</f>
        <v>#NUM!</v>
      </c>
      <c r="K8" s="83" t="e">
        <f>'Side Pole'!P8</f>
        <v>#NUM!</v>
      </c>
      <c r="L8" s="83" t="e">
        <f>'Side Pole'!S8</f>
        <v>#NUM!</v>
      </c>
      <c r="M8" s="83" t="e">
        <f>'Side Pole'!V8</f>
        <v>#NUM!</v>
      </c>
      <c r="N8" s="84">
        <f>Rollover!J8</f>
        <v>4</v>
      </c>
      <c r="O8" s="85" t="e">
        <f>ROUND(5/12*Front!AV8+4/12*'Side Pole'!U8+3/12*Rollover!I8,2)</f>
        <v>#NUM!</v>
      </c>
      <c r="P8" s="86" t="e">
        <f t="shared" si="1"/>
        <v>#NUM!</v>
      </c>
    </row>
    <row r="9" spans="1:18" ht="14.45" customHeight="1">
      <c r="A9" s="143">
        <v>45141</v>
      </c>
      <c r="B9" s="47" t="str">
        <f>Rollover!A9</f>
        <v>Audi</v>
      </c>
      <c r="C9" s="47" t="str">
        <f>Rollover!B9</f>
        <v>Q8 AWD</v>
      </c>
      <c r="D9" s="9">
        <f>Rollover!C9</f>
        <v>2023</v>
      </c>
      <c r="E9" s="21">
        <f>Front!AW9</f>
        <v>4</v>
      </c>
      <c r="F9" s="47">
        <f>Front!AX9</f>
        <v>5</v>
      </c>
      <c r="G9" s="47">
        <f>Front!AY9</f>
        <v>5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83">
        <f>'Side Pole'!P9</f>
        <v>5</v>
      </c>
      <c r="L9" s="83">
        <f>'Side Pole'!S9</f>
        <v>5</v>
      </c>
      <c r="M9" s="83">
        <f>'Side Pole'!V9</f>
        <v>5</v>
      </c>
      <c r="N9" s="84">
        <f>Rollover!J9</f>
        <v>4</v>
      </c>
      <c r="O9" s="85">
        <f>ROUND(5/12*Front!AV9+4/12*'Side Pole'!U9+3/12*Rollover!I9,2)</f>
        <v>0.56999999999999995</v>
      </c>
      <c r="P9" s="86">
        <f t="shared" si="1"/>
        <v>5</v>
      </c>
    </row>
    <row r="10" spans="1:18" ht="14.45" customHeight="1">
      <c r="A10" s="143">
        <v>45141</v>
      </c>
      <c r="B10" s="9" t="str">
        <f>Rollover!A10</f>
        <v>Audi</v>
      </c>
      <c r="C10" s="9" t="str">
        <f>Rollover!B10</f>
        <v>SQ8 AWD</v>
      </c>
      <c r="D10" s="9">
        <f>Rollover!C10</f>
        <v>2023</v>
      </c>
      <c r="E10" s="21" t="e">
        <f>Front!AW10</f>
        <v>#NUM!</v>
      </c>
      <c r="F10" s="47" t="e">
        <f>Front!AX10</f>
        <v>#NUM!</v>
      </c>
      <c r="G10" s="47" t="e">
        <f>Front!AY10</f>
        <v>#NUM!</v>
      </c>
      <c r="H10" s="21" t="e">
        <f>'Side MDB'!AC10</f>
        <v>#NUM!</v>
      </c>
      <c r="I10" s="21" t="e">
        <f>'Side MDB'!AD10</f>
        <v>#NUM!</v>
      </c>
      <c r="J10" s="21" t="e">
        <f>'Side MDB'!AE10</f>
        <v>#NUM!</v>
      </c>
      <c r="K10" s="83" t="e">
        <f>'Side Pole'!P10</f>
        <v>#NUM!</v>
      </c>
      <c r="L10" s="83" t="e">
        <f>'Side Pole'!S10</f>
        <v>#NUM!</v>
      </c>
      <c r="M10" s="83" t="e">
        <f>'Side Pole'!V10</f>
        <v>#NUM!</v>
      </c>
      <c r="N10" s="84">
        <f>Rollover!J10</f>
        <v>4</v>
      </c>
      <c r="O10" s="85" t="e">
        <f>ROUND(5/12*Front!AV10+4/12*'Side Pole'!U10+3/12*Rollover!I10,2)</f>
        <v>#NUM!</v>
      </c>
      <c r="P10" s="86" t="e">
        <f t="shared" si="1"/>
        <v>#NUM!</v>
      </c>
    </row>
    <row r="11" spans="1:18" ht="14.45" customHeight="1">
      <c r="A11" s="143">
        <v>45141</v>
      </c>
      <c r="B11" s="9" t="str">
        <f>Rollover!A11</f>
        <v>Audi</v>
      </c>
      <c r="C11" s="9" t="str">
        <f>Rollover!B11</f>
        <v>RS Q8 AWD</v>
      </c>
      <c r="D11" s="9">
        <f>Rollover!C11</f>
        <v>2023</v>
      </c>
      <c r="E11" s="21" t="e">
        <f>Front!AW11</f>
        <v>#NUM!</v>
      </c>
      <c r="F11" s="47" t="e">
        <f>Front!AX11</f>
        <v>#NUM!</v>
      </c>
      <c r="G11" s="47" t="e">
        <f>Front!AY11</f>
        <v>#NUM!</v>
      </c>
      <c r="H11" s="21" t="e">
        <f>'Side MDB'!AC11</f>
        <v>#NUM!</v>
      </c>
      <c r="I11" s="21" t="e">
        <f>'Side MDB'!AD11</f>
        <v>#NUM!</v>
      </c>
      <c r="J11" s="21" t="e">
        <f>'Side MDB'!AE11</f>
        <v>#NUM!</v>
      </c>
      <c r="K11" s="83" t="e">
        <f>'Side Pole'!P11</f>
        <v>#NUM!</v>
      </c>
      <c r="L11" s="83" t="e">
        <f>'Side Pole'!S11</f>
        <v>#NUM!</v>
      </c>
      <c r="M11" s="83" t="e">
        <f>'Side Pole'!V11</f>
        <v>#NUM!</v>
      </c>
      <c r="N11" s="84">
        <f>Rollover!J11</f>
        <v>4</v>
      </c>
      <c r="O11" s="85" t="e">
        <f>ROUND(5/12*Front!AV11+4/12*'Side Pole'!U11+3/12*Rollover!I11,2)</f>
        <v>#NUM!</v>
      </c>
      <c r="P11" s="86" t="e">
        <f t="shared" si="1"/>
        <v>#NUM!</v>
      </c>
    </row>
    <row r="12" spans="1:18" s="69" customFormat="1" ht="14.45" customHeight="1">
      <c r="A12" s="144">
        <v>45212</v>
      </c>
      <c r="B12" s="47" t="str">
        <f>Rollover!A12</f>
        <v>BMW</v>
      </c>
      <c r="C12" s="47" t="str">
        <f>Rollover!B12</f>
        <v>X1 SUV AWD</v>
      </c>
      <c r="D12" s="9">
        <f>Rollover!C12</f>
        <v>2023</v>
      </c>
      <c r="E12" s="21">
        <f>Front!AW12</f>
        <v>4</v>
      </c>
      <c r="F12" s="47">
        <f>Front!AX12</f>
        <v>5</v>
      </c>
      <c r="G12" s="47">
        <f>Front!AY12</f>
        <v>4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83">
        <f>'Side Pole'!P12</f>
        <v>5</v>
      </c>
      <c r="L12" s="83">
        <f>'Side Pole'!S12</f>
        <v>5</v>
      </c>
      <c r="M12" s="83">
        <f>'Side Pole'!V12</f>
        <v>5</v>
      </c>
      <c r="N12" s="84">
        <f>Rollover!J12</f>
        <v>4</v>
      </c>
      <c r="O12" s="85">
        <f>ROUND(5/12*Front!AV12+4/12*'Side Pole'!U12+3/12*Rollover!I12,2)</f>
        <v>0.69</v>
      </c>
      <c r="P12" s="86">
        <f>IF(O12&lt;0.67,5,IF(O12&lt;1,4,IF(O12&lt;1.33,3,IF(O12&lt;2.67,2,1))))</f>
        <v>4</v>
      </c>
    </row>
    <row r="13" spans="1:18" ht="14.45" customHeight="1">
      <c r="A13" s="143">
        <v>45177</v>
      </c>
      <c r="B13" s="47" t="str">
        <f>Rollover!A13</f>
        <v>Chevrolet</v>
      </c>
      <c r="C13" s="47" t="str">
        <f>Rollover!B13</f>
        <v>Colorado PU/CC RWD</v>
      </c>
      <c r="D13" s="9">
        <f>Rollover!C13</f>
        <v>2023</v>
      </c>
      <c r="E13" s="21">
        <f>Front!AW13</f>
        <v>4</v>
      </c>
      <c r="F13" s="47">
        <f>Front!AX13</f>
        <v>4</v>
      </c>
      <c r="G13" s="47">
        <f>Front!AY13</f>
        <v>4</v>
      </c>
      <c r="H13" s="21">
        <f>'Side MDB'!AC13</f>
        <v>3</v>
      </c>
      <c r="I13" s="21">
        <f>'Side MDB'!AD13</f>
        <v>5</v>
      </c>
      <c r="J13" s="21">
        <f>'Side MDB'!AE13</f>
        <v>5</v>
      </c>
      <c r="K13" s="83">
        <f>'Side Pole'!P13</f>
        <v>5</v>
      </c>
      <c r="L13" s="83">
        <f>'Side Pole'!S13</f>
        <v>4</v>
      </c>
      <c r="M13" s="83">
        <f>'Side Pole'!V13</f>
        <v>5</v>
      </c>
      <c r="N13" s="84" t="e">
        <f>Rollover!J13</f>
        <v>#NUM!</v>
      </c>
      <c r="O13" s="85" t="e">
        <f>ROUND(5/12*Front!AV13+4/12*'Side Pole'!U13+3/12*Rollover!I13,2)</f>
        <v>#NUM!</v>
      </c>
      <c r="P13" s="86" t="e">
        <f t="shared" si="1"/>
        <v>#NUM!</v>
      </c>
    </row>
    <row r="14" spans="1:18" ht="14.45" customHeight="1">
      <c r="A14" s="143">
        <v>45177</v>
      </c>
      <c r="B14" s="47" t="str">
        <f>Rollover!A14</f>
        <v>Chevrolet</v>
      </c>
      <c r="C14" s="47" t="str">
        <f>Rollover!B14</f>
        <v>Colorado PU/CC 4WD</v>
      </c>
      <c r="D14" s="9">
        <f>Rollover!C14</f>
        <v>2023</v>
      </c>
      <c r="E14" s="21">
        <f>Front!AW14</f>
        <v>4</v>
      </c>
      <c r="F14" s="47">
        <f>Front!AX14</f>
        <v>4</v>
      </c>
      <c r="G14" s="47">
        <f>Front!AY14</f>
        <v>4</v>
      </c>
      <c r="H14" s="21">
        <f>'Side MDB'!AC14</f>
        <v>3</v>
      </c>
      <c r="I14" s="21">
        <f>'Side MDB'!AD14</f>
        <v>5</v>
      </c>
      <c r="J14" s="21">
        <f>'Side MDB'!AE14</f>
        <v>5</v>
      </c>
      <c r="K14" s="83">
        <f>'Side Pole'!P14</f>
        <v>5</v>
      </c>
      <c r="L14" s="83">
        <f>'Side Pole'!S14</f>
        <v>4</v>
      </c>
      <c r="M14" s="83">
        <f>'Side Pole'!V14</f>
        <v>5</v>
      </c>
      <c r="N14" s="84" t="e">
        <f>Rollover!J14</f>
        <v>#NUM!</v>
      </c>
      <c r="O14" s="85" t="e">
        <f>ROUND(5/12*Front!AV14+4/12*'Side Pole'!U14+3/12*Rollover!I14,2)</f>
        <v>#NUM!</v>
      </c>
      <c r="P14" s="86" t="e">
        <f t="shared" si="1"/>
        <v>#NUM!</v>
      </c>
    </row>
    <row r="15" spans="1:18" ht="14.45" customHeight="1">
      <c r="A15" s="143">
        <v>45177</v>
      </c>
      <c r="B15" s="9" t="str">
        <f>Rollover!A15</f>
        <v>GMC</v>
      </c>
      <c r="C15" s="9" t="str">
        <f>Rollover!B15</f>
        <v>Canyon PU/CC RWD</v>
      </c>
      <c r="D15" s="9">
        <f>Rollover!C15</f>
        <v>2023</v>
      </c>
      <c r="E15" s="21">
        <f>Front!AW15</f>
        <v>4</v>
      </c>
      <c r="F15" s="47">
        <f>Front!AX15</f>
        <v>4</v>
      </c>
      <c r="G15" s="47">
        <f>Front!AY15</f>
        <v>4</v>
      </c>
      <c r="H15" s="21">
        <f>'Side MDB'!AC15</f>
        <v>3</v>
      </c>
      <c r="I15" s="21">
        <f>'Side MDB'!AD15</f>
        <v>5</v>
      </c>
      <c r="J15" s="21">
        <f>'Side MDB'!AE15</f>
        <v>5</v>
      </c>
      <c r="K15" s="83">
        <f>'Side Pole'!P15</f>
        <v>5</v>
      </c>
      <c r="L15" s="83">
        <f>'Side Pole'!S15</f>
        <v>4</v>
      </c>
      <c r="M15" s="83">
        <f>'Side Pole'!V15</f>
        <v>5</v>
      </c>
      <c r="N15" s="84" t="e">
        <f>Rollover!J15</f>
        <v>#NUM!</v>
      </c>
      <c r="O15" s="85" t="e">
        <f>ROUND(5/12*Front!AV15+4/12*'Side Pole'!U15+3/12*Rollover!I15,2)</f>
        <v>#NUM!</v>
      </c>
      <c r="P15" s="86" t="e">
        <f t="shared" si="1"/>
        <v>#NUM!</v>
      </c>
    </row>
    <row r="16" spans="1:18" ht="14.45" customHeight="1">
      <c r="A16" s="145">
        <v>45177</v>
      </c>
      <c r="B16" s="9" t="str">
        <f>Rollover!A16</f>
        <v>GMC</v>
      </c>
      <c r="C16" s="9" t="str">
        <f>Rollover!B16</f>
        <v>Canyon PU/CC 4WD</v>
      </c>
      <c r="D16" s="9">
        <f>Rollover!C16</f>
        <v>2023</v>
      </c>
      <c r="E16" s="21">
        <f>Front!AW16</f>
        <v>4</v>
      </c>
      <c r="F16" s="47">
        <f>Front!AX16</f>
        <v>4</v>
      </c>
      <c r="G16" s="47">
        <f>Front!AY16</f>
        <v>4</v>
      </c>
      <c r="H16" s="21">
        <f>'Side MDB'!AC16</f>
        <v>3</v>
      </c>
      <c r="I16" s="21">
        <f>'Side MDB'!AD16</f>
        <v>5</v>
      </c>
      <c r="J16" s="21">
        <f>'Side MDB'!AE16</f>
        <v>5</v>
      </c>
      <c r="K16" s="83">
        <f>'Side Pole'!P16</f>
        <v>5</v>
      </c>
      <c r="L16" s="83">
        <f>'Side Pole'!S16</f>
        <v>4</v>
      </c>
      <c r="M16" s="83">
        <f>'Side Pole'!V16</f>
        <v>5</v>
      </c>
      <c r="N16" s="84" t="e">
        <f>Rollover!J16</f>
        <v>#NUM!</v>
      </c>
      <c r="O16" s="85" t="e">
        <f>ROUND(5/12*Front!AV16+4/12*'Side Pole'!U16+3/12*Rollover!I16,2)</f>
        <v>#NUM!</v>
      </c>
      <c r="P16" s="86" t="e">
        <f t="shared" si="1"/>
        <v>#NUM!</v>
      </c>
    </row>
    <row r="17" spans="1:16" ht="14.45" customHeight="1">
      <c r="A17" s="145">
        <v>45125</v>
      </c>
      <c r="B17" s="47" t="str">
        <f>Rollover!A17</f>
        <v>Chevrolet</v>
      </c>
      <c r="C17" s="47" t="str">
        <f>Rollover!B17</f>
        <v>Malibu 4DR FWD</v>
      </c>
      <c r="D17" s="9">
        <f>Rollover!C17</f>
        <v>2023</v>
      </c>
      <c r="E17" s="21">
        <f>Front!AW17</f>
        <v>5</v>
      </c>
      <c r="F17" s="47">
        <f>Front!AX17</f>
        <v>5</v>
      </c>
      <c r="G17" s="47">
        <f>Front!AY17</f>
        <v>5</v>
      </c>
      <c r="H17" s="21">
        <f>'Side MDB'!AC17</f>
        <v>5</v>
      </c>
      <c r="I17" s="21">
        <f>'Side MDB'!AD17</f>
        <v>5</v>
      </c>
      <c r="J17" s="21">
        <f>'Side MDB'!AE17</f>
        <v>5</v>
      </c>
      <c r="K17" s="83">
        <f>'Side Pole'!P17</f>
        <v>5</v>
      </c>
      <c r="L17" s="83">
        <f>'Side Pole'!S17</f>
        <v>5</v>
      </c>
      <c r="M17" s="83">
        <f>'Side Pole'!V17</f>
        <v>5</v>
      </c>
      <c r="N17" s="84">
        <f>Rollover!J17</f>
        <v>4</v>
      </c>
      <c r="O17" s="85">
        <f>ROUND(5/12*Front!AV17+4/12*'Side Pole'!U17+3/12*Rollover!I17,2)</f>
        <v>0.6</v>
      </c>
      <c r="P17" s="86">
        <f t="shared" si="1"/>
        <v>5</v>
      </c>
    </row>
    <row r="18" spans="1:16" ht="14.45" customHeight="1">
      <c r="A18" s="145">
        <v>45114</v>
      </c>
      <c r="B18" s="47" t="str">
        <f>Rollover!A18</f>
        <v>Ford</v>
      </c>
      <c r="C18" s="47" t="str">
        <f>Rollover!B18</f>
        <v>Explorer SUV RWD</v>
      </c>
      <c r="D18" s="9">
        <f>Rollover!C18</f>
        <v>2023</v>
      </c>
      <c r="E18" s="21">
        <f>Front!AW18</f>
        <v>5</v>
      </c>
      <c r="F18" s="47">
        <f>Front!AX18</f>
        <v>5</v>
      </c>
      <c r="G18" s="47">
        <f>Front!AY18</f>
        <v>5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83">
        <f>'Side Pole'!P18</f>
        <v>5</v>
      </c>
      <c r="L18" s="83">
        <f>'Side Pole'!S18</f>
        <v>5</v>
      </c>
      <c r="M18" s="83">
        <f>'Side Pole'!V18</f>
        <v>5</v>
      </c>
      <c r="N18" s="84">
        <f>Rollover!J18</f>
        <v>4</v>
      </c>
      <c r="O18" s="85">
        <f>ROUND(5/12*Front!AV18+4/12*'Side Pole'!U18+3/12*Rollover!I18,2)</f>
        <v>0.56000000000000005</v>
      </c>
      <c r="P18" s="86">
        <f t="shared" si="1"/>
        <v>5</v>
      </c>
    </row>
    <row r="19" spans="1:16" ht="14.45" customHeight="1">
      <c r="A19" s="145">
        <v>45114</v>
      </c>
      <c r="B19" s="47" t="str">
        <f>Rollover!A19</f>
        <v>Ford</v>
      </c>
      <c r="C19" s="47" t="str">
        <f>Rollover!B19</f>
        <v>Explorer SUV 4WD</v>
      </c>
      <c r="D19" s="9">
        <f>Rollover!C19</f>
        <v>2023</v>
      </c>
      <c r="E19" s="21">
        <f>Front!AW19</f>
        <v>5</v>
      </c>
      <c r="F19" s="47">
        <f>Front!AX19</f>
        <v>5</v>
      </c>
      <c r="G19" s="47">
        <f>Front!AY19</f>
        <v>5</v>
      </c>
      <c r="H19" s="21">
        <f>'Side MDB'!AC19</f>
        <v>5</v>
      </c>
      <c r="I19" s="21">
        <f>'Side MDB'!AD19</f>
        <v>5</v>
      </c>
      <c r="J19" s="21">
        <f>'Side MDB'!AE19</f>
        <v>5</v>
      </c>
      <c r="K19" s="83">
        <f>'Side Pole'!P19</f>
        <v>5</v>
      </c>
      <c r="L19" s="83">
        <f>'Side Pole'!S19</f>
        <v>5</v>
      </c>
      <c r="M19" s="83">
        <f>'Side Pole'!V19</f>
        <v>5</v>
      </c>
      <c r="N19" s="84">
        <f>Rollover!J19</f>
        <v>4</v>
      </c>
      <c r="O19" s="85">
        <f>ROUND(5/12*Front!AV19+4/12*'Side Pole'!U19+3/12*Rollover!I19,2)</f>
        <v>0.56999999999999995</v>
      </c>
      <c r="P19" s="86">
        <f t="shared" si="1"/>
        <v>5</v>
      </c>
    </row>
    <row r="20" spans="1:16" ht="14.45" customHeight="1">
      <c r="A20" s="145">
        <v>45114</v>
      </c>
      <c r="B20" s="9" t="str">
        <f>Rollover!A20</f>
        <v>Ford</v>
      </c>
      <c r="C20" s="9" t="str">
        <f>Rollover!B20</f>
        <v>Explorer HEV SUV RWD</v>
      </c>
      <c r="D20" s="9">
        <f>Rollover!C20</f>
        <v>2023</v>
      </c>
      <c r="E20" s="21">
        <f>Front!AW20</f>
        <v>5</v>
      </c>
      <c r="F20" s="47">
        <f>Front!AX20</f>
        <v>5</v>
      </c>
      <c r="G20" s="47">
        <f>Front!AY20</f>
        <v>5</v>
      </c>
      <c r="H20" s="21">
        <f>'Side MDB'!AC20</f>
        <v>5</v>
      </c>
      <c r="I20" s="21">
        <f>'Side MDB'!AD20</f>
        <v>5</v>
      </c>
      <c r="J20" s="21">
        <f>'Side MDB'!AE20</f>
        <v>5</v>
      </c>
      <c r="K20" s="83">
        <f>'Side Pole'!P20</f>
        <v>5</v>
      </c>
      <c r="L20" s="83">
        <f>'Side Pole'!S20</f>
        <v>5</v>
      </c>
      <c r="M20" s="83">
        <f>'Side Pole'!V20</f>
        <v>5</v>
      </c>
      <c r="N20" s="84">
        <f>Rollover!J20</f>
        <v>4</v>
      </c>
      <c r="O20" s="85">
        <f>ROUND(5/12*Front!AV20+4/12*'Side Pole'!U20+3/12*Rollover!I20,2)</f>
        <v>0.56000000000000005</v>
      </c>
      <c r="P20" s="86">
        <f t="shared" si="1"/>
        <v>5</v>
      </c>
    </row>
    <row r="21" spans="1:16" ht="14.45" customHeight="1">
      <c r="A21" s="145">
        <v>45114</v>
      </c>
      <c r="B21" s="9" t="str">
        <f>Rollover!A21</f>
        <v>Ford</v>
      </c>
      <c r="C21" s="9" t="str">
        <f>Rollover!B21</f>
        <v>Explorer HEV SUV 4WD</v>
      </c>
      <c r="D21" s="9">
        <f>Rollover!C21</f>
        <v>2023</v>
      </c>
      <c r="E21" s="21">
        <f>Front!AW21</f>
        <v>5</v>
      </c>
      <c r="F21" s="47">
        <f>Front!AX21</f>
        <v>5</v>
      </c>
      <c r="G21" s="47">
        <f>Front!AY21</f>
        <v>5</v>
      </c>
      <c r="H21" s="21">
        <f>'Side MDB'!AC21</f>
        <v>5</v>
      </c>
      <c r="I21" s="21">
        <f>'Side MDB'!AD21</f>
        <v>5</v>
      </c>
      <c r="J21" s="21">
        <f>'Side MDB'!AE21</f>
        <v>5</v>
      </c>
      <c r="K21" s="83">
        <f>'Side Pole'!P21</f>
        <v>5</v>
      </c>
      <c r="L21" s="83">
        <f>'Side Pole'!S21</f>
        <v>5</v>
      </c>
      <c r="M21" s="83">
        <f>'Side Pole'!V21</f>
        <v>5</v>
      </c>
      <c r="N21" s="84">
        <f>Rollover!J21</f>
        <v>4</v>
      </c>
      <c r="O21" s="85">
        <f>ROUND(5/12*Front!AV21+4/12*'Side Pole'!U21+3/12*Rollover!I21,2)</f>
        <v>0.56999999999999995</v>
      </c>
      <c r="P21" s="86">
        <f t="shared" si="1"/>
        <v>5</v>
      </c>
    </row>
    <row r="22" spans="1:16" ht="14.45" customHeight="1">
      <c r="A22" s="145">
        <v>45114</v>
      </c>
      <c r="B22" s="9" t="str">
        <f>Rollover!A22</f>
        <v>Lincoln</v>
      </c>
      <c r="C22" s="9" t="str">
        <f>Rollover!B22</f>
        <v>Aviator SUV RWD</v>
      </c>
      <c r="D22" s="9">
        <f>Rollover!C22</f>
        <v>2023</v>
      </c>
      <c r="E22" s="21">
        <f>Front!AW22</f>
        <v>5</v>
      </c>
      <c r="F22" s="47">
        <f>Front!AX22</f>
        <v>5</v>
      </c>
      <c r="G22" s="47">
        <f>Front!AY22</f>
        <v>5</v>
      </c>
      <c r="H22" s="21">
        <f>'Side MDB'!AC22</f>
        <v>5</v>
      </c>
      <c r="I22" s="21">
        <f>'Side MDB'!AD22</f>
        <v>5</v>
      </c>
      <c r="J22" s="21">
        <f>'Side MDB'!AE22</f>
        <v>5</v>
      </c>
      <c r="K22" s="83">
        <f>'Side Pole'!P22</f>
        <v>5</v>
      </c>
      <c r="L22" s="83">
        <f>'Side Pole'!S22</f>
        <v>5</v>
      </c>
      <c r="M22" s="83">
        <f>'Side Pole'!V22</f>
        <v>5</v>
      </c>
      <c r="N22" s="84">
        <f>Rollover!J22</f>
        <v>4</v>
      </c>
      <c r="O22" s="85">
        <f>ROUND(5/12*Front!AV22+4/12*'Side Pole'!U22+3/12*Rollover!I22,2)</f>
        <v>0.56000000000000005</v>
      </c>
      <c r="P22" s="86">
        <f t="shared" si="1"/>
        <v>5</v>
      </c>
    </row>
    <row r="23" spans="1:16" ht="14.45" customHeight="1">
      <c r="A23" s="145">
        <v>45114</v>
      </c>
      <c r="B23" s="9" t="str">
        <f>Rollover!A23</f>
        <v>Lincoln</v>
      </c>
      <c r="C23" s="9" t="str">
        <f>Rollover!B23</f>
        <v>Aviator SUV 4WD</v>
      </c>
      <c r="D23" s="9">
        <f>Rollover!C23</f>
        <v>2023</v>
      </c>
      <c r="E23" s="21">
        <f>Front!AW23</f>
        <v>5</v>
      </c>
      <c r="F23" s="47">
        <f>Front!AX23</f>
        <v>5</v>
      </c>
      <c r="G23" s="47">
        <f>Front!AY23</f>
        <v>5</v>
      </c>
      <c r="H23" s="21">
        <f>'Side MDB'!AC23</f>
        <v>5</v>
      </c>
      <c r="I23" s="21">
        <f>'Side MDB'!AD23</f>
        <v>5</v>
      </c>
      <c r="J23" s="21">
        <f>'Side MDB'!AE23</f>
        <v>5</v>
      </c>
      <c r="K23" s="83">
        <f>'Side Pole'!P23</f>
        <v>5</v>
      </c>
      <c r="L23" s="83">
        <f>'Side Pole'!S23</f>
        <v>5</v>
      </c>
      <c r="M23" s="83">
        <f>'Side Pole'!V23</f>
        <v>5</v>
      </c>
      <c r="N23" s="84">
        <f>Rollover!J23</f>
        <v>4</v>
      </c>
      <c r="O23" s="85">
        <f>ROUND(5/12*Front!AV23+4/12*'Side Pole'!U23+3/12*Rollover!I23,2)</f>
        <v>0.56999999999999995</v>
      </c>
      <c r="P23" s="86">
        <f t="shared" si="1"/>
        <v>5</v>
      </c>
    </row>
    <row r="24" spans="1:16" ht="14.45" customHeight="1">
      <c r="A24" s="145">
        <v>45106</v>
      </c>
      <c r="B24" s="47" t="str">
        <f>Rollover!A24</f>
        <v xml:space="preserve">Honda </v>
      </c>
      <c r="C24" s="47" t="str">
        <f>Rollover!B24</f>
        <v>HR-V SUV FWD</v>
      </c>
      <c r="D24" s="9">
        <f>Rollover!C24</f>
        <v>2023</v>
      </c>
      <c r="E24" s="21">
        <f>Front!AW24</f>
        <v>5</v>
      </c>
      <c r="F24" s="47">
        <f>Front!AX24</f>
        <v>4</v>
      </c>
      <c r="G24" s="47">
        <f>Front!AY24</f>
        <v>5</v>
      </c>
      <c r="H24" s="21">
        <f>'Side MDB'!AC24</f>
        <v>5</v>
      </c>
      <c r="I24" s="21">
        <f>'Side MDB'!AD24</f>
        <v>5</v>
      </c>
      <c r="J24" s="21">
        <f>'Side MDB'!AE24</f>
        <v>5</v>
      </c>
      <c r="K24" s="83">
        <f>'Side Pole'!P24</f>
        <v>5</v>
      </c>
      <c r="L24" s="83">
        <f>'Side Pole'!S24</f>
        <v>5</v>
      </c>
      <c r="M24" s="83">
        <f>'Side Pole'!V24</f>
        <v>5</v>
      </c>
      <c r="N24" s="84">
        <f>Rollover!J24</f>
        <v>4</v>
      </c>
      <c r="O24" s="85">
        <f>ROUND(5/12*Front!AV24+4/12*'Side Pole'!U24+3/12*Rollover!I24,2)</f>
        <v>0.62</v>
      </c>
      <c r="P24" s="86">
        <f t="shared" si="1"/>
        <v>5</v>
      </c>
    </row>
    <row r="25" spans="1:16" ht="14.25" customHeight="1">
      <c r="A25" s="145">
        <v>45106</v>
      </c>
      <c r="B25" s="47" t="str">
        <f>Rollover!A25</f>
        <v xml:space="preserve">Honda </v>
      </c>
      <c r="C25" s="47" t="str">
        <f>Rollover!B25</f>
        <v>HR-V SUV AWD</v>
      </c>
      <c r="D25" s="9">
        <f>Rollover!C25</f>
        <v>2023</v>
      </c>
      <c r="E25" s="21">
        <f>Front!AW25</f>
        <v>5</v>
      </c>
      <c r="F25" s="47">
        <f>Front!AX25</f>
        <v>4</v>
      </c>
      <c r="G25" s="47">
        <f>Front!AY25</f>
        <v>5</v>
      </c>
      <c r="H25" s="21">
        <f>'Side MDB'!AC25</f>
        <v>5</v>
      </c>
      <c r="I25" s="21">
        <f>'Side MDB'!AD25</f>
        <v>5</v>
      </c>
      <c r="J25" s="21">
        <f>'Side MDB'!AE25</f>
        <v>5</v>
      </c>
      <c r="K25" s="83">
        <f>'Side Pole'!P25</f>
        <v>5</v>
      </c>
      <c r="L25" s="83">
        <f>'Side Pole'!S25</f>
        <v>5</v>
      </c>
      <c r="M25" s="83">
        <f>'Side Pole'!V25</f>
        <v>5</v>
      </c>
      <c r="N25" s="84" t="e">
        <f>Rollover!J25</f>
        <v>#NUM!</v>
      </c>
      <c r="O25" s="85" t="e">
        <f>ROUND(5/12*Front!AV25+4/12*'Side Pole'!U25+3/12*Rollover!I25,2)</f>
        <v>#NUM!</v>
      </c>
      <c r="P25" s="86" t="e">
        <f t="shared" si="1"/>
        <v>#NUM!</v>
      </c>
    </row>
    <row r="26" spans="1:16" ht="14.45" customHeight="1">
      <c r="A26" s="145">
        <v>45133</v>
      </c>
      <c r="B26" s="47" t="str">
        <f>Rollover!A26</f>
        <v>Hyundai</v>
      </c>
      <c r="C26" s="47" t="str">
        <f>Rollover!B26</f>
        <v>Santa Cruz PU/CC FWD</v>
      </c>
      <c r="D26" s="9">
        <f>Rollover!C26</f>
        <v>2023</v>
      </c>
      <c r="E26" s="21">
        <f>Front!AW26</f>
        <v>5</v>
      </c>
      <c r="F26" s="47">
        <f>Front!AX26</f>
        <v>5</v>
      </c>
      <c r="G26" s="47">
        <f>Front!AY26</f>
        <v>5</v>
      </c>
      <c r="H26" s="21">
        <f>'Side MDB'!AC26</f>
        <v>5</v>
      </c>
      <c r="I26" s="21">
        <f>'Side MDB'!AD26</f>
        <v>5</v>
      </c>
      <c r="J26" s="21">
        <f>'Side MDB'!AE26</f>
        <v>5</v>
      </c>
      <c r="K26" s="83">
        <f>'Side Pole'!P26</f>
        <v>5</v>
      </c>
      <c r="L26" s="83">
        <f>'Side Pole'!S26</f>
        <v>5</v>
      </c>
      <c r="M26" s="83">
        <f>'Side Pole'!V26</f>
        <v>5</v>
      </c>
      <c r="N26" s="84">
        <f>Rollover!J26</f>
        <v>4</v>
      </c>
      <c r="O26" s="85">
        <f>ROUND(5/12*Front!AV26+4/12*'Side Pole'!U26+3/12*Rollover!I26,2)</f>
        <v>0.59</v>
      </c>
      <c r="P26" s="86">
        <f t="shared" si="1"/>
        <v>5</v>
      </c>
    </row>
    <row r="27" spans="1:16" ht="14.45" customHeight="1">
      <c r="A27" s="145">
        <v>45133</v>
      </c>
      <c r="B27" s="47" t="str">
        <f>Rollover!A27</f>
        <v>Hyundai</v>
      </c>
      <c r="C27" s="47" t="str">
        <f>Rollover!B27</f>
        <v>Santa Cruz PU/CC AWD</v>
      </c>
      <c r="D27" s="9">
        <f>Rollover!C27</f>
        <v>2023</v>
      </c>
      <c r="E27" s="21">
        <f>Front!AW27</f>
        <v>5</v>
      </c>
      <c r="F27" s="47">
        <f>Front!AX27</f>
        <v>5</v>
      </c>
      <c r="G27" s="47">
        <f>Front!AY27</f>
        <v>5</v>
      </c>
      <c r="H27" s="21">
        <f>'Side MDB'!AC27</f>
        <v>5</v>
      </c>
      <c r="I27" s="21">
        <f>'Side MDB'!AD27</f>
        <v>5</v>
      </c>
      <c r="J27" s="21">
        <f>'Side MDB'!AE27</f>
        <v>5</v>
      </c>
      <c r="K27" s="83">
        <f>'Side Pole'!P27</f>
        <v>5</v>
      </c>
      <c r="L27" s="83">
        <f>'Side Pole'!S27</f>
        <v>5</v>
      </c>
      <c r="M27" s="83">
        <f>'Side Pole'!V27</f>
        <v>5</v>
      </c>
      <c r="N27" s="84">
        <f>Rollover!J27</f>
        <v>4</v>
      </c>
      <c r="O27" s="85">
        <f>ROUND(5/12*Front!AV27+4/12*'Side Pole'!U27+3/12*Rollover!I27,2)</f>
        <v>0.59</v>
      </c>
      <c r="P27" s="86">
        <f t="shared" si="1"/>
        <v>5</v>
      </c>
    </row>
    <row r="28" spans="1:16" ht="14.45" customHeight="1">
      <c r="A28" s="145">
        <v>45198</v>
      </c>
      <c r="B28" s="47" t="str">
        <f>Rollover!A28</f>
        <v>Hyundai</v>
      </c>
      <c r="C28" s="47" t="str">
        <f>Rollover!B28</f>
        <v>Kona Electric FWD</v>
      </c>
      <c r="D28" s="9">
        <f>Rollover!C28</f>
        <v>2023</v>
      </c>
      <c r="E28" s="21">
        <f>Front!AW28</f>
        <v>4</v>
      </c>
      <c r="F28" s="47">
        <f>Front!AX28</f>
        <v>5</v>
      </c>
      <c r="G28" s="47">
        <f>Front!AY28</f>
        <v>4</v>
      </c>
      <c r="H28" s="21">
        <f>'Side MDB'!AC28</f>
        <v>5</v>
      </c>
      <c r="I28" s="21">
        <f>'Side MDB'!AD28</f>
        <v>5</v>
      </c>
      <c r="J28" s="21">
        <f>'Side MDB'!AE28</f>
        <v>5</v>
      </c>
      <c r="K28" s="83">
        <f>'Side Pole'!P28</f>
        <v>4</v>
      </c>
      <c r="L28" s="83">
        <f>'Side Pole'!S28</f>
        <v>5</v>
      </c>
      <c r="M28" s="83">
        <f>'Side Pole'!V28</f>
        <v>5</v>
      </c>
      <c r="N28" s="84" t="e">
        <f>Rollover!J28</f>
        <v>#NUM!</v>
      </c>
      <c r="O28" s="85" t="e">
        <f>ROUND(5/12*Front!AV28+4/12*'Side Pole'!U28+3/12*Rollover!I28,2)</f>
        <v>#NUM!</v>
      </c>
      <c r="P28" s="86" t="e">
        <f t="shared" si="1"/>
        <v>#NUM!</v>
      </c>
    </row>
    <row r="29" spans="1:16" ht="14.45" customHeight="1">
      <c r="A29" s="145">
        <v>45119</v>
      </c>
      <c r="B29" s="47" t="str">
        <f>Rollover!A29</f>
        <v>Jeep</v>
      </c>
      <c r="C29" s="47" t="str">
        <f>Rollover!B29</f>
        <v>Grand Cherokee SUV RWD</v>
      </c>
      <c r="D29" s="9">
        <f>Rollover!C29</f>
        <v>2023</v>
      </c>
      <c r="E29" s="21">
        <f>Front!AW29</f>
        <v>5</v>
      </c>
      <c r="F29" s="47">
        <f>Front!AX29</f>
        <v>5</v>
      </c>
      <c r="G29" s="47">
        <f>Front!AY29</f>
        <v>5</v>
      </c>
      <c r="H29" s="21">
        <f>'Side MDB'!AC29</f>
        <v>5</v>
      </c>
      <c r="I29" s="21">
        <f>'Side MDB'!AD29</f>
        <v>5</v>
      </c>
      <c r="J29" s="21">
        <f>'Side MDB'!AE29</f>
        <v>5</v>
      </c>
      <c r="K29" s="83">
        <f>'Side Pole'!P29</f>
        <v>5</v>
      </c>
      <c r="L29" s="83">
        <f>'Side Pole'!S29</f>
        <v>5</v>
      </c>
      <c r="M29" s="83">
        <f>'Side Pole'!V29</f>
        <v>5</v>
      </c>
      <c r="N29" s="84" t="e">
        <f>Rollover!J29</f>
        <v>#NUM!</v>
      </c>
      <c r="O29" s="85" t="e">
        <f>ROUND(5/12*Front!AV29+4/12*'Side Pole'!U29+3/12*Rollover!I29,2)</f>
        <v>#NUM!</v>
      </c>
      <c r="P29" s="86" t="e">
        <f t="shared" si="1"/>
        <v>#NUM!</v>
      </c>
    </row>
    <row r="30" spans="1:16" ht="14.45" customHeight="1">
      <c r="A30" s="145">
        <v>45119</v>
      </c>
      <c r="B30" s="47" t="str">
        <f>Rollover!A30</f>
        <v xml:space="preserve">Jeep </v>
      </c>
      <c r="C30" s="47" t="str">
        <f>Rollover!B30</f>
        <v>Grand Cherokee SUV 4WD</v>
      </c>
      <c r="D30" s="9">
        <f>Rollover!C30</f>
        <v>2023</v>
      </c>
      <c r="E30" s="21">
        <f>Front!AW30</f>
        <v>5</v>
      </c>
      <c r="F30" s="47">
        <f>Front!AX30</f>
        <v>5</v>
      </c>
      <c r="G30" s="47">
        <f>Front!AY30</f>
        <v>5</v>
      </c>
      <c r="H30" s="21">
        <f>'Side MDB'!AC30</f>
        <v>5</v>
      </c>
      <c r="I30" s="21">
        <f>'Side MDB'!AD30</f>
        <v>5</v>
      </c>
      <c r="J30" s="21">
        <f>'Side MDB'!AE30</f>
        <v>5</v>
      </c>
      <c r="K30" s="83">
        <f>'Side Pole'!P30</f>
        <v>5</v>
      </c>
      <c r="L30" s="83">
        <f>'Side Pole'!S30</f>
        <v>5</v>
      </c>
      <c r="M30" s="83">
        <f>'Side Pole'!V30</f>
        <v>5</v>
      </c>
      <c r="N30" s="84" t="e">
        <f>Rollover!J30</f>
        <v>#NUM!</v>
      </c>
      <c r="O30" s="85" t="e">
        <f>ROUND(5/12*Front!AV30+4/12*'Side Pole'!U30+3/12*Rollover!I30,2)</f>
        <v>#NUM!</v>
      </c>
      <c r="P30" s="86" t="e">
        <f t="shared" si="1"/>
        <v>#NUM!</v>
      </c>
    </row>
    <row r="31" spans="1:16" ht="14.45" customHeight="1">
      <c r="A31" s="145">
        <v>45119</v>
      </c>
      <c r="B31" s="9" t="str">
        <f>Rollover!A31</f>
        <v>Jeep</v>
      </c>
      <c r="C31" s="9" t="str">
        <f>Rollover!B31</f>
        <v>Grand Cherokee L SUV RWD</v>
      </c>
      <c r="D31" s="9">
        <f>Rollover!C31</f>
        <v>2023</v>
      </c>
      <c r="E31" s="21">
        <f>Front!AW31</f>
        <v>5</v>
      </c>
      <c r="F31" s="47">
        <f>Front!AX31</f>
        <v>5</v>
      </c>
      <c r="G31" s="47">
        <f>Front!AY31</f>
        <v>5</v>
      </c>
      <c r="H31" s="21">
        <f>'Side MDB'!AC31</f>
        <v>5</v>
      </c>
      <c r="I31" s="21">
        <f>'Side MDB'!AD31</f>
        <v>5</v>
      </c>
      <c r="J31" s="21">
        <f>'Side MDB'!AE31</f>
        <v>5</v>
      </c>
      <c r="K31" s="83">
        <f>'Side Pole'!P31</f>
        <v>5</v>
      </c>
      <c r="L31" s="83">
        <f>'Side Pole'!S31</f>
        <v>5</v>
      </c>
      <c r="M31" s="83">
        <f>'Side Pole'!V31</f>
        <v>5</v>
      </c>
      <c r="N31" s="84">
        <f>Rollover!J31</f>
        <v>4</v>
      </c>
      <c r="O31" s="85">
        <f>ROUND(5/12*Front!AV31+4/12*'Side Pole'!U31+3/12*Rollover!I31,2)</f>
        <v>0.59</v>
      </c>
      <c r="P31" s="86">
        <f t="shared" si="1"/>
        <v>5</v>
      </c>
    </row>
    <row r="32" spans="1:16" ht="14.45" customHeight="1">
      <c r="A32" s="145">
        <v>45119</v>
      </c>
      <c r="B32" s="9" t="str">
        <f>Rollover!A32</f>
        <v>Jeep</v>
      </c>
      <c r="C32" s="9" t="str">
        <f>Rollover!B32</f>
        <v>Grand Cherokee L SUV 4WD</v>
      </c>
      <c r="D32" s="9">
        <f>Rollover!C32</f>
        <v>2023</v>
      </c>
      <c r="E32" s="21">
        <f>Front!AW32</f>
        <v>5</v>
      </c>
      <c r="F32" s="47">
        <f>Front!AX32</f>
        <v>5</v>
      </c>
      <c r="G32" s="47">
        <f>Front!AY32</f>
        <v>5</v>
      </c>
      <c r="H32" s="21">
        <f>'Side MDB'!AC32</f>
        <v>5</v>
      </c>
      <c r="I32" s="21">
        <f>'Side MDB'!AD32</f>
        <v>5</v>
      </c>
      <c r="J32" s="21">
        <f>'Side MDB'!AE32</f>
        <v>5</v>
      </c>
      <c r="K32" s="83">
        <f>'Side Pole'!P32</f>
        <v>5</v>
      </c>
      <c r="L32" s="83">
        <f>'Side Pole'!S32</f>
        <v>5</v>
      </c>
      <c r="M32" s="83">
        <f>'Side Pole'!V32</f>
        <v>5</v>
      </c>
      <c r="N32" s="84">
        <f>Rollover!J32</f>
        <v>4</v>
      </c>
      <c r="O32" s="85">
        <f>ROUND(5/12*Front!AV32+4/12*'Side Pole'!U32+3/12*Rollover!I32,2)</f>
        <v>0.59</v>
      </c>
      <c r="P32" s="86">
        <f t="shared" si="1"/>
        <v>5</v>
      </c>
    </row>
    <row r="33" spans="1:16" ht="14.45" customHeight="1">
      <c r="A33" s="145">
        <v>45134</v>
      </c>
      <c r="B33" s="47" t="str">
        <f>Rollover!A33</f>
        <v>Jeep</v>
      </c>
      <c r="C33" s="47" t="str">
        <f>Rollover!B33</f>
        <v>Grand Cherokee 4xe PHEV SUV 4WD</v>
      </c>
      <c r="D33" s="9">
        <f>Rollover!C33</f>
        <v>2023</v>
      </c>
      <c r="E33" s="21">
        <f>Front!AW33</f>
        <v>4</v>
      </c>
      <c r="F33" s="47">
        <f>Front!AX33</f>
        <v>5</v>
      </c>
      <c r="G33" s="47">
        <f>Front!AY33</f>
        <v>5</v>
      </c>
      <c r="H33" s="21">
        <f>'Side MDB'!AC33</f>
        <v>5</v>
      </c>
      <c r="I33" s="21">
        <f>'Side MDB'!AD33</f>
        <v>5</v>
      </c>
      <c r="J33" s="21">
        <f>'Side MDB'!AE33</f>
        <v>5</v>
      </c>
      <c r="K33" s="83">
        <f>'Side Pole'!P33</f>
        <v>5</v>
      </c>
      <c r="L33" s="83">
        <f>'Side Pole'!S33</f>
        <v>5</v>
      </c>
      <c r="M33" s="83">
        <f>'Side Pole'!V33</f>
        <v>5</v>
      </c>
      <c r="N33" s="84">
        <f>Rollover!J33</f>
        <v>4</v>
      </c>
      <c r="O33" s="85">
        <f>ROUND(5/12*Front!AV33+4/12*'Side Pole'!U33+3/12*Rollover!I33,2)</f>
        <v>0.54</v>
      </c>
      <c r="P33" s="86">
        <f t="shared" si="1"/>
        <v>5</v>
      </c>
    </row>
    <row r="34" spans="1:16" ht="14.45" customHeight="1">
      <c r="A34" s="145">
        <v>45147</v>
      </c>
      <c r="B34" s="47" t="str">
        <f>Rollover!A34</f>
        <v>Jeep</v>
      </c>
      <c r="C34" s="47" t="str">
        <f>Rollover!B34</f>
        <v>Wrangler 4xe SUV PHEV 4WD</v>
      </c>
      <c r="D34" s="9">
        <f>Rollover!C34</f>
        <v>2023</v>
      </c>
      <c r="E34" s="21">
        <f>Front!AW34</f>
        <v>4</v>
      </c>
      <c r="F34" s="47">
        <f>Front!AX34</f>
        <v>5</v>
      </c>
      <c r="G34" s="47">
        <f>Front!AY34</f>
        <v>4</v>
      </c>
      <c r="H34" s="21" t="e">
        <f>'Side MDB'!AC34</f>
        <v>#NUM!</v>
      </c>
      <c r="I34" s="21" t="e">
        <f>'Side MDB'!AD34</f>
        <v>#NUM!</v>
      </c>
      <c r="J34" s="21" t="e">
        <f>'Side MDB'!AE34</f>
        <v>#NUM!</v>
      </c>
      <c r="K34" s="83" t="e">
        <f>'Side Pole'!P34</f>
        <v>#NUM!</v>
      </c>
      <c r="L34" s="83" t="e">
        <f>'Side Pole'!S34</f>
        <v>#NUM!</v>
      </c>
      <c r="M34" s="83" t="e">
        <f>'Side Pole'!V34</f>
        <v>#NUM!</v>
      </c>
      <c r="N34" s="84">
        <f>Rollover!J34</f>
        <v>3</v>
      </c>
      <c r="O34" s="85" t="e">
        <f>ROUND(5/12*Front!AV34+4/12*'Side Pole'!U34+3/12*Rollover!I34,2)</f>
        <v>#NUM!</v>
      </c>
      <c r="P34" s="86" t="e">
        <f t="shared" si="1"/>
        <v>#NUM!</v>
      </c>
    </row>
    <row r="35" spans="1:16" ht="14.45" customHeight="1">
      <c r="A35" s="143">
        <v>45126</v>
      </c>
      <c r="B35" s="47" t="str">
        <f>Rollover!A35</f>
        <v>Kia</v>
      </c>
      <c r="C35" s="47" t="str">
        <f>Rollover!B35</f>
        <v>Sportage SUV FWD</v>
      </c>
      <c r="D35" s="9">
        <f>Rollover!C35</f>
        <v>2023</v>
      </c>
      <c r="E35" s="21">
        <f>Front!AW35</f>
        <v>5</v>
      </c>
      <c r="F35" s="47">
        <f>Front!AX35</f>
        <v>5</v>
      </c>
      <c r="G35" s="47">
        <f>Front!AY35</f>
        <v>5</v>
      </c>
      <c r="H35" s="21">
        <f>'Side MDB'!AC35</f>
        <v>5</v>
      </c>
      <c r="I35" s="21">
        <f>'Side MDB'!AD35</f>
        <v>5</v>
      </c>
      <c r="J35" s="21">
        <f>'Side MDB'!AE35</f>
        <v>5</v>
      </c>
      <c r="K35" s="83">
        <f>'Side Pole'!P35</f>
        <v>5</v>
      </c>
      <c r="L35" s="83">
        <f>'Side Pole'!S35</f>
        <v>5</v>
      </c>
      <c r="M35" s="83">
        <f>'Side Pole'!V35</f>
        <v>5</v>
      </c>
      <c r="N35" s="84" t="e">
        <f>Rollover!J35</f>
        <v>#NUM!</v>
      </c>
      <c r="O35" s="85" t="e">
        <f>ROUND(5/12*Front!AV35+4/12*'Side Pole'!U35+3/12*Rollover!I35,2)</f>
        <v>#NUM!</v>
      </c>
      <c r="P35" s="86" t="e">
        <f t="shared" si="1"/>
        <v>#NUM!</v>
      </c>
    </row>
    <row r="36" spans="1:16" ht="14.45" customHeight="1">
      <c r="A36" s="143">
        <v>45195</v>
      </c>
      <c r="B36" s="47" t="str">
        <f>Rollover!A36</f>
        <v>Kia</v>
      </c>
      <c r="C36" s="47" t="str">
        <f>Rollover!B36</f>
        <v>Sportage SUV AWD</v>
      </c>
      <c r="D36" s="9">
        <f>Rollover!C36</f>
        <v>2023</v>
      </c>
      <c r="E36" s="21">
        <f>Front!AW36</f>
        <v>5</v>
      </c>
      <c r="F36" s="47">
        <f>Front!AX36</f>
        <v>5</v>
      </c>
      <c r="G36" s="47">
        <f>Front!AY36</f>
        <v>5</v>
      </c>
      <c r="H36" s="21">
        <f>'Side MDB'!AC36</f>
        <v>5</v>
      </c>
      <c r="I36" s="21">
        <f>'Side MDB'!AD36</f>
        <v>5</v>
      </c>
      <c r="J36" s="21">
        <f>'Side MDB'!AE36</f>
        <v>5</v>
      </c>
      <c r="K36" s="83">
        <f>'Side Pole'!P36</f>
        <v>5</v>
      </c>
      <c r="L36" s="83">
        <f>'Side Pole'!S36</f>
        <v>5</v>
      </c>
      <c r="M36" s="83">
        <f>'Side Pole'!V36</f>
        <v>5</v>
      </c>
      <c r="N36" s="84">
        <f>Rollover!J36</f>
        <v>4</v>
      </c>
      <c r="O36" s="85">
        <f>ROUND(5/12*Front!AV36+4/12*'Side Pole'!U36+3/12*Rollover!I36,2)</f>
        <v>0.62</v>
      </c>
      <c r="P36" s="86">
        <f t="shared" si="1"/>
        <v>5</v>
      </c>
    </row>
    <row r="37" spans="1:16" ht="14.45" customHeight="1">
      <c r="A37" s="143">
        <v>45126</v>
      </c>
      <c r="B37" s="9" t="str">
        <f>Rollover!A37</f>
        <v>Kia</v>
      </c>
      <c r="C37" s="9" t="str">
        <f>Rollover!B37</f>
        <v>Sportage Hybrid SUV FWD</v>
      </c>
      <c r="D37" s="9">
        <f>Rollover!C37</f>
        <v>2023</v>
      </c>
      <c r="E37" s="21">
        <f>Front!AW37</f>
        <v>5</v>
      </c>
      <c r="F37" s="47">
        <f>Front!AX37</f>
        <v>5</v>
      </c>
      <c r="G37" s="47">
        <f>Front!AY37</f>
        <v>5</v>
      </c>
      <c r="H37" s="21">
        <f>'Side MDB'!AC37</f>
        <v>5</v>
      </c>
      <c r="I37" s="21">
        <f>'Side MDB'!AD37</f>
        <v>5</v>
      </c>
      <c r="J37" s="21">
        <f>'Side MDB'!AE37</f>
        <v>5</v>
      </c>
      <c r="K37" s="83">
        <f>'Side Pole'!P37</f>
        <v>5</v>
      </c>
      <c r="L37" s="83">
        <f>'Side Pole'!S37</f>
        <v>5</v>
      </c>
      <c r="M37" s="83">
        <f>'Side Pole'!V37</f>
        <v>5</v>
      </c>
      <c r="N37" s="84" t="e">
        <f>Rollover!J37</f>
        <v>#NUM!</v>
      </c>
      <c r="O37" s="85" t="e">
        <f>ROUND(5/12*Front!AV37+4/12*'Side Pole'!U37+3/12*Rollover!I37,2)</f>
        <v>#NUM!</v>
      </c>
      <c r="P37" s="86" t="e">
        <f t="shared" si="1"/>
        <v>#NUM!</v>
      </c>
    </row>
    <row r="38" spans="1:16" ht="14.45" customHeight="1">
      <c r="A38" s="143">
        <v>45195</v>
      </c>
      <c r="B38" s="9" t="str">
        <f>Rollover!A38</f>
        <v>Kia</v>
      </c>
      <c r="C38" s="9" t="str">
        <f>Rollover!B38</f>
        <v>Sportage Hybrid SUV AWD</v>
      </c>
      <c r="D38" s="9">
        <f>Rollover!C38</f>
        <v>2023</v>
      </c>
      <c r="E38" s="21">
        <f>Front!AW38</f>
        <v>5</v>
      </c>
      <c r="F38" s="47">
        <f>Front!AX38</f>
        <v>5</v>
      </c>
      <c r="G38" s="47">
        <f>Front!AY38</f>
        <v>5</v>
      </c>
      <c r="H38" s="21">
        <f>'Side MDB'!AC38</f>
        <v>5</v>
      </c>
      <c r="I38" s="21">
        <f>'Side MDB'!AD38</f>
        <v>5</v>
      </c>
      <c r="J38" s="21">
        <f>'Side MDB'!AE38</f>
        <v>5</v>
      </c>
      <c r="K38" s="83">
        <f>'Side Pole'!P38</f>
        <v>5</v>
      </c>
      <c r="L38" s="83">
        <f>'Side Pole'!S38</f>
        <v>5</v>
      </c>
      <c r="M38" s="83">
        <f>'Side Pole'!V38</f>
        <v>5</v>
      </c>
      <c r="N38" s="84">
        <f>Rollover!J38</f>
        <v>4</v>
      </c>
      <c r="O38" s="85">
        <f>ROUND(5/12*Front!AV38+4/12*'Side Pole'!U38+3/12*Rollover!I38,2)</f>
        <v>0.62</v>
      </c>
      <c r="P38" s="86">
        <f t="shared" si="1"/>
        <v>5</v>
      </c>
    </row>
    <row r="39" spans="1:16" ht="14.45" customHeight="1">
      <c r="A39" s="143">
        <v>45184</v>
      </c>
      <c r="B39" s="47" t="str">
        <f>Rollover!A39</f>
        <v>Kia</v>
      </c>
      <c r="C39" s="47" t="str">
        <f>Rollover!B39</f>
        <v>Telluride SUV FWD</v>
      </c>
      <c r="D39" s="9">
        <f>Rollover!C39</f>
        <v>2023</v>
      </c>
      <c r="E39" s="21">
        <f>Front!AW39</f>
        <v>4</v>
      </c>
      <c r="F39" s="47">
        <f>Front!AX39</f>
        <v>4</v>
      </c>
      <c r="G39" s="47">
        <f>Front!AY39</f>
        <v>4</v>
      </c>
      <c r="H39" s="21">
        <f>'Side MDB'!AC39</f>
        <v>5</v>
      </c>
      <c r="I39" s="21">
        <f>'Side MDB'!AD39</f>
        <v>5</v>
      </c>
      <c r="J39" s="21">
        <f>'Side MDB'!AE39</f>
        <v>5</v>
      </c>
      <c r="K39" s="83">
        <f>'Side Pole'!P39</f>
        <v>5</v>
      </c>
      <c r="L39" s="83">
        <f>'Side Pole'!S39</f>
        <v>5</v>
      </c>
      <c r="M39" s="83">
        <f>'Side Pole'!V39</f>
        <v>5</v>
      </c>
      <c r="N39" s="84">
        <f>Rollover!J39</f>
        <v>4</v>
      </c>
      <c r="O39" s="85">
        <f>ROUND(5/12*Front!AV39+4/12*'Side Pole'!U39+3/12*Rollover!I39,2)</f>
        <v>0.61</v>
      </c>
      <c r="P39" s="86">
        <f t="shared" si="1"/>
        <v>5</v>
      </c>
    </row>
    <row r="40" spans="1:16" ht="14.45" customHeight="1">
      <c r="A40" s="143">
        <v>45184</v>
      </c>
      <c r="B40" s="47" t="str">
        <f>Rollover!A40</f>
        <v>Kia</v>
      </c>
      <c r="C40" s="47" t="str">
        <f>Rollover!B40</f>
        <v>Telluride SUV AWD</v>
      </c>
      <c r="D40" s="9">
        <f>Rollover!C40</f>
        <v>2023</v>
      </c>
      <c r="E40" s="21">
        <f>Front!AW40</f>
        <v>4</v>
      </c>
      <c r="F40" s="47">
        <f>Front!AX40</f>
        <v>4</v>
      </c>
      <c r="G40" s="47">
        <f>Front!AY40</f>
        <v>4</v>
      </c>
      <c r="H40" s="21">
        <f>'Side MDB'!AC40</f>
        <v>5</v>
      </c>
      <c r="I40" s="21">
        <f>'Side MDB'!AD40</f>
        <v>5</v>
      </c>
      <c r="J40" s="21">
        <f>'Side MDB'!AE40</f>
        <v>5</v>
      </c>
      <c r="K40" s="83">
        <f>'Side Pole'!P40</f>
        <v>5</v>
      </c>
      <c r="L40" s="83">
        <f>'Side Pole'!S40</f>
        <v>5</v>
      </c>
      <c r="M40" s="83">
        <f>'Side Pole'!V40</f>
        <v>5</v>
      </c>
      <c r="N40" s="84">
        <f>Rollover!J40</f>
        <v>4</v>
      </c>
      <c r="O40" s="85">
        <f>ROUND(5/12*Front!AV40+4/12*'Side Pole'!U40+3/12*Rollover!I40,2)</f>
        <v>0.59</v>
      </c>
      <c r="P40" s="86">
        <f t="shared" si="1"/>
        <v>5</v>
      </c>
    </row>
    <row r="41" spans="1:16" ht="14.45" customHeight="1">
      <c r="A41" s="143">
        <v>45167</v>
      </c>
      <c r="B41" s="47" t="str">
        <f>Rollover!A41</f>
        <v>Kia</v>
      </c>
      <c r="C41" s="47" t="str">
        <f>Rollover!B41</f>
        <v>Niro HEV SUV FWD</v>
      </c>
      <c r="D41" s="9">
        <f>Rollover!C41</f>
        <v>2023</v>
      </c>
      <c r="E41" s="21">
        <f>Front!AW41</f>
        <v>4</v>
      </c>
      <c r="F41" s="47">
        <f>Front!AX41</f>
        <v>4</v>
      </c>
      <c r="G41" s="47">
        <f>Front!AY41</f>
        <v>4</v>
      </c>
      <c r="H41" s="21">
        <f>'Side MDB'!AC41</f>
        <v>5</v>
      </c>
      <c r="I41" s="21">
        <f>'Side MDB'!AD41</f>
        <v>5</v>
      </c>
      <c r="J41" s="21">
        <f>'Side MDB'!AE41</f>
        <v>5</v>
      </c>
      <c r="K41" s="83">
        <f>'Side Pole'!P41</f>
        <v>5</v>
      </c>
      <c r="L41" s="83">
        <f>'Side Pole'!S41</f>
        <v>5</v>
      </c>
      <c r="M41" s="83">
        <f>'Side Pole'!V41</f>
        <v>5</v>
      </c>
      <c r="N41" s="84">
        <f>Rollover!J41</f>
        <v>4</v>
      </c>
      <c r="O41" s="85">
        <f>ROUND(5/12*Front!AV41+4/12*'Side Pole'!U41+3/12*Rollover!I41,2)</f>
        <v>0.63</v>
      </c>
      <c r="P41" s="86">
        <f t="shared" si="1"/>
        <v>5</v>
      </c>
    </row>
    <row r="42" spans="1:16" ht="14.45" customHeight="1">
      <c r="A42" s="143">
        <v>45196</v>
      </c>
      <c r="B42" s="47" t="str">
        <f>Rollover!A42</f>
        <v>Mazda</v>
      </c>
      <c r="C42" s="47" t="str">
        <f>Rollover!B42</f>
        <v>Mazda CX-50 SUV AWD</v>
      </c>
      <c r="D42" s="9">
        <f>Rollover!C42</f>
        <v>2023</v>
      </c>
      <c r="E42" s="21">
        <f>Front!AW42</f>
        <v>5</v>
      </c>
      <c r="F42" s="47">
        <f>Front!AX42</f>
        <v>5</v>
      </c>
      <c r="G42" s="47">
        <f>Front!AY42</f>
        <v>5</v>
      </c>
      <c r="H42" s="21">
        <f>'Side MDB'!AC42</f>
        <v>5</v>
      </c>
      <c r="I42" s="21">
        <f>'Side MDB'!AD42</f>
        <v>5</v>
      </c>
      <c r="J42" s="21">
        <f>'Side MDB'!AE42</f>
        <v>5</v>
      </c>
      <c r="K42" s="83">
        <f>'Side Pole'!P42</f>
        <v>5</v>
      </c>
      <c r="L42" s="83">
        <f>'Side Pole'!S42</f>
        <v>5</v>
      </c>
      <c r="M42" s="83">
        <f>'Side Pole'!V42</f>
        <v>5</v>
      </c>
      <c r="N42" s="84">
        <f>Rollover!J42</f>
        <v>4</v>
      </c>
      <c r="O42" s="85">
        <f>ROUND(5/12*Front!AV42+4/12*'Side Pole'!U42+3/12*Rollover!I42,2)</f>
        <v>0.56999999999999995</v>
      </c>
      <c r="P42" s="86">
        <f t="shared" si="1"/>
        <v>5</v>
      </c>
    </row>
    <row r="43" spans="1:16" ht="14.45" customHeight="1">
      <c r="A43" s="146">
        <v>45198</v>
      </c>
      <c r="B43" s="47" t="str">
        <f>Rollover!A43</f>
        <v>Mazda</v>
      </c>
      <c r="C43" s="47" t="str">
        <f>Rollover!B43</f>
        <v>Mazda CX-30 SUV AWD</v>
      </c>
      <c r="D43" s="9">
        <f>Rollover!C43</f>
        <v>2023</v>
      </c>
      <c r="E43" s="21">
        <f>Front!AW43</f>
        <v>5</v>
      </c>
      <c r="F43" s="47">
        <f>Front!AX43</f>
        <v>5</v>
      </c>
      <c r="G43" s="47">
        <f>Front!AY43</f>
        <v>5</v>
      </c>
      <c r="H43" s="21">
        <f>'Side MDB'!AC43</f>
        <v>5</v>
      </c>
      <c r="I43" s="21">
        <f>'Side MDB'!AD43</f>
        <v>5</v>
      </c>
      <c r="J43" s="21">
        <f>'Side MDB'!AE43</f>
        <v>5</v>
      </c>
      <c r="K43" s="83">
        <f>'Side Pole'!P43</f>
        <v>5</v>
      </c>
      <c r="L43" s="83">
        <f>'Side Pole'!S43</f>
        <v>5</v>
      </c>
      <c r="M43" s="83">
        <f>'Side Pole'!V43</f>
        <v>5</v>
      </c>
      <c r="N43" s="84">
        <f>Rollover!J43</f>
        <v>4</v>
      </c>
      <c r="O43" s="85">
        <f>ROUND(5/12*Front!AV43+4/12*'Side Pole'!U43+3/12*Rollover!I43,2)</f>
        <v>0.56000000000000005</v>
      </c>
      <c r="P43" s="86">
        <f t="shared" si="1"/>
        <v>5</v>
      </c>
    </row>
    <row r="44" spans="1:16" ht="14.45" customHeight="1">
      <c r="A44" s="145">
        <v>45141</v>
      </c>
      <c r="B44" s="47" t="str">
        <f>Rollover!A44</f>
        <v xml:space="preserve">Mitsubishi </v>
      </c>
      <c r="C44" s="47" t="str">
        <f>Rollover!B44</f>
        <v>Outlander SUV FWD</v>
      </c>
      <c r="D44" s="9">
        <f>Rollover!C44</f>
        <v>2023</v>
      </c>
      <c r="E44" s="21">
        <f>Front!AW44</f>
        <v>4</v>
      </c>
      <c r="F44" s="47">
        <f>Front!AX44</f>
        <v>4</v>
      </c>
      <c r="G44" s="47">
        <f>Front!AY44</f>
        <v>4</v>
      </c>
      <c r="H44" s="21">
        <f>'Side MDB'!AC44</f>
        <v>5</v>
      </c>
      <c r="I44" s="21">
        <f>'Side MDB'!AD44</f>
        <v>5</v>
      </c>
      <c r="J44" s="21">
        <f>'Side MDB'!AE44</f>
        <v>5</v>
      </c>
      <c r="K44" s="83">
        <f>'Side Pole'!P44</f>
        <v>5</v>
      </c>
      <c r="L44" s="83">
        <f>'Side Pole'!S44</f>
        <v>5</v>
      </c>
      <c r="M44" s="83">
        <f>'Side Pole'!V44</f>
        <v>5</v>
      </c>
      <c r="N44" s="84">
        <f>Rollover!J44</f>
        <v>4</v>
      </c>
      <c r="O44" s="85">
        <f>ROUND(5/12*Front!AV44+4/12*'Side Pole'!U44+3/12*Rollover!I44,2)</f>
        <v>0.73</v>
      </c>
      <c r="P44" s="86">
        <f t="shared" ref="P44:P55" si="2">IF(O44&lt;0.67,5,IF(O44&lt;1,4,IF(O44&lt;1.33,3,IF(O44&lt;2.67,2,1))))</f>
        <v>4</v>
      </c>
    </row>
    <row r="45" spans="1:16" ht="14.45" customHeight="1">
      <c r="A45" s="145">
        <v>45141</v>
      </c>
      <c r="B45" s="47" t="str">
        <f>Rollover!A45</f>
        <v xml:space="preserve">Mitsubishi </v>
      </c>
      <c r="C45" s="47" t="str">
        <f>Rollover!B45</f>
        <v>Outlander SUV AWD</v>
      </c>
      <c r="D45" s="9">
        <f>Rollover!C45</f>
        <v>2023</v>
      </c>
      <c r="E45" s="21">
        <f>Front!AW45</f>
        <v>4</v>
      </c>
      <c r="F45" s="47">
        <f>Front!AX45</f>
        <v>4</v>
      </c>
      <c r="G45" s="47">
        <f>Front!AY45</f>
        <v>4</v>
      </c>
      <c r="H45" s="21">
        <f>'Side MDB'!AC45</f>
        <v>5</v>
      </c>
      <c r="I45" s="21">
        <f>'Side MDB'!AD45</f>
        <v>5</v>
      </c>
      <c r="J45" s="21">
        <f>'Side MDB'!AE45</f>
        <v>5</v>
      </c>
      <c r="K45" s="83">
        <f>'Side Pole'!P45</f>
        <v>5</v>
      </c>
      <c r="L45" s="83">
        <f>'Side Pole'!S45</f>
        <v>5</v>
      </c>
      <c r="M45" s="83">
        <f>'Side Pole'!V45</f>
        <v>5</v>
      </c>
      <c r="N45" s="84">
        <f>Rollover!J45</f>
        <v>4</v>
      </c>
      <c r="O45" s="85">
        <f>ROUND(5/12*Front!AV45+4/12*'Side Pole'!U45+3/12*Rollover!I45,2)</f>
        <v>0.7</v>
      </c>
      <c r="P45" s="86">
        <f t="shared" si="2"/>
        <v>4</v>
      </c>
    </row>
    <row r="46" spans="1:16" ht="14.45" customHeight="1">
      <c r="A46" s="145">
        <v>45125</v>
      </c>
      <c r="B46" s="47" t="str">
        <f>Rollover!A46</f>
        <v>Nissan</v>
      </c>
      <c r="C46" s="47" t="str">
        <f>Rollover!B46</f>
        <v>Armada SUV RWD</v>
      </c>
      <c r="D46" s="9">
        <f>Rollover!C46</f>
        <v>2023</v>
      </c>
      <c r="E46" s="21">
        <f>Front!AW46</f>
        <v>4</v>
      </c>
      <c r="F46" s="47">
        <f>Front!AX46</f>
        <v>3</v>
      </c>
      <c r="G46" s="47">
        <f>Front!AY46</f>
        <v>3</v>
      </c>
      <c r="H46" s="21">
        <f>'Side MDB'!AC46</f>
        <v>5</v>
      </c>
      <c r="I46" s="21">
        <f>'Side MDB'!AD46</f>
        <v>5</v>
      </c>
      <c r="J46" s="21">
        <f>'Side MDB'!AE46</f>
        <v>5</v>
      </c>
      <c r="K46" s="83">
        <f>'Side Pole'!P46</f>
        <v>5</v>
      </c>
      <c r="L46" s="83">
        <f>'Side Pole'!S46</f>
        <v>5</v>
      </c>
      <c r="M46" s="83">
        <f>'Side Pole'!V46</f>
        <v>5</v>
      </c>
      <c r="N46" s="84">
        <f>Rollover!J46</f>
        <v>3</v>
      </c>
      <c r="O46" s="85">
        <f>ROUND(5/12*Front!AV46+4/12*'Side Pole'!U46+3/12*Rollover!I46,2)</f>
        <v>0.88</v>
      </c>
      <c r="P46" s="86">
        <f t="shared" si="2"/>
        <v>4</v>
      </c>
    </row>
    <row r="47" spans="1:16" ht="14.45" customHeight="1">
      <c r="A47" s="145">
        <v>45125</v>
      </c>
      <c r="B47" s="47" t="str">
        <f>Rollover!A47</f>
        <v>Nissan</v>
      </c>
      <c r="C47" s="47" t="str">
        <f>Rollover!B47</f>
        <v>Armada SUV 4WD</v>
      </c>
      <c r="D47" s="9">
        <f>Rollover!C47</f>
        <v>2023</v>
      </c>
      <c r="E47" s="21">
        <f>Front!AW47</f>
        <v>4</v>
      </c>
      <c r="F47" s="47">
        <f>Front!AX47</f>
        <v>3</v>
      </c>
      <c r="G47" s="47">
        <f>Front!AY47</f>
        <v>3</v>
      </c>
      <c r="H47" s="21">
        <f>'Side MDB'!AC47</f>
        <v>5</v>
      </c>
      <c r="I47" s="21">
        <f>'Side MDB'!AD47</f>
        <v>5</v>
      </c>
      <c r="J47" s="21">
        <f>'Side MDB'!AE47</f>
        <v>5</v>
      </c>
      <c r="K47" s="83">
        <f>'Side Pole'!P47</f>
        <v>5</v>
      </c>
      <c r="L47" s="83">
        <f>'Side Pole'!S47</f>
        <v>5</v>
      </c>
      <c r="M47" s="83">
        <f>'Side Pole'!V47</f>
        <v>5</v>
      </c>
      <c r="N47" s="84">
        <f>Rollover!J47</f>
        <v>3</v>
      </c>
      <c r="O47" s="85">
        <f>ROUND(5/12*Front!AV47+4/12*'Side Pole'!U47+3/12*Rollover!I47,2)</f>
        <v>0.85</v>
      </c>
      <c r="P47" s="86">
        <f t="shared" si="2"/>
        <v>4</v>
      </c>
    </row>
    <row r="48" spans="1:16" ht="14.45" customHeight="1">
      <c r="A48" s="145">
        <v>45125</v>
      </c>
      <c r="B48" s="9" t="str">
        <f>Rollover!A48</f>
        <v xml:space="preserve">Infiniti </v>
      </c>
      <c r="C48" s="9" t="str">
        <f>Rollover!B48</f>
        <v>QX80 SUV RWD</v>
      </c>
      <c r="D48" s="9">
        <f>Rollover!C48</f>
        <v>2023</v>
      </c>
      <c r="E48" s="21">
        <f>Front!AW48</f>
        <v>4</v>
      </c>
      <c r="F48" s="47">
        <f>Front!AX48</f>
        <v>3</v>
      </c>
      <c r="G48" s="47">
        <f>Front!AY48</f>
        <v>3</v>
      </c>
      <c r="H48" s="21">
        <f>'Side MDB'!AC48</f>
        <v>5</v>
      </c>
      <c r="I48" s="21">
        <f>'Side MDB'!AD48</f>
        <v>5</v>
      </c>
      <c r="J48" s="21">
        <f>'Side MDB'!AE48</f>
        <v>5</v>
      </c>
      <c r="K48" s="83">
        <f>'Side Pole'!P48</f>
        <v>5</v>
      </c>
      <c r="L48" s="83">
        <f>'Side Pole'!S48</f>
        <v>5</v>
      </c>
      <c r="M48" s="83">
        <f>'Side Pole'!V48</f>
        <v>5</v>
      </c>
      <c r="N48" s="84">
        <f>Rollover!J48</f>
        <v>3</v>
      </c>
      <c r="O48" s="85">
        <f>ROUND(5/12*Front!AV48+4/12*'Side Pole'!U48+3/12*Rollover!I48,2)</f>
        <v>0.88</v>
      </c>
      <c r="P48" s="86">
        <f t="shared" si="2"/>
        <v>4</v>
      </c>
    </row>
    <row r="49" spans="1:16" ht="14.45" customHeight="1">
      <c r="A49" s="145">
        <v>45125</v>
      </c>
      <c r="B49" s="9" t="str">
        <f>Rollover!A49</f>
        <v xml:space="preserve">Infiniti </v>
      </c>
      <c r="C49" s="9" t="str">
        <f>Rollover!B49</f>
        <v>QX80 SUV 4WD</v>
      </c>
      <c r="D49" s="9">
        <f>Rollover!C49</f>
        <v>2023</v>
      </c>
      <c r="E49" s="21">
        <f>Front!AW49</f>
        <v>4</v>
      </c>
      <c r="F49" s="47">
        <f>Front!AX49</f>
        <v>3</v>
      </c>
      <c r="G49" s="47">
        <f>Front!AY49</f>
        <v>3</v>
      </c>
      <c r="H49" s="21">
        <f>'Side MDB'!AC49</f>
        <v>5</v>
      </c>
      <c r="I49" s="21">
        <f>'Side MDB'!AD49</f>
        <v>5</v>
      </c>
      <c r="J49" s="21">
        <f>'Side MDB'!AE49</f>
        <v>5</v>
      </c>
      <c r="K49" s="83">
        <f>'Side Pole'!P49</f>
        <v>5</v>
      </c>
      <c r="L49" s="83">
        <f>'Side Pole'!S49</f>
        <v>5</v>
      </c>
      <c r="M49" s="83">
        <f>'Side Pole'!V49</f>
        <v>5</v>
      </c>
      <c r="N49" s="84">
        <f>Rollover!J49</f>
        <v>3</v>
      </c>
      <c r="O49" s="85">
        <f>ROUND(5/12*Front!AV49+4/12*'Side Pole'!U49+3/12*Rollover!I49,2)</f>
        <v>0.85</v>
      </c>
      <c r="P49" s="86">
        <f t="shared" si="2"/>
        <v>4</v>
      </c>
    </row>
    <row r="50" spans="1:16" ht="14.45" customHeight="1">
      <c r="A50" s="145">
        <v>45147</v>
      </c>
      <c r="B50" s="47" t="str">
        <f>Rollover!A50</f>
        <v>Rivian</v>
      </c>
      <c r="C50" s="47" t="str">
        <f>Rollover!B50</f>
        <v>R1S SUV BEV AWD</v>
      </c>
      <c r="D50" s="9">
        <f>Rollover!C50</f>
        <v>2023</v>
      </c>
      <c r="E50" s="21" t="e">
        <f>Front!AW50</f>
        <v>#NUM!</v>
      </c>
      <c r="F50" s="47" t="e">
        <f>Front!AX50</f>
        <v>#NUM!</v>
      </c>
      <c r="G50" s="47" t="e">
        <f>Front!AY50</f>
        <v>#NUM!</v>
      </c>
      <c r="H50" s="21" t="e">
        <f>'Side MDB'!AC50</f>
        <v>#NUM!</v>
      </c>
      <c r="I50" s="21" t="e">
        <f>'Side MDB'!AD50</f>
        <v>#NUM!</v>
      </c>
      <c r="J50" s="21" t="e">
        <f>'Side MDB'!AE50</f>
        <v>#NUM!</v>
      </c>
      <c r="K50" s="83" t="e">
        <f>'Side Pole'!P50</f>
        <v>#NUM!</v>
      </c>
      <c r="L50" s="83" t="e">
        <f>'Side Pole'!S50</f>
        <v>#NUM!</v>
      </c>
      <c r="M50" s="83" t="e">
        <f>'Side Pole'!V50</f>
        <v>#NUM!</v>
      </c>
      <c r="N50" s="84">
        <f>Rollover!J50</f>
        <v>4</v>
      </c>
      <c r="O50" s="85" t="e">
        <f>ROUND(5/12*Front!AV50+4/12*'Side Pole'!U50+3/12*Rollover!I50,2)</f>
        <v>#NUM!</v>
      </c>
      <c r="P50" s="86" t="e">
        <f t="shared" si="2"/>
        <v>#NUM!</v>
      </c>
    </row>
    <row r="51" spans="1:16" ht="14.45" customHeight="1">
      <c r="A51" s="145">
        <v>45204</v>
      </c>
      <c r="B51" s="47" t="str">
        <f>Rollover!A51</f>
        <v>Subaru</v>
      </c>
      <c r="C51" s="47" t="str">
        <f>Rollover!B51</f>
        <v>Solterra SUV BEV AWD</v>
      </c>
      <c r="D51" s="9">
        <f>Rollover!C51</f>
        <v>2023</v>
      </c>
      <c r="E51" s="21">
        <f>Front!AW51</f>
        <v>4</v>
      </c>
      <c r="F51" s="47">
        <f>Front!AX51</f>
        <v>5</v>
      </c>
      <c r="G51" s="47">
        <f>Front!AY51</f>
        <v>5</v>
      </c>
      <c r="H51" s="21">
        <f>'Side MDB'!AC51</f>
        <v>5</v>
      </c>
      <c r="I51" s="21">
        <f>'Side MDB'!AD51</f>
        <v>5</v>
      </c>
      <c r="J51" s="21">
        <f>'Side MDB'!AE51</f>
        <v>5</v>
      </c>
      <c r="K51" s="83">
        <f>'Side Pole'!P51</f>
        <v>5</v>
      </c>
      <c r="L51" s="83">
        <f>'Side Pole'!S51</f>
        <v>5</v>
      </c>
      <c r="M51" s="83">
        <f>'Side Pole'!V51</f>
        <v>5</v>
      </c>
      <c r="N51" s="84">
        <f>Rollover!J51</f>
        <v>4</v>
      </c>
      <c r="O51" s="85">
        <f>ROUND(5/12*Front!AV51+4/12*'Side Pole'!U51+3/12*Rollover!I51,2)</f>
        <v>0.53</v>
      </c>
      <c r="P51" s="86">
        <f t="shared" si="2"/>
        <v>5</v>
      </c>
    </row>
    <row r="52" spans="1:16" ht="14.45" customHeight="1">
      <c r="A52" s="145">
        <v>45204</v>
      </c>
      <c r="B52" s="9" t="str">
        <f>Rollover!A52</f>
        <v>Toyota</v>
      </c>
      <c r="C52" s="9" t="str">
        <f>Rollover!B52</f>
        <v>bZ4X SUV BEV FWD</v>
      </c>
      <c r="D52" s="9">
        <f>Rollover!C52</f>
        <v>2023</v>
      </c>
      <c r="E52" s="21">
        <f>Front!AW52</f>
        <v>4</v>
      </c>
      <c r="F52" s="47">
        <f>Front!AX52</f>
        <v>5</v>
      </c>
      <c r="G52" s="47">
        <f>Front!AY52</f>
        <v>5</v>
      </c>
      <c r="H52" s="21">
        <f>'Side MDB'!AC52</f>
        <v>5</v>
      </c>
      <c r="I52" s="21">
        <f>'Side MDB'!AD52</f>
        <v>5</v>
      </c>
      <c r="J52" s="21">
        <f>'Side MDB'!AE52</f>
        <v>5</v>
      </c>
      <c r="K52" s="83">
        <f>'Side Pole'!P52</f>
        <v>5</v>
      </c>
      <c r="L52" s="83">
        <f>'Side Pole'!S52</f>
        <v>5</v>
      </c>
      <c r="M52" s="83">
        <f>'Side Pole'!V52</f>
        <v>5</v>
      </c>
      <c r="N52" s="84">
        <f>Rollover!J52</f>
        <v>4</v>
      </c>
      <c r="O52" s="85">
        <f>ROUND(5/12*Front!AV52+4/12*'Side Pole'!U52+3/12*Rollover!I52,2)</f>
        <v>0.53</v>
      </c>
      <c r="P52" s="86">
        <f t="shared" si="2"/>
        <v>5</v>
      </c>
    </row>
    <row r="53" spans="1:16" ht="14.45" customHeight="1">
      <c r="A53" s="145">
        <v>45204</v>
      </c>
      <c r="B53" s="9" t="str">
        <f>Rollover!A53</f>
        <v>Toyota</v>
      </c>
      <c r="C53" s="9" t="str">
        <f>Rollover!B53</f>
        <v>bZ4X SUV BEV AWD</v>
      </c>
      <c r="D53" s="9">
        <f>Rollover!C53</f>
        <v>2023</v>
      </c>
      <c r="E53" s="21">
        <f>Front!AW53</f>
        <v>4</v>
      </c>
      <c r="F53" s="47">
        <f>Front!AX53</f>
        <v>5</v>
      </c>
      <c r="G53" s="47">
        <f>Front!AY53</f>
        <v>5</v>
      </c>
      <c r="H53" s="21">
        <f>'Side MDB'!AC53</f>
        <v>5</v>
      </c>
      <c r="I53" s="21">
        <f>'Side MDB'!AD53</f>
        <v>5</v>
      </c>
      <c r="J53" s="21">
        <f>'Side MDB'!AE53</f>
        <v>5</v>
      </c>
      <c r="K53" s="83">
        <f>'Side Pole'!P53</f>
        <v>5</v>
      </c>
      <c r="L53" s="83">
        <f>'Side Pole'!S53</f>
        <v>5</v>
      </c>
      <c r="M53" s="83">
        <f>'Side Pole'!V53</f>
        <v>5</v>
      </c>
      <c r="N53" s="84">
        <f>Rollover!J53</f>
        <v>4</v>
      </c>
      <c r="O53" s="85">
        <f>ROUND(5/12*Front!AV53+4/12*'Side Pole'!U53+3/12*Rollover!I53,2)</f>
        <v>0.53</v>
      </c>
      <c r="P53" s="86">
        <f t="shared" si="2"/>
        <v>5</v>
      </c>
    </row>
    <row r="54" spans="1:16" ht="14.45" customHeight="1">
      <c r="A54" s="143">
        <v>45154</v>
      </c>
      <c r="B54" s="47" t="str">
        <f>Rollover!A54</f>
        <v>Volkswagen</v>
      </c>
      <c r="C54" s="47" t="str">
        <f>Rollover!B54</f>
        <v>Tiguan SUV FWD</v>
      </c>
      <c r="D54" s="9">
        <f>Rollover!C54</f>
        <v>2023</v>
      </c>
      <c r="E54" s="21">
        <f>Front!AW54</f>
        <v>4</v>
      </c>
      <c r="F54" s="47">
        <f>Front!AX54</f>
        <v>4</v>
      </c>
      <c r="G54" s="47">
        <f>Front!AY54</f>
        <v>4</v>
      </c>
      <c r="H54" s="21">
        <f>'Side MDB'!AC54</f>
        <v>5</v>
      </c>
      <c r="I54" s="21">
        <f>'Side MDB'!AD54</f>
        <v>5</v>
      </c>
      <c r="J54" s="21">
        <f>'Side MDB'!AE54</f>
        <v>5</v>
      </c>
      <c r="K54" s="83">
        <f>'Side Pole'!P54</f>
        <v>5</v>
      </c>
      <c r="L54" s="83">
        <f>'Side Pole'!S54</f>
        <v>5</v>
      </c>
      <c r="M54" s="83">
        <f>'Side Pole'!V54</f>
        <v>5</v>
      </c>
      <c r="N54" s="84">
        <f>Rollover!J54</f>
        <v>4</v>
      </c>
      <c r="O54" s="85">
        <f>ROUND(5/12*Front!AV54+4/12*'Side Pole'!U54+3/12*Rollover!I54,2)</f>
        <v>0.7</v>
      </c>
      <c r="P54" s="86">
        <f t="shared" si="2"/>
        <v>4</v>
      </c>
    </row>
    <row r="55" spans="1:16" ht="14.45" customHeight="1">
      <c r="A55" s="143">
        <v>45154</v>
      </c>
      <c r="B55" s="47" t="str">
        <f>Rollover!A55</f>
        <v>Volkswagen</v>
      </c>
      <c r="C55" s="47" t="str">
        <f>Rollover!B55</f>
        <v>Tiguan SUV AWD</v>
      </c>
      <c r="D55" s="9">
        <f>Rollover!C55</f>
        <v>2023</v>
      </c>
      <c r="E55" s="21">
        <f>Front!AW55</f>
        <v>4</v>
      </c>
      <c r="F55" s="47">
        <f>Front!AX55</f>
        <v>4</v>
      </c>
      <c r="G55" s="47">
        <f>Front!AY55</f>
        <v>4</v>
      </c>
      <c r="H55" s="21">
        <f>'Side MDB'!AC55</f>
        <v>5</v>
      </c>
      <c r="I55" s="21">
        <f>'Side MDB'!AD55</f>
        <v>5</v>
      </c>
      <c r="J55" s="21">
        <f>'Side MDB'!AE55</f>
        <v>5</v>
      </c>
      <c r="K55" s="83">
        <f>'Side Pole'!P55</f>
        <v>5</v>
      </c>
      <c r="L55" s="83">
        <f>'Side Pole'!S55</f>
        <v>5</v>
      </c>
      <c r="M55" s="83">
        <f>'Side Pole'!V55</f>
        <v>5</v>
      </c>
      <c r="N55" s="84">
        <f>Rollover!J55</f>
        <v>4</v>
      </c>
      <c r="O55" s="85">
        <f>ROUND(5/12*Front!AV55+4/12*'Side Pole'!U55+3/12*Rollover!I55,2)</f>
        <v>0.68</v>
      </c>
      <c r="P55" s="86">
        <f t="shared" si="2"/>
        <v>4</v>
      </c>
    </row>
    <row r="56" spans="1:16" ht="14.45" customHeight="1">
      <c r="B56" s="105"/>
    </row>
    <row r="57" spans="1:16" ht="14.45" customHeight="1">
      <c r="B57" s="105"/>
    </row>
    <row r="58" spans="1:16" ht="14.45" customHeight="1">
      <c r="B58" s="105"/>
    </row>
    <row r="59" spans="1:16" ht="14.45" customHeight="1">
      <c r="B59" s="105"/>
      <c r="C59" s="105"/>
      <c r="D59" s="105"/>
    </row>
    <row r="60" spans="1:16" ht="14.45" customHeight="1">
      <c r="B60" s="105"/>
      <c r="C60" s="105"/>
      <c r="D60" s="105"/>
    </row>
    <row r="61" spans="1:16" ht="14.45" customHeight="1">
      <c r="B61" s="105"/>
      <c r="C61" s="105"/>
      <c r="D61" s="105"/>
    </row>
    <row r="62" spans="1:16" ht="14.45" customHeight="1">
      <c r="B62" s="105"/>
      <c r="C62" s="105"/>
      <c r="D62" s="105"/>
    </row>
    <row r="63" spans="1:16" ht="14.45" customHeight="1">
      <c r="B63" s="105"/>
      <c r="C63" s="105"/>
      <c r="D63" s="105"/>
    </row>
    <row r="64" spans="1:16" ht="14.45" customHeight="1">
      <c r="B64" s="105"/>
      <c r="C64" s="105"/>
      <c r="D64" s="105"/>
    </row>
    <row r="65" spans="2:10" ht="14.45" customHeight="1">
      <c r="B65" s="105"/>
      <c r="C65" s="105"/>
      <c r="D65" s="105"/>
      <c r="H65" s="109"/>
      <c r="I65" s="109"/>
      <c r="J65" s="109"/>
    </row>
    <row r="66" spans="2:10" ht="14.45" customHeight="1">
      <c r="H66" s="109"/>
      <c r="I66" s="109"/>
      <c r="J66" s="109"/>
    </row>
    <row r="67" spans="2:10" ht="14.45" customHeight="1">
      <c r="H67" s="109"/>
      <c r="I67" s="109"/>
      <c r="J67" s="109"/>
    </row>
    <row r="68" spans="2:10" ht="14.45" customHeight="1">
      <c r="B68" s="111"/>
      <c r="C68" s="111"/>
      <c r="D68" s="111"/>
      <c r="E68" s="112"/>
      <c r="F68" s="105"/>
      <c r="H68" s="109"/>
      <c r="I68" s="109"/>
      <c r="J68" s="109"/>
    </row>
    <row r="69" spans="2:10" ht="14.45" customHeight="1">
      <c r="B69" s="111"/>
      <c r="C69" s="111"/>
      <c r="D69" s="111"/>
      <c r="E69" s="112"/>
      <c r="F69" s="105"/>
      <c r="H69" s="109"/>
      <c r="I69" s="109"/>
      <c r="J69" s="109"/>
    </row>
    <row r="70" spans="2:10" ht="14.45" customHeight="1">
      <c r="B70" s="111"/>
      <c r="C70" s="111"/>
      <c r="D70" s="111"/>
      <c r="E70" s="112"/>
      <c r="F70" s="105"/>
      <c r="H70" s="109"/>
      <c r="I70" s="109"/>
      <c r="J70" s="109"/>
    </row>
    <row r="71" spans="2:10" ht="14.45" customHeight="1">
      <c r="B71" s="111"/>
      <c r="C71" s="111"/>
      <c r="D71" s="111"/>
      <c r="E71" s="112"/>
      <c r="F71" s="105"/>
      <c r="H71" s="109"/>
      <c r="I71" s="109"/>
      <c r="J71" s="109"/>
    </row>
    <row r="72" spans="2:10" ht="14.45" customHeight="1">
      <c r="B72" s="111"/>
      <c r="C72" s="111"/>
      <c r="D72" s="111"/>
      <c r="E72" s="112"/>
      <c r="F72" s="105"/>
      <c r="H72" s="109"/>
      <c r="I72" s="109"/>
      <c r="J72" s="109"/>
    </row>
    <row r="73" spans="2:10" ht="14.45" customHeight="1">
      <c r="B73" s="111"/>
      <c r="C73" s="111"/>
      <c r="D73" s="111"/>
      <c r="E73" s="112"/>
      <c r="F73" s="105"/>
      <c r="H73" s="109"/>
      <c r="I73" s="109"/>
      <c r="J73" s="109"/>
    </row>
    <row r="74" spans="2:10" ht="14.45" customHeight="1">
      <c r="B74" s="111"/>
      <c r="C74" s="111"/>
      <c r="D74" s="111"/>
      <c r="E74" s="112"/>
      <c r="F74" s="105"/>
    </row>
    <row r="75" spans="2:10" ht="14.45" customHeight="1">
      <c r="B75" s="111"/>
      <c r="C75" s="111"/>
      <c r="D75" s="111"/>
      <c r="E75" s="112"/>
      <c r="F75" s="105"/>
    </row>
    <row r="76" spans="2:10" ht="14.45" customHeight="1">
      <c r="B76" s="111"/>
      <c r="C76" s="111"/>
      <c r="D76" s="111"/>
      <c r="E76" s="112"/>
      <c r="F76" s="105"/>
    </row>
    <row r="77" spans="2:10" ht="14.45" customHeight="1">
      <c r="B77" s="111"/>
      <c r="C77" s="111"/>
      <c r="D77" s="111"/>
      <c r="E77" s="112"/>
      <c r="F77" s="105"/>
    </row>
    <row r="78" spans="2:10" ht="14.45" customHeight="1">
      <c r="E78" s="112"/>
      <c r="F78" s="105"/>
    </row>
    <row r="79" spans="2:10" ht="14.45" customHeight="1">
      <c r="E79" s="112"/>
      <c r="F79" s="105"/>
    </row>
    <row r="80" spans="2:10" ht="14.45" customHeight="1">
      <c r="B80" s="111"/>
      <c r="C80" s="111"/>
      <c r="D80" s="111"/>
      <c r="E80" s="112"/>
      <c r="F80" s="105"/>
    </row>
    <row r="81" spans="2:10" ht="14.45" customHeight="1">
      <c r="B81" s="111"/>
      <c r="C81" s="111"/>
      <c r="D81" s="111"/>
      <c r="E81" s="112"/>
      <c r="F81" s="105"/>
    </row>
    <row r="82" spans="2:10" ht="14.45" customHeight="1">
      <c r="B82" s="111"/>
      <c r="C82" s="111"/>
      <c r="D82" s="111"/>
      <c r="E82" s="112"/>
      <c r="F82" s="105"/>
    </row>
    <row r="83" spans="2:10" ht="14.45" customHeight="1">
      <c r="B83" s="111"/>
      <c r="C83" s="111"/>
      <c r="D83" s="111"/>
      <c r="E83" s="112"/>
      <c r="F83" s="105"/>
      <c r="H83" s="113"/>
      <c r="I83" s="113"/>
      <c r="J83" s="113"/>
    </row>
    <row r="84" spans="2:10" ht="14.45" customHeight="1">
      <c r="B84" s="111"/>
      <c r="C84" s="111"/>
      <c r="D84" s="111"/>
      <c r="F84" s="109"/>
      <c r="G84" s="109"/>
      <c r="H84" s="113"/>
      <c r="I84" s="113"/>
      <c r="J84" s="113"/>
    </row>
    <row r="85" spans="2:10" ht="14.45" customHeight="1">
      <c r="B85" s="111"/>
      <c r="C85" s="111"/>
      <c r="D85" s="111"/>
      <c r="F85" s="109"/>
      <c r="G85" s="109"/>
      <c r="H85" s="113"/>
      <c r="I85" s="113"/>
      <c r="J85" s="113"/>
    </row>
    <row r="86" spans="2:10" ht="14.45" customHeight="1">
      <c r="B86" s="114"/>
      <c r="C86" s="114"/>
      <c r="D86" s="114"/>
      <c r="E86" s="115"/>
      <c r="F86" s="109"/>
      <c r="G86" s="109"/>
      <c r="H86" s="113"/>
      <c r="I86" s="113"/>
      <c r="J86" s="113"/>
    </row>
    <row r="87" spans="2:10" ht="14.45" customHeight="1">
      <c r="B87" s="105"/>
      <c r="C87" s="105"/>
      <c r="D87" s="105"/>
      <c r="F87" s="109"/>
      <c r="G87" s="109"/>
      <c r="H87" s="113"/>
      <c r="I87" s="113"/>
      <c r="J87" s="113"/>
    </row>
    <row r="88" spans="2:10" ht="14.45" customHeight="1">
      <c r="B88" s="111"/>
      <c r="C88" s="111"/>
      <c r="D88" s="111"/>
      <c r="F88" s="109"/>
      <c r="G88" s="109"/>
      <c r="H88" s="113"/>
      <c r="I88" s="113"/>
      <c r="J88" s="113"/>
    </row>
    <row r="89" spans="2:10" ht="14.45" customHeight="1">
      <c r="B89" s="111"/>
      <c r="C89" s="111"/>
      <c r="D89" s="111"/>
      <c r="F89" s="109"/>
      <c r="G89" s="109"/>
      <c r="H89" s="113"/>
      <c r="I89" s="113"/>
      <c r="J89" s="113"/>
    </row>
    <row r="90" spans="2:10" ht="14.45" customHeight="1">
      <c r="B90" s="111"/>
      <c r="C90" s="111"/>
      <c r="D90" s="111"/>
      <c r="F90" s="109"/>
      <c r="G90" s="109"/>
      <c r="H90" s="113"/>
      <c r="I90" s="113"/>
      <c r="J90" s="113"/>
    </row>
    <row r="91" spans="2:10" ht="14.45" customHeight="1">
      <c r="B91" s="111"/>
      <c r="C91" s="111"/>
      <c r="D91" s="111"/>
      <c r="F91" s="109"/>
      <c r="G91" s="109"/>
      <c r="H91" s="113"/>
      <c r="I91" s="113"/>
      <c r="J91" s="113"/>
    </row>
    <row r="92" spans="2:10" ht="14.45" customHeight="1">
      <c r="B92" s="105"/>
      <c r="C92" s="105"/>
      <c r="D92" s="105"/>
      <c r="F92" s="109"/>
      <c r="G92" s="109"/>
      <c r="H92" s="113"/>
      <c r="I92" s="113"/>
      <c r="J92" s="113"/>
    </row>
    <row r="93" spans="2:10" ht="14.45" customHeight="1">
      <c r="F93" s="109"/>
      <c r="G93" s="109"/>
      <c r="H93" s="113"/>
      <c r="I93" s="113"/>
      <c r="J93" s="113"/>
    </row>
    <row r="94" spans="2:10" ht="14.45" customHeight="1">
      <c r="F94" s="109"/>
      <c r="G94" s="109"/>
      <c r="H94" s="113"/>
      <c r="I94" s="113"/>
      <c r="J94" s="113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3C3744-69EF-4A45-8BE1-8329F3642DC0}"/>
</file>

<file path=customXml/itemProps2.xml><?xml version="1.0" encoding="utf-8"?>
<ds:datastoreItem xmlns:ds="http://schemas.openxmlformats.org/officeDocument/2006/customXml" ds:itemID="{A21533E1-6F74-401B-AA3A-EE1E7BF1EF35}"/>
</file>

<file path=customXml/itemProps3.xml><?xml version="1.0" encoding="utf-8"?>
<ds:datastoreItem xmlns:ds="http://schemas.openxmlformats.org/officeDocument/2006/customXml" ds:itemID="{622735B6-8660-4FD0-BBE1-145180887A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USDOT\NHTSA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/>
  <cp:revision/>
  <dcterms:created xsi:type="dcterms:W3CDTF">2007-06-14T17:31:50Z</dcterms:created>
  <dcterms:modified xsi:type="dcterms:W3CDTF">2023-10-13T18:17:21Z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0x0101005B67560245691448BE983DF1D6134782</vt:lpwstr>
  </property>
</Properties>
</file>