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2 web and docket data\"/>
    </mc:Choice>
  </mc:AlternateContent>
  <xr:revisionPtr revIDLastSave="0" documentId="13_ncr:1_{18E9277A-C89F-492B-A4E5-80DDEF799035}" xr6:coauthVersionLast="47" xr6:coauthVersionMax="47" xr10:uidLastSave="{00000000-0000-0000-0000-000000000000}"/>
  <bookViews>
    <workbookView xWindow="825" yWindow="60" windowWidth="34500" windowHeight="18615" tabRatio="462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31" l="1"/>
  <c r="B83" i="31"/>
  <c r="T79" i="22"/>
  <c r="S79" i="22"/>
  <c r="R79" i="22"/>
  <c r="Q79" i="22"/>
  <c r="C79" i="29"/>
  <c r="D79" i="29"/>
  <c r="F79" i="29"/>
  <c r="L79" i="29"/>
  <c r="M79" i="29"/>
  <c r="D86" i="31"/>
  <c r="C86" i="31"/>
  <c r="B86" i="31"/>
  <c r="D85" i="31"/>
  <c r="C85" i="31"/>
  <c r="B85" i="31"/>
  <c r="M86" i="29"/>
  <c r="L86" i="29"/>
  <c r="F86" i="29"/>
  <c r="D86" i="29"/>
  <c r="C86" i="29"/>
  <c r="M85" i="29"/>
  <c r="L85" i="29"/>
  <c r="F85" i="29"/>
  <c r="D85" i="29"/>
  <c r="C85" i="29"/>
  <c r="V86" i="22"/>
  <c r="U86" i="22"/>
  <c r="T86" i="22"/>
  <c r="S86" i="22"/>
  <c r="R86" i="22"/>
  <c r="Q86" i="22"/>
  <c r="F86" i="22"/>
  <c r="D86" i="22"/>
  <c r="C86" i="22"/>
  <c r="V85" i="22"/>
  <c r="U85" i="22"/>
  <c r="T85" i="22"/>
  <c r="S85" i="22"/>
  <c r="R85" i="22"/>
  <c r="Q85" i="22"/>
  <c r="F85" i="22"/>
  <c r="D85" i="22"/>
  <c r="C85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C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G86" i="24"/>
  <c r="H86" i="24" s="1"/>
  <c r="I86" i="24" s="1"/>
  <c r="J86" i="24" s="1"/>
  <c r="N86" i="31" s="1"/>
  <c r="G85" i="24"/>
  <c r="H85" i="24" s="1"/>
  <c r="I85" i="24" s="1"/>
  <c r="J85" i="24" s="1"/>
  <c r="N85" i="31" s="1"/>
  <c r="X86" i="22" l="1"/>
  <c r="AA86" i="22" s="1"/>
  <c r="AD86" i="22" s="1"/>
  <c r="I86" i="31" s="1"/>
  <c r="N86" i="29"/>
  <c r="O86" i="29" s="1"/>
  <c r="P86" i="29" s="1"/>
  <c r="K86" i="31" s="1"/>
  <c r="AF85" i="21"/>
  <c r="AF86" i="21"/>
  <c r="W79" i="22"/>
  <c r="Z79" i="22" s="1"/>
  <c r="N79" i="29"/>
  <c r="O79" i="29" s="1"/>
  <c r="N85" i="29"/>
  <c r="O85" i="29" s="1"/>
  <c r="P85" i="29" s="1"/>
  <c r="K85" i="31" s="1"/>
  <c r="W86" i="22"/>
  <c r="AA85" i="21"/>
  <c r="AK85" i="21"/>
  <c r="AP85" i="21"/>
  <c r="AA86" i="21"/>
  <c r="AQ86" i="21" s="1"/>
  <c r="AT86" i="21" s="1"/>
  <c r="AW86" i="21" s="1"/>
  <c r="E86" i="31" s="1"/>
  <c r="W85" i="22"/>
  <c r="Z85" i="22" s="1"/>
  <c r="AC85" i="22" s="1"/>
  <c r="H85" i="31" s="1"/>
  <c r="X85" i="22"/>
  <c r="AA85" i="22" s="1"/>
  <c r="AD85" i="22" s="1"/>
  <c r="I85" i="31" s="1"/>
  <c r="AK86" i="21"/>
  <c r="AP86" i="21"/>
  <c r="T86" i="29" l="1"/>
  <c r="U86" i="29" s="1"/>
  <c r="V86" i="29" s="1"/>
  <c r="M86" i="31" s="1"/>
  <c r="Y85" i="22"/>
  <c r="AB85" i="22" s="1"/>
  <c r="AE85" i="22" s="1"/>
  <c r="J85" i="31" s="1"/>
  <c r="AR85" i="21"/>
  <c r="AU85" i="21" s="1"/>
  <c r="AX85" i="21" s="1"/>
  <c r="F85" i="31" s="1"/>
  <c r="AQ85" i="21"/>
  <c r="AT85" i="21" s="1"/>
  <c r="AW85" i="21" s="1"/>
  <c r="E85" i="31" s="1"/>
  <c r="Q85" i="29"/>
  <c r="R85" i="29" s="1"/>
  <c r="S85" i="29" s="1"/>
  <c r="L85" i="31" s="1"/>
  <c r="Q86" i="29"/>
  <c r="R86" i="29" s="1"/>
  <c r="S86" i="29" s="1"/>
  <c r="L86" i="31" s="1"/>
  <c r="Z86" i="22"/>
  <c r="AC86" i="22" s="1"/>
  <c r="H86" i="31" s="1"/>
  <c r="Y86" i="22"/>
  <c r="AB86" i="22" s="1"/>
  <c r="AE86" i="22" s="1"/>
  <c r="J86" i="31" s="1"/>
  <c r="AR86" i="21"/>
  <c r="AS86" i="21" s="1"/>
  <c r="AV86" i="21" s="1"/>
  <c r="T85" i="29"/>
  <c r="U85" i="29" s="1"/>
  <c r="V85" i="29" s="1"/>
  <c r="M85" i="31" s="1"/>
  <c r="C13" i="29"/>
  <c r="C14" i="29"/>
  <c r="D84" i="21"/>
  <c r="B79" i="31"/>
  <c r="C79" i="31"/>
  <c r="D79" i="31"/>
  <c r="U79" i="22"/>
  <c r="V79" i="22"/>
  <c r="F79" i="22"/>
  <c r="C79" i="22"/>
  <c r="D79" i="22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F79" i="21"/>
  <c r="C79" i="21"/>
  <c r="D79" i="21"/>
  <c r="G79" i="24"/>
  <c r="H79" i="24" s="1"/>
  <c r="I79" i="24" s="1"/>
  <c r="J79" i="24" s="1"/>
  <c r="N79" i="31" s="1"/>
  <c r="D77" i="31"/>
  <c r="C77" i="31"/>
  <c r="B77" i="31"/>
  <c r="M77" i="29"/>
  <c r="L77" i="29"/>
  <c r="F77" i="29"/>
  <c r="D77" i="29"/>
  <c r="C77" i="29"/>
  <c r="V77" i="22"/>
  <c r="U77" i="22"/>
  <c r="T77" i="22"/>
  <c r="S77" i="22"/>
  <c r="R77" i="22"/>
  <c r="Q77" i="22"/>
  <c r="F77" i="22"/>
  <c r="D77" i="22"/>
  <c r="C77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G77" i="24"/>
  <c r="H77" i="24" s="1"/>
  <c r="I77" i="24" s="1"/>
  <c r="J77" i="24" s="1"/>
  <c r="N77" i="31" s="1"/>
  <c r="C41" i="31"/>
  <c r="AS85" i="21" l="1"/>
  <c r="AV85" i="21" s="1"/>
  <c r="AY85" i="21" s="1"/>
  <c r="G85" i="31" s="1"/>
  <c r="AU86" i="21"/>
  <c r="AX86" i="21" s="1"/>
  <c r="F86" i="31" s="1"/>
  <c r="AF77" i="21"/>
  <c r="P79" i="29"/>
  <c r="K79" i="31" s="1"/>
  <c r="O85" i="31"/>
  <c r="P85" i="31" s="1"/>
  <c r="AY86" i="21"/>
  <c r="G86" i="31" s="1"/>
  <c r="O86" i="31"/>
  <c r="P86" i="31" s="1"/>
  <c r="N77" i="29"/>
  <c r="O77" i="29" s="1"/>
  <c r="P77" i="29" s="1"/>
  <c r="K77" i="31" s="1"/>
  <c r="X77" i="22"/>
  <c r="AA77" i="22" s="1"/>
  <c r="AD77" i="22" s="1"/>
  <c r="I77" i="31" s="1"/>
  <c r="AA79" i="21"/>
  <c r="AK79" i="21"/>
  <c r="AP79" i="21"/>
  <c r="AF79" i="21"/>
  <c r="AQ79" i="21" s="1"/>
  <c r="AT79" i="21" s="1"/>
  <c r="AW79" i="21" s="1"/>
  <c r="E79" i="31" s="1"/>
  <c r="X79" i="22"/>
  <c r="AA79" i="22" s="1"/>
  <c r="AD79" i="22" s="1"/>
  <c r="I79" i="31" s="1"/>
  <c r="AK77" i="21"/>
  <c r="W77" i="22"/>
  <c r="AP77" i="21"/>
  <c r="AA77" i="21"/>
  <c r="B24" i="31"/>
  <c r="C24" i="31"/>
  <c r="D24" i="31"/>
  <c r="B25" i="31"/>
  <c r="C25" i="31"/>
  <c r="D25" i="31"/>
  <c r="B26" i="31"/>
  <c r="C26" i="31"/>
  <c r="D26" i="31"/>
  <c r="B27" i="31"/>
  <c r="C27" i="31"/>
  <c r="D27" i="31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42" i="24"/>
  <c r="H42" i="24" s="1"/>
  <c r="I42" i="24" s="1"/>
  <c r="G41" i="24"/>
  <c r="H41" i="24" s="1"/>
  <c r="I41" i="24" s="1"/>
  <c r="D42" i="31"/>
  <c r="C42" i="31"/>
  <c r="B42" i="31"/>
  <c r="D41" i="31"/>
  <c r="B41" i="31"/>
  <c r="M42" i="29"/>
  <c r="L42" i="29"/>
  <c r="F42" i="29"/>
  <c r="D42" i="29"/>
  <c r="C42" i="29"/>
  <c r="M41" i="29"/>
  <c r="L41" i="29"/>
  <c r="F41" i="29"/>
  <c r="D41" i="29"/>
  <c r="C41" i="29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G37" i="24"/>
  <c r="H37" i="24" s="1"/>
  <c r="I37" i="24" s="1"/>
  <c r="G36" i="24"/>
  <c r="H36" i="24" s="1"/>
  <c r="I36" i="24" s="1"/>
  <c r="G35" i="24"/>
  <c r="H35" i="24" s="1"/>
  <c r="I35" i="24" s="1"/>
  <c r="G34" i="24"/>
  <c r="H34" i="24" s="1"/>
  <c r="I34" i="24" s="1"/>
  <c r="G33" i="24"/>
  <c r="H33" i="24" s="1"/>
  <c r="I33" i="24" s="1"/>
  <c r="J33" i="24" s="1"/>
  <c r="N33" i="31" s="1"/>
  <c r="G32" i="24"/>
  <c r="H32" i="24" s="1"/>
  <c r="I32" i="24" s="1"/>
  <c r="G31" i="24"/>
  <c r="H31" i="24" s="1"/>
  <c r="I31" i="24" s="1"/>
  <c r="J31" i="24" s="1"/>
  <c r="N31" i="31" s="1"/>
  <c r="G30" i="24"/>
  <c r="H30" i="24" s="1"/>
  <c r="I30" i="24" s="1"/>
  <c r="G29" i="24"/>
  <c r="H29" i="24" s="1"/>
  <c r="I29" i="24" s="1"/>
  <c r="G28" i="24"/>
  <c r="H28" i="24" s="1"/>
  <c r="I28" i="24" s="1"/>
  <c r="G23" i="24"/>
  <c r="H23" i="24" s="1"/>
  <c r="I23" i="24" s="1"/>
  <c r="J23" i="24" s="1"/>
  <c r="N23" i="31" s="1"/>
  <c r="G22" i="24"/>
  <c r="H22" i="24" s="1"/>
  <c r="I22" i="24" s="1"/>
  <c r="G21" i="24"/>
  <c r="H21" i="24" s="1"/>
  <c r="I21" i="24" s="1"/>
  <c r="G20" i="24"/>
  <c r="H20" i="24" s="1"/>
  <c r="I20" i="24" s="1"/>
  <c r="D37" i="31"/>
  <c r="C37" i="31"/>
  <c r="B37" i="31"/>
  <c r="D36" i="31"/>
  <c r="C36" i="31"/>
  <c r="B36" i="31"/>
  <c r="D35" i="31"/>
  <c r="C35" i="31"/>
  <c r="B35" i="31"/>
  <c r="D34" i="31"/>
  <c r="C34" i="31"/>
  <c r="B34" i="3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3" i="31"/>
  <c r="C23" i="31"/>
  <c r="B23" i="31"/>
  <c r="D22" i="31"/>
  <c r="C22" i="31"/>
  <c r="B22" i="31"/>
  <c r="D21" i="31"/>
  <c r="C21" i="31"/>
  <c r="B21" i="31"/>
  <c r="D20" i="31"/>
  <c r="C20" i="31"/>
  <c r="B20" i="31"/>
  <c r="M37" i="29"/>
  <c r="L37" i="29"/>
  <c r="F37" i="29"/>
  <c r="D37" i="29"/>
  <c r="C37" i="29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V23" i="22"/>
  <c r="U23" i="22"/>
  <c r="T23" i="22"/>
  <c r="S23" i="22"/>
  <c r="R23" i="22"/>
  <c r="Q23" i="22"/>
  <c r="F23" i="22"/>
  <c r="D23" i="22"/>
  <c r="C23" i="22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D16" i="31"/>
  <c r="C16" i="31"/>
  <c r="B16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M16" i="29"/>
  <c r="L16" i="29"/>
  <c r="F16" i="29"/>
  <c r="D16" i="29"/>
  <c r="C16" i="29"/>
  <c r="M15" i="29"/>
  <c r="L15" i="29"/>
  <c r="F15" i="29"/>
  <c r="D15" i="29"/>
  <c r="C15" i="29"/>
  <c r="M14" i="29"/>
  <c r="L14" i="29"/>
  <c r="F14" i="29"/>
  <c r="D14" i="29"/>
  <c r="M13" i="29"/>
  <c r="L13" i="29"/>
  <c r="F13" i="29"/>
  <c r="D13" i="29"/>
  <c r="M12" i="29"/>
  <c r="L12" i="29"/>
  <c r="F12" i="29"/>
  <c r="D12" i="29"/>
  <c r="C12" i="29"/>
  <c r="M11" i="29"/>
  <c r="L11" i="29"/>
  <c r="F11" i="29"/>
  <c r="D11" i="29"/>
  <c r="C11" i="29"/>
  <c r="M10" i="29"/>
  <c r="L10" i="29"/>
  <c r="F10" i="29"/>
  <c r="D10" i="29"/>
  <c r="C10" i="29"/>
  <c r="M9" i="29"/>
  <c r="L9" i="29"/>
  <c r="F9" i="29"/>
  <c r="D9" i="29"/>
  <c r="C9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10" i="24"/>
  <c r="H10" i="24" s="1"/>
  <c r="I10" i="24" s="1"/>
  <c r="J10" i="24" s="1"/>
  <c r="N10" i="31" s="1"/>
  <c r="G9" i="24"/>
  <c r="H9" i="24" s="1"/>
  <c r="I9" i="24" s="1"/>
  <c r="J9" i="24" s="1"/>
  <c r="N9" i="31" s="1"/>
  <c r="G8" i="24"/>
  <c r="H8" i="24" s="1"/>
  <c r="I8" i="24" s="1"/>
  <c r="J8" i="24" s="1"/>
  <c r="G7" i="24"/>
  <c r="H7" i="24" s="1"/>
  <c r="I7" i="24" s="1"/>
  <c r="J7" i="24" s="1"/>
  <c r="D8" i="31"/>
  <c r="C8" i="31"/>
  <c r="B8" i="31"/>
  <c r="D7" i="31"/>
  <c r="C7" i="31"/>
  <c r="B7" i="31"/>
  <c r="F7" i="29"/>
  <c r="M8" i="29"/>
  <c r="L8" i="29"/>
  <c r="F8" i="29"/>
  <c r="D8" i="29"/>
  <c r="C8" i="29"/>
  <c r="M7" i="29"/>
  <c r="L7" i="29"/>
  <c r="D7" i="29"/>
  <c r="C7" i="29"/>
  <c r="V8" i="22"/>
  <c r="U8" i="22"/>
  <c r="T8" i="22"/>
  <c r="S8" i="22"/>
  <c r="R8" i="22"/>
  <c r="Q8" i="22"/>
  <c r="F8" i="22"/>
  <c r="C8" i="22"/>
  <c r="V7" i="22"/>
  <c r="U7" i="22"/>
  <c r="T7" i="22"/>
  <c r="S7" i="22"/>
  <c r="R7" i="22"/>
  <c r="Q7" i="22"/>
  <c r="D7" i="22"/>
  <c r="C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6" i="24"/>
  <c r="H6" i="24" s="1"/>
  <c r="I6" i="24" s="1"/>
  <c r="G5" i="24"/>
  <c r="H5" i="24" s="1"/>
  <c r="I5" i="24" s="1"/>
  <c r="D6" i="31"/>
  <c r="C6" i="31"/>
  <c r="B6" i="31"/>
  <c r="D5" i="31"/>
  <c r="C5" i="31"/>
  <c r="B5" i="31"/>
  <c r="M6" i="29"/>
  <c r="L6" i="29"/>
  <c r="F6" i="29"/>
  <c r="D6" i="29"/>
  <c r="C6" i="29"/>
  <c r="M5" i="29"/>
  <c r="L5" i="29"/>
  <c r="F5" i="29"/>
  <c r="D5" i="29"/>
  <c r="C5" i="29"/>
  <c r="V6" i="22"/>
  <c r="U6" i="22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AR79" i="21" l="1"/>
  <c r="AU79" i="21" s="1"/>
  <c r="AX79" i="21" s="1"/>
  <c r="F79" i="31" s="1"/>
  <c r="N24" i="29"/>
  <c r="O24" i="29" s="1"/>
  <c r="P24" i="29" s="1"/>
  <c r="K24" i="31" s="1"/>
  <c r="Y79" i="22"/>
  <c r="AB79" i="22" s="1"/>
  <c r="AE79" i="22" s="1"/>
  <c r="J79" i="31" s="1"/>
  <c r="AQ77" i="21"/>
  <c r="AT77" i="21" s="1"/>
  <c r="AW77" i="21" s="1"/>
  <c r="E77" i="31" s="1"/>
  <c r="T77" i="29"/>
  <c r="U77" i="29" s="1"/>
  <c r="V77" i="29" s="1"/>
  <c r="M77" i="31" s="1"/>
  <c r="AC79" i="22"/>
  <c r="H79" i="31" s="1"/>
  <c r="T79" i="29"/>
  <c r="U79" i="29" s="1"/>
  <c r="V79" i="29" s="1"/>
  <c r="M79" i="31" s="1"/>
  <c r="Y77" i="22"/>
  <c r="AB77" i="22" s="1"/>
  <c r="AE77" i="22" s="1"/>
  <c r="J77" i="31" s="1"/>
  <c r="Q79" i="29"/>
  <c r="R79" i="29" s="1"/>
  <c r="S79" i="29" s="1"/>
  <c r="L79" i="31" s="1"/>
  <c r="Z77" i="22"/>
  <c r="AC77" i="22" s="1"/>
  <c r="H77" i="31" s="1"/>
  <c r="Q77" i="29"/>
  <c r="R77" i="29" s="1"/>
  <c r="S77" i="29" s="1"/>
  <c r="L77" i="31" s="1"/>
  <c r="AR77" i="21"/>
  <c r="AS77" i="21" s="1"/>
  <c r="AV77" i="21" s="1"/>
  <c r="AS79" i="21"/>
  <c r="AV79" i="21" s="1"/>
  <c r="AK25" i="21"/>
  <c r="AA24" i="21"/>
  <c r="AK26" i="21"/>
  <c r="W25" i="22"/>
  <c r="Z25" i="22" s="1"/>
  <c r="AC25" i="22" s="1"/>
  <c r="H25" i="31" s="1"/>
  <c r="AP25" i="21"/>
  <c r="X27" i="22"/>
  <c r="AA27" i="22" s="1"/>
  <c r="AD27" i="22" s="1"/>
  <c r="I27" i="31" s="1"/>
  <c r="X25" i="22"/>
  <c r="AA25" i="22" s="1"/>
  <c r="AD25" i="22" s="1"/>
  <c r="I25" i="31" s="1"/>
  <c r="N27" i="29"/>
  <c r="O27" i="29" s="1"/>
  <c r="P27" i="29" s="1"/>
  <c r="K27" i="31" s="1"/>
  <c r="N25" i="29"/>
  <c r="O25" i="29" s="1"/>
  <c r="P25" i="29" s="1"/>
  <c r="K25" i="31" s="1"/>
  <c r="N26" i="29"/>
  <c r="O26" i="29" s="1"/>
  <c r="P26" i="29" s="1"/>
  <c r="K26" i="31" s="1"/>
  <c r="W26" i="22"/>
  <c r="W24" i="22"/>
  <c r="Z24" i="22" s="1"/>
  <c r="AC24" i="22" s="1"/>
  <c r="H24" i="31" s="1"/>
  <c r="X24" i="22"/>
  <c r="AA24" i="22" s="1"/>
  <c r="AD24" i="22" s="1"/>
  <c r="I24" i="31" s="1"/>
  <c r="AP26" i="21"/>
  <c r="AF26" i="21"/>
  <c r="AK24" i="21"/>
  <c r="X42" i="22"/>
  <c r="AA42" i="22" s="1"/>
  <c r="AD42" i="22" s="1"/>
  <c r="I42" i="31" s="1"/>
  <c r="AF25" i="21"/>
  <c r="X26" i="22"/>
  <c r="AA26" i="22" s="1"/>
  <c r="AD26" i="22" s="1"/>
  <c r="I26" i="31" s="1"/>
  <c r="X36" i="22"/>
  <c r="AA36" i="22" s="1"/>
  <c r="AD36" i="22" s="1"/>
  <c r="I36" i="31" s="1"/>
  <c r="AK27" i="21"/>
  <c r="AA27" i="21"/>
  <c r="AA26" i="21"/>
  <c r="X37" i="22"/>
  <c r="AA37" i="22" s="1"/>
  <c r="AD37" i="22" s="1"/>
  <c r="I37" i="31" s="1"/>
  <c r="AP24" i="21"/>
  <c r="AF24" i="21"/>
  <c r="W27" i="22"/>
  <c r="AF27" i="21"/>
  <c r="AA25" i="21"/>
  <c r="AF42" i="21"/>
  <c r="AP27" i="21"/>
  <c r="N41" i="29"/>
  <c r="O41" i="29" s="1"/>
  <c r="P41" i="29" s="1"/>
  <c r="K41" i="31" s="1"/>
  <c r="AF28" i="21"/>
  <c r="AP42" i="21"/>
  <c r="AF37" i="21"/>
  <c r="AK41" i="21"/>
  <c r="X41" i="22"/>
  <c r="AA41" i="22" s="1"/>
  <c r="AD41" i="22" s="1"/>
  <c r="I41" i="31" s="1"/>
  <c r="N30" i="29"/>
  <c r="O30" i="29" s="1"/>
  <c r="P30" i="29" s="1"/>
  <c r="K30" i="31" s="1"/>
  <c r="N42" i="29"/>
  <c r="O42" i="29" s="1"/>
  <c r="P42" i="29" s="1"/>
  <c r="K42" i="31" s="1"/>
  <c r="X32" i="22"/>
  <c r="AA32" i="22" s="1"/>
  <c r="AD32" i="22" s="1"/>
  <c r="I32" i="31" s="1"/>
  <c r="AF41" i="21"/>
  <c r="AA41" i="21"/>
  <c r="W42" i="22"/>
  <c r="X33" i="22"/>
  <c r="AA33" i="22" s="1"/>
  <c r="AD33" i="22" s="1"/>
  <c r="I33" i="31" s="1"/>
  <c r="AK36" i="21"/>
  <c r="AA42" i="21"/>
  <c r="AK42" i="21"/>
  <c r="AP41" i="21"/>
  <c r="AK28" i="21"/>
  <c r="W41" i="22"/>
  <c r="J41" i="24"/>
  <c r="N41" i="31" s="1"/>
  <c r="J42" i="24"/>
  <c r="N42" i="31" s="1"/>
  <c r="N22" i="29"/>
  <c r="O22" i="29" s="1"/>
  <c r="P22" i="29" s="1"/>
  <c r="K22" i="31" s="1"/>
  <c r="N34" i="29"/>
  <c r="O34" i="29" s="1"/>
  <c r="P34" i="29" s="1"/>
  <c r="K34" i="31" s="1"/>
  <c r="N35" i="29"/>
  <c r="O35" i="29" s="1"/>
  <c r="P35" i="29" s="1"/>
  <c r="K35" i="31" s="1"/>
  <c r="N20" i="29"/>
  <c r="O20" i="29" s="1"/>
  <c r="P20" i="29" s="1"/>
  <c r="K20" i="31" s="1"/>
  <c r="N29" i="29"/>
  <c r="O29" i="29" s="1"/>
  <c r="P29" i="29" s="1"/>
  <c r="K29" i="31" s="1"/>
  <c r="N36" i="29"/>
  <c r="N32" i="29"/>
  <c r="N28" i="29"/>
  <c r="O28" i="29" s="1"/>
  <c r="P28" i="29" s="1"/>
  <c r="K28" i="31" s="1"/>
  <c r="N31" i="29"/>
  <c r="O31" i="29" s="1"/>
  <c r="P31" i="29" s="1"/>
  <c r="K31" i="31" s="1"/>
  <c r="N23" i="29"/>
  <c r="O23" i="29" s="1"/>
  <c r="P23" i="29" s="1"/>
  <c r="K23" i="31" s="1"/>
  <c r="N33" i="29"/>
  <c r="O33" i="29" s="1"/>
  <c r="P33" i="29" s="1"/>
  <c r="K33" i="31" s="1"/>
  <c r="N37" i="29"/>
  <c r="O37" i="29" s="1"/>
  <c r="P37" i="29" s="1"/>
  <c r="K37" i="31" s="1"/>
  <c r="W32" i="22"/>
  <c r="Z32" i="22" s="1"/>
  <c r="AC32" i="22" s="1"/>
  <c r="H32" i="31" s="1"/>
  <c r="X31" i="22"/>
  <c r="AA31" i="22" s="1"/>
  <c r="AD31" i="22" s="1"/>
  <c r="I31" i="31" s="1"/>
  <c r="W28" i="22"/>
  <c r="Z28" i="22" s="1"/>
  <c r="AC28" i="22" s="1"/>
  <c r="H28" i="31" s="1"/>
  <c r="W37" i="22"/>
  <c r="Z37" i="22" s="1"/>
  <c r="AC37" i="22" s="1"/>
  <c r="H37" i="31" s="1"/>
  <c r="W34" i="22"/>
  <c r="X10" i="22"/>
  <c r="AA10" i="22" s="1"/>
  <c r="AD10" i="22" s="1"/>
  <c r="I10" i="31" s="1"/>
  <c r="W20" i="22"/>
  <c r="Z20" i="22" s="1"/>
  <c r="AC20" i="22" s="1"/>
  <c r="H20" i="31" s="1"/>
  <c r="X28" i="22"/>
  <c r="AA28" i="22" s="1"/>
  <c r="AD28" i="22" s="1"/>
  <c r="I28" i="31" s="1"/>
  <c r="W31" i="22"/>
  <c r="W30" i="22"/>
  <c r="X34" i="22"/>
  <c r="AA34" i="22" s="1"/>
  <c r="AD34" i="22" s="1"/>
  <c r="I34" i="31" s="1"/>
  <c r="X29" i="22"/>
  <c r="AA29" i="22" s="1"/>
  <c r="AD29" i="22" s="1"/>
  <c r="I29" i="31" s="1"/>
  <c r="X35" i="22"/>
  <c r="AA35" i="22" s="1"/>
  <c r="AD35" i="22" s="1"/>
  <c r="I35" i="31" s="1"/>
  <c r="X20" i="22"/>
  <c r="AA20" i="22" s="1"/>
  <c r="AD20" i="22" s="1"/>
  <c r="I20" i="31" s="1"/>
  <c r="X30" i="22"/>
  <c r="AA30" i="22" s="1"/>
  <c r="AD30" i="22" s="1"/>
  <c r="I30" i="31" s="1"/>
  <c r="W33" i="22"/>
  <c r="Z33" i="22" s="1"/>
  <c r="AC33" i="22" s="1"/>
  <c r="H33" i="31" s="1"/>
  <c r="W36" i="22"/>
  <c r="X23" i="22"/>
  <c r="AA23" i="22" s="1"/>
  <c r="AD23" i="22" s="1"/>
  <c r="I23" i="31" s="1"/>
  <c r="W29" i="22"/>
  <c r="W35" i="22"/>
  <c r="Z35" i="22" s="1"/>
  <c r="AC35" i="22" s="1"/>
  <c r="H35" i="31" s="1"/>
  <c r="AP29" i="21"/>
  <c r="AP22" i="21"/>
  <c r="AF32" i="21"/>
  <c r="AF33" i="21"/>
  <c r="AF22" i="21"/>
  <c r="AA36" i="21"/>
  <c r="AF29" i="21"/>
  <c r="AA28" i="21"/>
  <c r="AP33" i="21"/>
  <c r="AF36" i="21"/>
  <c r="AF21" i="21"/>
  <c r="AF34" i="21"/>
  <c r="AF35" i="21"/>
  <c r="AF23" i="21"/>
  <c r="AP35" i="21"/>
  <c r="AF20" i="21"/>
  <c r="AP21" i="21"/>
  <c r="AP30" i="21"/>
  <c r="AK33" i="21"/>
  <c r="AF30" i="21"/>
  <c r="AA33" i="21"/>
  <c r="AK20" i="21"/>
  <c r="AK35" i="21"/>
  <c r="AR35" i="21" s="1"/>
  <c r="AA20" i="21"/>
  <c r="AA35" i="21"/>
  <c r="AP36" i="21"/>
  <c r="AA21" i="21"/>
  <c r="AK21" i="21"/>
  <c r="AP23" i="21"/>
  <c r="AA29" i="21"/>
  <c r="AK29" i="21"/>
  <c r="AF31" i="21"/>
  <c r="AA34" i="21"/>
  <c r="AK34" i="21"/>
  <c r="AP20" i="21"/>
  <c r="AA22" i="21"/>
  <c r="AK22" i="21"/>
  <c r="AP28" i="21"/>
  <c r="AA30" i="21"/>
  <c r="AK30" i="21"/>
  <c r="AP37" i="21"/>
  <c r="AA23" i="21"/>
  <c r="AK23" i="21"/>
  <c r="AK32" i="21"/>
  <c r="AP34" i="21"/>
  <c r="AA37" i="21"/>
  <c r="AK37" i="21"/>
  <c r="AP31" i="21"/>
  <c r="AP32" i="21"/>
  <c r="AK31" i="21"/>
  <c r="AA31" i="21"/>
  <c r="AA32" i="21"/>
  <c r="N21" i="29"/>
  <c r="O21" i="29" s="1"/>
  <c r="P21" i="29" s="1"/>
  <c r="K21" i="31" s="1"/>
  <c r="X21" i="22"/>
  <c r="AA21" i="22" s="1"/>
  <c r="AD21" i="22" s="1"/>
  <c r="I21" i="31" s="1"/>
  <c r="X22" i="22"/>
  <c r="AA22" i="22" s="1"/>
  <c r="AD22" i="22" s="1"/>
  <c r="I22" i="31" s="1"/>
  <c r="W22" i="22"/>
  <c r="W21" i="22"/>
  <c r="Z21" i="22" s="1"/>
  <c r="AC21" i="22" s="1"/>
  <c r="H21" i="31" s="1"/>
  <c r="W23" i="22"/>
  <c r="J37" i="24"/>
  <c r="N37" i="31" s="1"/>
  <c r="J34" i="24"/>
  <c r="N34" i="31" s="1"/>
  <c r="J28" i="24"/>
  <c r="N28" i="31" s="1"/>
  <c r="J32" i="24"/>
  <c r="N32" i="31" s="1"/>
  <c r="J22" i="24"/>
  <c r="N22" i="31" s="1"/>
  <c r="J30" i="24"/>
  <c r="N30" i="31" s="1"/>
  <c r="J20" i="24"/>
  <c r="N20" i="31" s="1"/>
  <c r="J21" i="24"/>
  <c r="N21" i="31" s="1"/>
  <c r="J29" i="24"/>
  <c r="N29" i="31" s="1"/>
  <c r="J35" i="24"/>
  <c r="N35" i="31" s="1"/>
  <c r="J36" i="24"/>
  <c r="N36" i="31" s="1"/>
  <c r="N12" i="29"/>
  <c r="N16" i="29"/>
  <c r="O16" i="29" s="1"/>
  <c r="P16" i="29" s="1"/>
  <c r="K16" i="31" s="1"/>
  <c r="N13" i="29"/>
  <c r="O13" i="29" s="1"/>
  <c r="P13" i="29" s="1"/>
  <c r="K13" i="31" s="1"/>
  <c r="N14" i="29"/>
  <c r="O14" i="29" s="1"/>
  <c r="P14" i="29" s="1"/>
  <c r="K14" i="31" s="1"/>
  <c r="W16" i="22"/>
  <c r="X9" i="22"/>
  <c r="AA9" i="22" s="1"/>
  <c r="AD9" i="22" s="1"/>
  <c r="I9" i="31" s="1"/>
  <c r="X16" i="22"/>
  <c r="AA16" i="22" s="1"/>
  <c r="AD16" i="22" s="1"/>
  <c r="I16" i="31" s="1"/>
  <c r="X14" i="22"/>
  <c r="AA14" i="22" s="1"/>
  <c r="AD14" i="22" s="1"/>
  <c r="I14" i="31" s="1"/>
  <c r="X13" i="22"/>
  <c r="AA13" i="22" s="1"/>
  <c r="AD13" i="22" s="1"/>
  <c r="I13" i="31" s="1"/>
  <c r="W13" i="22"/>
  <c r="Z13" i="22" s="1"/>
  <c r="AC13" i="22" s="1"/>
  <c r="H13" i="31" s="1"/>
  <c r="W14" i="22"/>
  <c r="W9" i="22"/>
  <c r="Z9" i="22" s="1"/>
  <c r="AC9" i="22" s="1"/>
  <c r="H9" i="31" s="1"/>
  <c r="AF10" i="21"/>
  <c r="AP13" i="21"/>
  <c r="AP11" i="21"/>
  <c r="AK16" i="21"/>
  <c r="AF12" i="21"/>
  <c r="AP16" i="21"/>
  <c r="AF16" i="21"/>
  <c r="AA16" i="21"/>
  <c r="AA10" i="21"/>
  <c r="AP15" i="21"/>
  <c r="AK15" i="21"/>
  <c r="AF14" i="21"/>
  <c r="AF9" i="21"/>
  <c r="AP10" i="21"/>
  <c r="AK12" i="21"/>
  <c r="AA13" i="21"/>
  <c r="N15" i="29"/>
  <c r="O15" i="29" s="1"/>
  <c r="P15" i="29" s="1"/>
  <c r="K15" i="31" s="1"/>
  <c r="N9" i="29"/>
  <c r="O9" i="29" s="1"/>
  <c r="P9" i="29" s="1"/>
  <c r="K9" i="31" s="1"/>
  <c r="X11" i="22"/>
  <c r="AA11" i="22" s="1"/>
  <c r="AD11" i="22" s="1"/>
  <c r="I11" i="31" s="1"/>
  <c r="X12" i="22"/>
  <c r="AA12" i="22" s="1"/>
  <c r="AD12" i="22" s="1"/>
  <c r="I12" i="31" s="1"/>
  <c r="W15" i="22"/>
  <c r="Z15" i="22" s="1"/>
  <c r="AC15" i="22" s="1"/>
  <c r="H15" i="31" s="1"/>
  <c r="X15" i="22"/>
  <c r="AA15" i="22" s="1"/>
  <c r="AD15" i="22" s="1"/>
  <c r="I15" i="31" s="1"/>
  <c r="AA9" i="21"/>
  <c r="AF13" i="21"/>
  <c r="AP14" i="21"/>
  <c r="AK9" i="21"/>
  <c r="AK10" i="21"/>
  <c r="AA11" i="21"/>
  <c r="AF15" i="21"/>
  <c r="AP9" i="21"/>
  <c r="AK11" i="21"/>
  <c r="AA12" i="21"/>
  <c r="AK13" i="21"/>
  <c r="AA14" i="21"/>
  <c r="AF11" i="21"/>
  <c r="AP12" i="21"/>
  <c r="AK14" i="21"/>
  <c r="AA15" i="21"/>
  <c r="N11" i="29"/>
  <c r="O11" i="29" s="1"/>
  <c r="P11" i="29" s="1"/>
  <c r="K11" i="31" s="1"/>
  <c r="N10" i="29"/>
  <c r="W10" i="22"/>
  <c r="W11" i="22"/>
  <c r="Z11" i="22" s="1"/>
  <c r="AC11" i="22" s="1"/>
  <c r="H11" i="31" s="1"/>
  <c r="W12" i="22"/>
  <c r="Z12" i="22" s="1"/>
  <c r="AC12" i="22" s="1"/>
  <c r="H12" i="31" s="1"/>
  <c r="W8" i="22"/>
  <c r="X7" i="22"/>
  <c r="AA7" i="22" s="1"/>
  <c r="AD7" i="22" s="1"/>
  <c r="X8" i="22"/>
  <c r="AA8" i="22" s="1"/>
  <c r="AD8" i="22" s="1"/>
  <c r="AF8" i="21"/>
  <c r="AP6" i="21"/>
  <c r="AP8" i="21"/>
  <c r="N8" i="29"/>
  <c r="O8" i="29" s="1"/>
  <c r="P8" i="29" s="1"/>
  <c r="N5" i="29"/>
  <c r="N7" i="29"/>
  <c r="O7" i="29" s="1"/>
  <c r="P7" i="29" s="1"/>
  <c r="W5" i="22"/>
  <c r="X6" i="22"/>
  <c r="AA6" i="22" s="1"/>
  <c r="AD6" i="22" s="1"/>
  <c r="I6" i="31" s="1"/>
  <c r="W6" i="22"/>
  <c r="W7" i="22"/>
  <c r="X5" i="22"/>
  <c r="AA5" i="22" s="1"/>
  <c r="AD5" i="22" s="1"/>
  <c r="I5" i="31" s="1"/>
  <c r="AF7" i="21"/>
  <c r="AF5" i="21"/>
  <c r="AA8" i="21"/>
  <c r="AP5" i="21"/>
  <c r="AA7" i="21"/>
  <c r="AK7" i="21"/>
  <c r="AK8" i="21"/>
  <c r="AP7" i="21"/>
  <c r="AF6" i="21"/>
  <c r="AA5" i="21"/>
  <c r="N7" i="31"/>
  <c r="N8" i="31"/>
  <c r="F7" i="22"/>
  <c r="D8" i="22"/>
  <c r="N6" i="29"/>
  <c r="O6" i="29" s="1"/>
  <c r="P6" i="29" s="1"/>
  <c r="K6" i="31" s="1"/>
  <c r="AK5" i="21"/>
  <c r="AA6" i="21"/>
  <c r="AK6" i="21"/>
  <c r="J6" i="24"/>
  <c r="N6" i="31" s="1"/>
  <c r="J5" i="24"/>
  <c r="N5" i="31" s="1"/>
  <c r="Y36" i="22" l="1"/>
  <c r="AB36" i="22" s="1"/>
  <c r="AE36" i="22" s="1"/>
  <c r="J36" i="31" s="1"/>
  <c r="AR25" i="21"/>
  <c r="AU25" i="21" s="1"/>
  <c r="AX25" i="21" s="1"/>
  <c r="F25" i="31" s="1"/>
  <c r="AQ24" i="21"/>
  <c r="AT24" i="21" s="1"/>
  <c r="AW24" i="21" s="1"/>
  <c r="E24" i="31" s="1"/>
  <c r="Y6" i="22"/>
  <c r="AB6" i="22" s="1"/>
  <c r="AE6" i="22" s="1"/>
  <c r="J6" i="31" s="1"/>
  <c r="AU77" i="21"/>
  <c r="AX77" i="21" s="1"/>
  <c r="F77" i="31" s="1"/>
  <c r="AR26" i="21"/>
  <c r="AU26" i="21" s="1"/>
  <c r="AX26" i="21" s="1"/>
  <c r="F26" i="31" s="1"/>
  <c r="Y5" i="22"/>
  <c r="AB5" i="22" s="1"/>
  <c r="AE5" i="22" s="1"/>
  <c r="J5" i="31" s="1"/>
  <c r="Y14" i="22"/>
  <c r="AB14" i="22" s="1"/>
  <c r="AE14" i="22" s="1"/>
  <c r="J14" i="31" s="1"/>
  <c r="Y16" i="22"/>
  <c r="AB16" i="22" s="1"/>
  <c r="AE16" i="22" s="1"/>
  <c r="J16" i="31" s="1"/>
  <c r="AY77" i="21"/>
  <c r="G77" i="31" s="1"/>
  <c r="O77" i="31"/>
  <c r="P77" i="31" s="1"/>
  <c r="AY79" i="21"/>
  <c r="G79" i="31" s="1"/>
  <c r="O79" i="31"/>
  <c r="P79" i="31" s="1"/>
  <c r="AQ25" i="21"/>
  <c r="AT25" i="21" s="1"/>
  <c r="AW25" i="21" s="1"/>
  <c r="E25" i="31" s="1"/>
  <c r="T24" i="29"/>
  <c r="U24" i="29" s="1"/>
  <c r="V24" i="29" s="1"/>
  <c r="M24" i="31" s="1"/>
  <c r="AQ26" i="21"/>
  <c r="AT26" i="21" s="1"/>
  <c r="AW26" i="21" s="1"/>
  <c r="E26" i="31" s="1"/>
  <c r="AQ27" i="21"/>
  <c r="AT27" i="21" s="1"/>
  <c r="AW27" i="21" s="1"/>
  <c r="E27" i="31" s="1"/>
  <c r="Q22" i="29"/>
  <c r="R22" i="29" s="1"/>
  <c r="S22" i="29" s="1"/>
  <c r="L22" i="31" s="1"/>
  <c r="Q26" i="29"/>
  <c r="R26" i="29" s="1"/>
  <c r="S26" i="29" s="1"/>
  <c r="L26" i="31" s="1"/>
  <c r="Q25" i="29"/>
  <c r="R25" i="29" s="1"/>
  <c r="S25" i="29" s="1"/>
  <c r="L25" i="31" s="1"/>
  <c r="T27" i="29"/>
  <c r="U27" i="29" s="1"/>
  <c r="V27" i="29" s="1"/>
  <c r="M27" i="31" s="1"/>
  <c r="T25" i="29"/>
  <c r="U25" i="29" s="1"/>
  <c r="V25" i="29" s="1"/>
  <c r="M25" i="31" s="1"/>
  <c r="Y25" i="22"/>
  <c r="AB25" i="22" s="1"/>
  <c r="AE25" i="22" s="1"/>
  <c r="J25" i="31" s="1"/>
  <c r="Q24" i="29"/>
  <c r="R24" i="29" s="1"/>
  <c r="S24" i="29" s="1"/>
  <c r="L24" i="31" s="1"/>
  <c r="AR28" i="21"/>
  <c r="AU28" i="21" s="1"/>
  <c r="AX28" i="21" s="1"/>
  <c r="F28" i="31" s="1"/>
  <c r="AQ28" i="21"/>
  <c r="AT28" i="21" s="1"/>
  <c r="AW28" i="21" s="1"/>
  <c r="E28" i="31" s="1"/>
  <c r="AQ42" i="21"/>
  <c r="AT42" i="21" s="1"/>
  <c r="AW42" i="21" s="1"/>
  <c r="E42" i="31" s="1"/>
  <c r="AR24" i="21"/>
  <c r="AQ37" i="21"/>
  <c r="AT37" i="21" s="1"/>
  <c r="AW37" i="21" s="1"/>
  <c r="E37" i="31" s="1"/>
  <c r="Y27" i="22"/>
  <c r="AB27" i="22" s="1"/>
  <c r="AE27" i="22" s="1"/>
  <c r="J27" i="31" s="1"/>
  <c r="Z27" i="22"/>
  <c r="AC27" i="22" s="1"/>
  <c r="H27" i="31" s="1"/>
  <c r="Y24" i="22"/>
  <c r="AB24" i="22" s="1"/>
  <c r="AE24" i="22" s="1"/>
  <c r="J24" i="31" s="1"/>
  <c r="Z26" i="22"/>
  <c r="AC26" i="22" s="1"/>
  <c r="H26" i="31" s="1"/>
  <c r="Y26" i="22"/>
  <c r="AB26" i="22" s="1"/>
  <c r="AE26" i="22" s="1"/>
  <c r="J26" i="31" s="1"/>
  <c r="Q30" i="29"/>
  <c r="R30" i="29" s="1"/>
  <c r="S30" i="29" s="1"/>
  <c r="L30" i="31" s="1"/>
  <c r="T26" i="29"/>
  <c r="U26" i="29" s="1"/>
  <c r="V26" i="29" s="1"/>
  <c r="M26" i="31" s="1"/>
  <c r="Q27" i="29"/>
  <c r="R27" i="29" s="1"/>
  <c r="S27" i="29" s="1"/>
  <c r="L27" i="31" s="1"/>
  <c r="AR27" i="21"/>
  <c r="AU27" i="21" s="1"/>
  <c r="AX27" i="21" s="1"/>
  <c r="F27" i="31" s="1"/>
  <c r="Q34" i="29"/>
  <c r="R34" i="29" s="1"/>
  <c r="S34" i="29" s="1"/>
  <c r="L34" i="31" s="1"/>
  <c r="AR41" i="21"/>
  <c r="AU41" i="21" s="1"/>
  <c r="AX41" i="21" s="1"/>
  <c r="F41" i="31" s="1"/>
  <c r="T28" i="29"/>
  <c r="U28" i="29" s="1"/>
  <c r="V28" i="29" s="1"/>
  <c r="M28" i="31" s="1"/>
  <c r="AQ32" i="21"/>
  <c r="AT32" i="21" s="1"/>
  <c r="AW32" i="21" s="1"/>
  <c r="E32" i="31" s="1"/>
  <c r="Q41" i="29"/>
  <c r="R41" i="29" s="1"/>
  <c r="S41" i="29" s="1"/>
  <c r="L41" i="31" s="1"/>
  <c r="Y30" i="22"/>
  <c r="AB30" i="22" s="1"/>
  <c r="AE30" i="22" s="1"/>
  <c r="J30" i="31" s="1"/>
  <c r="Z30" i="22"/>
  <c r="AC30" i="22" s="1"/>
  <c r="H30" i="31" s="1"/>
  <c r="AQ35" i="21"/>
  <c r="AT35" i="21" s="1"/>
  <c r="AW35" i="21" s="1"/>
  <c r="E35" i="31" s="1"/>
  <c r="Z36" i="22"/>
  <c r="AC36" i="22" s="1"/>
  <c r="H36" i="31" s="1"/>
  <c r="T42" i="29"/>
  <c r="U42" i="29" s="1"/>
  <c r="V42" i="29" s="1"/>
  <c r="M42" i="31" s="1"/>
  <c r="Y34" i="22"/>
  <c r="AB34" i="22" s="1"/>
  <c r="AE34" i="22" s="1"/>
  <c r="J34" i="31" s="1"/>
  <c r="AR42" i="21"/>
  <c r="AU42" i="21" s="1"/>
  <c r="AX42" i="21" s="1"/>
  <c r="F42" i="31" s="1"/>
  <c r="Y7" i="22"/>
  <c r="AB7" i="22" s="1"/>
  <c r="AE7" i="22" s="1"/>
  <c r="J7" i="31" s="1"/>
  <c r="Q37" i="29"/>
  <c r="R37" i="29" s="1"/>
  <c r="S37" i="29" s="1"/>
  <c r="L37" i="31" s="1"/>
  <c r="T36" i="29"/>
  <c r="U36" i="29" s="1"/>
  <c r="V36" i="29" s="1"/>
  <c r="M36" i="31" s="1"/>
  <c r="Y33" i="22"/>
  <c r="AB33" i="22" s="1"/>
  <c r="AE33" i="22" s="1"/>
  <c r="J33" i="31" s="1"/>
  <c r="Q33" i="29"/>
  <c r="R33" i="29" s="1"/>
  <c r="S33" i="29" s="1"/>
  <c r="L33" i="31" s="1"/>
  <c r="T32" i="29"/>
  <c r="U32" i="29" s="1"/>
  <c r="V32" i="29" s="1"/>
  <c r="M32" i="31" s="1"/>
  <c r="Y32" i="22"/>
  <c r="AB32" i="22" s="1"/>
  <c r="AE32" i="22" s="1"/>
  <c r="J32" i="31" s="1"/>
  <c r="AR22" i="21"/>
  <c r="AQ20" i="21"/>
  <c r="AT20" i="21" s="1"/>
  <c r="AW20" i="21" s="1"/>
  <c r="E20" i="31" s="1"/>
  <c r="Y42" i="22"/>
  <c r="AB42" i="22" s="1"/>
  <c r="AE42" i="22" s="1"/>
  <c r="J42" i="31" s="1"/>
  <c r="Z42" i="22"/>
  <c r="AC42" i="22" s="1"/>
  <c r="H42" i="31" s="1"/>
  <c r="Q42" i="29"/>
  <c r="R42" i="29" s="1"/>
  <c r="S42" i="29" s="1"/>
  <c r="L42" i="31" s="1"/>
  <c r="AQ41" i="21"/>
  <c r="AT41" i="21" s="1"/>
  <c r="AW41" i="21" s="1"/>
  <c r="E41" i="31" s="1"/>
  <c r="AQ36" i="21"/>
  <c r="AT36" i="21" s="1"/>
  <c r="AW36" i="21" s="1"/>
  <c r="E36" i="31" s="1"/>
  <c r="T33" i="29"/>
  <c r="U33" i="29" s="1"/>
  <c r="V33" i="29" s="1"/>
  <c r="M33" i="31" s="1"/>
  <c r="Y28" i="22"/>
  <c r="AB28" i="22" s="1"/>
  <c r="AE28" i="22" s="1"/>
  <c r="J28" i="31" s="1"/>
  <c r="AR36" i="21"/>
  <c r="AU36" i="21" s="1"/>
  <c r="AX36" i="21" s="1"/>
  <c r="F36" i="31" s="1"/>
  <c r="AR33" i="21"/>
  <c r="AU33" i="21" s="1"/>
  <c r="AX33" i="21" s="1"/>
  <c r="F33" i="31" s="1"/>
  <c r="Z34" i="22"/>
  <c r="AC34" i="22" s="1"/>
  <c r="H34" i="31" s="1"/>
  <c r="Y41" i="22"/>
  <c r="AB41" i="22" s="1"/>
  <c r="AE41" i="22" s="1"/>
  <c r="J41" i="31" s="1"/>
  <c r="AR29" i="21"/>
  <c r="AU29" i="21" s="1"/>
  <c r="AX29" i="21" s="1"/>
  <c r="F29" i="31" s="1"/>
  <c r="Z41" i="22"/>
  <c r="AC41" i="22" s="1"/>
  <c r="H41" i="31" s="1"/>
  <c r="Q28" i="29"/>
  <c r="R28" i="29" s="1"/>
  <c r="S28" i="29" s="1"/>
  <c r="L28" i="31" s="1"/>
  <c r="T41" i="29"/>
  <c r="U41" i="29" s="1"/>
  <c r="V41" i="29" s="1"/>
  <c r="M41" i="31" s="1"/>
  <c r="O36" i="29"/>
  <c r="P36" i="29" s="1"/>
  <c r="K36" i="31" s="1"/>
  <c r="Q36" i="29"/>
  <c r="R36" i="29" s="1"/>
  <c r="S36" i="29" s="1"/>
  <c r="L36" i="31" s="1"/>
  <c r="O32" i="29"/>
  <c r="P32" i="29" s="1"/>
  <c r="K32" i="31" s="1"/>
  <c r="T31" i="29"/>
  <c r="U31" i="29" s="1"/>
  <c r="V31" i="29" s="1"/>
  <c r="M31" i="31" s="1"/>
  <c r="Q32" i="29"/>
  <c r="R32" i="29" s="1"/>
  <c r="S32" i="29" s="1"/>
  <c r="L32" i="31" s="1"/>
  <c r="Q31" i="29"/>
  <c r="R31" i="29" s="1"/>
  <c r="S31" i="29" s="1"/>
  <c r="L31" i="31" s="1"/>
  <c r="Y20" i="22"/>
  <c r="AB20" i="22" s="1"/>
  <c r="AE20" i="22" s="1"/>
  <c r="J20" i="31" s="1"/>
  <c r="Q21" i="29"/>
  <c r="R21" i="29" s="1"/>
  <c r="S21" i="29" s="1"/>
  <c r="L21" i="31" s="1"/>
  <c r="Y10" i="22"/>
  <c r="AB10" i="22" s="1"/>
  <c r="AE10" i="22" s="1"/>
  <c r="J10" i="31" s="1"/>
  <c r="Q20" i="29"/>
  <c r="R20" i="29" s="1"/>
  <c r="S20" i="29" s="1"/>
  <c r="L20" i="31" s="1"/>
  <c r="Q12" i="29"/>
  <c r="R12" i="29" s="1"/>
  <c r="S12" i="29" s="1"/>
  <c r="L12" i="31" s="1"/>
  <c r="T23" i="29"/>
  <c r="U23" i="29" s="1"/>
  <c r="V23" i="29" s="1"/>
  <c r="M23" i="31" s="1"/>
  <c r="T29" i="29"/>
  <c r="U29" i="29" s="1"/>
  <c r="V29" i="29" s="1"/>
  <c r="M29" i="31" s="1"/>
  <c r="Y37" i="22"/>
  <c r="AB37" i="22" s="1"/>
  <c r="AE37" i="22" s="1"/>
  <c r="J37" i="31" s="1"/>
  <c r="Y29" i="22"/>
  <c r="AB29" i="22" s="1"/>
  <c r="AE29" i="22" s="1"/>
  <c r="J29" i="31" s="1"/>
  <c r="T20" i="29"/>
  <c r="U20" i="29" s="1"/>
  <c r="V20" i="29" s="1"/>
  <c r="M20" i="31" s="1"/>
  <c r="T37" i="29"/>
  <c r="U37" i="29" s="1"/>
  <c r="V37" i="29" s="1"/>
  <c r="M37" i="31" s="1"/>
  <c r="Y35" i="22"/>
  <c r="AB35" i="22" s="1"/>
  <c r="AE35" i="22" s="1"/>
  <c r="J35" i="31" s="1"/>
  <c r="Z29" i="22"/>
  <c r="AC29" i="22" s="1"/>
  <c r="H29" i="31" s="1"/>
  <c r="Z22" i="22"/>
  <c r="AC22" i="22" s="1"/>
  <c r="H22" i="31" s="1"/>
  <c r="T34" i="29"/>
  <c r="U34" i="29" s="1"/>
  <c r="V34" i="29" s="1"/>
  <c r="M34" i="31" s="1"/>
  <c r="Z23" i="22"/>
  <c r="AC23" i="22" s="1"/>
  <c r="H23" i="31" s="1"/>
  <c r="Q35" i="29"/>
  <c r="R35" i="29" s="1"/>
  <c r="S35" i="29" s="1"/>
  <c r="L35" i="31" s="1"/>
  <c r="Y23" i="22"/>
  <c r="AB23" i="22" s="1"/>
  <c r="AE23" i="22" s="1"/>
  <c r="J23" i="31" s="1"/>
  <c r="T35" i="29"/>
  <c r="U35" i="29" s="1"/>
  <c r="V35" i="29" s="1"/>
  <c r="M35" i="31" s="1"/>
  <c r="Q23" i="29"/>
  <c r="R23" i="29" s="1"/>
  <c r="S23" i="29" s="1"/>
  <c r="L23" i="31" s="1"/>
  <c r="Y31" i="22"/>
  <c r="AB31" i="22" s="1"/>
  <c r="AE31" i="22" s="1"/>
  <c r="J31" i="31" s="1"/>
  <c r="Q29" i="29"/>
  <c r="R29" i="29" s="1"/>
  <c r="S29" i="29" s="1"/>
  <c r="L29" i="31" s="1"/>
  <c r="Z31" i="22"/>
  <c r="AC31" i="22" s="1"/>
  <c r="H31" i="31" s="1"/>
  <c r="T30" i="29"/>
  <c r="U30" i="29" s="1"/>
  <c r="V30" i="29" s="1"/>
  <c r="M30" i="31" s="1"/>
  <c r="AR32" i="21"/>
  <c r="AR34" i="21"/>
  <c r="AU34" i="21" s="1"/>
  <c r="AX34" i="21" s="1"/>
  <c r="F34" i="31" s="1"/>
  <c r="AQ22" i="21"/>
  <c r="AT22" i="21" s="1"/>
  <c r="AW22" i="21" s="1"/>
  <c r="E22" i="31" s="1"/>
  <c r="AR21" i="21"/>
  <c r="AU21" i="21" s="1"/>
  <c r="AX21" i="21" s="1"/>
  <c r="F21" i="31" s="1"/>
  <c r="AQ33" i="21"/>
  <c r="AT33" i="21" s="1"/>
  <c r="AW33" i="21" s="1"/>
  <c r="E33" i="31" s="1"/>
  <c r="AQ29" i="21"/>
  <c r="AT29" i="21" s="1"/>
  <c r="AW29" i="21" s="1"/>
  <c r="E29" i="31" s="1"/>
  <c r="AR37" i="21"/>
  <c r="AU37" i="21" s="1"/>
  <c r="AX37" i="21" s="1"/>
  <c r="F37" i="31" s="1"/>
  <c r="AQ30" i="21"/>
  <c r="AT30" i="21" s="1"/>
  <c r="AW30" i="21" s="1"/>
  <c r="E30" i="31" s="1"/>
  <c r="AR30" i="21"/>
  <c r="AU30" i="21" s="1"/>
  <c r="AX30" i="21" s="1"/>
  <c r="F30" i="31" s="1"/>
  <c r="AQ21" i="21"/>
  <c r="AT21" i="21" s="1"/>
  <c r="AW21" i="21" s="1"/>
  <c r="E21" i="31" s="1"/>
  <c r="AQ23" i="21"/>
  <c r="AT23" i="21" s="1"/>
  <c r="AW23" i="21" s="1"/>
  <c r="E23" i="31" s="1"/>
  <c r="AQ34" i="21"/>
  <c r="AT34" i="21" s="1"/>
  <c r="AW34" i="21" s="1"/>
  <c r="E34" i="31" s="1"/>
  <c r="AR23" i="21"/>
  <c r="AU23" i="21" s="1"/>
  <c r="AX23" i="21" s="1"/>
  <c r="F23" i="31" s="1"/>
  <c r="AR20" i="21"/>
  <c r="AU20" i="21" s="1"/>
  <c r="AX20" i="21" s="1"/>
  <c r="F20" i="31" s="1"/>
  <c r="AQ11" i="21"/>
  <c r="AT11" i="21" s="1"/>
  <c r="AW11" i="21" s="1"/>
  <c r="E11" i="31" s="1"/>
  <c r="AR13" i="21"/>
  <c r="AU13" i="21" s="1"/>
  <c r="AX13" i="21" s="1"/>
  <c r="F13" i="31" s="1"/>
  <c r="AS28" i="21"/>
  <c r="AV28" i="21" s="1"/>
  <c r="AQ31" i="21"/>
  <c r="AT31" i="21" s="1"/>
  <c r="AW31" i="21" s="1"/>
  <c r="E31" i="31" s="1"/>
  <c r="AR31" i="21"/>
  <c r="AU31" i="21" s="1"/>
  <c r="AX31" i="21" s="1"/>
  <c r="F31" i="31" s="1"/>
  <c r="T21" i="29"/>
  <c r="U21" i="29" s="1"/>
  <c r="V21" i="29" s="1"/>
  <c r="M21" i="31" s="1"/>
  <c r="Y22" i="22"/>
  <c r="AB22" i="22" s="1"/>
  <c r="AE22" i="22" s="1"/>
  <c r="J22" i="31" s="1"/>
  <c r="Y21" i="22"/>
  <c r="AB21" i="22" s="1"/>
  <c r="AE21" i="22" s="1"/>
  <c r="J21" i="31" s="1"/>
  <c r="T22" i="29"/>
  <c r="U22" i="29" s="1"/>
  <c r="O12" i="29"/>
  <c r="P12" i="29" s="1"/>
  <c r="K12" i="31" s="1"/>
  <c r="Q14" i="29"/>
  <c r="R14" i="29" s="1"/>
  <c r="S14" i="29" s="1"/>
  <c r="L14" i="31" s="1"/>
  <c r="Z14" i="22"/>
  <c r="AC14" i="22" s="1"/>
  <c r="H14" i="31" s="1"/>
  <c r="Y13" i="22"/>
  <c r="AB13" i="22" s="1"/>
  <c r="AE13" i="22" s="1"/>
  <c r="J13" i="31" s="1"/>
  <c r="Q16" i="29"/>
  <c r="R16" i="29" s="1"/>
  <c r="S16" i="29" s="1"/>
  <c r="L16" i="31" s="1"/>
  <c r="T16" i="29"/>
  <c r="U16" i="29" s="1"/>
  <c r="V16" i="29" s="1"/>
  <c r="M16" i="31" s="1"/>
  <c r="Z16" i="22"/>
  <c r="AC16" i="22" s="1"/>
  <c r="H16" i="31" s="1"/>
  <c r="T9" i="29"/>
  <c r="U9" i="29" s="1"/>
  <c r="V9" i="29" s="1"/>
  <c r="M9" i="31" s="1"/>
  <c r="Y15" i="22"/>
  <c r="AB15" i="22" s="1"/>
  <c r="AE15" i="22" s="1"/>
  <c r="J15" i="31" s="1"/>
  <c r="Q13" i="29"/>
  <c r="R13" i="29" s="1"/>
  <c r="S13" i="29" s="1"/>
  <c r="L13" i="31" s="1"/>
  <c r="Q9" i="29"/>
  <c r="R9" i="29" s="1"/>
  <c r="S9" i="29" s="1"/>
  <c r="L9" i="31" s="1"/>
  <c r="Y9" i="22"/>
  <c r="AB9" i="22" s="1"/>
  <c r="AE9" i="22" s="1"/>
  <c r="J9" i="31" s="1"/>
  <c r="T13" i="29"/>
  <c r="U13" i="29" s="1"/>
  <c r="V13" i="29" s="1"/>
  <c r="M13" i="31" s="1"/>
  <c r="T14" i="29"/>
  <c r="U14" i="29" s="1"/>
  <c r="V14" i="29" s="1"/>
  <c r="M14" i="31" s="1"/>
  <c r="Q15" i="29"/>
  <c r="R15" i="29" s="1"/>
  <c r="S15" i="29" s="1"/>
  <c r="L15" i="31" s="1"/>
  <c r="T12" i="29"/>
  <c r="U12" i="29" s="1"/>
  <c r="V12" i="29" s="1"/>
  <c r="M12" i="31" s="1"/>
  <c r="T15" i="29"/>
  <c r="U15" i="29" s="1"/>
  <c r="V15" i="29" s="1"/>
  <c r="M15" i="31" s="1"/>
  <c r="AU35" i="21"/>
  <c r="AX35" i="21" s="1"/>
  <c r="F35" i="31" s="1"/>
  <c r="AQ10" i="21"/>
  <c r="AT10" i="21" s="1"/>
  <c r="AW10" i="21" s="1"/>
  <c r="E10" i="31" s="1"/>
  <c r="AR16" i="21"/>
  <c r="AU16" i="21" s="1"/>
  <c r="AX16" i="21" s="1"/>
  <c r="F16" i="31" s="1"/>
  <c r="AR10" i="21"/>
  <c r="AU10" i="21" s="1"/>
  <c r="AX10" i="21" s="1"/>
  <c r="F10" i="31" s="1"/>
  <c r="AR11" i="21"/>
  <c r="AU11" i="21" s="1"/>
  <c r="AX11" i="21" s="1"/>
  <c r="F11" i="31" s="1"/>
  <c r="AQ12" i="21"/>
  <c r="AT12" i="21" s="1"/>
  <c r="AW12" i="21" s="1"/>
  <c r="E12" i="31" s="1"/>
  <c r="AR15" i="21"/>
  <c r="AQ16" i="21"/>
  <c r="AT16" i="21" s="1"/>
  <c r="AW16" i="21" s="1"/>
  <c r="E16" i="31" s="1"/>
  <c r="AQ14" i="21"/>
  <c r="AT14" i="21" s="1"/>
  <c r="AW14" i="21" s="1"/>
  <c r="E14" i="31" s="1"/>
  <c r="AQ9" i="21"/>
  <c r="AT9" i="21" s="1"/>
  <c r="AW9" i="21" s="1"/>
  <c r="E9" i="31" s="1"/>
  <c r="AQ13" i="21"/>
  <c r="AT13" i="21" s="1"/>
  <c r="AW13" i="21" s="1"/>
  <c r="E13" i="31" s="1"/>
  <c r="AQ15" i="21"/>
  <c r="AT15" i="21" s="1"/>
  <c r="AW15" i="21" s="1"/>
  <c r="E15" i="31" s="1"/>
  <c r="AR9" i="21"/>
  <c r="AR12" i="21"/>
  <c r="AU12" i="21" s="1"/>
  <c r="AX12" i="21" s="1"/>
  <c r="F12" i="31" s="1"/>
  <c r="Y12" i="22"/>
  <c r="AB12" i="22" s="1"/>
  <c r="AE12" i="22" s="1"/>
  <c r="J12" i="31" s="1"/>
  <c r="T10" i="29"/>
  <c r="U10" i="29" s="1"/>
  <c r="V10" i="29" s="1"/>
  <c r="M10" i="31" s="1"/>
  <c r="AR14" i="21"/>
  <c r="O10" i="29"/>
  <c r="P10" i="29" s="1"/>
  <c r="K10" i="31" s="1"/>
  <c r="Q10" i="29"/>
  <c r="R10" i="29" s="1"/>
  <c r="S10" i="29" s="1"/>
  <c r="L10" i="31" s="1"/>
  <c r="Y11" i="22"/>
  <c r="AB11" i="22" s="1"/>
  <c r="AE11" i="22" s="1"/>
  <c r="J11" i="31" s="1"/>
  <c r="Z10" i="22"/>
  <c r="AC10" i="22" s="1"/>
  <c r="H10" i="31" s="1"/>
  <c r="Q11" i="29"/>
  <c r="R11" i="29" s="1"/>
  <c r="S11" i="29" s="1"/>
  <c r="L11" i="31" s="1"/>
  <c r="T11" i="29"/>
  <c r="U11" i="29" s="1"/>
  <c r="Q8" i="29"/>
  <c r="R8" i="29" s="1"/>
  <c r="S8" i="29" s="1"/>
  <c r="L8" i="31" s="1"/>
  <c r="AR6" i="21"/>
  <c r="AU6" i="21" s="1"/>
  <c r="AX6" i="21" s="1"/>
  <c r="F6" i="31" s="1"/>
  <c r="AR5" i="21"/>
  <c r="K8" i="31"/>
  <c r="K7" i="31"/>
  <c r="Z5" i="22"/>
  <c r="AC5" i="22" s="1"/>
  <c r="H5" i="31" s="1"/>
  <c r="Z8" i="22"/>
  <c r="AC8" i="22" s="1"/>
  <c r="H8" i="31" s="1"/>
  <c r="Y8" i="22"/>
  <c r="AB8" i="22" s="1"/>
  <c r="AE8" i="22" s="1"/>
  <c r="T7" i="29"/>
  <c r="U7" i="29" s="1"/>
  <c r="V7" i="29" s="1"/>
  <c r="M7" i="31" s="1"/>
  <c r="T8" i="29"/>
  <c r="U8" i="29" s="1"/>
  <c r="V8" i="29" s="1"/>
  <c r="I8" i="31"/>
  <c r="T5" i="29"/>
  <c r="U5" i="29" s="1"/>
  <c r="V5" i="29" s="1"/>
  <c r="M5" i="31" s="1"/>
  <c r="I7" i="31"/>
  <c r="AQ8" i="21"/>
  <c r="AT8" i="21" s="1"/>
  <c r="AW8" i="21" s="1"/>
  <c r="E8" i="31" s="1"/>
  <c r="AQ5" i="21"/>
  <c r="AT5" i="21" s="1"/>
  <c r="AW5" i="21" s="1"/>
  <c r="E5" i="31" s="1"/>
  <c r="AR8" i="21"/>
  <c r="AU8" i="21" s="1"/>
  <c r="AX8" i="21" s="1"/>
  <c r="F8" i="31" s="1"/>
  <c r="AQ7" i="21"/>
  <c r="AT7" i="21" s="1"/>
  <c r="AW7" i="21" s="1"/>
  <c r="E7" i="31" s="1"/>
  <c r="O5" i="29"/>
  <c r="P5" i="29" s="1"/>
  <c r="K5" i="31" s="1"/>
  <c r="Q5" i="29"/>
  <c r="R5" i="29" s="1"/>
  <c r="S5" i="29" s="1"/>
  <c r="L5" i="31" s="1"/>
  <c r="Q7" i="29"/>
  <c r="R7" i="29" s="1"/>
  <c r="S7" i="29" s="1"/>
  <c r="Z7" i="22"/>
  <c r="AC7" i="22" s="1"/>
  <c r="Z6" i="22"/>
  <c r="AC6" i="22" s="1"/>
  <c r="H6" i="31" s="1"/>
  <c r="AQ6" i="21"/>
  <c r="AT6" i="21" s="1"/>
  <c r="AW6" i="21" s="1"/>
  <c r="E6" i="31" s="1"/>
  <c r="AR7" i="21"/>
  <c r="Q6" i="29"/>
  <c r="R6" i="29" s="1"/>
  <c r="S6" i="29" s="1"/>
  <c r="L6" i="31" s="1"/>
  <c r="T6" i="29"/>
  <c r="U6" i="29" s="1"/>
  <c r="V6" i="29" s="1"/>
  <c r="M6" i="31" s="1"/>
  <c r="AS26" i="21" l="1"/>
  <c r="AV26" i="21" s="1"/>
  <c r="AY26" i="21" s="1"/>
  <c r="G26" i="31" s="1"/>
  <c r="AS24" i="21"/>
  <c r="AV24" i="21" s="1"/>
  <c r="O24" i="31" s="1"/>
  <c r="P24" i="31" s="1"/>
  <c r="AS27" i="21"/>
  <c r="AV27" i="21" s="1"/>
  <c r="AY27" i="21" s="1"/>
  <c r="G27" i="31" s="1"/>
  <c r="AS5" i="21"/>
  <c r="AV5" i="21" s="1"/>
  <c r="AY5" i="21" s="1"/>
  <c r="G5" i="31" s="1"/>
  <c r="AS25" i="21"/>
  <c r="AV25" i="21" s="1"/>
  <c r="AY25" i="21" s="1"/>
  <c r="G25" i="31" s="1"/>
  <c r="AS15" i="21"/>
  <c r="AV15" i="21" s="1"/>
  <c r="AY15" i="21" s="1"/>
  <c r="G15" i="31" s="1"/>
  <c r="AS36" i="21"/>
  <c r="AV36" i="21" s="1"/>
  <c r="AY36" i="21" s="1"/>
  <c r="G36" i="31" s="1"/>
  <c r="AS29" i="21"/>
  <c r="AV29" i="21" s="1"/>
  <c r="AY29" i="21" s="1"/>
  <c r="G29" i="31" s="1"/>
  <c r="AU24" i="21"/>
  <c r="AX24" i="21" s="1"/>
  <c r="F24" i="31" s="1"/>
  <c r="AS32" i="21"/>
  <c r="AV32" i="21" s="1"/>
  <c r="O32" i="31" s="1"/>
  <c r="P32" i="31" s="1"/>
  <c r="AS42" i="21"/>
  <c r="AV42" i="21" s="1"/>
  <c r="AY42" i="21" s="1"/>
  <c r="G42" i="31" s="1"/>
  <c r="AS41" i="21"/>
  <c r="AV41" i="21" s="1"/>
  <c r="AY41" i="21" s="1"/>
  <c r="G41" i="31" s="1"/>
  <c r="AS35" i="21"/>
  <c r="AV35" i="21" s="1"/>
  <c r="AY35" i="21" s="1"/>
  <c r="G35" i="31" s="1"/>
  <c r="AS34" i="21"/>
  <c r="AV34" i="21" s="1"/>
  <c r="AY34" i="21" s="1"/>
  <c r="G34" i="31" s="1"/>
  <c r="AS9" i="21"/>
  <c r="AV9" i="21" s="1"/>
  <c r="AY9" i="21" s="1"/>
  <c r="G9" i="31" s="1"/>
  <c r="AS30" i="21"/>
  <c r="AV30" i="21" s="1"/>
  <c r="O30" i="31" s="1"/>
  <c r="P30" i="31" s="1"/>
  <c r="AS22" i="21"/>
  <c r="AV22" i="21" s="1"/>
  <c r="AY22" i="21" s="1"/>
  <c r="G22" i="31" s="1"/>
  <c r="AU22" i="21"/>
  <c r="AX22" i="21" s="1"/>
  <c r="F22" i="31" s="1"/>
  <c r="AS21" i="21"/>
  <c r="AV21" i="21" s="1"/>
  <c r="AY21" i="21" s="1"/>
  <c r="G21" i="31" s="1"/>
  <c r="AS33" i="21"/>
  <c r="AV33" i="21" s="1"/>
  <c r="O33" i="31" s="1"/>
  <c r="P33" i="31" s="1"/>
  <c r="AU32" i="21"/>
  <c r="AX32" i="21" s="1"/>
  <c r="F32" i="31" s="1"/>
  <c r="AS37" i="21"/>
  <c r="AV37" i="21" s="1"/>
  <c r="O37" i="31" s="1"/>
  <c r="P37" i="31" s="1"/>
  <c r="AS23" i="21"/>
  <c r="AV23" i="21" s="1"/>
  <c r="AY23" i="21" s="1"/>
  <c r="G23" i="31" s="1"/>
  <c r="AS13" i="21"/>
  <c r="AV13" i="21" s="1"/>
  <c r="AY13" i="21" s="1"/>
  <c r="G13" i="31" s="1"/>
  <c r="AS20" i="21"/>
  <c r="AV20" i="21" s="1"/>
  <c r="AY20" i="21" s="1"/>
  <c r="G20" i="31" s="1"/>
  <c r="AS31" i="21"/>
  <c r="AV31" i="21" s="1"/>
  <c r="AY31" i="21" s="1"/>
  <c r="G31" i="31" s="1"/>
  <c r="AS16" i="21"/>
  <c r="AV16" i="21" s="1"/>
  <c r="AY16" i="21" s="1"/>
  <c r="G16" i="31" s="1"/>
  <c r="AY28" i="21"/>
  <c r="G28" i="31" s="1"/>
  <c r="O28" i="31"/>
  <c r="P28" i="31" s="1"/>
  <c r="V22" i="29"/>
  <c r="M22" i="31" s="1"/>
  <c r="AS10" i="21"/>
  <c r="AV10" i="21" s="1"/>
  <c r="AY10" i="21" s="1"/>
  <c r="G10" i="31" s="1"/>
  <c r="AS11" i="21"/>
  <c r="AV11" i="21" s="1"/>
  <c r="AY11" i="21" s="1"/>
  <c r="G11" i="31" s="1"/>
  <c r="AU15" i="21"/>
  <c r="AX15" i="21" s="1"/>
  <c r="F15" i="31" s="1"/>
  <c r="AU9" i="21"/>
  <c r="AX9" i="21" s="1"/>
  <c r="F9" i="31" s="1"/>
  <c r="AS12" i="21"/>
  <c r="AV12" i="21" s="1"/>
  <c r="AY12" i="21" s="1"/>
  <c r="G12" i="31" s="1"/>
  <c r="AU14" i="21"/>
  <c r="AX14" i="21" s="1"/>
  <c r="F14" i="31" s="1"/>
  <c r="AS14" i="21"/>
  <c r="AV14" i="21" s="1"/>
  <c r="V11" i="29"/>
  <c r="M11" i="31" s="1"/>
  <c r="AS6" i="21"/>
  <c r="AV6" i="21" s="1"/>
  <c r="AY6" i="21" s="1"/>
  <c r="G6" i="31" s="1"/>
  <c r="AU5" i="21"/>
  <c r="AX5" i="21" s="1"/>
  <c r="F5" i="31" s="1"/>
  <c r="J8" i="31"/>
  <c r="M8" i="31"/>
  <c r="H7" i="31"/>
  <c r="L7" i="31"/>
  <c r="AS8" i="21"/>
  <c r="AV8" i="21" s="1"/>
  <c r="AY8" i="21" s="1"/>
  <c r="G8" i="31" s="1"/>
  <c r="AU7" i="21"/>
  <c r="AX7" i="21" s="1"/>
  <c r="F7" i="31" s="1"/>
  <c r="AS7" i="21"/>
  <c r="AV7" i="21" s="1"/>
  <c r="AY24" i="21" l="1"/>
  <c r="G24" i="31" s="1"/>
  <c r="O26" i="31"/>
  <c r="P26" i="31" s="1"/>
  <c r="O5" i="31"/>
  <c r="P5" i="31" s="1"/>
  <c r="O15" i="31"/>
  <c r="P15" i="31" s="1"/>
  <c r="O27" i="31"/>
  <c r="P27" i="31" s="1"/>
  <c r="O25" i="31"/>
  <c r="P25" i="31" s="1"/>
  <c r="O29" i="31"/>
  <c r="P29" i="31" s="1"/>
  <c r="AY32" i="21"/>
  <c r="G32" i="31" s="1"/>
  <c r="O36" i="31"/>
  <c r="P36" i="31" s="1"/>
  <c r="O41" i="31"/>
  <c r="P41" i="31" s="1"/>
  <c r="O9" i="31"/>
  <c r="P9" i="31" s="1"/>
  <c r="O13" i="31"/>
  <c r="P13" i="31" s="1"/>
  <c r="AY37" i="21"/>
  <c r="G37" i="31" s="1"/>
  <c r="O34" i="31"/>
  <c r="P34" i="31" s="1"/>
  <c r="O42" i="31"/>
  <c r="P42" i="31" s="1"/>
  <c r="AY30" i="21"/>
  <c r="G30" i="31" s="1"/>
  <c r="O35" i="31"/>
  <c r="P35" i="31" s="1"/>
  <c r="AY33" i="21"/>
  <c r="G33" i="31" s="1"/>
  <c r="O22" i="31"/>
  <c r="P22" i="31" s="1"/>
  <c r="O21" i="31"/>
  <c r="P21" i="31" s="1"/>
  <c r="O10" i="31"/>
  <c r="P10" i="31" s="1"/>
  <c r="O20" i="31"/>
  <c r="P20" i="31" s="1"/>
  <c r="O23" i="31"/>
  <c r="P23" i="31" s="1"/>
  <c r="O11" i="31"/>
  <c r="P11" i="31" s="1"/>
  <c r="O16" i="31"/>
  <c r="P16" i="31" s="1"/>
  <c r="O31" i="31"/>
  <c r="P31" i="31" s="1"/>
  <c r="O6" i="31"/>
  <c r="P6" i="31" s="1"/>
  <c r="O12" i="31"/>
  <c r="P12" i="31" s="1"/>
  <c r="AY14" i="21"/>
  <c r="G14" i="31" s="1"/>
  <c r="O14" i="31"/>
  <c r="P14" i="31" s="1"/>
  <c r="O8" i="31"/>
  <c r="P8" i="31" s="1"/>
  <c r="AY7" i="21"/>
  <c r="G7" i="31" s="1"/>
  <c r="O7" i="31"/>
  <c r="P7" i="31" s="1"/>
  <c r="M74" i="29" l="1"/>
  <c r="L74" i="29"/>
  <c r="M73" i="29"/>
  <c r="L73" i="29"/>
  <c r="V74" i="22"/>
  <c r="U74" i="22"/>
  <c r="T74" i="22"/>
  <c r="S74" i="22"/>
  <c r="R74" i="22"/>
  <c r="Q74" i="22"/>
  <c r="V73" i="22"/>
  <c r="U73" i="22"/>
  <c r="T73" i="22"/>
  <c r="S73" i="22"/>
  <c r="R73" i="22"/>
  <c r="Q73" i="22"/>
  <c r="V72" i="22"/>
  <c r="U72" i="22"/>
  <c r="T72" i="22"/>
  <c r="S72" i="22"/>
  <c r="R72" i="22"/>
  <c r="Q72" i="22"/>
  <c r="V71" i="22"/>
  <c r="U71" i="22"/>
  <c r="T71" i="22"/>
  <c r="S71" i="22"/>
  <c r="R71" i="22"/>
  <c r="Q71" i="22"/>
  <c r="N74" i="29" l="1"/>
  <c r="O74" i="29" s="1"/>
  <c r="P74" i="29" s="1"/>
  <c r="K74" i="31" s="1"/>
  <c r="X74" i="22"/>
  <c r="AA74" i="22" s="1"/>
  <c r="AD74" i="22" s="1"/>
  <c r="I74" i="31" s="1"/>
  <c r="N73" i="29"/>
  <c r="O73" i="29" s="1"/>
  <c r="P73" i="29" s="1"/>
  <c r="K73" i="31" s="1"/>
  <c r="X72" i="22"/>
  <c r="AA72" i="22" s="1"/>
  <c r="AD72" i="22" s="1"/>
  <c r="W74" i="22"/>
  <c r="X71" i="22"/>
  <c r="AA71" i="22" s="1"/>
  <c r="AD71" i="22" s="1"/>
  <c r="W73" i="22"/>
  <c r="W72" i="22"/>
  <c r="Z72" i="22" s="1"/>
  <c r="AC72" i="22" s="1"/>
  <c r="W71" i="22"/>
  <c r="Z71" i="22" s="1"/>
  <c r="AC71" i="22" s="1"/>
  <c r="X73" i="22"/>
  <c r="AA73" i="22" s="1"/>
  <c r="AD73" i="22" s="1"/>
  <c r="I73" i="31" s="1"/>
  <c r="Y74" i="22" l="1"/>
  <c r="AB74" i="22" s="1"/>
  <c r="AE74" i="22" s="1"/>
  <c r="J74" i="31" s="1"/>
  <c r="Q73" i="29"/>
  <c r="R73" i="29" s="1"/>
  <c r="S73" i="29" s="1"/>
  <c r="L73" i="31" s="1"/>
  <c r="Z73" i="22"/>
  <c r="AC73" i="22" s="1"/>
  <c r="H73" i="31" s="1"/>
  <c r="Y73" i="22"/>
  <c r="AB73" i="22" s="1"/>
  <c r="AE73" i="22" s="1"/>
  <c r="J73" i="31" s="1"/>
  <c r="Q74" i="29"/>
  <c r="R74" i="29" s="1"/>
  <c r="S74" i="29" s="1"/>
  <c r="L74" i="31" s="1"/>
  <c r="T74" i="29"/>
  <c r="U74" i="29" s="1"/>
  <c r="V74" i="29" s="1"/>
  <c r="M74" i="31" s="1"/>
  <c r="Z74" i="22"/>
  <c r="AC74" i="22" s="1"/>
  <c r="H74" i="31" s="1"/>
  <c r="T73" i="29"/>
  <c r="U73" i="29" s="1"/>
  <c r="V73" i="29" s="1"/>
  <c r="M73" i="31" s="1"/>
  <c r="Y71" i="22"/>
  <c r="AB71" i="22" s="1"/>
  <c r="AE71" i="22" s="1"/>
  <c r="Y72" i="22"/>
  <c r="AB72" i="22" s="1"/>
  <c r="AE72" i="22" s="1"/>
  <c r="G73" i="24" l="1"/>
  <c r="H73" i="24" s="1"/>
  <c r="I73" i="24" s="1"/>
  <c r="J73" i="24" s="1"/>
  <c r="N73" i="31" s="1"/>
  <c r="G74" i="24"/>
  <c r="H74" i="24" s="1"/>
  <c r="I74" i="24" s="1"/>
  <c r="J74" i="24" s="1"/>
  <c r="N74" i="31" s="1"/>
  <c r="B73" i="31"/>
  <c r="C73" i="31"/>
  <c r="D73" i="31"/>
  <c r="B74" i="31"/>
  <c r="C74" i="31"/>
  <c r="D74" i="31"/>
  <c r="C73" i="29"/>
  <c r="D73" i="29"/>
  <c r="F73" i="29"/>
  <c r="C74" i="29"/>
  <c r="D74" i="29"/>
  <c r="F74" i="29"/>
  <c r="C73" i="22"/>
  <c r="D73" i="22"/>
  <c r="F73" i="22"/>
  <c r="C74" i="22"/>
  <c r="D74" i="22"/>
  <c r="F74" i="22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F72" i="21"/>
  <c r="F73" i="21"/>
  <c r="F74" i="21"/>
  <c r="C73" i="21"/>
  <c r="D73" i="21"/>
  <c r="C74" i="21"/>
  <c r="D74" i="21"/>
  <c r="D68" i="31"/>
  <c r="C68" i="31"/>
  <c r="B68" i="31"/>
  <c r="D67" i="31"/>
  <c r="C67" i="31"/>
  <c r="B67" i="31"/>
  <c r="M68" i="29"/>
  <c r="L68" i="29"/>
  <c r="F68" i="29"/>
  <c r="D68" i="29"/>
  <c r="C68" i="29"/>
  <c r="M67" i="29"/>
  <c r="L67" i="29"/>
  <c r="F67" i="29"/>
  <c r="D67" i="29"/>
  <c r="C67" i="29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W68" i="22" l="1"/>
  <c r="Z68" i="22" s="1"/>
  <c r="AC68" i="22" s="1"/>
  <c r="H68" i="31" s="1"/>
  <c r="AK74" i="21"/>
  <c r="AP73" i="21"/>
  <c r="AP68" i="21"/>
  <c r="AA68" i="21"/>
  <c r="AP67" i="21"/>
  <c r="AK73" i="21"/>
  <c r="X68" i="22"/>
  <c r="AA68" i="22" s="1"/>
  <c r="AD68" i="22" s="1"/>
  <c r="I68" i="31" s="1"/>
  <c r="AF74" i="21"/>
  <c r="AA67" i="21"/>
  <c r="AF73" i="21"/>
  <c r="AP74" i="21"/>
  <c r="AA74" i="21"/>
  <c r="AA73" i="21"/>
  <c r="AF68" i="21"/>
  <c r="X67" i="22"/>
  <c r="AA67" i="22" s="1"/>
  <c r="AD67" i="22" s="1"/>
  <c r="I67" i="31" s="1"/>
  <c r="AK68" i="21"/>
  <c r="AF67" i="21"/>
  <c r="W67" i="22"/>
  <c r="N68" i="29"/>
  <c r="AK67" i="21"/>
  <c r="N67" i="29"/>
  <c r="O67" i="29" s="1"/>
  <c r="P67" i="29" s="1"/>
  <c r="K67" i="31" s="1"/>
  <c r="D50" i="31"/>
  <c r="C50" i="31"/>
  <c r="B50" i="31"/>
  <c r="D49" i="31"/>
  <c r="C49" i="31"/>
  <c r="B49" i="31"/>
  <c r="D48" i="31"/>
  <c r="C48" i="31"/>
  <c r="B48" i="31"/>
  <c r="D47" i="31"/>
  <c r="C47" i="31"/>
  <c r="B47" i="31"/>
  <c r="M50" i="29"/>
  <c r="L50" i="29"/>
  <c r="F50" i="29"/>
  <c r="D50" i="29"/>
  <c r="C50" i="29"/>
  <c r="M49" i="29"/>
  <c r="L49" i="29"/>
  <c r="F49" i="29"/>
  <c r="D49" i="29"/>
  <c r="C49" i="29"/>
  <c r="M48" i="29"/>
  <c r="L48" i="29"/>
  <c r="F48" i="29"/>
  <c r="D48" i="29"/>
  <c r="C48" i="29"/>
  <c r="M47" i="29"/>
  <c r="L47" i="29"/>
  <c r="F47" i="29"/>
  <c r="D47" i="29"/>
  <c r="C47" i="29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D81" i="31"/>
  <c r="C81" i="31"/>
  <c r="B81" i="31"/>
  <c r="D80" i="31"/>
  <c r="C80" i="31"/>
  <c r="B80" i="31"/>
  <c r="M81" i="29"/>
  <c r="L81" i="29"/>
  <c r="F81" i="29"/>
  <c r="D81" i="29"/>
  <c r="C81" i="29"/>
  <c r="M80" i="29"/>
  <c r="L80" i="29"/>
  <c r="F80" i="29"/>
  <c r="D80" i="29"/>
  <c r="C80" i="29"/>
  <c r="V81" i="22"/>
  <c r="U81" i="22"/>
  <c r="T81" i="22"/>
  <c r="S81" i="22"/>
  <c r="R81" i="22"/>
  <c r="Q81" i="22"/>
  <c r="F81" i="22"/>
  <c r="D81" i="22"/>
  <c r="C81" i="22"/>
  <c r="V80" i="22"/>
  <c r="U80" i="22"/>
  <c r="T80" i="22"/>
  <c r="S80" i="22"/>
  <c r="R80" i="22"/>
  <c r="Q80" i="22"/>
  <c r="F80" i="22"/>
  <c r="D80" i="22"/>
  <c r="C80" i="22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C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G81" i="24"/>
  <c r="H81" i="24" s="1"/>
  <c r="I81" i="24" s="1"/>
  <c r="J81" i="24" s="1"/>
  <c r="N81" i="31" s="1"/>
  <c r="G80" i="24"/>
  <c r="H80" i="24" s="1"/>
  <c r="I80" i="24" s="1"/>
  <c r="J80" i="24" s="1"/>
  <c r="N80" i="31" s="1"/>
  <c r="AR73" i="21" l="1"/>
  <c r="AU73" i="21" s="1"/>
  <c r="AX73" i="21" s="1"/>
  <c r="F73" i="31" s="1"/>
  <c r="Y68" i="22"/>
  <c r="AB68" i="22" s="1"/>
  <c r="AE68" i="22" s="1"/>
  <c r="J68" i="31" s="1"/>
  <c r="AR74" i="21"/>
  <c r="N50" i="29"/>
  <c r="O50" i="29" s="1"/>
  <c r="P50" i="29" s="1"/>
  <c r="K50" i="31" s="1"/>
  <c r="N81" i="29"/>
  <c r="O81" i="29" s="1"/>
  <c r="P81" i="29" s="1"/>
  <c r="K81" i="31" s="1"/>
  <c r="AR68" i="21"/>
  <c r="AS68" i="21" s="1"/>
  <c r="AV68" i="21" s="1"/>
  <c r="AY68" i="21" s="1"/>
  <c r="G68" i="31" s="1"/>
  <c r="Q67" i="29"/>
  <c r="R67" i="29" s="1"/>
  <c r="S67" i="29" s="1"/>
  <c r="L67" i="31" s="1"/>
  <c r="AQ74" i="21"/>
  <c r="AT74" i="21" s="1"/>
  <c r="AW74" i="21" s="1"/>
  <c r="E74" i="31" s="1"/>
  <c r="AQ68" i="21"/>
  <c r="AT68" i="21" s="1"/>
  <c r="AW68" i="21" s="1"/>
  <c r="E68" i="31" s="1"/>
  <c r="X80" i="22"/>
  <c r="AA80" i="22" s="1"/>
  <c r="AD80" i="22" s="1"/>
  <c r="I80" i="31" s="1"/>
  <c r="AF48" i="21"/>
  <c r="AF50" i="21"/>
  <c r="N47" i="29"/>
  <c r="O47" i="29" s="1"/>
  <c r="P47" i="29" s="1"/>
  <c r="K47" i="31" s="1"/>
  <c r="AQ73" i="21"/>
  <c r="AT73" i="21" s="1"/>
  <c r="AW73" i="21" s="1"/>
  <c r="E73" i="31" s="1"/>
  <c r="AQ67" i="21"/>
  <c r="AT67" i="21" s="1"/>
  <c r="AW67" i="21" s="1"/>
  <c r="E67" i="31" s="1"/>
  <c r="N49" i="29"/>
  <c r="O49" i="29" s="1"/>
  <c r="P49" i="29" s="1"/>
  <c r="K49" i="31" s="1"/>
  <c r="AR67" i="21"/>
  <c r="AU67" i="21" s="1"/>
  <c r="AX67" i="21" s="1"/>
  <c r="F67" i="31" s="1"/>
  <c r="T68" i="29"/>
  <c r="U68" i="29" s="1"/>
  <c r="V68" i="29" s="1"/>
  <c r="M68" i="31" s="1"/>
  <c r="AP49" i="21"/>
  <c r="AF49" i="21"/>
  <c r="AK80" i="21"/>
  <c r="AK47" i="21"/>
  <c r="Z67" i="22"/>
  <c r="AC67" i="22" s="1"/>
  <c r="H67" i="31" s="1"/>
  <c r="Y67" i="22"/>
  <c r="AB67" i="22" s="1"/>
  <c r="AE67" i="22" s="1"/>
  <c r="J67" i="31" s="1"/>
  <c r="AP81" i="21"/>
  <c r="AF47" i="21"/>
  <c r="AP47" i="21"/>
  <c r="X48" i="22"/>
  <c r="AA48" i="22" s="1"/>
  <c r="AD48" i="22" s="1"/>
  <c r="I48" i="31" s="1"/>
  <c r="AA80" i="21"/>
  <c r="AK81" i="21"/>
  <c r="X49" i="22"/>
  <c r="AA49" i="22" s="1"/>
  <c r="AD49" i="22" s="1"/>
  <c r="I49" i="31" s="1"/>
  <c r="AA81" i="21"/>
  <c r="AP80" i="21"/>
  <c r="Q68" i="29"/>
  <c r="R68" i="29" s="1"/>
  <c r="S68" i="29" s="1"/>
  <c r="L68" i="31" s="1"/>
  <c r="W81" i="22"/>
  <c r="Z81" i="22" s="1"/>
  <c r="AC81" i="22" s="1"/>
  <c r="H81" i="31" s="1"/>
  <c r="T67" i="29"/>
  <c r="U67" i="29" s="1"/>
  <c r="V67" i="29" s="1"/>
  <c r="M67" i="31" s="1"/>
  <c r="N80" i="29"/>
  <c r="O80" i="29" s="1"/>
  <c r="P80" i="29" s="1"/>
  <c r="K80" i="31" s="1"/>
  <c r="AP50" i="21"/>
  <c r="AK48" i="21"/>
  <c r="AA49" i="21"/>
  <c r="AF80" i="21"/>
  <c r="X81" i="22"/>
  <c r="AA81" i="22" s="1"/>
  <c r="AD81" i="22" s="1"/>
  <c r="I81" i="31" s="1"/>
  <c r="AP48" i="21"/>
  <c r="O68" i="29"/>
  <c r="P68" i="29" s="1"/>
  <c r="K68" i="31" s="1"/>
  <c r="W80" i="22"/>
  <c r="AF81" i="21"/>
  <c r="X50" i="22"/>
  <c r="AA50" i="22" s="1"/>
  <c r="AD50" i="22" s="1"/>
  <c r="I50" i="31" s="1"/>
  <c r="N48" i="29"/>
  <c r="O48" i="29" s="1"/>
  <c r="P48" i="29" s="1"/>
  <c r="K48" i="31" s="1"/>
  <c r="AA50" i="21"/>
  <c r="AK50" i="21"/>
  <c r="AK49" i="21"/>
  <c r="AA48" i="21"/>
  <c r="AA47" i="21"/>
  <c r="W50" i="22"/>
  <c r="W49" i="22"/>
  <c r="W48" i="22"/>
  <c r="Z48" i="22" s="1"/>
  <c r="AC48" i="22" s="1"/>
  <c r="H48" i="31" s="1"/>
  <c r="X47" i="22"/>
  <c r="AA47" i="22" s="1"/>
  <c r="AD47" i="22" s="1"/>
  <c r="I47" i="31" s="1"/>
  <c r="W47" i="22"/>
  <c r="Z47" i="22" s="1"/>
  <c r="AC47" i="22" s="1"/>
  <c r="H47" i="31" s="1"/>
  <c r="D60" i="3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0" i="24"/>
  <c r="H60" i="24" s="1"/>
  <c r="I60" i="24" s="1"/>
  <c r="J60" i="24" s="1"/>
  <c r="N60" i="31" s="1"/>
  <c r="Y80" i="22" l="1"/>
  <c r="AB80" i="22" s="1"/>
  <c r="AE80" i="22" s="1"/>
  <c r="J80" i="31" s="1"/>
  <c r="Y49" i="22"/>
  <c r="AB49" i="22" s="1"/>
  <c r="AE49" i="22" s="1"/>
  <c r="J49" i="31" s="1"/>
  <c r="AR47" i="21"/>
  <c r="AU47" i="21" s="1"/>
  <c r="AX47" i="21" s="1"/>
  <c r="F47" i="31" s="1"/>
  <c r="AS74" i="21"/>
  <c r="AV74" i="21" s="1"/>
  <c r="AY74" i="21" s="1"/>
  <c r="G74" i="31" s="1"/>
  <c r="AU74" i="21"/>
  <c r="AX74" i="21" s="1"/>
  <c r="F74" i="31" s="1"/>
  <c r="AQ49" i="21"/>
  <c r="AT49" i="21" s="1"/>
  <c r="AW49" i="21" s="1"/>
  <c r="E49" i="31" s="1"/>
  <c r="AU68" i="21"/>
  <c r="AX68" i="21" s="1"/>
  <c r="F68" i="31" s="1"/>
  <c r="O68" i="31"/>
  <c r="P68" i="31" s="1"/>
  <c r="AQ50" i="21"/>
  <c r="AT50" i="21" s="1"/>
  <c r="AW50" i="21" s="1"/>
  <c r="E50" i="31" s="1"/>
  <c r="AR80" i="21"/>
  <c r="AU80" i="21" s="1"/>
  <c r="AX80" i="21" s="1"/>
  <c r="F80" i="31" s="1"/>
  <c r="AQ48" i="21"/>
  <c r="AT48" i="21" s="1"/>
  <c r="AW48" i="21" s="1"/>
  <c r="E48" i="31" s="1"/>
  <c r="AR49" i="21"/>
  <c r="AU49" i="21" s="1"/>
  <c r="AX49" i="21" s="1"/>
  <c r="F49" i="31" s="1"/>
  <c r="AP60" i="21"/>
  <c r="Q81" i="29"/>
  <c r="R81" i="29" s="1"/>
  <c r="S81" i="29" s="1"/>
  <c r="L81" i="31" s="1"/>
  <c r="AQ47" i="21"/>
  <c r="AT47" i="21" s="1"/>
  <c r="AW47" i="21" s="1"/>
  <c r="E47" i="31" s="1"/>
  <c r="AS73" i="21"/>
  <c r="AV73" i="21" s="1"/>
  <c r="AY73" i="21" s="1"/>
  <c r="G73" i="31" s="1"/>
  <c r="AS67" i="21"/>
  <c r="AV67" i="21" s="1"/>
  <c r="AY67" i="21" s="1"/>
  <c r="G67" i="31" s="1"/>
  <c r="Z80" i="22"/>
  <c r="AC80" i="22" s="1"/>
  <c r="H80" i="31" s="1"/>
  <c r="Y81" i="22"/>
  <c r="AB81" i="22" s="1"/>
  <c r="AE81" i="22" s="1"/>
  <c r="J81" i="31" s="1"/>
  <c r="AR81" i="21"/>
  <c r="AU81" i="21" s="1"/>
  <c r="AX81" i="21" s="1"/>
  <c r="F81" i="31" s="1"/>
  <c r="AQ80" i="21"/>
  <c r="AT80" i="21" s="1"/>
  <c r="AW80" i="21" s="1"/>
  <c r="E80" i="31" s="1"/>
  <c r="AR48" i="21"/>
  <c r="AU48" i="21" s="1"/>
  <c r="AX48" i="21" s="1"/>
  <c r="F48" i="31" s="1"/>
  <c r="AR50" i="21"/>
  <c r="AU50" i="21" s="1"/>
  <c r="AX50" i="21" s="1"/>
  <c r="F50" i="31" s="1"/>
  <c r="AQ81" i="21"/>
  <c r="AT81" i="21" s="1"/>
  <c r="AW81" i="21" s="1"/>
  <c r="E81" i="31" s="1"/>
  <c r="T80" i="29"/>
  <c r="U80" i="29" s="1"/>
  <c r="V80" i="29" s="1"/>
  <c r="M80" i="31" s="1"/>
  <c r="AF60" i="21"/>
  <c r="T50" i="29"/>
  <c r="U50" i="29" s="1"/>
  <c r="V50" i="29" s="1"/>
  <c r="M50" i="31" s="1"/>
  <c r="Q80" i="29"/>
  <c r="R80" i="29" s="1"/>
  <c r="S80" i="29" s="1"/>
  <c r="L80" i="31" s="1"/>
  <c r="X60" i="22"/>
  <c r="AA60" i="22" s="1"/>
  <c r="AD60" i="22" s="1"/>
  <c r="I60" i="31" s="1"/>
  <c r="AA60" i="21"/>
  <c r="T81" i="29"/>
  <c r="U81" i="29" s="1"/>
  <c r="V81" i="29" s="1"/>
  <c r="M81" i="31" s="1"/>
  <c r="Y50" i="22"/>
  <c r="AB50" i="22" s="1"/>
  <c r="AE50" i="22" s="1"/>
  <c r="J50" i="31" s="1"/>
  <c r="Z50" i="22"/>
  <c r="AC50" i="22" s="1"/>
  <c r="H50" i="31" s="1"/>
  <c r="Q50" i="29"/>
  <c r="R50" i="29" s="1"/>
  <c r="S50" i="29" s="1"/>
  <c r="L50" i="31" s="1"/>
  <c r="T49" i="29"/>
  <c r="U49" i="29" s="1"/>
  <c r="Q49" i="29"/>
  <c r="R49" i="29" s="1"/>
  <c r="S49" i="29" s="1"/>
  <c r="L49" i="31" s="1"/>
  <c r="Z49" i="22"/>
  <c r="AC49" i="22" s="1"/>
  <c r="H49" i="31" s="1"/>
  <c r="T48" i="29"/>
  <c r="Q48" i="29"/>
  <c r="R48" i="29" s="1"/>
  <c r="S48" i="29" s="1"/>
  <c r="L48" i="31" s="1"/>
  <c r="Y48" i="22"/>
  <c r="AB48" i="22" s="1"/>
  <c r="AE48" i="22" s="1"/>
  <c r="J48" i="31" s="1"/>
  <c r="Q47" i="29"/>
  <c r="R47" i="29" s="1"/>
  <c r="S47" i="29" s="1"/>
  <c r="L47" i="31" s="1"/>
  <c r="Y47" i="22"/>
  <c r="AB47" i="22" s="1"/>
  <c r="AE47" i="22" s="1"/>
  <c r="J47" i="31" s="1"/>
  <c r="T47" i="29"/>
  <c r="U47" i="29" s="1"/>
  <c r="AK60" i="21"/>
  <c r="N60" i="29"/>
  <c r="O60" i="29" s="1"/>
  <c r="P60" i="29" s="1"/>
  <c r="K60" i="31" s="1"/>
  <c r="W60" i="22"/>
  <c r="Z60" i="22" s="1"/>
  <c r="AC60" i="22" s="1"/>
  <c r="H60" i="31" s="1"/>
  <c r="C4" i="21"/>
  <c r="C17" i="21"/>
  <c r="C18" i="21"/>
  <c r="C19" i="21"/>
  <c r="C38" i="21"/>
  <c r="C39" i="21"/>
  <c r="C40" i="21"/>
  <c r="C43" i="21"/>
  <c r="C44" i="21"/>
  <c r="C45" i="21"/>
  <c r="C46" i="21"/>
  <c r="C51" i="21"/>
  <c r="C52" i="21"/>
  <c r="C53" i="21"/>
  <c r="C54" i="21"/>
  <c r="C55" i="21"/>
  <c r="C56" i="21"/>
  <c r="C57" i="21"/>
  <c r="C58" i="21"/>
  <c r="C59" i="21"/>
  <c r="C61" i="21"/>
  <c r="C62" i="21"/>
  <c r="C63" i="21"/>
  <c r="C64" i="21"/>
  <c r="C65" i="21"/>
  <c r="C66" i="21"/>
  <c r="C69" i="21"/>
  <c r="C70" i="21"/>
  <c r="C71" i="21"/>
  <c r="C72" i="21"/>
  <c r="C75" i="21"/>
  <c r="C76" i="21"/>
  <c r="C78" i="21"/>
  <c r="C82" i="21"/>
  <c r="C83" i="21"/>
  <c r="C84" i="21"/>
  <c r="C87" i="21"/>
  <c r="C88" i="21"/>
  <c r="C89" i="21"/>
  <c r="C90" i="21"/>
  <c r="C91" i="21"/>
  <c r="C92" i="21"/>
  <c r="O74" i="31" l="1"/>
  <c r="P74" i="31" s="1"/>
  <c r="AS80" i="21"/>
  <c r="AV80" i="21" s="1"/>
  <c r="AY80" i="21" s="1"/>
  <c r="G80" i="31" s="1"/>
  <c r="AS49" i="21"/>
  <c r="AV49" i="21" s="1"/>
  <c r="AY49" i="21" s="1"/>
  <c r="G49" i="31" s="1"/>
  <c r="AS47" i="21"/>
  <c r="AV47" i="21" s="1"/>
  <c r="AY47" i="21" s="1"/>
  <c r="G47" i="31" s="1"/>
  <c r="O73" i="31"/>
  <c r="P73" i="31" s="1"/>
  <c r="AR60" i="21"/>
  <c r="AU60" i="21" s="1"/>
  <c r="AX60" i="21" s="1"/>
  <c r="F60" i="31" s="1"/>
  <c r="AS81" i="21"/>
  <c r="AV81" i="21" s="1"/>
  <c r="AY81" i="21" s="1"/>
  <c r="G81" i="31" s="1"/>
  <c r="AS50" i="21"/>
  <c r="AV50" i="21" s="1"/>
  <c r="AY50" i="21" s="1"/>
  <c r="G50" i="31" s="1"/>
  <c r="O67" i="31"/>
  <c r="P67" i="31" s="1"/>
  <c r="AS48" i="21"/>
  <c r="AV48" i="21" s="1"/>
  <c r="AY48" i="21" s="1"/>
  <c r="G48" i="31" s="1"/>
  <c r="AQ60" i="21"/>
  <c r="AT60" i="21" s="1"/>
  <c r="AW60" i="21" s="1"/>
  <c r="E60" i="31" s="1"/>
  <c r="Y60" i="22"/>
  <c r="AB60" i="22" s="1"/>
  <c r="AE60" i="22" s="1"/>
  <c r="J60" i="31" s="1"/>
  <c r="V49" i="29"/>
  <c r="M49" i="31" s="1"/>
  <c r="U48" i="29"/>
  <c r="V47" i="29"/>
  <c r="M47" i="31" s="1"/>
  <c r="T60" i="29"/>
  <c r="U60" i="29" s="1"/>
  <c r="V60" i="29" s="1"/>
  <c r="M60" i="31" s="1"/>
  <c r="Q60" i="29"/>
  <c r="R60" i="29" s="1"/>
  <c r="S60" i="29" s="1"/>
  <c r="L60" i="31" s="1"/>
  <c r="D69" i="31"/>
  <c r="C69" i="31"/>
  <c r="B69" i="31"/>
  <c r="M69" i="29"/>
  <c r="L69" i="29"/>
  <c r="F69" i="29"/>
  <c r="D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G69" i="24"/>
  <c r="H69" i="24" s="1"/>
  <c r="I69" i="24" s="1"/>
  <c r="J69" i="24" s="1"/>
  <c r="N69" i="31" s="1"/>
  <c r="O47" i="31" l="1"/>
  <c r="P47" i="31" s="1"/>
  <c r="O80" i="31"/>
  <c r="P80" i="31" s="1"/>
  <c r="O49" i="31"/>
  <c r="P49" i="31" s="1"/>
  <c r="O81" i="31"/>
  <c r="P81" i="31" s="1"/>
  <c r="O48" i="31"/>
  <c r="P48" i="31" s="1"/>
  <c r="O50" i="31"/>
  <c r="P50" i="31" s="1"/>
  <c r="AS60" i="21"/>
  <c r="AV60" i="21" s="1"/>
  <c r="AY60" i="21" s="1"/>
  <c r="G60" i="31" s="1"/>
  <c r="N69" i="29"/>
  <c r="O69" i="29" s="1"/>
  <c r="P69" i="29" s="1"/>
  <c r="K69" i="31" s="1"/>
  <c r="V48" i="29"/>
  <c r="M48" i="31" s="1"/>
  <c r="AP69" i="21"/>
  <c r="X69" i="22"/>
  <c r="AA69" i="22" s="1"/>
  <c r="AD69" i="22" s="1"/>
  <c r="I69" i="31" s="1"/>
  <c r="W69" i="22"/>
  <c r="AA69" i="21"/>
  <c r="AF69" i="21"/>
  <c r="AK69" i="21"/>
  <c r="F46" i="21"/>
  <c r="D46" i="31"/>
  <c r="C46" i="31"/>
  <c r="B46" i="31"/>
  <c r="B51" i="31"/>
  <c r="C51" i="31"/>
  <c r="D51" i="31"/>
  <c r="M46" i="29"/>
  <c r="L46" i="29"/>
  <c r="F46" i="29"/>
  <c r="D46" i="29"/>
  <c r="C46" i="29"/>
  <c r="V46" i="22"/>
  <c r="U46" i="22"/>
  <c r="T46" i="22"/>
  <c r="S46" i="22"/>
  <c r="R46" i="22"/>
  <c r="Q46" i="22"/>
  <c r="F46" i="22"/>
  <c r="D46" i="22"/>
  <c r="C46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D46" i="21"/>
  <c r="G46" i="24"/>
  <c r="H46" i="24" s="1"/>
  <c r="I46" i="24" s="1"/>
  <c r="J46" i="24" s="1"/>
  <c r="N46" i="31" s="1"/>
  <c r="O60" i="31" l="1"/>
  <c r="P60" i="31" s="1"/>
  <c r="AR69" i="21"/>
  <c r="AU69" i="21" s="1"/>
  <c r="AX69" i="21" s="1"/>
  <c r="F69" i="31" s="1"/>
  <c r="N46" i="29"/>
  <c r="O46" i="29" s="1"/>
  <c r="P46" i="29" s="1"/>
  <c r="K46" i="31" s="1"/>
  <c r="T69" i="29"/>
  <c r="U69" i="29" s="1"/>
  <c r="V69" i="29" s="1"/>
  <c r="M69" i="31" s="1"/>
  <c r="AQ69" i="21"/>
  <c r="AT69" i="21" s="1"/>
  <c r="AW69" i="21" s="1"/>
  <c r="E69" i="31" s="1"/>
  <c r="Y69" i="22"/>
  <c r="AB69" i="22" s="1"/>
  <c r="AE69" i="22" s="1"/>
  <c r="J69" i="31" s="1"/>
  <c r="AF46" i="21"/>
  <c r="Q69" i="29"/>
  <c r="R69" i="29" s="1"/>
  <c r="S69" i="29" s="1"/>
  <c r="L69" i="31" s="1"/>
  <c r="Z69" i="22"/>
  <c r="AC69" i="22" s="1"/>
  <c r="H69" i="31" s="1"/>
  <c r="W46" i="22"/>
  <c r="X46" i="22"/>
  <c r="AA46" i="22" s="1"/>
  <c r="AD46" i="22" s="1"/>
  <c r="I46" i="31" s="1"/>
  <c r="AP46" i="21"/>
  <c r="AK46" i="21"/>
  <c r="AA46" i="21"/>
  <c r="D62" i="21"/>
  <c r="Q46" i="29" l="1"/>
  <c r="R46" i="29" s="1"/>
  <c r="S46" i="29" s="1"/>
  <c r="L46" i="31" s="1"/>
  <c r="AQ46" i="21"/>
  <c r="AT46" i="21" s="1"/>
  <c r="AW46" i="21" s="1"/>
  <c r="E46" i="31" s="1"/>
  <c r="AS69" i="21"/>
  <c r="AV69" i="21" s="1"/>
  <c r="Z46" i="22"/>
  <c r="AC46" i="22" s="1"/>
  <c r="H46" i="31" s="1"/>
  <c r="T46" i="29"/>
  <c r="U46" i="29" s="1"/>
  <c r="V46" i="29" s="1"/>
  <c r="M46" i="31" s="1"/>
  <c r="Y46" i="22"/>
  <c r="AB46" i="22" s="1"/>
  <c r="AE46" i="22" s="1"/>
  <c r="J46" i="31" s="1"/>
  <c r="AR46" i="21"/>
  <c r="AU46" i="21" s="1"/>
  <c r="AX46" i="21" s="1"/>
  <c r="F46" i="31" s="1"/>
  <c r="AY69" i="21" l="1"/>
  <c r="G69" i="31" s="1"/>
  <c r="O69" i="31"/>
  <c r="P69" i="31" s="1"/>
  <c r="AS46" i="21"/>
  <c r="AV46" i="21" s="1"/>
  <c r="AY46" i="21" l="1"/>
  <c r="G46" i="31" s="1"/>
  <c r="O46" i="31"/>
  <c r="P46" i="31" s="1"/>
  <c r="D64" i="31"/>
  <c r="C64" i="31"/>
  <c r="B64" i="31"/>
  <c r="D63" i="31"/>
  <c r="C63" i="31"/>
  <c r="B63" i="31"/>
  <c r="M64" i="29"/>
  <c r="L64" i="29"/>
  <c r="F64" i="29"/>
  <c r="D64" i="29"/>
  <c r="C64" i="29"/>
  <c r="M63" i="29"/>
  <c r="L63" i="29"/>
  <c r="F63" i="29"/>
  <c r="D63" i="29"/>
  <c r="C63" i="29"/>
  <c r="V64" i="22"/>
  <c r="U64" i="22"/>
  <c r="T64" i="22"/>
  <c r="S64" i="22"/>
  <c r="R64" i="22"/>
  <c r="Q64" i="22"/>
  <c r="F64" i="22"/>
  <c r="D64" i="22"/>
  <c r="C64" i="22"/>
  <c r="V63" i="22"/>
  <c r="U63" i="22"/>
  <c r="T63" i="22"/>
  <c r="S63" i="22"/>
  <c r="R63" i="22"/>
  <c r="Q63" i="22"/>
  <c r="F63" i="22"/>
  <c r="D63" i="22"/>
  <c r="C63" i="22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G64" i="24"/>
  <c r="H64" i="24" s="1"/>
  <c r="I64" i="24" s="1"/>
  <c r="J64" i="24" s="1"/>
  <c r="N64" i="31" s="1"/>
  <c r="G63" i="24"/>
  <c r="H63" i="24" s="1"/>
  <c r="I63" i="24" s="1"/>
  <c r="J63" i="24" s="1"/>
  <c r="N63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D70" i="21"/>
  <c r="D71" i="21"/>
  <c r="D72" i="21"/>
  <c r="D75" i="21"/>
  <c r="D76" i="21"/>
  <c r="D78" i="21"/>
  <c r="D82" i="21"/>
  <c r="D83" i="21"/>
  <c r="D87" i="21"/>
  <c r="D88" i="21"/>
  <c r="D89" i="21"/>
  <c r="D90" i="21"/>
  <c r="D91" i="21"/>
  <c r="D92" i="21"/>
  <c r="D17" i="21"/>
  <c r="D18" i="21"/>
  <c r="D19" i="21"/>
  <c r="D38" i="21"/>
  <c r="D39" i="21"/>
  <c r="D40" i="21"/>
  <c r="D43" i="21"/>
  <c r="D44" i="21"/>
  <c r="D45" i="21"/>
  <c r="D51" i="21"/>
  <c r="D52" i="21"/>
  <c r="D53" i="21"/>
  <c r="D54" i="21"/>
  <c r="D55" i="21"/>
  <c r="D56" i="21"/>
  <c r="D57" i="21"/>
  <c r="D58" i="21"/>
  <c r="D59" i="21"/>
  <c r="D61" i="21"/>
  <c r="D65" i="21"/>
  <c r="D66" i="21"/>
  <c r="M88" i="29"/>
  <c r="L88" i="29"/>
  <c r="L84" i="29"/>
  <c r="M92" i="29"/>
  <c r="L92" i="29"/>
  <c r="C89" i="22"/>
  <c r="D92" i="31"/>
  <c r="C92" i="31"/>
  <c r="B92" i="31"/>
  <c r="F92" i="29"/>
  <c r="D92" i="29"/>
  <c r="C92" i="29"/>
  <c r="V92" i="22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G92" i="24"/>
  <c r="H92" i="24" s="1"/>
  <c r="D19" i="31"/>
  <c r="C19" i="31"/>
  <c r="B19" i="31"/>
  <c r="M19" i="29"/>
  <c r="L19" i="29"/>
  <c r="F19" i="29"/>
  <c r="D19" i="29"/>
  <c r="C19" i="29"/>
  <c r="V19" i="22"/>
  <c r="U19" i="22"/>
  <c r="T19" i="22"/>
  <c r="S19" i="22"/>
  <c r="R19" i="22"/>
  <c r="Q19" i="22"/>
  <c r="F19" i="22"/>
  <c r="D19" i="22"/>
  <c r="C19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55" i="31"/>
  <c r="C55" i="31"/>
  <c r="B55" i="31"/>
  <c r="M55" i="29"/>
  <c r="L55" i="29"/>
  <c r="F55" i="29"/>
  <c r="D55" i="29"/>
  <c r="C55" i="29"/>
  <c r="V55" i="22"/>
  <c r="U55" i="22"/>
  <c r="T55" i="22"/>
  <c r="S55" i="22"/>
  <c r="R55" i="22"/>
  <c r="Q55" i="22"/>
  <c r="F55" i="22"/>
  <c r="D55" i="22"/>
  <c r="C55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G55" i="24"/>
  <c r="H55" i="24" s="1"/>
  <c r="I55" i="24" s="1"/>
  <c r="J55" i="24" s="1"/>
  <c r="N55" i="31" s="1"/>
  <c r="D91" i="31"/>
  <c r="C91" i="31"/>
  <c r="B91" i="31"/>
  <c r="D90" i="31"/>
  <c r="C90" i="31"/>
  <c r="B90" i="31"/>
  <c r="D89" i="31"/>
  <c r="C89" i="31"/>
  <c r="B89" i="31"/>
  <c r="M91" i="29"/>
  <c r="L91" i="29"/>
  <c r="F91" i="29"/>
  <c r="D91" i="29"/>
  <c r="C91" i="29"/>
  <c r="M90" i="29"/>
  <c r="L90" i="29"/>
  <c r="F90" i="29"/>
  <c r="D90" i="29"/>
  <c r="C90" i="29"/>
  <c r="M89" i="29"/>
  <c r="L89" i="29"/>
  <c r="F89" i="29"/>
  <c r="D89" i="29"/>
  <c r="C89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G91" i="24"/>
  <c r="H91" i="24" s="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D78" i="31"/>
  <c r="C78" i="31"/>
  <c r="B78" i="31"/>
  <c r="M78" i="29"/>
  <c r="L78" i="29"/>
  <c r="F78" i="29"/>
  <c r="D78" i="29"/>
  <c r="C78" i="29"/>
  <c r="V78" i="22"/>
  <c r="U78" i="22"/>
  <c r="T78" i="22"/>
  <c r="S78" i="22"/>
  <c r="R78" i="22"/>
  <c r="Q78" i="22"/>
  <c r="F78" i="22"/>
  <c r="D78" i="22"/>
  <c r="C78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G78" i="24"/>
  <c r="H78" i="24" s="1"/>
  <c r="I78" i="24" s="1"/>
  <c r="J78" i="24" s="1"/>
  <c r="N78" i="31" s="1"/>
  <c r="D61" i="31"/>
  <c r="C61" i="31"/>
  <c r="B61" i="31"/>
  <c r="M61" i="29"/>
  <c r="L61" i="29"/>
  <c r="F61" i="29"/>
  <c r="D61" i="29"/>
  <c r="C61" i="29"/>
  <c r="V61" i="22"/>
  <c r="U61" i="22"/>
  <c r="T61" i="22"/>
  <c r="S61" i="22"/>
  <c r="R61" i="22"/>
  <c r="Q61" i="22"/>
  <c r="F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G61" i="24"/>
  <c r="H61" i="24" s="1"/>
  <c r="I61" i="24" s="1"/>
  <c r="J61" i="24" s="1"/>
  <c r="N61" i="31" s="1"/>
  <c r="D54" i="31"/>
  <c r="C54" i="31"/>
  <c r="B54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G54" i="24"/>
  <c r="H54" i="24" s="1"/>
  <c r="I54" i="24" s="1"/>
  <c r="J54" i="24" s="1"/>
  <c r="N54" i="31" s="1"/>
  <c r="D40" i="31"/>
  <c r="C40" i="31"/>
  <c r="B40" i="31"/>
  <c r="D39" i="31"/>
  <c r="C39" i="31"/>
  <c r="B39" i="31"/>
  <c r="D38" i="31"/>
  <c r="C38" i="31"/>
  <c r="B38" i="31"/>
  <c r="M40" i="29"/>
  <c r="L40" i="29"/>
  <c r="F40" i="29"/>
  <c r="D40" i="29"/>
  <c r="C40" i="29"/>
  <c r="M39" i="29"/>
  <c r="L39" i="29"/>
  <c r="F39" i="29"/>
  <c r="D39" i="29"/>
  <c r="C39" i="29"/>
  <c r="M38" i="29"/>
  <c r="L38" i="29"/>
  <c r="F38" i="29"/>
  <c r="D38" i="29"/>
  <c r="C38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D65" i="31"/>
  <c r="C65" i="31"/>
  <c r="B65" i="31"/>
  <c r="D62" i="31"/>
  <c r="C62" i="31"/>
  <c r="B62" i="31"/>
  <c r="M65" i="29"/>
  <c r="L65" i="29"/>
  <c r="F65" i="29"/>
  <c r="D65" i="29"/>
  <c r="C65" i="29"/>
  <c r="M62" i="29"/>
  <c r="L62" i="29"/>
  <c r="F62" i="29"/>
  <c r="D62" i="29"/>
  <c r="C62" i="29"/>
  <c r="V65" i="22"/>
  <c r="U65" i="22"/>
  <c r="T65" i="22"/>
  <c r="S65" i="22"/>
  <c r="R65" i="22"/>
  <c r="Q65" i="22"/>
  <c r="F65" i="22"/>
  <c r="D65" i="22"/>
  <c r="C65" i="22"/>
  <c r="V62" i="22"/>
  <c r="U62" i="22"/>
  <c r="T62" i="22"/>
  <c r="S62" i="22"/>
  <c r="R62" i="22"/>
  <c r="Q62" i="22"/>
  <c r="F62" i="22"/>
  <c r="D62" i="22"/>
  <c r="C62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G65" i="24"/>
  <c r="H65" i="24" s="1"/>
  <c r="I65" i="24" s="1"/>
  <c r="J65" i="24" s="1"/>
  <c r="N65" i="31" s="1"/>
  <c r="G62" i="24"/>
  <c r="H62" i="24" s="1"/>
  <c r="I62" i="24" s="1"/>
  <c r="J62" i="24" s="1"/>
  <c r="N62" i="31" s="1"/>
  <c r="D59" i="31"/>
  <c r="C59" i="31"/>
  <c r="B59" i="31"/>
  <c r="D58" i="31"/>
  <c r="C58" i="31"/>
  <c r="B58" i="31"/>
  <c r="D57" i="31"/>
  <c r="B57" i="31"/>
  <c r="M59" i="29"/>
  <c r="L59" i="29"/>
  <c r="F59" i="29"/>
  <c r="D59" i="29"/>
  <c r="C59" i="29"/>
  <c r="M58" i="29"/>
  <c r="L58" i="29"/>
  <c r="F58" i="29"/>
  <c r="D58" i="29"/>
  <c r="C58" i="29"/>
  <c r="M57" i="29"/>
  <c r="L57" i="29"/>
  <c r="F57" i="29"/>
  <c r="D57" i="29"/>
  <c r="C57" i="29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D53" i="31"/>
  <c r="C53" i="31"/>
  <c r="B53" i="31"/>
  <c r="D52" i="31"/>
  <c r="C52" i="31"/>
  <c r="B52" i="31"/>
  <c r="D45" i="31"/>
  <c r="C45" i="31"/>
  <c r="B45" i="31"/>
  <c r="D44" i="31"/>
  <c r="C44" i="31"/>
  <c r="B44" i="31"/>
  <c r="D43" i="31"/>
  <c r="C43" i="31"/>
  <c r="B43" i="31"/>
  <c r="M53" i="29"/>
  <c r="L53" i="29"/>
  <c r="F53" i="29"/>
  <c r="D53" i="29"/>
  <c r="C53" i="29"/>
  <c r="M52" i="29"/>
  <c r="L52" i="29"/>
  <c r="F52" i="29"/>
  <c r="D52" i="29"/>
  <c r="C52" i="29"/>
  <c r="M51" i="29"/>
  <c r="L51" i="29"/>
  <c r="F51" i="29"/>
  <c r="D51" i="29"/>
  <c r="C51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F88" i="29"/>
  <c r="D88" i="29"/>
  <c r="C88" i="29"/>
  <c r="M87" i="29"/>
  <c r="L87" i="29"/>
  <c r="F87" i="29"/>
  <c r="D87" i="29"/>
  <c r="C87" i="29"/>
  <c r="M84" i="29"/>
  <c r="F84" i="29"/>
  <c r="D84" i="29"/>
  <c r="C84" i="29"/>
  <c r="M83" i="29"/>
  <c r="L83" i="29"/>
  <c r="F83" i="29"/>
  <c r="D83" i="29"/>
  <c r="C83" i="29"/>
  <c r="M82" i="29"/>
  <c r="L82" i="29"/>
  <c r="F82" i="29"/>
  <c r="D82" i="29"/>
  <c r="C82" i="29"/>
  <c r="M76" i="29"/>
  <c r="L76" i="29"/>
  <c r="F76" i="29"/>
  <c r="D76" i="29"/>
  <c r="C76" i="29"/>
  <c r="M75" i="29"/>
  <c r="L75" i="29"/>
  <c r="F75" i="29"/>
  <c r="D75" i="29"/>
  <c r="C75" i="29"/>
  <c r="D18" i="31"/>
  <c r="C18" i="31"/>
  <c r="B18" i="31"/>
  <c r="D17" i="31"/>
  <c r="C17" i="31"/>
  <c r="B17" i="31"/>
  <c r="M18" i="29"/>
  <c r="L18" i="29"/>
  <c r="F18" i="29"/>
  <c r="D18" i="29"/>
  <c r="C18" i="29"/>
  <c r="M17" i="29"/>
  <c r="L17" i="29"/>
  <c r="F17" i="29"/>
  <c r="D17" i="29"/>
  <c r="C17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F17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D66" i="31"/>
  <c r="C66" i="31"/>
  <c r="B66" i="31"/>
  <c r="M66" i="29"/>
  <c r="L66" i="29"/>
  <c r="F66" i="29"/>
  <c r="D66" i="29"/>
  <c r="C66" i="29"/>
  <c r="V66" i="22"/>
  <c r="U66" i="22"/>
  <c r="T66" i="22"/>
  <c r="S66" i="22"/>
  <c r="R66" i="22"/>
  <c r="Q66" i="22"/>
  <c r="F66" i="22"/>
  <c r="D66" i="22"/>
  <c r="C66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G66" i="24"/>
  <c r="H66" i="24" s="1"/>
  <c r="I66" i="24" s="1"/>
  <c r="J66" i="24" s="1"/>
  <c r="N66" i="31" s="1"/>
  <c r="D82" i="31"/>
  <c r="C82" i="31"/>
  <c r="B82" i="31"/>
  <c r="B70" i="31"/>
  <c r="B71" i="31"/>
  <c r="B56" i="31"/>
  <c r="F70" i="21"/>
  <c r="F71" i="21"/>
  <c r="F75" i="21"/>
  <c r="F76" i="21"/>
  <c r="F82" i="21"/>
  <c r="F83" i="21"/>
  <c r="F84" i="21"/>
  <c r="F87" i="21"/>
  <c r="F88" i="21"/>
  <c r="F56" i="21"/>
  <c r="D72" i="31"/>
  <c r="C72" i="31"/>
  <c r="B72" i="31"/>
  <c r="M72" i="29"/>
  <c r="L72" i="29"/>
  <c r="F72" i="29"/>
  <c r="D72" i="29"/>
  <c r="C72" i="29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G72" i="24"/>
  <c r="H72" i="24" s="1"/>
  <c r="I72" i="24" s="1"/>
  <c r="J72" i="24" s="1"/>
  <c r="N72" i="31" s="1"/>
  <c r="D88" i="31"/>
  <c r="C88" i="31"/>
  <c r="B88" i="31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G88" i="24"/>
  <c r="H88" i="24" s="1"/>
  <c r="I88" i="24" s="1"/>
  <c r="J88" i="24" s="1"/>
  <c r="N88" i="31" s="1"/>
  <c r="F70" i="22"/>
  <c r="F71" i="22"/>
  <c r="F75" i="22"/>
  <c r="F76" i="22"/>
  <c r="F82" i="22"/>
  <c r="F83" i="22"/>
  <c r="F84" i="22"/>
  <c r="F87" i="22"/>
  <c r="F70" i="29"/>
  <c r="C70" i="31"/>
  <c r="C71" i="31"/>
  <c r="B75" i="31"/>
  <c r="C75" i="31"/>
  <c r="B76" i="31"/>
  <c r="C76" i="31"/>
  <c r="C83" i="31"/>
  <c r="B84" i="31"/>
  <c r="C84" i="31"/>
  <c r="B87" i="31"/>
  <c r="C87" i="31"/>
  <c r="C70" i="29"/>
  <c r="D70" i="29"/>
  <c r="C71" i="29"/>
  <c r="D71" i="29"/>
  <c r="V82" i="22"/>
  <c r="U82" i="22"/>
  <c r="T82" i="22"/>
  <c r="S82" i="22"/>
  <c r="R82" i="22"/>
  <c r="Q82" i="22"/>
  <c r="D82" i="22"/>
  <c r="C82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G82" i="24"/>
  <c r="H82" i="24" s="1"/>
  <c r="I82" i="24" s="1"/>
  <c r="J82" i="24" s="1"/>
  <c r="N82" i="31" s="1"/>
  <c r="D75" i="31"/>
  <c r="V75" i="22"/>
  <c r="U75" i="22"/>
  <c r="T75" i="22"/>
  <c r="S75" i="22"/>
  <c r="R75" i="22"/>
  <c r="Q75" i="22"/>
  <c r="D75" i="22"/>
  <c r="C75" i="22"/>
  <c r="C76" i="22"/>
  <c r="D76" i="22"/>
  <c r="Q76" i="22"/>
  <c r="R76" i="22"/>
  <c r="S76" i="22"/>
  <c r="T76" i="22"/>
  <c r="U76" i="22"/>
  <c r="V76" i="22"/>
  <c r="C83" i="22"/>
  <c r="D83" i="22"/>
  <c r="Q83" i="22"/>
  <c r="R83" i="22"/>
  <c r="S83" i="22"/>
  <c r="T83" i="22"/>
  <c r="U83" i="22"/>
  <c r="V83" i="22"/>
  <c r="C84" i="22"/>
  <c r="D84" i="22"/>
  <c r="Q84" i="22"/>
  <c r="R84" i="22"/>
  <c r="S84" i="22"/>
  <c r="T84" i="22"/>
  <c r="U84" i="22"/>
  <c r="V84" i="22"/>
  <c r="C87" i="22"/>
  <c r="D87" i="22"/>
  <c r="Q87" i="22"/>
  <c r="R87" i="22"/>
  <c r="S87" i="22"/>
  <c r="T87" i="22"/>
  <c r="U87" i="22"/>
  <c r="V87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G75" i="24"/>
  <c r="H75" i="24" s="1"/>
  <c r="I75" i="24" s="1"/>
  <c r="J75" i="24" s="1"/>
  <c r="N75" i="31" s="1"/>
  <c r="D71" i="31"/>
  <c r="M71" i="29"/>
  <c r="L71" i="29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G71" i="24"/>
  <c r="H71" i="24" s="1"/>
  <c r="I71" i="24" s="1"/>
  <c r="J71" i="24" s="1"/>
  <c r="N71" i="31" s="1"/>
  <c r="M70" i="29"/>
  <c r="L70" i="29"/>
  <c r="M56" i="29"/>
  <c r="L56" i="29"/>
  <c r="F56" i="29"/>
  <c r="D56" i="29"/>
  <c r="C56" i="29"/>
  <c r="V70" i="22"/>
  <c r="U70" i="22"/>
  <c r="T70" i="22"/>
  <c r="S70" i="22"/>
  <c r="R70" i="22"/>
  <c r="Q70" i="22"/>
  <c r="D70" i="22"/>
  <c r="C70" i="22"/>
  <c r="V56" i="22"/>
  <c r="U56" i="22"/>
  <c r="T56" i="22"/>
  <c r="S56" i="22"/>
  <c r="R56" i="22"/>
  <c r="Q56" i="22"/>
  <c r="F56" i="22"/>
  <c r="D56" i="22"/>
  <c r="C56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G87" i="24"/>
  <c r="H87" i="24" s="1"/>
  <c r="I87" i="24" s="1"/>
  <c r="J87" i="24" s="1"/>
  <c r="N87" i="31" s="1"/>
  <c r="G84" i="24"/>
  <c r="H84" i="24" s="1"/>
  <c r="I84" i="24" s="1"/>
  <c r="G83" i="24"/>
  <c r="H83" i="24" s="1"/>
  <c r="I83" i="24" s="1"/>
  <c r="J83" i="24" s="1"/>
  <c r="N83" i="31" s="1"/>
  <c r="G76" i="24"/>
  <c r="H76" i="24" s="1"/>
  <c r="I76" i="24" s="1"/>
  <c r="J76" i="24" s="1"/>
  <c r="N76" i="31" s="1"/>
  <c r="G70" i="24"/>
  <c r="H70" i="24" s="1"/>
  <c r="I70" i="24" s="1"/>
  <c r="J70" i="24" s="1"/>
  <c r="N70" i="31" s="1"/>
  <c r="G56" i="24"/>
  <c r="H56" i="24" s="1"/>
  <c r="I56" i="24" s="1"/>
  <c r="J56" i="24" s="1"/>
  <c r="N56" i="31" s="1"/>
  <c r="D84" i="31"/>
  <c r="D83" i="31"/>
  <c r="D87" i="31"/>
  <c r="D76" i="31"/>
  <c r="D70" i="31"/>
  <c r="D56" i="31"/>
  <c r="C56" i="31"/>
  <c r="I38" i="24" l="1"/>
  <c r="J38" i="24" s="1"/>
  <c r="N38" i="31" s="1"/>
  <c r="I91" i="24"/>
  <c r="J91" i="24" s="1"/>
  <c r="N91" i="31" s="1"/>
  <c r="I92" i="24"/>
  <c r="J92" i="24" s="1"/>
  <c r="N92" i="31" s="1"/>
  <c r="X92" i="22"/>
  <c r="AA92" i="22" s="1"/>
  <c r="AD92" i="22" s="1"/>
  <c r="I92" i="31" s="1"/>
  <c r="X64" i="22"/>
  <c r="AA64" i="22" s="1"/>
  <c r="AD64" i="22" s="1"/>
  <c r="I64" i="31" s="1"/>
  <c r="AK4" i="21"/>
  <c r="AP75" i="21"/>
  <c r="AA82" i="21"/>
  <c r="N83" i="29"/>
  <c r="O83" i="29" s="1"/>
  <c r="P83" i="29" s="1"/>
  <c r="K83" i="31" s="1"/>
  <c r="N62" i="29"/>
  <c r="O62" i="29" s="1"/>
  <c r="P62" i="29" s="1"/>
  <c r="K62" i="31" s="1"/>
  <c r="AF92" i="21"/>
  <c r="AF83" i="21"/>
  <c r="N56" i="29"/>
  <c r="O56" i="29" s="1"/>
  <c r="P56" i="29" s="1"/>
  <c r="K56" i="31" s="1"/>
  <c r="X88" i="22"/>
  <c r="AA88" i="22" s="1"/>
  <c r="AD88" i="22" s="1"/>
  <c r="I88" i="31" s="1"/>
  <c r="I72" i="31"/>
  <c r="N72" i="29"/>
  <c r="O72" i="29" s="1"/>
  <c r="P72" i="29" s="1"/>
  <c r="K72" i="31" s="1"/>
  <c r="N88" i="29"/>
  <c r="O88" i="29" s="1"/>
  <c r="P88" i="29" s="1"/>
  <c r="K88" i="31" s="1"/>
  <c r="AP71" i="21"/>
  <c r="AP88" i="21"/>
  <c r="X45" i="22"/>
  <c r="AA45" i="22" s="1"/>
  <c r="AD45" i="22" s="1"/>
  <c r="I45" i="31" s="1"/>
  <c r="AA88" i="21"/>
  <c r="AA72" i="21"/>
  <c r="AP70" i="21"/>
  <c r="AP83" i="21"/>
  <c r="AP87" i="21"/>
  <c r="AF71" i="21"/>
  <c r="X75" i="22"/>
  <c r="AA75" i="22" s="1"/>
  <c r="AD75" i="22" s="1"/>
  <c r="I75" i="31" s="1"/>
  <c r="AP57" i="21"/>
  <c r="N59" i="29"/>
  <c r="O59" i="29" s="1"/>
  <c r="P59" i="29" s="1"/>
  <c r="K59" i="31" s="1"/>
  <c r="AP38" i="21"/>
  <c r="AF39" i="21"/>
  <c r="N84" i="29"/>
  <c r="O84" i="29" s="1"/>
  <c r="P84" i="29" s="1"/>
  <c r="K84" i="31" s="1"/>
  <c r="AF87" i="21"/>
  <c r="AK75" i="21"/>
  <c r="W84" i="22"/>
  <c r="AF17" i="21"/>
  <c r="AA92" i="21"/>
  <c r="AP92" i="21"/>
  <c r="AF62" i="21"/>
  <c r="N65" i="29"/>
  <c r="O65" i="29" s="1"/>
  <c r="P65" i="29" s="1"/>
  <c r="K65" i="31" s="1"/>
  <c r="AP54" i="21"/>
  <c r="AF64" i="21"/>
  <c r="AK70" i="21"/>
  <c r="AK83" i="21"/>
  <c r="AK87" i="21"/>
  <c r="H71" i="31"/>
  <c r="AK82" i="21"/>
  <c r="AF70" i="21"/>
  <c r="AF52" i="21"/>
  <c r="AP76" i="21"/>
  <c r="AP84" i="21"/>
  <c r="AA87" i="21"/>
  <c r="W70" i="22"/>
  <c r="N70" i="29"/>
  <c r="O70" i="29" s="1"/>
  <c r="P70" i="29" s="1"/>
  <c r="K70" i="31" s="1"/>
  <c r="AP44" i="21"/>
  <c r="AK52" i="21"/>
  <c r="N58" i="29"/>
  <c r="O58" i="29" s="1"/>
  <c r="P58" i="29" s="1"/>
  <c r="K58" i="31" s="1"/>
  <c r="N61" i="29"/>
  <c r="O61" i="29" s="1"/>
  <c r="P61" i="29" s="1"/>
  <c r="K61" i="31" s="1"/>
  <c r="N78" i="29"/>
  <c r="O78" i="29" s="1"/>
  <c r="P78" i="29" s="1"/>
  <c r="K78" i="31" s="1"/>
  <c r="AK72" i="21"/>
  <c r="H72" i="31"/>
  <c r="AA61" i="21"/>
  <c r="X61" i="22"/>
  <c r="AA61" i="22" s="1"/>
  <c r="AD61" i="22" s="1"/>
  <c r="I61" i="31" s="1"/>
  <c r="AK78" i="21"/>
  <c r="AP89" i="21"/>
  <c r="AA71" i="21"/>
  <c r="AK71" i="21"/>
  <c r="N71" i="29"/>
  <c r="O71" i="29" s="1"/>
  <c r="P71" i="29" s="1"/>
  <c r="K71" i="31" s="1"/>
  <c r="AA75" i="21"/>
  <c r="X87" i="22"/>
  <c r="AA87" i="22" s="1"/>
  <c r="AD87" i="22" s="1"/>
  <c r="I87" i="31" s="1"/>
  <c r="X84" i="22"/>
  <c r="X83" i="22"/>
  <c r="AA83" i="22" s="1"/>
  <c r="AD83" i="22" s="1"/>
  <c r="I83" i="31" s="1"/>
  <c r="W83" i="22"/>
  <c r="X76" i="22"/>
  <c r="AA76" i="22" s="1"/>
  <c r="AD76" i="22" s="1"/>
  <c r="I76" i="31" s="1"/>
  <c r="W76" i="22"/>
  <c r="W75" i="22"/>
  <c r="AF82" i="21"/>
  <c r="AP82" i="21"/>
  <c r="AF72" i="21"/>
  <c r="N76" i="29"/>
  <c r="O76" i="29" s="1"/>
  <c r="P76" i="29" s="1"/>
  <c r="K76" i="31" s="1"/>
  <c r="X51" i="22"/>
  <c r="AA51" i="22" s="1"/>
  <c r="AD51" i="22" s="1"/>
  <c r="I51" i="31" s="1"/>
  <c r="N44" i="29"/>
  <c r="O44" i="29" s="1"/>
  <c r="P44" i="29" s="1"/>
  <c r="K44" i="31" s="1"/>
  <c r="N53" i="29"/>
  <c r="O53" i="29" s="1"/>
  <c r="P53" i="29" s="1"/>
  <c r="K53" i="31" s="1"/>
  <c r="AP59" i="21"/>
  <c r="X58" i="22"/>
  <c r="N57" i="29"/>
  <c r="AP62" i="21"/>
  <c r="AF65" i="21"/>
  <c r="W65" i="22"/>
  <c r="X65" i="22"/>
  <c r="AA65" i="22" s="1"/>
  <c r="AD65" i="22" s="1"/>
  <c r="I65" i="31" s="1"/>
  <c r="AP56" i="21"/>
  <c r="AA43" i="21"/>
  <c r="AA56" i="21"/>
  <c r="AA76" i="21"/>
  <c r="AK76" i="21"/>
  <c r="AK84" i="21"/>
  <c r="AF76" i="21"/>
  <c r="AF84" i="21"/>
  <c r="W56" i="22"/>
  <c r="X56" i="22"/>
  <c r="AA56" i="22" s="1"/>
  <c r="AD56" i="22" s="1"/>
  <c r="I56" i="31" s="1"/>
  <c r="X70" i="22"/>
  <c r="AA70" i="22" s="1"/>
  <c r="AD70" i="22" s="1"/>
  <c r="I70" i="31" s="1"/>
  <c r="AA17" i="21"/>
  <c r="AP53" i="21"/>
  <c r="AF61" i="21"/>
  <c r="N18" i="29"/>
  <c r="O18" i="29" s="1"/>
  <c r="P18" i="29" s="1"/>
  <c r="K18" i="31" s="1"/>
  <c r="AP51" i="21"/>
  <c r="W57" i="22"/>
  <c r="Z57" i="22" s="1"/>
  <c r="AC57" i="22" s="1"/>
  <c r="H57" i="31" s="1"/>
  <c r="X57" i="22"/>
  <c r="AA57" i="22" s="1"/>
  <c r="AD57" i="22" s="1"/>
  <c r="I57" i="31" s="1"/>
  <c r="W59" i="22"/>
  <c r="AK65" i="21"/>
  <c r="AP65" i="21"/>
  <c r="X62" i="22"/>
  <c r="AA62" i="22" s="1"/>
  <c r="AD62" i="22" s="1"/>
  <c r="I62" i="31" s="1"/>
  <c r="AA18" i="21"/>
  <c r="X18" i="22"/>
  <c r="AA18" i="22" s="1"/>
  <c r="AD18" i="22" s="1"/>
  <c r="I18" i="31" s="1"/>
  <c r="AK39" i="21"/>
  <c r="AP39" i="21"/>
  <c r="AA40" i="21"/>
  <c r="AF40" i="21"/>
  <c r="AK40" i="21"/>
  <c r="W39" i="22"/>
  <c r="X40" i="22"/>
  <c r="AA40" i="22" s="1"/>
  <c r="AD40" i="22" s="1"/>
  <c r="I40" i="31" s="1"/>
  <c r="N40" i="29"/>
  <c r="O40" i="29" s="1"/>
  <c r="P40" i="29" s="1"/>
  <c r="K40" i="31" s="1"/>
  <c r="AK54" i="21"/>
  <c r="AP66" i="21"/>
  <c r="X44" i="22"/>
  <c r="AA44" i="22" s="1"/>
  <c r="AD44" i="22" s="1"/>
  <c r="I44" i="31" s="1"/>
  <c r="X53" i="22"/>
  <c r="AA53" i="22" s="1"/>
  <c r="AD53" i="22" s="1"/>
  <c r="I53" i="31" s="1"/>
  <c r="N43" i="29"/>
  <c r="O43" i="29" s="1"/>
  <c r="P43" i="29" s="1"/>
  <c r="K43" i="31" s="1"/>
  <c r="N52" i="29"/>
  <c r="O52" i="29" s="1"/>
  <c r="P52" i="29" s="1"/>
  <c r="K52" i="31" s="1"/>
  <c r="AA58" i="21"/>
  <c r="AK38" i="21"/>
  <c r="X19" i="22"/>
  <c r="AA19" i="22" s="1"/>
  <c r="AD19" i="22" s="1"/>
  <c r="I19" i="31" s="1"/>
  <c r="AP3" i="21"/>
  <c r="AA63" i="21"/>
  <c r="N3" i="29"/>
  <c r="O3" i="29" s="1"/>
  <c r="P3" i="29" s="1"/>
  <c r="K3" i="31" s="1"/>
  <c r="AK43" i="21"/>
  <c r="AF44" i="21"/>
  <c r="AK44" i="21"/>
  <c r="AF45" i="21"/>
  <c r="AP45" i="21"/>
  <c r="AF53" i="21"/>
  <c r="AA38" i="21"/>
  <c r="AF38" i="21"/>
  <c r="X38" i="22"/>
  <c r="AA38" i="22" s="1"/>
  <c r="AD38" i="22" s="1"/>
  <c r="I38" i="31" s="1"/>
  <c r="N38" i="29"/>
  <c r="O38" i="29" s="1"/>
  <c r="P38" i="29" s="1"/>
  <c r="K38" i="31" s="1"/>
  <c r="AK61" i="21"/>
  <c r="AP61" i="21"/>
  <c r="W61" i="22"/>
  <c r="AP90" i="21"/>
  <c r="AA91" i="21"/>
  <c r="X90" i="22"/>
  <c r="AA90" i="22" s="1"/>
  <c r="AD90" i="22" s="1"/>
  <c r="I90" i="31" s="1"/>
  <c r="N91" i="29"/>
  <c r="O91" i="29" s="1"/>
  <c r="P91" i="29" s="1"/>
  <c r="K91" i="31" s="1"/>
  <c r="AA55" i="21"/>
  <c r="AP55" i="21"/>
  <c r="N55" i="29"/>
  <c r="O55" i="29" s="1"/>
  <c r="P55" i="29" s="1"/>
  <c r="K55" i="31" s="1"/>
  <c r="AA4" i="21"/>
  <c r="AF4" i="21"/>
  <c r="AA64" i="21"/>
  <c r="AK64" i="21"/>
  <c r="N64" i="29"/>
  <c r="O64" i="29" s="1"/>
  <c r="P64" i="29" s="1"/>
  <c r="K64" i="31" s="1"/>
  <c r="AA84" i="21"/>
  <c r="AF75" i="21"/>
  <c r="W82" i="22"/>
  <c r="X82" i="22"/>
  <c r="AA82" i="22" s="1"/>
  <c r="AD82" i="22" s="1"/>
  <c r="I82" i="31" s="1"/>
  <c r="AF88" i="21"/>
  <c r="AK88" i="21"/>
  <c r="W88" i="22"/>
  <c r="AK66" i="21"/>
  <c r="AP17" i="21"/>
  <c r="AF18" i="21"/>
  <c r="N75" i="29"/>
  <c r="N87" i="29"/>
  <c r="O87" i="29" s="1"/>
  <c r="P87" i="29" s="1"/>
  <c r="K87" i="31" s="1"/>
  <c r="AA70" i="21"/>
  <c r="AA83" i="21"/>
  <c r="AP72" i="21"/>
  <c r="W18" i="22"/>
  <c r="Z18" i="22" s="1"/>
  <c r="AC18" i="22" s="1"/>
  <c r="H18" i="31" s="1"/>
  <c r="N17" i="29"/>
  <c r="O17" i="29" s="1"/>
  <c r="P17" i="29" s="1"/>
  <c r="K17" i="31" s="1"/>
  <c r="AF66" i="21"/>
  <c r="AK17" i="21"/>
  <c r="X17" i="22"/>
  <c r="AA17" i="22" s="1"/>
  <c r="AD17" i="22" s="1"/>
  <c r="I17" i="31" s="1"/>
  <c r="N82" i="29"/>
  <c r="O82" i="29" s="1"/>
  <c r="P82" i="29" s="1"/>
  <c r="K82" i="31" s="1"/>
  <c r="AA53" i="21"/>
  <c r="W43" i="22"/>
  <c r="X43" i="22"/>
  <c r="AA43" i="22" s="1"/>
  <c r="AD43" i="22" s="1"/>
  <c r="I43" i="31" s="1"/>
  <c r="W44" i="22"/>
  <c r="W52" i="22"/>
  <c r="X52" i="22"/>
  <c r="W53" i="22"/>
  <c r="N51" i="29"/>
  <c r="O51" i="29" s="1"/>
  <c r="P51" i="29" s="1"/>
  <c r="K51" i="31" s="1"/>
  <c r="AP91" i="21"/>
  <c r="X89" i="22"/>
  <c r="AA89" i="22" s="1"/>
  <c r="AD89" i="22" s="1"/>
  <c r="I89" i="31" s="1"/>
  <c r="N90" i="29"/>
  <c r="O90" i="29" s="1"/>
  <c r="P90" i="29" s="1"/>
  <c r="K90" i="31" s="1"/>
  <c r="W62" i="22"/>
  <c r="AP40" i="21"/>
  <c r="AF43" i="21"/>
  <c r="AP43" i="21"/>
  <c r="AA45" i="21"/>
  <c r="AK45" i="21"/>
  <c r="AF51" i="21"/>
  <c r="AK51" i="21"/>
  <c r="AA52" i="21"/>
  <c r="AP52" i="21"/>
  <c r="AK53" i="21"/>
  <c r="N45" i="29"/>
  <c r="O45" i="29" s="1"/>
  <c r="P45" i="29" s="1"/>
  <c r="K45" i="31" s="1"/>
  <c r="W38" i="22"/>
  <c r="X39" i="22"/>
  <c r="AA39" i="22" s="1"/>
  <c r="AD39" i="22" s="1"/>
  <c r="I39" i="31" s="1"/>
  <c r="W40" i="22"/>
  <c r="Z40" i="22" s="1"/>
  <c r="AC40" i="22" s="1"/>
  <c r="H40" i="31" s="1"/>
  <c r="N39" i="29"/>
  <c r="O39" i="29" s="1"/>
  <c r="P39" i="29" s="1"/>
  <c r="K39" i="31" s="1"/>
  <c r="W54" i="22"/>
  <c r="N54" i="29"/>
  <c r="AA78" i="21"/>
  <c r="X78" i="22"/>
  <c r="AA78" i="22" s="1"/>
  <c r="AD78" i="22" s="1"/>
  <c r="I78" i="31" s="1"/>
  <c r="AF89" i="21"/>
  <c r="AK89" i="21"/>
  <c r="AA90" i="21"/>
  <c r="AF55" i="21"/>
  <c r="X55" i="22"/>
  <c r="AA55" i="22" s="1"/>
  <c r="AD55" i="22" s="1"/>
  <c r="I55" i="31" s="1"/>
  <c r="AP19" i="21"/>
  <c r="W63" i="22"/>
  <c r="W64" i="22"/>
  <c r="AA3" i="21"/>
  <c r="AP64" i="21"/>
  <c r="N63" i="29"/>
  <c r="O63" i="29" s="1"/>
  <c r="P63" i="29" s="1"/>
  <c r="K63" i="31" s="1"/>
  <c r="AK57" i="21"/>
  <c r="AF59" i="21"/>
  <c r="W58" i="22"/>
  <c r="Z58" i="22" s="1"/>
  <c r="AC58" i="22" s="1"/>
  <c r="H58" i="31" s="1"/>
  <c r="X59" i="22"/>
  <c r="AA62" i="21"/>
  <c r="AK62" i="21"/>
  <c r="AA65" i="21"/>
  <c r="AP78" i="21"/>
  <c r="W78" i="22"/>
  <c r="Z78" i="22" s="1"/>
  <c r="AC78" i="22" s="1"/>
  <c r="H78" i="31" s="1"/>
  <c r="AF90" i="21"/>
  <c r="AK90" i="21"/>
  <c r="X4" i="22"/>
  <c r="AA4" i="22" s="1"/>
  <c r="AD4" i="22" s="1"/>
  <c r="I4" i="31" s="1"/>
  <c r="AK63" i="21"/>
  <c r="AP63" i="21"/>
  <c r="AA59" i="21"/>
  <c r="AF58" i="21"/>
  <c r="AK58" i="21"/>
  <c r="AP58" i="21"/>
  <c r="AF57" i="21"/>
  <c r="AA57" i="21"/>
  <c r="AA19" i="21"/>
  <c r="AF56" i="21"/>
  <c r="AK56" i="21"/>
  <c r="W87" i="22"/>
  <c r="AK18" i="21"/>
  <c r="AP18" i="21"/>
  <c r="AA66" i="21"/>
  <c r="AK59" i="21"/>
  <c r="W17" i="22"/>
  <c r="Z17" i="22" s="1"/>
  <c r="AC17" i="22" s="1"/>
  <c r="H17" i="31" s="1"/>
  <c r="W66" i="22"/>
  <c r="X66" i="22"/>
  <c r="AA66" i="22" s="1"/>
  <c r="AD66" i="22" s="1"/>
  <c r="I66" i="31" s="1"/>
  <c r="N66" i="29"/>
  <c r="O66" i="29" s="1"/>
  <c r="P66" i="29" s="1"/>
  <c r="K66" i="31" s="1"/>
  <c r="AA44" i="21"/>
  <c r="AA51" i="21"/>
  <c r="W45" i="22"/>
  <c r="W51" i="22"/>
  <c r="AA39" i="21"/>
  <c r="AA54" i="21"/>
  <c r="X54" i="22"/>
  <c r="AA54" i="22" s="1"/>
  <c r="AD54" i="22" s="1"/>
  <c r="I54" i="31" s="1"/>
  <c r="AK91" i="21"/>
  <c r="W92" i="22"/>
  <c r="Z92" i="22" s="1"/>
  <c r="AC92" i="22" s="1"/>
  <c r="H92" i="31" s="1"/>
  <c r="AF91" i="21"/>
  <c r="AF54" i="21"/>
  <c r="AF78" i="21"/>
  <c r="W90" i="22"/>
  <c r="W91" i="22"/>
  <c r="Z91" i="22" s="1"/>
  <c r="AC91" i="22" s="1"/>
  <c r="H91" i="31" s="1"/>
  <c r="X91" i="22"/>
  <c r="AA91" i="22" s="1"/>
  <c r="AD91" i="22" s="1"/>
  <c r="I91" i="31" s="1"/>
  <c r="N89" i="29"/>
  <c r="O89" i="29" s="1"/>
  <c r="P89" i="29" s="1"/>
  <c r="K89" i="31" s="1"/>
  <c r="AK55" i="21"/>
  <c r="W55" i="22"/>
  <c r="AF19" i="21"/>
  <c r="AK19" i="21"/>
  <c r="N19" i="29"/>
  <c r="O19" i="29" s="1"/>
  <c r="P19" i="29" s="1"/>
  <c r="K19" i="31" s="1"/>
  <c r="N92" i="29"/>
  <c r="N4" i="29"/>
  <c r="X63" i="22"/>
  <c r="AA63" i="22" s="1"/>
  <c r="AD63" i="22" s="1"/>
  <c r="I63" i="31" s="1"/>
  <c r="AK92" i="21"/>
  <c r="AK3" i="21"/>
  <c r="AF63" i="21"/>
  <c r="W19" i="22"/>
  <c r="X3" i="22"/>
  <c r="AA3" i="22" s="1"/>
  <c r="AD3" i="22" s="1"/>
  <c r="I3" i="31" s="1"/>
  <c r="J84" i="24"/>
  <c r="N84" i="31" s="1"/>
  <c r="AP4" i="21"/>
  <c r="AF3" i="21"/>
  <c r="AA89" i="21"/>
  <c r="W89" i="22"/>
  <c r="W3" i="22"/>
  <c r="Z3" i="22" s="1"/>
  <c r="AC3" i="22" s="1"/>
  <c r="H3" i="31" s="1"/>
  <c r="W4" i="22"/>
  <c r="Y64" i="22" l="1"/>
  <c r="AB64" i="22" s="1"/>
  <c r="AE64" i="22" s="1"/>
  <c r="J64" i="31" s="1"/>
  <c r="Y90" i="22"/>
  <c r="AB90" i="22" s="1"/>
  <c r="AE90" i="22" s="1"/>
  <c r="J90" i="31" s="1"/>
  <c r="AR4" i="21"/>
  <c r="AU4" i="21" s="1"/>
  <c r="AX4" i="21" s="1"/>
  <c r="F4" i="31" s="1"/>
  <c r="AR76" i="21"/>
  <c r="AQ89" i="21"/>
  <c r="AT89" i="21" s="1"/>
  <c r="AW89" i="21" s="1"/>
  <c r="E89" i="31" s="1"/>
  <c r="AQ83" i="21"/>
  <c r="AT83" i="21" s="1"/>
  <c r="AW83" i="21" s="1"/>
  <c r="E83" i="31" s="1"/>
  <c r="AR57" i="21"/>
  <c r="AU57" i="21" s="1"/>
  <c r="AX57" i="21" s="1"/>
  <c r="F57" i="31" s="1"/>
  <c r="AR59" i="21"/>
  <c r="AU59" i="21" s="1"/>
  <c r="AX59" i="21" s="1"/>
  <c r="F59" i="31" s="1"/>
  <c r="AR88" i="21"/>
  <c r="AS88" i="21" s="1"/>
  <c r="AV88" i="21" s="1"/>
  <c r="AQ92" i="21"/>
  <c r="AT92" i="21" s="1"/>
  <c r="AW92" i="21" s="1"/>
  <c r="E92" i="31" s="1"/>
  <c r="Q52" i="29"/>
  <c r="R52" i="29" s="1"/>
  <c r="S52" i="29" s="1"/>
  <c r="L52" i="31" s="1"/>
  <c r="Q59" i="29"/>
  <c r="R59" i="29" s="1"/>
  <c r="S59" i="29" s="1"/>
  <c r="L59" i="31" s="1"/>
  <c r="T62" i="29"/>
  <c r="U62" i="29" s="1"/>
  <c r="V62" i="29" s="1"/>
  <c r="M62" i="31" s="1"/>
  <c r="AR75" i="21"/>
  <c r="AU75" i="21" s="1"/>
  <c r="AX75" i="21" s="1"/>
  <c r="F75" i="31" s="1"/>
  <c r="AQ52" i="21"/>
  <c r="AT52" i="21" s="1"/>
  <c r="AW52" i="21" s="1"/>
  <c r="E52" i="31" s="1"/>
  <c r="AQ4" i="21"/>
  <c r="AT4" i="21" s="1"/>
  <c r="AW4" i="21" s="1"/>
  <c r="E4" i="31" s="1"/>
  <c r="AQ82" i="21"/>
  <c r="AT82" i="21" s="1"/>
  <c r="AW82" i="21" s="1"/>
  <c r="E82" i="31" s="1"/>
  <c r="AR92" i="21"/>
  <c r="AR87" i="21"/>
  <c r="AS87" i="21" s="1"/>
  <c r="AV87" i="21" s="1"/>
  <c r="AY87" i="21" s="1"/>
  <c r="G87" i="31" s="1"/>
  <c r="Q44" i="29"/>
  <c r="R44" i="29" s="1"/>
  <c r="S44" i="29" s="1"/>
  <c r="L44" i="31" s="1"/>
  <c r="AQ39" i="21"/>
  <c r="AT39" i="21" s="1"/>
  <c r="AW39" i="21" s="1"/>
  <c r="E39" i="31" s="1"/>
  <c r="T72" i="29"/>
  <c r="U72" i="29" s="1"/>
  <c r="V72" i="29" s="1"/>
  <c r="M72" i="31" s="1"/>
  <c r="Y56" i="22"/>
  <c r="AB56" i="22" s="1"/>
  <c r="AE56" i="22" s="1"/>
  <c r="J56" i="31" s="1"/>
  <c r="AQ45" i="21"/>
  <c r="AT45" i="21" s="1"/>
  <c r="AW45" i="21" s="1"/>
  <c r="E45" i="31" s="1"/>
  <c r="Z52" i="22"/>
  <c r="AC52" i="22" s="1"/>
  <c r="H52" i="31" s="1"/>
  <c r="Z59" i="22"/>
  <c r="AC59" i="22" s="1"/>
  <c r="H59" i="31" s="1"/>
  <c r="AQ55" i="21"/>
  <c r="AT55" i="21" s="1"/>
  <c r="AW55" i="21" s="1"/>
  <c r="E55" i="31" s="1"/>
  <c r="Q72" i="29"/>
  <c r="R72" i="29" s="1"/>
  <c r="S72" i="29" s="1"/>
  <c r="L72" i="31" s="1"/>
  <c r="AR64" i="21"/>
  <c r="AU64" i="21" s="1"/>
  <c r="AX64" i="21" s="1"/>
  <c r="F64" i="31" s="1"/>
  <c r="AQ62" i="21"/>
  <c r="AT62" i="21" s="1"/>
  <c r="AW62" i="21" s="1"/>
  <c r="E62" i="31" s="1"/>
  <c r="AR40" i="21"/>
  <c r="AU40" i="21" s="1"/>
  <c r="AX40" i="21" s="1"/>
  <c r="F40" i="31" s="1"/>
  <c r="AR71" i="21"/>
  <c r="AU71" i="21" s="1"/>
  <c r="AX71" i="21" s="1"/>
  <c r="F71" i="31" s="1"/>
  <c r="Q70" i="29"/>
  <c r="R70" i="29" s="1"/>
  <c r="S70" i="29" s="1"/>
  <c r="L70" i="31" s="1"/>
  <c r="AR83" i="21"/>
  <c r="AS83" i="21" s="1"/>
  <c r="AV83" i="21" s="1"/>
  <c r="AY83" i="21" s="1"/>
  <c r="G83" i="31" s="1"/>
  <c r="AR45" i="21"/>
  <c r="AQ18" i="21"/>
  <c r="AT18" i="21" s="1"/>
  <c r="AW18" i="21" s="1"/>
  <c r="E18" i="31" s="1"/>
  <c r="AR82" i="21"/>
  <c r="AS82" i="21" s="1"/>
  <c r="AV82" i="21" s="1"/>
  <c r="AR70" i="21"/>
  <c r="AU70" i="21" s="1"/>
  <c r="AX70" i="21" s="1"/>
  <c r="F70" i="31" s="1"/>
  <c r="Z44" i="22"/>
  <c r="AC44" i="22" s="1"/>
  <c r="H44" i="31" s="1"/>
  <c r="AQ84" i="21"/>
  <c r="AT84" i="21" s="1"/>
  <c r="AW84" i="21" s="1"/>
  <c r="E84" i="31" s="1"/>
  <c r="AQ71" i="21"/>
  <c r="AT71" i="21" s="1"/>
  <c r="AW71" i="21" s="1"/>
  <c r="E71" i="31" s="1"/>
  <c r="AQ87" i="21"/>
  <c r="AT87" i="21" s="1"/>
  <c r="AW87" i="21" s="1"/>
  <c r="E87" i="31" s="1"/>
  <c r="J72" i="31"/>
  <c r="AQ58" i="21"/>
  <c r="AT58" i="21" s="1"/>
  <c r="AW58" i="21" s="1"/>
  <c r="E58" i="31" s="1"/>
  <c r="Q38" i="29"/>
  <c r="R38" i="29" s="1"/>
  <c r="S38" i="29" s="1"/>
  <c r="L38" i="31" s="1"/>
  <c r="Q71" i="29"/>
  <c r="R71" i="29" s="1"/>
  <c r="S71" i="29" s="1"/>
  <c r="L71" i="31" s="1"/>
  <c r="AQ38" i="21"/>
  <c r="AT38" i="21" s="1"/>
  <c r="AW38" i="21" s="1"/>
  <c r="E38" i="31" s="1"/>
  <c r="AR44" i="21"/>
  <c r="AU44" i="21" s="1"/>
  <c r="AX44" i="21" s="1"/>
  <c r="F44" i="31" s="1"/>
  <c r="AR38" i="21"/>
  <c r="AU38" i="21" s="1"/>
  <c r="AX38" i="21" s="1"/>
  <c r="F38" i="31" s="1"/>
  <c r="AQ61" i="21"/>
  <c r="AT61" i="21" s="1"/>
  <c r="AW61" i="21" s="1"/>
  <c r="E61" i="31" s="1"/>
  <c r="AQ88" i="21"/>
  <c r="AT88" i="21" s="1"/>
  <c r="AW88" i="21" s="1"/>
  <c r="E88" i="31" s="1"/>
  <c r="AR53" i="21"/>
  <c r="AU53" i="21" s="1"/>
  <c r="AX53" i="21" s="1"/>
  <c r="F53" i="31" s="1"/>
  <c r="AQ43" i="21"/>
  <c r="AT43" i="21" s="1"/>
  <c r="AW43" i="21" s="1"/>
  <c r="E43" i="31" s="1"/>
  <c r="AR17" i="21"/>
  <c r="AQ72" i="21"/>
  <c r="AT72" i="21" s="1"/>
  <c r="AW72" i="21" s="1"/>
  <c r="E72" i="31" s="1"/>
  <c r="Y84" i="22"/>
  <c r="AB84" i="22" s="1"/>
  <c r="AE84" i="22" s="1"/>
  <c r="J84" i="31" s="1"/>
  <c r="Z84" i="22"/>
  <c r="AC84" i="22" s="1"/>
  <c r="H84" i="31" s="1"/>
  <c r="Z75" i="22"/>
  <c r="AC75" i="22" s="1"/>
  <c r="H75" i="31" s="1"/>
  <c r="Y75" i="22"/>
  <c r="AB75" i="22" s="1"/>
  <c r="AE75" i="22" s="1"/>
  <c r="J75" i="31" s="1"/>
  <c r="T78" i="29"/>
  <c r="U78" i="29" s="1"/>
  <c r="V78" i="29" s="1"/>
  <c r="M78" i="31" s="1"/>
  <c r="AR56" i="21"/>
  <c r="AU56" i="21" s="1"/>
  <c r="AX56" i="21" s="1"/>
  <c r="F56" i="31" s="1"/>
  <c r="AR78" i="21"/>
  <c r="AR89" i="21"/>
  <c r="AR54" i="21"/>
  <c r="AU54" i="21" s="1"/>
  <c r="AX54" i="21" s="1"/>
  <c r="F54" i="31" s="1"/>
  <c r="AQ17" i="21"/>
  <c r="AT17" i="21" s="1"/>
  <c r="AW17" i="21" s="1"/>
  <c r="E17" i="31" s="1"/>
  <c r="Q84" i="29"/>
  <c r="R84" i="29" s="1"/>
  <c r="S84" i="29" s="1"/>
  <c r="L84" i="31" s="1"/>
  <c r="T76" i="29"/>
  <c r="U76" i="29" s="1"/>
  <c r="V76" i="29" s="1"/>
  <c r="M76" i="31" s="1"/>
  <c r="AQ56" i="21"/>
  <c r="AT56" i="21" s="1"/>
  <c r="AW56" i="21" s="1"/>
  <c r="E56" i="31" s="1"/>
  <c r="Y54" i="22"/>
  <c r="AB54" i="22" s="1"/>
  <c r="AE54" i="22" s="1"/>
  <c r="J54" i="31" s="1"/>
  <c r="Z54" i="22"/>
  <c r="AC54" i="22" s="1"/>
  <c r="H54" i="31" s="1"/>
  <c r="AR72" i="21"/>
  <c r="AU72" i="21" s="1"/>
  <c r="AX72" i="21" s="1"/>
  <c r="F72" i="31" s="1"/>
  <c r="AQ64" i="21"/>
  <c r="AT64" i="21" s="1"/>
  <c r="AW64" i="21" s="1"/>
  <c r="E64" i="31" s="1"/>
  <c r="T84" i="29"/>
  <c r="U84" i="29" s="1"/>
  <c r="V84" i="29" s="1"/>
  <c r="M84" i="31" s="1"/>
  <c r="Q19" i="29"/>
  <c r="R19" i="29" s="1"/>
  <c r="S19" i="29" s="1"/>
  <c r="L19" i="31" s="1"/>
  <c r="AQ19" i="21"/>
  <c r="AT19" i="21" s="1"/>
  <c r="AW19" i="21" s="1"/>
  <c r="E19" i="31" s="1"/>
  <c r="AR62" i="21"/>
  <c r="AQ70" i="21"/>
  <c r="AT70" i="21" s="1"/>
  <c r="AW70" i="21" s="1"/>
  <c r="E70" i="31" s="1"/>
  <c r="Z64" i="22"/>
  <c r="AC64" i="22" s="1"/>
  <c r="H64" i="31" s="1"/>
  <c r="Y63" i="22"/>
  <c r="AB63" i="22" s="1"/>
  <c r="AE63" i="22" s="1"/>
  <c r="J63" i="31" s="1"/>
  <c r="Y92" i="22"/>
  <c r="AB92" i="22" s="1"/>
  <c r="AE92" i="22" s="1"/>
  <c r="J92" i="31" s="1"/>
  <c r="T18" i="29"/>
  <c r="U18" i="29" s="1"/>
  <c r="V18" i="29" s="1"/>
  <c r="M18" i="31" s="1"/>
  <c r="AQ63" i="21"/>
  <c r="AT63" i="21" s="1"/>
  <c r="AW63" i="21" s="1"/>
  <c r="E63" i="31" s="1"/>
  <c r="Z38" i="22"/>
  <c r="AC38" i="22" s="1"/>
  <c r="H38" i="31" s="1"/>
  <c r="AQ66" i="21"/>
  <c r="AT66" i="21" s="1"/>
  <c r="AW66" i="21" s="1"/>
  <c r="E66" i="31" s="1"/>
  <c r="Y44" i="22"/>
  <c r="AB44" i="22" s="1"/>
  <c r="AE44" i="22" s="1"/>
  <c r="J44" i="31" s="1"/>
  <c r="Q58" i="29"/>
  <c r="R58" i="29" s="1"/>
  <c r="S58" i="29" s="1"/>
  <c r="L58" i="31" s="1"/>
  <c r="Q53" i="29"/>
  <c r="R53" i="29" s="1"/>
  <c r="S53" i="29" s="1"/>
  <c r="L53" i="31" s="1"/>
  <c r="AA84" i="22"/>
  <c r="AD84" i="22" s="1"/>
  <c r="I84" i="31" s="1"/>
  <c r="AR61" i="21"/>
  <c r="AU61" i="21" s="1"/>
  <c r="AX61" i="21" s="1"/>
  <c r="F61" i="31" s="1"/>
  <c r="AR66" i="21"/>
  <c r="Q39" i="29"/>
  <c r="R39" i="29" s="1"/>
  <c r="S39" i="29" s="1"/>
  <c r="L39" i="31" s="1"/>
  <c r="AQ40" i="21"/>
  <c r="AT40" i="21" s="1"/>
  <c r="AW40" i="21" s="1"/>
  <c r="E40" i="31" s="1"/>
  <c r="AR65" i="21"/>
  <c r="T53" i="29"/>
  <c r="U53" i="29" s="1"/>
  <c r="V53" i="29" s="1"/>
  <c r="M53" i="31" s="1"/>
  <c r="T44" i="29"/>
  <c r="U44" i="29" s="1"/>
  <c r="V44" i="29" s="1"/>
  <c r="M44" i="31" s="1"/>
  <c r="Q43" i="29"/>
  <c r="R43" i="29" s="1"/>
  <c r="S43" i="29" s="1"/>
  <c r="L43" i="31" s="1"/>
  <c r="Q64" i="29"/>
  <c r="R64" i="29" s="1"/>
  <c r="S64" i="29" s="1"/>
  <c r="L64" i="31" s="1"/>
  <c r="AR18" i="21"/>
  <c r="AR90" i="21"/>
  <c r="AU90" i="21" s="1"/>
  <c r="AX90" i="21" s="1"/>
  <c r="F90" i="31" s="1"/>
  <c r="AQ65" i="21"/>
  <c r="AT65" i="21" s="1"/>
  <c r="AW65" i="21" s="1"/>
  <c r="E65" i="31" s="1"/>
  <c r="AR52" i="21"/>
  <c r="T56" i="29"/>
  <c r="U56" i="29" s="1"/>
  <c r="V56" i="29" s="1"/>
  <c r="M56" i="31" s="1"/>
  <c r="Y66" i="22"/>
  <c r="AB66" i="22" s="1"/>
  <c r="AE66" i="22" s="1"/>
  <c r="J66" i="31" s="1"/>
  <c r="Q66" i="29"/>
  <c r="R66" i="29" s="1"/>
  <c r="S66" i="29" s="1"/>
  <c r="L66" i="31" s="1"/>
  <c r="Z66" i="22"/>
  <c r="AC66" i="22" s="1"/>
  <c r="H66" i="31" s="1"/>
  <c r="O92" i="29"/>
  <c r="P92" i="29" s="1"/>
  <c r="K92" i="31" s="1"/>
  <c r="Q92" i="29"/>
  <c r="R92" i="29" s="1"/>
  <c r="S92" i="29" s="1"/>
  <c r="L92" i="31" s="1"/>
  <c r="Y55" i="22"/>
  <c r="AB55" i="22" s="1"/>
  <c r="AE55" i="22" s="1"/>
  <c r="J55" i="31" s="1"/>
  <c r="Z55" i="22"/>
  <c r="AC55" i="22" s="1"/>
  <c r="H55" i="31" s="1"/>
  <c r="Y91" i="22"/>
  <c r="AB91" i="22" s="1"/>
  <c r="AE91" i="22" s="1"/>
  <c r="J91" i="31" s="1"/>
  <c r="Q91" i="29"/>
  <c r="R91" i="29" s="1"/>
  <c r="S91" i="29" s="1"/>
  <c r="L91" i="31" s="1"/>
  <c r="T91" i="29"/>
  <c r="U91" i="29" s="1"/>
  <c r="V91" i="29" s="1"/>
  <c r="M91" i="31" s="1"/>
  <c r="T39" i="29"/>
  <c r="U39" i="29" s="1"/>
  <c r="V39" i="29" s="1"/>
  <c r="M39" i="31" s="1"/>
  <c r="AA52" i="22"/>
  <c r="AD52" i="22" s="1"/>
  <c r="I52" i="31" s="1"/>
  <c r="Y52" i="22"/>
  <c r="AB52" i="22" s="1"/>
  <c r="AE52" i="22" s="1"/>
  <c r="J52" i="31" s="1"/>
  <c r="AA59" i="22"/>
  <c r="AD59" i="22" s="1"/>
  <c r="I59" i="31" s="1"/>
  <c r="T59" i="29"/>
  <c r="U59" i="29" s="1"/>
  <c r="V59" i="29" s="1"/>
  <c r="M59" i="31" s="1"/>
  <c r="O54" i="29"/>
  <c r="P54" i="29" s="1"/>
  <c r="K54" i="31" s="1"/>
  <c r="Q54" i="29"/>
  <c r="R54" i="29" s="1"/>
  <c r="S54" i="29" s="1"/>
  <c r="L54" i="31" s="1"/>
  <c r="Y65" i="22"/>
  <c r="AB65" i="22" s="1"/>
  <c r="AE65" i="22" s="1"/>
  <c r="J65" i="31" s="1"/>
  <c r="Z65" i="22"/>
  <c r="AC65" i="22" s="1"/>
  <c r="H65" i="31" s="1"/>
  <c r="Q65" i="29"/>
  <c r="R65" i="29" s="1"/>
  <c r="S65" i="29" s="1"/>
  <c r="L65" i="31" s="1"/>
  <c r="T65" i="29"/>
  <c r="U65" i="29" s="1"/>
  <c r="V65" i="29" s="1"/>
  <c r="M65" i="31" s="1"/>
  <c r="O57" i="29"/>
  <c r="P57" i="29" s="1"/>
  <c r="K57" i="31" s="1"/>
  <c r="Q57" i="29"/>
  <c r="R57" i="29" s="1"/>
  <c r="S57" i="29" s="1"/>
  <c r="L57" i="31" s="1"/>
  <c r="AA58" i="22"/>
  <c r="AD58" i="22" s="1"/>
  <c r="I58" i="31" s="1"/>
  <c r="T58" i="29"/>
  <c r="U58" i="29" s="1"/>
  <c r="V58" i="29" s="1"/>
  <c r="M58" i="31" s="1"/>
  <c r="Y58" i="22"/>
  <c r="AB58" i="22" s="1"/>
  <c r="AE58" i="22" s="1"/>
  <c r="J58" i="31" s="1"/>
  <c r="Z83" i="22"/>
  <c r="AC83" i="22" s="1"/>
  <c r="H83" i="31" s="1"/>
  <c r="Q83" i="29"/>
  <c r="R83" i="29" s="1"/>
  <c r="S83" i="29" s="1"/>
  <c r="L83" i="31" s="1"/>
  <c r="T83" i="29"/>
  <c r="U83" i="29" s="1"/>
  <c r="V83" i="29" s="1"/>
  <c r="M83" i="31" s="1"/>
  <c r="Y83" i="22"/>
  <c r="AB83" i="22" s="1"/>
  <c r="AE83" i="22" s="1"/>
  <c r="J83" i="31" s="1"/>
  <c r="T70" i="29"/>
  <c r="U70" i="29" s="1"/>
  <c r="V70" i="29" s="1"/>
  <c r="M70" i="31" s="1"/>
  <c r="Z70" i="22"/>
  <c r="AC70" i="22" s="1"/>
  <c r="H70" i="31" s="1"/>
  <c r="AR3" i="21"/>
  <c r="AU3" i="21" s="1"/>
  <c r="AX3" i="21" s="1"/>
  <c r="F3" i="31" s="1"/>
  <c r="AQ53" i="21"/>
  <c r="AT53" i="21" s="1"/>
  <c r="AW53" i="21" s="1"/>
  <c r="E53" i="31" s="1"/>
  <c r="AR84" i="21"/>
  <c r="Z76" i="22"/>
  <c r="AC76" i="22" s="1"/>
  <c r="H76" i="31" s="1"/>
  <c r="Q76" i="29"/>
  <c r="R76" i="29" s="1"/>
  <c r="S76" i="29" s="1"/>
  <c r="L76" i="31" s="1"/>
  <c r="Y76" i="22"/>
  <c r="AB76" i="22" s="1"/>
  <c r="AE76" i="22" s="1"/>
  <c r="J76" i="31" s="1"/>
  <c r="T4" i="29"/>
  <c r="U4" i="29" s="1"/>
  <c r="T92" i="29"/>
  <c r="U92" i="29" s="1"/>
  <c r="V92" i="29" s="1"/>
  <c r="M92" i="31" s="1"/>
  <c r="AR91" i="21"/>
  <c r="AQ44" i="21"/>
  <c r="AT44" i="21" s="1"/>
  <c r="AW44" i="21" s="1"/>
  <c r="E44" i="31" s="1"/>
  <c r="AR63" i="21"/>
  <c r="AQ59" i="21"/>
  <c r="AT59" i="21" s="1"/>
  <c r="AW59" i="21" s="1"/>
  <c r="E59" i="31" s="1"/>
  <c r="AR19" i="21"/>
  <c r="AU19" i="21" s="1"/>
  <c r="AX19" i="21" s="1"/>
  <c r="F19" i="31" s="1"/>
  <c r="AQ90" i="21"/>
  <c r="AT90" i="21" s="1"/>
  <c r="AW90" i="21" s="1"/>
  <c r="E90" i="31" s="1"/>
  <c r="AQ75" i="21"/>
  <c r="AT75" i="21" s="1"/>
  <c r="AW75" i="21" s="1"/>
  <c r="E75" i="31" s="1"/>
  <c r="AR39" i="21"/>
  <c r="Y57" i="22"/>
  <c r="AB57" i="22" s="1"/>
  <c r="AE57" i="22" s="1"/>
  <c r="J57" i="31" s="1"/>
  <c r="Z19" i="22"/>
  <c r="AC19" i="22" s="1"/>
  <c r="H19" i="31" s="1"/>
  <c r="T19" i="29"/>
  <c r="U19" i="29" s="1"/>
  <c r="V19" i="29" s="1"/>
  <c r="M19" i="31" s="1"/>
  <c r="Q90" i="29"/>
  <c r="R90" i="29" s="1"/>
  <c r="S90" i="29" s="1"/>
  <c r="L90" i="31" s="1"/>
  <c r="T90" i="29"/>
  <c r="U90" i="29" s="1"/>
  <c r="V90" i="29" s="1"/>
  <c r="M90" i="31" s="1"/>
  <c r="Z90" i="22"/>
  <c r="AC90" i="22" s="1"/>
  <c r="H90" i="31" s="1"/>
  <c r="T17" i="29"/>
  <c r="U17" i="29" s="1"/>
  <c r="V17" i="29" s="1"/>
  <c r="M17" i="31" s="1"/>
  <c r="Q17" i="29"/>
  <c r="R17" i="29" s="1"/>
  <c r="S17" i="29" s="1"/>
  <c r="L17" i="31" s="1"/>
  <c r="Y17" i="22"/>
  <c r="AB17" i="22" s="1"/>
  <c r="AE17" i="22" s="1"/>
  <c r="J17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Z53" i="22"/>
  <c r="AC53" i="22" s="1"/>
  <c r="H53" i="31" s="1"/>
  <c r="Y40" i="22"/>
  <c r="AB40" i="22" s="1"/>
  <c r="AE40" i="22" s="1"/>
  <c r="J40" i="31" s="1"/>
  <c r="T66" i="29"/>
  <c r="U66" i="29" s="1"/>
  <c r="V66" i="29" s="1"/>
  <c r="M66" i="31" s="1"/>
  <c r="AR55" i="21"/>
  <c r="Z63" i="22"/>
  <c r="AC63" i="22" s="1"/>
  <c r="H63" i="31" s="1"/>
  <c r="Q40" i="29"/>
  <c r="R40" i="29" s="1"/>
  <c r="S40" i="29" s="1"/>
  <c r="L40" i="31" s="1"/>
  <c r="T38" i="29"/>
  <c r="U38" i="29" s="1"/>
  <c r="V38" i="29" s="1"/>
  <c r="M38" i="31" s="1"/>
  <c r="Z39" i="22"/>
  <c r="AC39" i="22" s="1"/>
  <c r="H39" i="31" s="1"/>
  <c r="Y53" i="22"/>
  <c r="AB53" i="22" s="1"/>
  <c r="AE53" i="22" s="1"/>
  <c r="J53" i="31" s="1"/>
  <c r="Y18" i="22"/>
  <c r="AB18" i="22" s="1"/>
  <c r="AE18" i="22" s="1"/>
  <c r="J18" i="31" s="1"/>
  <c r="Y61" i="22"/>
  <c r="AB61" i="22" s="1"/>
  <c r="AE61" i="22" s="1"/>
  <c r="J61" i="31" s="1"/>
  <c r="Z61" i="22"/>
  <c r="AC61" i="22" s="1"/>
  <c r="H61" i="31" s="1"/>
  <c r="T61" i="29"/>
  <c r="U61" i="29" s="1"/>
  <c r="V61" i="29" s="1"/>
  <c r="M61" i="31" s="1"/>
  <c r="Q61" i="29"/>
  <c r="R61" i="29" s="1"/>
  <c r="S61" i="29" s="1"/>
  <c r="L61" i="31" s="1"/>
  <c r="AQ76" i="21"/>
  <c r="AT76" i="21" s="1"/>
  <c r="AW76" i="21" s="1"/>
  <c r="E76" i="31" s="1"/>
  <c r="Y70" i="22"/>
  <c r="AB70" i="22" s="1"/>
  <c r="AE70" i="22" s="1"/>
  <c r="J70" i="31" s="1"/>
  <c r="T63" i="29"/>
  <c r="U63" i="29" s="1"/>
  <c r="V63" i="29" s="1"/>
  <c r="M63" i="31" s="1"/>
  <c r="AQ3" i="21"/>
  <c r="Q55" i="29"/>
  <c r="R55" i="29" s="1"/>
  <c r="S55" i="29" s="1"/>
  <c r="L55" i="31" s="1"/>
  <c r="Q63" i="29"/>
  <c r="R63" i="29" s="1"/>
  <c r="S63" i="29" s="1"/>
  <c r="L63" i="31" s="1"/>
  <c r="AQ78" i="21"/>
  <c r="AT78" i="21" s="1"/>
  <c r="AW78" i="21" s="1"/>
  <c r="E78" i="31" s="1"/>
  <c r="Z56" i="22"/>
  <c r="AC56" i="22" s="1"/>
  <c r="H56" i="31" s="1"/>
  <c r="T57" i="29"/>
  <c r="U57" i="29" s="1"/>
  <c r="V57" i="29" s="1"/>
  <c r="M57" i="31" s="1"/>
  <c r="Y4" i="22"/>
  <c r="AB4" i="22" s="1"/>
  <c r="AE4" i="22" s="1"/>
  <c r="J4" i="31" s="1"/>
  <c r="T64" i="29"/>
  <c r="U64" i="29" s="1"/>
  <c r="V64" i="29" s="1"/>
  <c r="M64" i="31" s="1"/>
  <c r="T55" i="29"/>
  <c r="U55" i="29" s="1"/>
  <c r="V55" i="29" s="1"/>
  <c r="M55" i="31" s="1"/>
  <c r="T40" i="29"/>
  <c r="U40" i="29" s="1"/>
  <c r="V40" i="29" s="1"/>
  <c r="M40" i="31" s="1"/>
  <c r="AQ91" i="21"/>
  <c r="AT91" i="21" s="1"/>
  <c r="AW91" i="21" s="1"/>
  <c r="E91" i="31" s="1"/>
  <c r="AQ51" i="21"/>
  <c r="AT51" i="21" s="1"/>
  <c r="AW51" i="21" s="1"/>
  <c r="E51" i="31" s="1"/>
  <c r="Y38" i="22"/>
  <c r="AB38" i="22" s="1"/>
  <c r="AE38" i="22" s="1"/>
  <c r="J38" i="31" s="1"/>
  <c r="Q18" i="29"/>
  <c r="R18" i="29" s="1"/>
  <c r="S18" i="29" s="1"/>
  <c r="L18" i="31" s="1"/>
  <c r="Y59" i="22"/>
  <c r="AB59" i="22" s="1"/>
  <c r="AE59" i="22" s="1"/>
  <c r="J59" i="31" s="1"/>
  <c r="Q56" i="29"/>
  <c r="R56" i="29" s="1"/>
  <c r="S56" i="29" s="1"/>
  <c r="L56" i="31" s="1"/>
  <c r="AR51" i="21"/>
  <c r="AU51" i="21" s="1"/>
  <c r="AX51" i="21" s="1"/>
  <c r="F51" i="31" s="1"/>
  <c r="AR43" i="21"/>
  <c r="AU43" i="21" s="1"/>
  <c r="AX43" i="21" s="1"/>
  <c r="F43" i="31" s="1"/>
  <c r="Z43" i="22"/>
  <c r="AC43" i="22" s="1"/>
  <c r="H43" i="31" s="1"/>
  <c r="T43" i="29"/>
  <c r="U43" i="29" s="1"/>
  <c r="V43" i="29" s="1"/>
  <c r="M43" i="31" s="1"/>
  <c r="Y43" i="22"/>
  <c r="AB43" i="22" s="1"/>
  <c r="AE43" i="22" s="1"/>
  <c r="J43" i="31" s="1"/>
  <c r="I71" i="31"/>
  <c r="T71" i="29"/>
  <c r="U71" i="29" s="1"/>
  <c r="J71" i="31"/>
  <c r="Y39" i="22"/>
  <c r="AB39" i="22" s="1"/>
  <c r="AE39" i="22" s="1"/>
  <c r="J39" i="31" s="1"/>
  <c r="Q78" i="29"/>
  <c r="R78" i="29" s="1"/>
  <c r="S78" i="29" s="1"/>
  <c r="L78" i="31" s="1"/>
  <c r="Y78" i="22"/>
  <c r="AB78" i="22" s="1"/>
  <c r="AE78" i="22" s="1"/>
  <c r="J78" i="31" s="1"/>
  <c r="Z62" i="22"/>
  <c r="AC62" i="22" s="1"/>
  <c r="H62" i="31" s="1"/>
  <c r="Y62" i="22"/>
  <c r="AB62" i="22" s="1"/>
  <c r="AE62" i="22" s="1"/>
  <c r="J62" i="31" s="1"/>
  <c r="Q62" i="29"/>
  <c r="R62" i="29" s="1"/>
  <c r="S62" i="29" s="1"/>
  <c r="L62" i="31" s="1"/>
  <c r="T52" i="29"/>
  <c r="U52" i="29" s="1"/>
  <c r="V52" i="29" s="1"/>
  <c r="M52" i="31" s="1"/>
  <c r="O75" i="29"/>
  <c r="P75" i="29" s="1"/>
  <c r="K75" i="31" s="1"/>
  <c r="T75" i="29"/>
  <c r="U75" i="29" s="1"/>
  <c r="Q75" i="29"/>
  <c r="R75" i="29" s="1"/>
  <c r="S75" i="29" s="1"/>
  <c r="L75" i="31" s="1"/>
  <c r="Y88" i="22"/>
  <c r="AB88" i="22" s="1"/>
  <c r="AE88" i="22" s="1"/>
  <c r="J88" i="31" s="1"/>
  <c r="T88" i="29"/>
  <c r="U88" i="29" s="1"/>
  <c r="V88" i="29" s="1"/>
  <c r="M88" i="31" s="1"/>
  <c r="Q88" i="29"/>
  <c r="R88" i="29" s="1"/>
  <c r="S88" i="29" s="1"/>
  <c r="L88" i="31" s="1"/>
  <c r="Z88" i="22"/>
  <c r="AC88" i="22" s="1"/>
  <c r="H88" i="31" s="1"/>
  <c r="Z82" i="22"/>
  <c r="AC82" i="22" s="1"/>
  <c r="H82" i="31" s="1"/>
  <c r="Y82" i="22"/>
  <c r="AB82" i="22" s="1"/>
  <c r="AE82" i="22" s="1"/>
  <c r="J82" i="31" s="1"/>
  <c r="Q82" i="29"/>
  <c r="R82" i="29" s="1"/>
  <c r="S82" i="29" s="1"/>
  <c r="L82" i="31" s="1"/>
  <c r="T82" i="29"/>
  <c r="U82" i="29" s="1"/>
  <c r="V82" i="29" s="1"/>
  <c r="M82" i="31" s="1"/>
  <c r="AR58" i="21"/>
  <c r="AQ57" i="21"/>
  <c r="AQ54" i="21"/>
  <c r="AT54" i="21" s="1"/>
  <c r="AW54" i="21" s="1"/>
  <c r="E54" i="31" s="1"/>
  <c r="T54" i="29"/>
  <c r="U54" i="29" s="1"/>
  <c r="V54" i="29" s="1"/>
  <c r="M54" i="31" s="1"/>
  <c r="Z51" i="22"/>
  <c r="AC51" i="22" s="1"/>
  <c r="H51" i="31" s="1"/>
  <c r="Y51" i="22"/>
  <c r="AB51" i="22" s="1"/>
  <c r="AE51" i="22" s="1"/>
  <c r="J51" i="31" s="1"/>
  <c r="Q51" i="29"/>
  <c r="R51" i="29" s="1"/>
  <c r="S51" i="29" s="1"/>
  <c r="L51" i="31" s="1"/>
  <c r="T51" i="29"/>
  <c r="U51" i="29" s="1"/>
  <c r="T87" i="29"/>
  <c r="U87" i="29" s="1"/>
  <c r="Y87" i="22"/>
  <c r="AB87" i="22" s="1"/>
  <c r="AE87" i="22" s="1"/>
  <c r="J87" i="31" s="1"/>
  <c r="Z87" i="22"/>
  <c r="AC87" i="22" s="1"/>
  <c r="H87" i="31" s="1"/>
  <c r="Q87" i="29"/>
  <c r="R87" i="29" s="1"/>
  <c r="S87" i="29" s="1"/>
  <c r="L87" i="31" s="1"/>
  <c r="Z45" i="22"/>
  <c r="AC45" i="22" s="1"/>
  <c r="H45" i="31" s="1"/>
  <c r="T45" i="29"/>
  <c r="U45" i="29" s="1"/>
  <c r="Q45" i="29"/>
  <c r="R45" i="29" s="1"/>
  <c r="S45" i="29" s="1"/>
  <c r="L45" i="31" s="1"/>
  <c r="Y45" i="22"/>
  <c r="AB45" i="22" s="1"/>
  <c r="AE45" i="22" s="1"/>
  <c r="J45" i="31" s="1"/>
  <c r="Y19" i="22"/>
  <c r="AB19" i="22" s="1"/>
  <c r="AE19" i="22" s="1"/>
  <c r="J19" i="31" s="1"/>
  <c r="Z4" i="22"/>
  <c r="AC4" i="22" s="1"/>
  <c r="H4" i="31" s="1"/>
  <c r="T89" i="29"/>
  <c r="U89" i="29" s="1"/>
  <c r="V89" i="29" s="1"/>
  <c r="M89" i="31" s="1"/>
  <c r="Y89" i="22"/>
  <c r="AB89" i="22" s="1"/>
  <c r="AE89" i="22" s="1"/>
  <c r="J89" i="31" s="1"/>
  <c r="Q89" i="29"/>
  <c r="R89" i="29" s="1"/>
  <c r="S89" i="29" s="1"/>
  <c r="L89" i="31" s="1"/>
  <c r="Z89" i="22"/>
  <c r="AC89" i="22" s="1"/>
  <c r="H89" i="31" s="1"/>
  <c r="AU88" i="21" l="1"/>
  <c r="AX88" i="21" s="1"/>
  <c r="F88" i="31" s="1"/>
  <c r="AS78" i="21"/>
  <c r="AV78" i="21" s="1"/>
  <c r="AY78" i="21" s="1"/>
  <c r="G78" i="31" s="1"/>
  <c r="AS89" i="21"/>
  <c r="AV89" i="21" s="1"/>
  <c r="O89" i="31" s="1"/>
  <c r="P89" i="31" s="1"/>
  <c r="AS92" i="21"/>
  <c r="AV92" i="21" s="1"/>
  <c r="AY92" i="21" s="1"/>
  <c r="G92" i="31" s="1"/>
  <c r="AS17" i="21"/>
  <c r="AV17" i="21" s="1"/>
  <c r="O17" i="31" s="1"/>
  <c r="P17" i="31" s="1"/>
  <c r="AS91" i="21"/>
  <c r="AV91" i="21" s="1"/>
  <c r="AY91" i="21" s="1"/>
  <c r="G91" i="31" s="1"/>
  <c r="AS76" i="21"/>
  <c r="AV76" i="21" s="1"/>
  <c r="AY76" i="21" s="1"/>
  <c r="G76" i="31" s="1"/>
  <c r="AU76" i="21"/>
  <c r="AX76" i="21" s="1"/>
  <c r="F76" i="31" s="1"/>
  <c r="AS4" i="21"/>
  <c r="AV4" i="21" s="1"/>
  <c r="AY4" i="21" s="1"/>
  <c r="G4" i="31" s="1"/>
  <c r="AS39" i="21"/>
  <c r="AV39" i="21" s="1"/>
  <c r="AY39" i="21" s="1"/>
  <c r="G39" i="31" s="1"/>
  <c r="AU82" i="21"/>
  <c r="AX82" i="21" s="1"/>
  <c r="F82" i="31" s="1"/>
  <c r="AS75" i="21"/>
  <c r="AV75" i="21" s="1"/>
  <c r="AY75" i="21" s="1"/>
  <c r="G75" i="31" s="1"/>
  <c r="AU87" i="21"/>
  <c r="AX87" i="21" s="1"/>
  <c r="F87" i="31" s="1"/>
  <c r="V51" i="29"/>
  <c r="M51" i="31" s="1"/>
  <c r="AS59" i="21"/>
  <c r="AV59" i="21" s="1"/>
  <c r="O59" i="31" s="1"/>
  <c r="P59" i="31" s="1"/>
  <c r="AU89" i="21"/>
  <c r="AX89" i="21" s="1"/>
  <c r="F89" i="31" s="1"/>
  <c r="AS52" i="21"/>
  <c r="AV52" i="21" s="1"/>
  <c r="AY52" i="21" s="1"/>
  <c r="G52" i="31" s="1"/>
  <c r="AS45" i="21"/>
  <c r="AV45" i="21" s="1"/>
  <c r="AY45" i="21" s="1"/>
  <c r="G45" i="31" s="1"/>
  <c r="AU45" i="21"/>
  <c r="AX45" i="21" s="1"/>
  <c r="F45" i="31" s="1"/>
  <c r="AS71" i="21"/>
  <c r="AV71" i="21" s="1"/>
  <c r="AY71" i="21" s="1"/>
  <c r="G71" i="31" s="1"/>
  <c r="AU39" i="21"/>
  <c r="AX39" i="21" s="1"/>
  <c r="F39" i="31" s="1"/>
  <c r="AU92" i="21"/>
  <c r="AX92" i="21" s="1"/>
  <c r="F92" i="31" s="1"/>
  <c r="AS40" i="21"/>
  <c r="AV40" i="21" s="1"/>
  <c r="AY40" i="21" s="1"/>
  <c r="G40" i="31" s="1"/>
  <c r="AS64" i="21"/>
  <c r="AV64" i="21" s="1"/>
  <c r="AY64" i="21" s="1"/>
  <c r="G64" i="31" s="1"/>
  <c r="AU17" i="21"/>
  <c r="AX17" i="21" s="1"/>
  <c r="F17" i="31" s="1"/>
  <c r="AS66" i="21"/>
  <c r="AV66" i="21" s="1"/>
  <c r="O66" i="31" s="1"/>
  <c r="P66" i="31" s="1"/>
  <c r="AS62" i="21"/>
  <c r="AV62" i="21" s="1"/>
  <c r="O62" i="31" s="1"/>
  <c r="P62" i="31" s="1"/>
  <c r="AU83" i="21"/>
  <c r="AX83" i="21" s="1"/>
  <c r="F83" i="31" s="1"/>
  <c r="AS72" i="21"/>
  <c r="AV72" i="21" s="1"/>
  <c r="O72" i="31" s="1"/>
  <c r="P72" i="31" s="1"/>
  <c r="AS38" i="21"/>
  <c r="AV38" i="21" s="1"/>
  <c r="AY38" i="21" s="1"/>
  <c r="G38" i="31" s="1"/>
  <c r="AS54" i="21"/>
  <c r="AV54" i="21" s="1"/>
  <c r="O54" i="31" s="1"/>
  <c r="P54" i="31" s="1"/>
  <c r="AS70" i="21"/>
  <c r="AV70" i="21" s="1"/>
  <c r="AY70" i="21" s="1"/>
  <c r="G70" i="31" s="1"/>
  <c r="AS44" i="21"/>
  <c r="AV44" i="21" s="1"/>
  <c r="AY44" i="21" s="1"/>
  <c r="G44" i="31" s="1"/>
  <c r="AU78" i="21"/>
  <c r="AX78" i="21" s="1"/>
  <c r="F78" i="31" s="1"/>
  <c r="AU62" i="21"/>
  <c r="AX62" i="21" s="1"/>
  <c r="F62" i="31" s="1"/>
  <c r="AS53" i="21"/>
  <c r="AV53" i="21" s="1"/>
  <c r="AY53" i="21" s="1"/>
  <c r="G53" i="31" s="1"/>
  <c r="AU91" i="21"/>
  <c r="AX91" i="21" s="1"/>
  <c r="F91" i="31" s="1"/>
  <c r="AS19" i="21"/>
  <c r="AV19" i="21" s="1"/>
  <c r="O19" i="31" s="1"/>
  <c r="P19" i="31" s="1"/>
  <c r="AS56" i="21"/>
  <c r="AV56" i="21" s="1"/>
  <c r="AY56" i="21" s="1"/>
  <c r="G56" i="31" s="1"/>
  <c r="AU66" i="21"/>
  <c r="AX66" i="21" s="1"/>
  <c r="F66" i="31" s="1"/>
  <c r="O83" i="31"/>
  <c r="P83" i="31" s="1"/>
  <c r="AS18" i="21"/>
  <c r="AV18" i="21" s="1"/>
  <c r="AU18" i="21"/>
  <c r="AX18" i="21" s="1"/>
  <c r="F18" i="31" s="1"/>
  <c r="V4" i="29"/>
  <c r="M4" i="31" s="1"/>
  <c r="AS43" i="21"/>
  <c r="AV43" i="21" s="1"/>
  <c r="O43" i="31" s="1"/>
  <c r="P43" i="31" s="1"/>
  <c r="AU52" i="21"/>
  <c r="AX52" i="21" s="1"/>
  <c r="F52" i="31" s="1"/>
  <c r="AS90" i="21"/>
  <c r="AV90" i="21" s="1"/>
  <c r="AY90" i="21" s="1"/>
  <c r="G90" i="31" s="1"/>
  <c r="AS61" i="21"/>
  <c r="AV61" i="21" s="1"/>
  <c r="O61" i="31" s="1"/>
  <c r="P61" i="31" s="1"/>
  <c r="AU65" i="21"/>
  <c r="AX65" i="21" s="1"/>
  <c r="F65" i="31" s="1"/>
  <c r="AS65" i="21"/>
  <c r="AV65" i="21" s="1"/>
  <c r="AU84" i="21"/>
  <c r="AX84" i="21" s="1"/>
  <c r="F84" i="31" s="1"/>
  <c r="AS84" i="21"/>
  <c r="AV84" i="21" s="1"/>
  <c r="AU63" i="21"/>
  <c r="AX63" i="21" s="1"/>
  <c r="F63" i="31" s="1"/>
  <c r="AS63" i="21"/>
  <c r="AV63" i="21" s="1"/>
  <c r="AY63" i="21" s="1"/>
  <c r="G63" i="31" s="1"/>
  <c r="AS55" i="21"/>
  <c r="AV55" i="21" s="1"/>
  <c r="AU55" i="21"/>
  <c r="AX55" i="21" s="1"/>
  <c r="F55" i="31" s="1"/>
  <c r="AS51" i="21"/>
  <c r="AV51" i="21" s="1"/>
  <c r="AY51" i="21" s="1"/>
  <c r="G51" i="31" s="1"/>
  <c r="AT3" i="21"/>
  <c r="AW3" i="21" s="1"/>
  <c r="E3" i="31" s="1"/>
  <c r="AS3" i="21"/>
  <c r="AV3" i="21" s="1"/>
  <c r="V71" i="29"/>
  <c r="M71" i="31" s="1"/>
  <c r="AY82" i="21"/>
  <c r="G82" i="31" s="1"/>
  <c r="O82" i="31"/>
  <c r="P82" i="31" s="1"/>
  <c r="V75" i="29"/>
  <c r="M75" i="31" s="1"/>
  <c r="AY88" i="21"/>
  <c r="G88" i="31" s="1"/>
  <c r="O88" i="31"/>
  <c r="P88" i="31" s="1"/>
  <c r="AS58" i="21"/>
  <c r="AV58" i="21" s="1"/>
  <c r="AU58" i="21"/>
  <c r="AX58" i="21" s="1"/>
  <c r="F58" i="31" s="1"/>
  <c r="AT57" i="21"/>
  <c r="AW57" i="21" s="1"/>
  <c r="E57" i="31" s="1"/>
  <c r="AS57" i="21"/>
  <c r="AV57" i="21" s="1"/>
  <c r="V87" i="29"/>
  <c r="M87" i="31" s="1"/>
  <c r="O87" i="31"/>
  <c r="P87" i="31" s="1"/>
  <c r="V45" i="29"/>
  <c r="M45" i="31" s="1"/>
  <c r="AY89" i="21" l="1"/>
  <c r="G89" i="31" s="1"/>
  <c r="O78" i="31"/>
  <c r="P78" i="31" s="1"/>
  <c r="O92" i="31"/>
  <c r="P92" i="31" s="1"/>
  <c r="AY17" i="21"/>
  <c r="G17" i="31" s="1"/>
  <c r="AY59" i="21"/>
  <c r="G59" i="31" s="1"/>
  <c r="O91" i="31"/>
  <c r="P91" i="31" s="1"/>
  <c r="O39" i="31"/>
  <c r="P39" i="31" s="1"/>
  <c r="O4" i="31"/>
  <c r="P4" i="31" s="1"/>
  <c r="AY66" i="21"/>
  <c r="G66" i="31" s="1"/>
  <c r="O76" i="31"/>
  <c r="P76" i="31" s="1"/>
  <c r="O52" i="31"/>
  <c r="P52" i="31" s="1"/>
  <c r="AY72" i="21"/>
  <c r="G72" i="31" s="1"/>
  <c r="O51" i="31"/>
  <c r="P51" i="31" s="1"/>
  <c r="O71" i="31"/>
  <c r="P71" i="31" s="1"/>
  <c r="O45" i="31"/>
  <c r="P45" i="31" s="1"/>
  <c r="O75" i="31"/>
  <c r="P75" i="31" s="1"/>
  <c r="AY54" i="21"/>
  <c r="G54" i="31" s="1"/>
  <c r="O64" i="31"/>
  <c r="P64" i="31" s="1"/>
  <c r="AY62" i="21"/>
  <c r="G62" i="31" s="1"/>
  <c r="O40" i="31"/>
  <c r="P40" i="31" s="1"/>
  <c r="O38" i="31"/>
  <c r="P38" i="31" s="1"/>
  <c r="O70" i="31"/>
  <c r="P70" i="31" s="1"/>
  <c r="O53" i="31"/>
  <c r="P53" i="31" s="1"/>
  <c r="AY19" i="21"/>
  <c r="G19" i="31" s="1"/>
  <c r="O44" i="31"/>
  <c r="P44" i="31" s="1"/>
  <c r="O90" i="31"/>
  <c r="P90" i="31" s="1"/>
  <c r="AY61" i="21"/>
  <c r="G61" i="31" s="1"/>
  <c r="O56" i="31"/>
  <c r="P56" i="31" s="1"/>
  <c r="AY43" i="21"/>
  <c r="G43" i="31" s="1"/>
  <c r="AY65" i="21"/>
  <c r="G65" i="31" s="1"/>
  <c r="O65" i="31"/>
  <c r="P65" i="31" s="1"/>
  <c r="O63" i="31"/>
  <c r="P63" i="31" s="1"/>
  <c r="O18" i="31"/>
  <c r="P18" i="31" s="1"/>
  <c r="AY18" i="21"/>
  <c r="G18" i="31" s="1"/>
  <c r="AY84" i="21"/>
  <c r="G84" i="31" s="1"/>
  <c r="O84" i="31"/>
  <c r="P84" i="31" s="1"/>
  <c r="AY3" i="21"/>
  <c r="G3" i="31" s="1"/>
  <c r="O3" i="31"/>
  <c r="P3" i="31" s="1"/>
  <c r="O55" i="31"/>
  <c r="P55" i="31" s="1"/>
  <c r="AY55" i="21"/>
  <c r="G55" i="31" s="1"/>
  <c r="AY58" i="21"/>
  <c r="G58" i="31" s="1"/>
  <c r="O58" i="31"/>
  <c r="P58" i="31" s="1"/>
  <c r="AY57" i="21"/>
  <c r="G57" i="31" s="1"/>
  <c r="O57" i="31"/>
  <c r="P57" i="31" s="1"/>
</calcChain>
</file>

<file path=xl/sharedStrings.xml><?xml version="1.0" encoding="utf-8"?>
<sst xmlns="http://schemas.openxmlformats.org/spreadsheetml/2006/main" count="983" uniqueCount="308">
  <si>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</si>
  <si>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</si>
  <si>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</si>
  <si>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</si>
  <si>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</si>
  <si>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</si>
  <si>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</si>
  <si>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</si>
  <si>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</si>
  <si>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</si>
  <si>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</si>
  <si>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</si>
  <si>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MDX SUV AWD</t>
  </si>
  <si>
    <t>MDX SUV FWD</t>
  </si>
  <si>
    <t>Y</t>
  </si>
  <si>
    <t>N</t>
  </si>
  <si>
    <t xml:space="preserve">Audi </t>
  </si>
  <si>
    <t>Q4 e-tron SUV AWD</t>
  </si>
  <si>
    <t>Q4 e-tronSportback SUV AWD</t>
  </si>
  <si>
    <t>Chevrolet</t>
  </si>
  <si>
    <t>Bolt EUV SUV FWD</t>
  </si>
  <si>
    <t>Bolt EV 5HB FWD</t>
  </si>
  <si>
    <t>Silverado 1500 PU/CC 2WD</t>
  </si>
  <si>
    <t>Silverado 1500 PU/CC 4WD</t>
  </si>
  <si>
    <t>GMC</t>
  </si>
  <si>
    <t>Sierra 1500 PU/CC 2WD</t>
  </si>
  <si>
    <t>Sierra 1500 PU/CC 4WD</t>
  </si>
  <si>
    <t>Traverse SUV AWD</t>
  </si>
  <si>
    <t>Traverse SUV FWD</t>
  </si>
  <si>
    <t>Buick</t>
  </si>
  <si>
    <t>Enclave SUV AWD</t>
  </si>
  <si>
    <t>Enclave SUV FWD</t>
  </si>
  <si>
    <t>Ford</t>
  </si>
  <si>
    <t>Bronco 4 DR SUV 4WD</t>
  </si>
  <si>
    <t>Escape PHEV SUV FWD</t>
  </si>
  <si>
    <t>Lincoln</t>
  </si>
  <si>
    <t>Corsair PHEV SUV AWD</t>
  </si>
  <si>
    <t>Expedition SUV 2WD</t>
  </si>
  <si>
    <t>Expedition SUV 4WD</t>
  </si>
  <si>
    <t>Expedition EL SUV 2WD</t>
  </si>
  <si>
    <t>Expedition EL SUV 4WD</t>
  </si>
  <si>
    <t>Navigator SUV 2WD</t>
  </si>
  <si>
    <t>Navigator SUV 4WD</t>
  </si>
  <si>
    <t>Navigator EL 2WD</t>
  </si>
  <si>
    <t>Navigator EL 4WD</t>
  </si>
  <si>
    <t>F-150 Lightning BEV PU/CC 4WD</t>
  </si>
  <si>
    <t>F-150 Super Crew HEV PU/CC 2WD</t>
  </si>
  <si>
    <t>F-150 Super Crew HEV PU/CC 4WD</t>
  </si>
  <si>
    <t>F-250 Super Cab PU/EC 2WD</t>
  </si>
  <si>
    <t>F-250 Super Cab PU/EC 4WD</t>
  </si>
  <si>
    <t>Maverick PU/CC FWD</t>
  </si>
  <si>
    <t>Maverick PU/CC 4WD</t>
  </si>
  <si>
    <t>Maverick HEV PU/CC FWD</t>
  </si>
  <si>
    <t>Ranger Super Cab PU/EC 2WD</t>
  </si>
  <si>
    <t>Ranger Super Cab PU/EC 4WD</t>
  </si>
  <si>
    <t>Honda</t>
  </si>
  <si>
    <t>Civic 4DR FWD</t>
  </si>
  <si>
    <t>Civic SI 4DR FWD</t>
  </si>
  <si>
    <t>Civic 5HB FWD</t>
  </si>
  <si>
    <t>Hyundai</t>
  </si>
  <si>
    <t>Ioniq 5 SUV RWD</t>
  </si>
  <si>
    <t>Ioniq 5 SUV AWD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</si>
  <si>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</si>
  <si>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</si>
  <si>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</si>
  <si>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</si>
  <si>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</si>
  <si>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</si>
  <si>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</si>
  <si>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</si>
  <si>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Jeep</t>
  </si>
  <si>
    <t>Compass SUV FWD</t>
  </si>
  <si>
    <t>Compass SUV AWD</t>
  </si>
  <si>
    <t>Grand Cherokee L SUV 2WD</t>
  </si>
  <si>
    <t>Grand Cherokee L SUV 4WD</t>
  </si>
  <si>
    <t>Grand Cherokee SUV 2WD</t>
  </si>
  <si>
    <t>Grand Cherokee SUV 4WD</t>
  </si>
  <si>
    <t>Kia</t>
  </si>
  <si>
    <t>EV6 SUV RWD</t>
  </si>
  <si>
    <t>EV6 SUV AWD</t>
  </si>
  <si>
    <t>Niro Electric SUV FWD</t>
  </si>
  <si>
    <t>Mazda</t>
  </si>
  <si>
    <t>MX-30 5HB FWD</t>
  </si>
  <si>
    <t xml:space="preserve">Mitsubishi </t>
  </si>
  <si>
    <t>Eclipse Cross SUV AWD</t>
  </si>
  <si>
    <t>Eclipse Cross SUV FWD</t>
  </si>
  <si>
    <t>Nissan</t>
  </si>
  <si>
    <t>Altima 4DR FWD</t>
  </si>
  <si>
    <t>Altima 4DR AWD</t>
  </si>
  <si>
    <t>Frontier Crew Cab PU/CC RWD</t>
  </si>
  <si>
    <t>Frontier Crew Cab PU/CC 4WD</t>
  </si>
  <si>
    <t>Frontier King Cab PU/EC RWD</t>
  </si>
  <si>
    <t>Frontier King Cab PU/EC 4WD</t>
  </si>
  <si>
    <t>Pathfinder SUV FWD</t>
  </si>
  <si>
    <t>Pathfinder SUV AWD</t>
  </si>
  <si>
    <t xml:space="preserve">Infiniti </t>
  </si>
  <si>
    <t>QX60 SUV FWD</t>
  </si>
  <si>
    <t>QX60 SUV AWD</t>
  </si>
  <si>
    <t>Rogue AWD (Later Release)</t>
  </si>
  <si>
    <t>Rogue FWD (Later Release)</t>
  </si>
  <si>
    <t>Rogue Sport SUV FWD</t>
  </si>
  <si>
    <t>Rogue Sport SUV AWD</t>
  </si>
  <si>
    <t>Polestar</t>
  </si>
  <si>
    <t>Polestar 2 5HB FWD</t>
  </si>
  <si>
    <t>Polestar 2 5HB AWD</t>
  </si>
  <si>
    <t>Subaru</t>
  </si>
  <si>
    <t>WRX 4DR AWD</t>
  </si>
  <si>
    <t>Toyota</t>
  </si>
  <si>
    <t>Corolla Cross SUV FWD</t>
  </si>
  <si>
    <t>Corolla Cross SUV AWD</t>
  </si>
  <si>
    <t>RAV4 Prime SUV AWD</t>
  </si>
  <si>
    <t>Tundra PU/CC 2WD</t>
  </si>
  <si>
    <t>Tundra PU/CC 4WD</t>
  </si>
  <si>
    <t>Tundra HEV PU/CC 2WD</t>
  </si>
  <si>
    <t>Tundra HEV PU/CC 4WD</t>
  </si>
  <si>
    <t>Tundra PU/EC 2WD</t>
  </si>
  <si>
    <t>Tundra PU/EC 4WD</t>
  </si>
  <si>
    <t>Volkswagen</t>
  </si>
  <si>
    <t>Jetta 4DR FWD</t>
  </si>
  <si>
    <t>Jetta GLI 4DR FWD</t>
  </si>
  <si>
    <t>Taos SUV FWD</t>
  </si>
  <si>
    <t>Taos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</si>
  <si>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</si>
  <si>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</si>
  <si>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</si>
  <si>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</si>
  <si>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</si>
  <si>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</si>
  <si>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</si>
  <si>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</si>
  <si>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</si>
  <si>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</si>
  <si>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</si>
  <si>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</si>
  <si>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</si>
  <si>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</si>
  <si>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</si>
  <si>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</si>
  <si>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</si>
  <si>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</si>
  <si>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</si>
  <si>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</si>
  <si>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</si>
  <si>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</si>
  <si>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</si>
  <si>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</si>
  <si>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</si>
  <si>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</si>
  <si>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</si>
  <si>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</si>
  <si>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</si>
  <si>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</si>
  <si>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</si>
  <si>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</si>
  <si>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O20225300</t>
  </si>
  <si>
    <t>MGA</t>
  </si>
  <si>
    <t>M20225800</t>
  </si>
  <si>
    <t>CAL</t>
  </si>
  <si>
    <t>M20220100</t>
  </si>
  <si>
    <t>Karco</t>
  </si>
  <si>
    <t>M20220103</t>
  </si>
  <si>
    <t>Calspan</t>
  </si>
  <si>
    <t>M20220106</t>
  </si>
  <si>
    <t>TRC</t>
  </si>
  <si>
    <t>M20220107</t>
  </si>
  <si>
    <t>M20220215</t>
  </si>
  <si>
    <t>M20220200</t>
  </si>
  <si>
    <t>M20220203</t>
  </si>
  <si>
    <t>M20220204</t>
  </si>
  <si>
    <t>M20220216</t>
  </si>
  <si>
    <t>M20190208</t>
  </si>
  <si>
    <t>M20220209</t>
  </si>
  <si>
    <t>M20220212</t>
  </si>
  <si>
    <t>O20225303</t>
  </si>
  <si>
    <t>M20224200</t>
  </si>
  <si>
    <t>M20224206</t>
  </si>
  <si>
    <t>O20224200</t>
  </si>
  <si>
    <t>M20220300</t>
  </si>
  <si>
    <t>M20220303</t>
  </si>
  <si>
    <t>O20224203</t>
  </si>
  <si>
    <t>M20224209</t>
  </si>
  <si>
    <t>O20225400</t>
  </si>
  <si>
    <t>O20225600</t>
  </si>
  <si>
    <t>O20195200</t>
  </si>
  <si>
    <t>M20225202</t>
  </si>
  <si>
    <t>M20225205</t>
  </si>
  <si>
    <t>O20225200</t>
  </si>
  <si>
    <t>M20215205</t>
  </si>
  <si>
    <t>M20225900</t>
  </si>
  <si>
    <t>O20225500</t>
  </si>
  <si>
    <t>KAR</t>
  </si>
  <si>
    <t>O20225100</t>
  </si>
  <si>
    <t>M20225103</t>
  </si>
  <si>
    <t>M20225806</t>
  </si>
  <si>
    <t>M20225803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</si>
  <si>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</si>
  <si>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</si>
  <si>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</si>
  <si>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</si>
  <si>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</si>
  <si>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</si>
  <si>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</si>
  <si>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</si>
  <si>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</si>
  <si>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</si>
  <si>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</si>
  <si>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</si>
  <si>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</si>
  <si>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</si>
  <si>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</si>
  <si>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</si>
  <si>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</si>
  <si>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</si>
  <si>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</si>
  <si>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O20225302</t>
  </si>
  <si>
    <t>M20225802</t>
  </si>
  <si>
    <t>M20220102</t>
  </si>
  <si>
    <t>M20220105</t>
  </si>
  <si>
    <t>M20190108</t>
  </si>
  <si>
    <t>M20220109</t>
  </si>
  <si>
    <t>M20220202</t>
  </si>
  <si>
    <t>M20180205</t>
  </si>
  <si>
    <t>M20220206</t>
  </si>
  <si>
    <t>M20220218</t>
  </si>
  <si>
    <t>M20220208</t>
  </si>
  <si>
    <t>M20220211</t>
  </si>
  <si>
    <t>M20220214</t>
  </si>
  <si>
    <t>O20225305</t>
  </si>
  <si>
    <t>M20224202</t>
  </si>
  <si>
    <t>M20224208</t>
  </si>
  <si>
    <t>O20224202</t>
  </si>
  <si>
    <t>M20220302</t>
  </si>
  <si>
    <t>M20220305</t>
  </si>
  <si>
    <t>O20224205</t>
  </si>
  <si>
    <t>M20224211</t>
  </si>
  <si>
    <t>O20225402</t>
  </si>
  <si>
    <t>M20205602</t>
  </si>
  <si>
    <t>M20225201</t>
  </si>
  <si>
    <t>M20225204</t>
  </si>
  <si>
    <t>data loss</t>
  </si>
  <si>
    <t>M20225207</t>
  </si>
  <si>
    <t>M20215204</t>
  </si>
  <si>
    <t>M20225209</t>
  </si>
  <si>
    <t>M20225902</t>
  </si>
  <si>
    <t>O20225502</t>
  </si>
  <si>
    <t>O20225102</t>
  </si>
  <si>
    <t>M20225105</t>
  </si>
  <si>
    <t>M20195802</t>
  </si>
  <si>
    <t>M20225805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</si>
  <si>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</si>
  <si>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</si>
  <si>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</si>
  <si>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</si>
  <si>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</si>
  <si>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</si>
  <si>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</si>
  <si>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</si>
  <si>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</si>
  <si>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</si>
  <si>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</si>
  <si>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</si>
  <si>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</si>
  <si>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</si>
  <si>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O20225301</t>
  </si>
  <si>
    <t>M20225801</t>
  </si>
  <si>
    <t>M20220101</t>
  </si>
  <si>
    <t>M20220104</t>
  </si>
  <si>
    <t>M20190107</t>
  </si>
  <si>
    <t>M20220108</t>
  </si>
  <si>
    <t>M20220201</t>
  </si>
  <si>
    <t>M20180204</t>
  </si>
  <si>
    <t>M20220205</t>
  </si>
  <si>
    <t>M20220217</t>
  </si>
  <si>
    <t>M20220207</t>
  </si>
  <si>
    <t>M20220210</t>
  </si>
  <si>
    <t>M20220213</t>
  </si>
  <si>
    <t>O20225304</t>
  </si>
  <si>
    <t>M20224201</t>
  </si>
  <si>
    <t>M20224207</t>
  </si>
  <si>
    <t>O20224201</t>
  </si>
  <si>
    <t>M20220301</t>
  </si>
  <si>
    <t>M20220304</t>
  </si>
  <si>
    <t>O20224204</t>
  </si>
  <si>
    <t>M20224210</t>
  </si>
  <si>
    <t>O20225401</t>
  </si>
  <si>
    <t>M20205601</t>
  </si>
  <si>
    <t>M20225200</t>
  </si>
  <si>
    <t>M20225203</t>
  </si>
  <si>
    <t>M20225206</t>
  </si>
  <si>
    <t>M20215203</t>
  </si>
  <si>
    <t>lost data</t>
  </si>
  <si>
    <t>M20225208</t>
  </si>
  <si>
    <t>M20225901</t>
  </si>
  <si>
    <t>O20225501</t>
  </si>
  <si>
    <t>O20225101</t>
  </si>
  <si>
    <t>M20225104</t>
  </si>
  <si>
    <t>M20195801</t>
  </si>
  <si>
    <t>M20225804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</si>
  <si>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</si>
  <si>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</si>
  <si>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</si>
  <si>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</si>
  <si>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</si>
  <si>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</si>
  <si>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Rollover (STARS)</t>
  </si>
  <si>
    <t>Pass</t>
  </si>
  <si>
    <t>VSS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</si>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</sst>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89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2" fillId="0" borderId="0" xfId="0" applyFont="1" applyFill="1"/>
    <xf numFmtId="1" fontId="4" fillId="0" borderId="0" xfId="0" applyNumberFormat="1" applyFont="1" applyFill="1"/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" fontId="3" fillId="0" borderId="0" xfId="0" applyNumberFormat="1" applyFont="1" applyFill="1"/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zoomScale="130" zoomScaleNormal="13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3.35" customHeight="1"/>
  <cols>
    <col min="1" max="1" width="15.5703125" style="78" customWidth="1"/>
    <col min="2" max="2" width="29.7109375" style="78" customWidth="1"/>
    <col min="3" max="4" width="4.5703125" style="64" bestFit="1" customWidth="1"/>
    <col min="5" max="5" width="18" style="64" bestFit="1" customWidth="1"/>
    <col min="6" max="6" width="13.140625" style="64" bestFit="1" customWidth="1"/>
    <col min="7" max="7" width="7.5703125" style="79" customWidth="1"/>
    <col min="8" max="8" width="7.42578125" style="79" bestFit="1" customWidth="1"/>
    <col min="9" max="9" width="7.5703125" style="80" bestFit="1" customWidth="1"/>
    <col min="10" max="10" width="7.140625" style="79" bestFit="1" customWidth="1"/>
    <col min="11" max="16384" width="9.140625" style="64"/>
  </cols>
  <sheetData>
    <row r="1" spans="1:10" s="67" customFormat="1" ht="13.35" customHeight="1">
      <c r="A1" s="17"/>
      <c r="B1" s="17"/>
      <c r="C1" s="17"/>
      <c r="D1" s="17"/>
      <c r="E1" s="17"/>
      <c r="F1" s="17"/>
      <c r="G1" s="65"/>
      <c r="H1" s="65"/>
      <c r="I1" s="66"/>
      <c r="J1" s="65" t="s">
        <v>0</v>
      </c>
    </row>
    <row r="2" spans="1:10" s="67" customFormat="1" ht="13.3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65" t="s">
        <v>7</v>
      </c>
      <c r="H2" s="65" t="s">
        <v>8</v>
      </c>
      <c r="I2" s="66" t="s">
        <v>9</v>
      </c>
      <c r="J2" s="65" t="s">
        <v>10</v>
      </c>
    </row>
    <row r="3" spans="1:10" ht="13.35" customHeight="1">
      <c r="A3" s="43" t="s">
        <v>11</v>
      </c>
      <c r="B3" s="68" t="s">
        <v>12</v>
      </c>
      <c r="C3" s="69">
        <v>2022</v>
      </c>
      <c r="D3" s="42"/>
      <c r="E3" s="42"/>
      <c r="F3" s="42"/>
      <c r="G3" s="70" t="e">
        <f t="shared" ref="G3:G16" si="0">IF(F3="Y",((1/(1+EXP(2.6968+(1.1686*LN(D3-0.9)))))),((1/(1+EXP(2.8891+(1.1686*(LN(D3-0.9))))))))</f>
        <v>#NUM!</v>
      </c>
      <c r="H3" s="70" t="e">
        <f t="shared" ref="H3:H16" si="1">ROUND(G3,3)</f>
        <v>#NUM!</v>
      </c>
      <c r="I3" s="71" t="e">
        <f t="shared" ref="I3:I16" si="2">ROUND(H3/0.15,2)</f>
        <v>#NUM!</v>
      </c>
      <c r="J3" s="65" t="e">
        <f t="shared" ref="J3:J16" si="3">IF(I3&lt;0.673,5,IF(I3&lt;1.33,4,IF(I3&lt;2,3,IF(I3&lt;2.67,2,1))))</f>
        <v>#NUM!</v>
      </c>
    </row>
    <row r="4" spans="1:10" ht="13.35" customHeight="1">
      <c r="A4" s="43" t="s">
        <v>11</v>
      </c>
      <c r="B4" s="68" t="s">
        <v>13</v>
      </c>
      <c r="C4" s="69">
        <v>2022</v>
      </c>
      <c r="D4" s="60">
        <v>1.27</v>
      </c>
      <c r="E4" s="60" t="s">
        <v>14</v>
      </c>
      <c r="F4" s="60" t="s">
        <v>15</v>
      </c>
      <c r="G4" s="70">
        <f t="shared" si="0"/>
        <v>0.15094392869398887</v>
      </c>
      <c r="H4" s="70">
        <f t="shared" si="1"/>
        <v>0.151</v>
      </c>
      <c r="I4" s="71">
        <f t="shared" si="2"/>
        <v>1.01</v>
      </c>
      <c r="J4" s="65">
        <f t="shared" si="3"/>
        <v>4</v>
      </c>
    </row>
    <row r="5" spans="1:10" ht="13.35" customHeight="1">
      <c r="A5" s="68" t="s">
        <v>16</v>
      </c>
      <c r="B5" s="68" t="s">
        <v>17</v>
      </c>
      <c r="C5" s="69">
        <v>2022</v>
      </c>
      <c r="D5" s="42">
        <v>1.39</v>
      </c>
      <c r="E5" s="42" t="s">
        <v>14</v>
      </c>
      <c r="F5" s="42" t="s">
        <v>15</v>
      </c>
      <c r="G5" s="10">
        <f t="shared" si="0"/>
        <v>0.11349989611889667</v>
      </c>
      <c r="H5" s="10">
        <f t="shared" si="1"/>
        <v>0.113</v>
      </c>
      <c r="I5" s="24">
        <f t="shared" si="2"/>
        <v>0.75</v>
      </c>
      <c r="J5" s="17">
        <f t="shared" si="3"/>
        <v>4</v>
      </c>
    </row>
    <row r="6" spans="1:10" ht="13.35" customHeight="1">
      <c r="A6" s="72" t="s">
        <v>16</v>
      </c>
      <c r="B6" s="72" t="s">
        <v>18</v>
      </c>
      <c r="C6" s="69">
        <v>2022</v>
      </c>
      <c r="D6" s="60">
        <v>1.39</v>
      </c>
      <c r="E6" s="60" t="s">
        <v>14</v>
      </c>
      <c r="F6" s="60" t="s">
        <v>15</v>
      </c>
      <c r="G6" s="10">
        <f t="shared" si="0"/>
        <v>0.11349989611889667</v>
      </c>
      <c r="H6" s="10">
        <f t="shared" si="1"/>
        <v>0.113</v>
      </c>
      <c r="I6" s="24">
        <f t="shared" si="2"/>
        <v>0.75</v>
      </c>
      <c r="J6" s="17">
        <f t="shared" si="3"/>
        <v>4</v>
      </c>
    </row>
    <row r="7" spans="1:10" ht="13.35" customHeight="1">
      <c r="A7" s="43" t="s">
        <v>19</v>
      </c>
      <c r="B7" s="43" t="s">
        <v>20</v>
      </c>
      <c r="C7" s="69">
        <v>2022</v>
      </c>
      <c r="D7" s="42">
        <v>1.42</v>
      </c>
      <c r="E7" s="42" t="s">
        <v>14</v>
      </c>
      <c r="F7" s="42" t="s">
        <v>15</v>
      </c>
      <c r="G7" s="10">
        <f t="shared" si="0"/>
        <v>0.10669807295458973</v>
      </c>
      <c r="H7" s="10">
        <f t="shared" si="1"/>
        <v>0.107</v>
      </c>
      <c r="I7" s="24">
        <f t="shared" si="2"/>
        <v>0.71</v>
      </c>
      <c r="J7" s="17">
        <f t="shared" si="3"/>
        <v>4</v>
      </c>
    </row>
    <row r="8" spans="1:10" ht="13.35" customHeight="1">
      <c r="A8" s="43" t="s">
        <v>19</v>
      </c>
      <c r="B8" s="43" t="s">
        <v>21</v>
      </c>
      <c r="C8" s="69">
        <v>2022</v>
      </c>
      <c r="D8" s="42">
        <v>1.47</v>
      </c>
      <c r="E8" s="42" t="s">
        <v>15</v>
      </c>
      <c r="F8" s="42" t="s">
        <v>15</v>
      </c>
      <c r="G8" s="10">
        <f t="shared" si="0"/>
        <v>9.6895269126392819E-2</v>
      </c>
      <c r="H8" s="10">
        <f t="shared" si="1"/>
        <v>9.7000000000000003E-2</v>
      </c>
      <c r="I8" s="24">
        <f t="shared" si="2"/>
        <v>0.65</v>
      </c>
      <c r="J8" s="17">
        <f t="shared" si="3"/>
        <v>5</v>
      </c>
    </row>
    <row r="9" spans="1:10" ht="13.35" customHeight="1">
      <c r="A9" s="43" t="s">
        <v>19</v>
      </c>
      <c r="B9" s="14" t="s">
        <v>22</v>
      </c>
      <c r="C9" s="69">
        <v>2022</v>
      </c>
      <c r="D9" s="42">
        <v>1.19</v>
      </c>
      <c r="E9" s="42" t="s">
        <v>14</v>
      </c>
      <c r="F9" s="73" t="s">
        <v>15</v>
      </c>
      <c r="G9" s="10">
        <f t="shared" si="0"/>
        <v>0.19115541116675627</v>
      </c>
      <c r="H9" s="10">
        <f t="shared" si="1"/>
        <v>0.191</v>
      </c>
      <c r="I9" s="24">
        <f t="shared" si="2"/>
        <v>1.27</v>
      </c>
      <c r="J9" s="17">
        <f t="shared" si="3"/>
        <v>4</v>
      </c>
    </row>
    <row r="10" spans="1:10" ht="13.35" customHeight="1">
      <c r="A10" s="43" t="s">
        <v>19</v>
      </c>
      <c r="B10" s="14" t="s">
        <v>23</v>
      </c>
      <c r="C10" s="69">
        <v>2022</v>
      </c>
      <c r="D10" s="42">
        <v>1.18</v>
      </c>
      <c r="E10" s="42" t="s">
        <v>14</v>
      </c>
      <c r="F10" s="73" t="s">
        <v>15</v>
      </c>
      <c r="G10" s="10">
        <f t="shared" si="0"/>
        <v>0.19757624015247355</v>
      </c>
      <c r="H10" s="10">
        <f t="shared" si="1"/>
        <v>0.19800000000000001</v>
      </c>
      <c r="I10" s="24">
        <f t="shared" si="2"/>
        <v>1.32</v>
      </c>
      <c r="J10" s="17">
        <f t="shared" si="3"/>
        <v>4</v>
      </c>
    </row>
    <row r="11" spans="1:10" ht="13.35" customHeight="1">
      <c r="A11" s="60" t="s">
        <v>24</v>
      </c>
      <c r="B11" s="60" t="s">
        <v>25</v>
      </c>
      <c r="C11" s="69">
        <v>2022</v>
      </c>
      <c r="D11" s="42">
        <v>1.19</v>
      </c>
      <c r="E11" s="42" t="s">
        <v>14</v>
      </c>
      <c r="F11" s="73" t="s">
        <v>15</v>
      </c>
      <c r="G11" s="10">
        <f t="shared" si="0"/>
        <v>0.19115541116675627</v>
      </c>
      <c r="H11" s="10">
        <f t="shared" si="1"/>
        <v>0.191</v>
      </c>
      <c r="I11" s="24">
        <f t="shared" si="2"/>
        <v>1.27</v>
      </c>
      <c r="J11" s="17">
        <f t="shared" si="3"/>
        <v>4</v>
      </c>
    </row>
    <row r="12" spans="1:10" ht="13.35" customHeight="1">
      <c r="A12" s="60" t="s">
        <v>24</v>
      </c>
      <c r="B12" s="60" t="s">
        <v>26</v>
      </c>
      <c r="C12" s="69">
        <v>2022</v>
      </c>
      <c r="D12" s="42">
        <v>1.18</v>
      </c>
      <c r="E12" s="42" t="s">
        <v>14</v>
      </c>
      <c r="F12" s="73" t="s">
        <v>15</v>
      </c>
      <c r="G12" s="10">
        <f t="shared" si="0"/>
        <v>0.19757624015247355</v>
      </c>
      <c r="H12" s="10">
        <f t="shared" si="1"/>
        <v>0.19800000000000001</v>
      </c>
      <c r="I12" s="24">
        <f t="shared" si="2"/>
        <v>1.32</v>
      </c>
      <c r="J12" s="17">
        <f t="shared" si="3"/>
        <v>4</v>
      </c>
    </row>
    <row r="13" spans="1:10" ht="13.35" customHeight="1">
      <c r="A13" s="43" t="s">
        <v>19</v>
      </c>
      <c r="B13" s="43" t="s">
        <v>27</v>
      </c>
      <c r="C13" s="69">
        <v>2022</v>
      </c>
      <c r="D13" s="60">
        <v>1.27</v>
      </c>
      <c r="E13" s="60" t="s">
        <v>14</v>
      </c>
      <c r="F13" s="60" t="s">
        <v>15</v>
      </c>
      <c r="G13" s="10">
        <f t="shared" si="0"/>
        <v>0.15094392869398887</v>
      </c>
      <c r="H13" s="10">
        <f t="shared" si="1"/>
        <v>0.151</v>
      </c>
      <c r="I13" s="24">
        <f t="shared" si="2"/>
        <v>1.01</v>
      </c>
      <c r="J13" s="17">
        <f t="shared" si="3"/>
        <v>4</v>
      </c>
    </row>
    <row r="14" spans="1:10" ht="13.35" customHeight="1">
      <c r="A14" s="43" t="s">
        <v>19</v>
      </c>
      <c r="B14" s="43" t="s">
        <v>28</v>
      </c>
      <c r="C14" s="69">
        <v>2022</v>
      </c>
      <c r="D14" s="60">
        <v>1.23</v>
      </c>
      <c r="E14" s="60" t="s">
        <v>14</v>
      </c>
      <c r="F14" s="60" t="s">
        <v>15</v>
      </c>
      <c r="G14" s="10">
        <f t="shared" si="0"/>
        <v>0.16888967495700072</v>
      </c>
      <c r="H14" s="10">
        <f t="shared" si="1"/>
        <v>0.16900000000000001</v>
      </c>
      <c r="I14" s="24">
        <f t="shared" si="2"/>
        <v>1.1299999999999999</v>
      </c>
      <c r="J14" s="17">
        <f t="shared" si="3"/>
        <v>4</v>
      </c>
    </row>
    <row r="15" spans="1:10" ht="13.35" customHeight="1">
      <c r="A15" s="44" t="s">
        <v>29</v>
      </c>
      <c r="B15" s="72" t="s">
        <v>30</v>
      </c>
      <c r="C15" s="69">
        <v>2022</v>
      </c>
      <c r="D15" s="60">
        <v>1.27</v>
      </c>
      <c r="E15" s="60" t="s">
        <v>14</v>
      </c>
      <c r="F15" s="60" t="s">
        <v>15</v>
      </c>
      <c r="G15" s="10">
        <f t="shared" si="0"/>
        <v>0.15094392869398887</v>
      </c>
      <c r="H15" s="10">
        <f t="shared" si="1"/>
        <v>0.151</v>
      </c>
      <c r="I15" s="24">
        <f t="shared" si="2"/>
        <v>1.01</v>
      </c>
      <c r="J15" s="17">
        <f t="shared" si="3"/>
        <v>4</v>
      </c>
    </row>
    <row r="16" spans="1:10" ht="13.35" customHeight="1">
      <c r="A16" s="44" t="s">
        <v>29</v>
      </c>
      <c r="B16" s="72" t="s">
        <v>31</v>
      </c>
      <c r="C16" s="69">
        <v>2022</v>
      </c>
      <c r="D16" s="60">
        <v>1.23</v>
      </c>
      <c r="E16" s="60" t="s">
        <v>14</v>
      </c>
      <c r="F16" s="60" t="s">
        <v>15</v>
      </c>
      <c r="G16" s="10">
        <f t="shared" si="0"/>
        <v>0.16888967495700072</v>
      </c>
      <c r="H16" s="10">
        <f t="shared" si="1"/>
        <v>0.16900000000000001</v>
      </c>
      <c r="I16" s="24">
        <f t="shared" si="2"/>
        <v>1.1299999999999999</v>
      </c>
      <c r="J16" s="17">
        <f t="shared" si="3"/>
        <v>4</v>
      </c>
    </row>
    <row r="17" spans="1:10" ht="13.35" customHeight="1">
      <c r="A17" s="43" t="s">
        <v>32</v>
      </c>
      <c r="B17" s="68" t="s">
        <v>33</v>
      </c>
      <c r="C17" s="69">
        <v>2022</v>
      </c>
      <c r="D17" s="60">
        <v>1.1100000000000001</v>
      </c>
      <c r="E17" s="60" t="s">
        <v>14</v>
      </c>
      <c r="F17" s="60" t="s">
        <v>15</v>
      </c>
      <c r="G17" s="70">
        <f t="shared" ref="G17:G55" si="4">IF(F17="Y",((1/(1+EXP(2.6968+(1.1686*LN(D17-0.9)))))),((1/(1+EXP(2.8891+(1.1686*(LN(D17-0.9))))))))</f>
        <v>0.25629276697008341</v>
      </c>
      <c r="H17" s="70">
        <f t="shared" ref="H17:H55" si="5">ROUND(G17,3)</f>
        <v>0.25600000000000001</v>
      </c>
      <c r="I17" s="71">
        <f t="shared" ref="I17:I55" si="6">ROUND(H17/0.15,2)</f>
        <v>1.71</v>
      </c>
      <c r="J17" s="65">
        <f t="shared" ref="J17:J55" si="7">IF(I17&lt;0.673,5,IF(I17&lt;1.33,4,IF(I17&lt;2,3,IF(I17&lt;2.67,2,1))))</f>
        <v>3</v>
      </c>
    </row>
    <row r="18" spans="1:10" ht="13.35" customHeight="1">
      <c r="A18" s="43" t="s">
        <v>32</v>
      </c>
      <c r="B18" s="68" t="s">
        <v>34</v>
      </c>
      <c r="C18" s="69">
        <v>2022</v>
      </c>
      <c r="D18" s="42">
        <v>1.29</v>
      </c>
      <c r="E18" s="60" t="s">
        <v>14</v>
      </c>
      <c r="F18" s="60" t="s">
        <v>15</v>
      </c>
      <c r="G18" s="70">
        <f t="shared" si="4"/>
        <v>0.14322773155168095</v>
      </c>
      <c r="H18" s="70">
        <f t="shared" si="5"/>
        <v>0.14299999999999999</v>
      </c>
      <c r="I18" s="71">
        <f t="shared" si="6"/>
        <v>0.95</v>
      </c>
      <c r="J18" s="65">
        <f t="shared" si="7"/>
        <v>4</v>
      </c>
    </row>
    <row r="19" spans="1:10" ht="13.35" customHeight="1">
      <c r="A19" s="44" t="s">
        <v>35</v>
      </c>
      <c r="B19" s="42" t="s">
        <v>36</v>
      </c>
      <c r="C19" s="69">
        <v>2022</v>
      </c>
      <c r="D19" s="60"/>
      <c r="E19" s="60"/>
      <c r="F19" s="60"/>
      <c r="G19" s="70" t="e">
        <f t="shared" si="4"/>
        <v>#NUM!</v>
      </c>
      <c r="H19" s="70" t="e">
        <f t="shared" si="5"/>
        <v>#NUM!</v>
      </c>
      <c r="I19" s="71" t="e">
        <f t="shared" si="6"/>
        <v>#NUM!</v>
      </c>
      <c r="J19" s="65" t="e">
        <f t="shared" si="7"/>
        <v>#NUM!</v>
      </c>
    </row>
    <row r="20" spans="1:10" ht="13.35" customHeight="1">
      <c r="A20" s="17" t="s">
        <v>32</v>
      </c>
      <c r="B20" s="74" t="s">
        <v>37</v>
      </c>
      <c r="C20" s="69">
        <v>2022</v>
      </c>
      <c r="D20" s="60">
        <v>1.1599999999999999</v>
      </c>
      <c r="E20" s="60" t="s">
        <v>14</v>
      </c>
      <c r="F20" s="60" t="s">
        <v>15</v>
      </c>
      <c r="G20" s="10">
        <f t="shared" si="4"/>
        <v>0.21166642755867562</v>
      </c>
      <c r="H20" s="10">
        <f t="shared" si="5"/>
        <v>0.21199999999999999</v>
      </c>
      <c r="I20" s="24">
        <f t="shared" si="6"/>
        <v>1.41</v>
      </c>
      <c r="J20" s="17">
        <f t="shared" si="7"/>
        <v>3</v>
      </c>
    </row>
    <row r="21" spans="1:10" ht="13.35" customHeight="1">
      <c r="A21" s="17" t="s">
        <v>32</v>
      </c>
      <c r="B21" s="74" t="s">
        <v>38</v>
      </c>
      <c r="C21" s="69">
        <v>2022</v>
      </c>
      <c r="D21" s="60">
        <v>1.19</v>
      </c>
      <c r="E21" s="60" t="s">
        <v>14</v>
      </c>
      <c r="F21" s="60" t="s">
        <v>15</v>
      </c>
      <c r="G21" s="10">
        <f t="shared" si="4"/>
        <v>0.19115541116675627</v>
      </c>
      <c r="H21" s="10">
        <f t="shared" si="5"/>
        <v>0.191</v>
      </c>
      <c r="I21" s="24">
        <f t="shared" si="6"/>
        <v>1.27</v>
      </c>
      <c r="J21" s="17">
        <f t="shared" si="7"/>
        <v>4</v>
      </c>
    </row>
    <row r="22" spans="1:10" ht="13.35" customHeight="1">
      <c r="A22" s="16" t="s">
        <v>32</v>
      </c>
      <c r="B22" s="75" t="s">
        <v>39</v>
      </c>
      <c r="C22" s="69">
        <v>2022</v>
      </c>
      <c r="D22" s="60">
        <v>1.1599999999999999</v>
      </c>
      <c r="E22" s="60" t="s">
        <v>14</v>
      </c>
      <c r="F22" s="60" t="s">
        <v>15</v>
      </c>
      <c r="G22" s="10">
        <f t="shared" si="4"/>
        <v>0.21166642755867562</v>
      </c>
      <c r="H22" s="10">
        <f t="shared" si="5"/>
        <v>0.21199999999999999</v>
      </c>
      <c r="I22" s="24">
        <f t="shared" si="6"/>
        <v>1.41</v>
      </c>
      <c r="J22" s="17">
        <f t="shared" si="7"/>
        <v>3</v>
      </c>
    </row>
    <row r="23" spans="1:10" ht="13.35" customHeight="1">
      <c r="A23" s="16" t="s">
        <v>32</v>
      </c>
      <c r="B23" s="75" t="s">
        <v>40</v>
      </c>
      <c r="C23" s="69">
        <v>2022</v>
      </c>
      <c r="D23" s="60">
        <v>1.19</v>
      </c>
      <c r="E23" s="60" t="s">
        <v>14</v>
      </c>
      <c r="F23" s="60" t="s">
        <v>15</v>
      </c>
      <c r="G23" s="10">
        <f t="shared" si="4"/>
        <v>0.19115541116675627</v>
      </c>
      <c r="H23" s="10">
        <f t="shared" si="5"/>
        <v>0.191</v>
      </c>
      <c r="I23" s="24">
        <f t="shared" si="6"/>
        <v>1.27</v>
      </c>
      <c r="J23" s="17">
        <f t="shared" si="7"/>
        <v>4</v>
      </c>
    </row>
    <row r="24" spans="1:10" ht="13.35" customHeight="1">
      <c r="A24" s="60" t="s">
        <v>35</v>
      </c>
      <c r="B24" s="60" t="s">
        <v>41</v>
      </c>
      <c r="C24" s="69">
        <v>2022</v>
      </c>
      <c r="D24" s="60">
        <v>1.1599999999999999</v>
      </c>
      <c r="E24" s="60"/>
      <c r="F24" s="60"/>
      <c r="G24" s="10">
        <f>IF(F24="Y",((1/(1+EXP(2.6968+(1.1686*LN(D24-0.9)))))),((1/(1+EXP(2.8891+(1.1686*(LN(D24-0.9))))))))</f>
        <v>0.21166642755867562</v>
      </c>
      <c r="H24" s="10">
        <f>ROUND(G24,3)</f>
        <v>0.21199999999999999</v>
      </c>
      <c r="I24" s="24">
        <f>ROUND(H24/0.15,2)</f>
        <v>1.41</v>
      </c>
      <c r="J24" s="17">
        <f>IF(I24&lt;0.673,5,IF(I24&lt;1.33,4,IF(I24&lt;2,3,IF(I24&lt;2.67,2,1))))</f>
        <v>3</v>
      </c>
    </row>
    <row r="25" spans="1:10" ht="13.35" customHeight="1">
      <c r="A25" s="60" t="s">
        <v>35</v>
      </c>
      <c r="B25" s="60" t="s">
        <v>42</v>
      </c>
      <c r="C25" s="69">
        <v>2022</v>
      </c>
      <c r="D25" s="60">
        <v>1.19</v>
      </c>
      <c r="E25" s="60"/>
      <c r="F25" s="60"/>
      <c r="G25" s="10">
        <f>IF(F25="Y",((1/(1+EXP(2.6968+(1.1686*LN(D25-0.9)))))),((1/(1+EXP(2.8891+(1.1686*(LN(D25-0.9))))))))</f>
        <v>0.19115541116675627</v>
      </c>
      <c r="H25" s="10">
        <f>ROUND(G25,3)</f>
        <v>0.191</v>
      </c>
      <c r="I25" s="24">
        <f>ROUND(H25/0.15,2)</f>
        <v>1.27</v>
      </c>
      <c r="J25" s="17">
        <f>IF(I25&lt;0.673,5,IF(I25&lt;1.33,4,IF(I25&lt;2,3,IF(I25&lt;2.67,2,1))))</f>
        <v>4</v>
      </c>
    </row>
    <row r="26" spans="1:10" ht="13.35" customHeight="1">
      <c r="A26" s="60" t="s">
        <v>35</v>
      </c>
      <c r="B26" s="60" t="s">
        <v>43</v>
      </c>
      <c r="C26" s="69">
        <v>2022</v>
      </c>
      <c r="D26" s="60">
        <v>1.1599999999999999</v>
      </c>
      <c r="E26" s="60"/>
      <c r="F26" s="60"/>
      <c r="G26" s="10">
        <f>IF(F26="Y",((1/(1+EXP(2.6968+(1.1686*LN(D26-0.9)))))),((1/(1+EXP(2.8891+(1.1686*(LN(D26-0.9))))))))</f>
        <v>0.21166642755867562</v>
      </c>
      <c r="H26" s="10">
        <f>ROUND(G26,3)</f>
        <v>0.21199999999999999</v>
      </c>
      <c r="I26" s="24">
        <f>ROUND(H26/0.15,2)</f>
        <v>1.41</v>
      </c>
      <c r="J26" s="17">
        <f>IF(I26&lt;0.673,5,IF(I26&lt;1.33,4,IF(I26&lt;2,3,IF(I26&lt;2.67,2,1))))</f>
        <v>3</v>
      </c>
    </row>
    <row r="27" spans="1:10" ht="13.35" customHeight="1">
      <c r="A27" s="42" t="s">
        <v>35</v>
      </c>
      <c r="B27" s="42" t="s">
        <v>44</v>
      </c>
      <c r="C27" s="69">
        <v>2022</v>
      </c>
      <c r="D27" s="60">
        <v>1.19</v>
      </c>
      <c r="E27" s="60"/>
      <c r="F27" s="60"/>
      <c r="G27" s="10">
        <f>IF(F27="Y",((1/(1+EXP(2.6968+(1.1686*LN(D27-0.9)))))),((1/(1+EXP(2.8891+(1.1686*(LN(D27-0.9))))))))</f>
        <v>0.19115541116675627</v>
      </c>
      <c r="H27" s="10">
        <f>ROUND(G27,3)</f>
        <v>0.191</v>
      </c>
      <c r="I27" s="24">
        <f>ROUND(H27/0.15,2)</f>
        <v>1.27</v>
      </c>
      <c r="J27" s="17">
        <f>IF(I27&lt;0.673,5,IF(I27&lt;1.33,4,IF(I27&lt;2,3,IF(I27&lt;2.67,2,1))))</f>
        <v>4</v>
      </c>
    </row>
    <row r="28" spans="1:10" ht="13.35" customHeight="1">
      <c r="A28" s="43" t="s">
        <v>32</v>
      </c>
      <c r="B28" s="43" t="s">
        <v>45</v>
      </c>
      <c r="C28" s="69">
        <v>2022</v>
      </c>
      <c r="D28" s="60">
        <v>1.34</v>
      </c>
      <c r="E28" s="60" t="s">
        <v>14</v>
      </c>
      <c r="F28" s="60" t="s">
        <v>15</v>
      </c>
      <c r="G28" s="10">
        <f t="shared" si="4"/>
        <v>0.126783553838866</v>
      </c>
      <c r="H28" s="10">
        <f t="shared" si="5"/>
        <v>0.127</v>
      </c>
      <c r="I28" s="24">
        <f t="shared" si="6"/>
        <v>0.85</v>
      </c>
      <c r="J28" s="17">
        <f t="shared" si="7"/>
        <v>4</v>
      </c>
    </row>
    <row r="29" spans="1:10" ht="13.35" customHeight="1">
      <c r="A29" s="43" t="s">
        <v>32</v>
      </c>
      <c r="B29" s="43" t="s">
        <v>46</v>
      </c>
      <c r="C29" s="69">
        <v>2022</v>
      </c>
      <c r="D29" s="60">
        <v>1.21</v>
      </c>
      <c r="E29" s="60" t="s">
        <v>14</v>
      </c>
      <c r="F29" s="60" t="s">
        <v>15</v>
      </c>
      <c r="G29" s="10">
        <f t="shared" si="4"/>
        <v>0.17939444452697093</v>
      </c>
      <c r="H29" s="10">
        <f t="shared" si="5"/>
        <v>0.17899999999999999</v>
      </c>
      <c r="I29" s="24">
        <f t="shared" si="6"/>
        <v>1.19</v>
      </c>
      <c r="J29" s="17">
        <f t="shared" si="7"/>
        <v>4</v>
      </c>
    </row>
    <row r="30" spans="1:10" ht="13.35" customHeight="1">
      <c r="A30" s="43" t="s">
        <v>32</v>
      </c>
      <c r="B30" s="43" t="s">
        <v>47</v>
      </c>
      <c r="C30" s="69">
        <v>2022</v>
      </c>
      <c r="D30" s="60">
        <v>1.2</v>
      </c>
      <c r="E30" s="60" t="s">
        <v>14</v>
      </c>
      <c r="F30" s="60" t="s">
        <v>15</v>
      </c>
      <c r="G30" s="10">
        <f t="shared" si="4"/>
        <v>0.1851047975833634</v>
      </c>
      <c r="H30" s="10">
        <f t="shared" si="5"/>
        <v>0.185</v>
      </c>
      <c r="I30" s="24">
        <f t="shared" si="6"/>
        <v>1.23</v>
      </c>
      <c r="J30" s="17">
        <f t="shared" si="7"/>
        <v>4</v>
      </c>
    </row>
    <row r="31" spans="1:10" ht="13.35" customHeight="1">
      <c r="A31" s="43" t="s">
        <v>32</v>
      </c>
      <c r="B31" s="43" t="s">
        <v>48</v>
      </c>
      <c r="C31" s="69">
        <v>2022</v>
      </c>
      <c r="D31" s="60">
        <v>1.19</v>
      </c>
      <c r="E31" s="60" t="s">
        <v>14</v>
      </c>
      <c r="F31" s="60" t="s">
        <v>15</v>
      </c>
      <c r="G31" s="10">
        <f t="shared" si="4"/>
        <v>0.19115541116675627</v>
      </c>
      <c r="H31" s="10">
        <f t="shared" si="5"/>
        <v>0.191</v>
      </c>
      <c r="I31" s="24">
        <f t="shared" si="6"/>
        <v>1.27</v>
      </c>
      <c r="J31" s="17">
        <f t="shared" si="7"/>
        <v>4</v>
      </c>
    </row>
    <row r="32" spans="1:10" ht="13.35" customHeight="1">
      <c r="A32" s="43" t="s">
        <v>32</v>
      </c>
      <c r="B32" s="43" t="s">
        <v>49</v>
      </c>
      <c r="C32" s="69">
        <v>2022</v>
      </c>
      <c r="D32" s="60">
        <v>1.08</v>
      </c>
      <c r="E32" s="60" t="s">
        <v>14</v>
      </c>
      <c r="F32" s="60" t="s">
        <v>15</v>
      </c>
      <c r="G32" s="10">
        <f t="shared" si="4"/>
        <v>0.29210415096468184</v>
      </c>
      <c r="H32" s="10">
        <f t="shared" si="5"/>
        <v>0.29199999999999998</v>
      </c>
      <c r="I32" s="24">
        <f t="shared" si="6"/>
        <v>1.95</v>
      </c>
      <c r="J32" s="17">
        <f t="shared" si="7"/>
        <v>3</v>
      </c>
    </row>
    <row r="33" spans="1:10" ht="13.35" customHeight="1">
      <c r="A33" s="43" t="s">
        <v>32</v>
      </c>
      <c r="B33" s="43" t="s">
        <v>50</v>
      </c>
      <c r="C33" s="69">
        <v>2022</v>
      </c>
      <c r="D33" s="60">
        <v>1.23</v>
      </c>
      <c r="E33" s="60" t="s">
        <v>14</v>
      </c>
      <c r="F33" s="60" t="s">
        <v>15</v>
      </c>
      <c r="G33" s="10">
        <f t="shared" si="4"/>
        <v>0.16888967495700072</v>
      </c>
      <c r="H33" s="10">
        <f t="shared" si="5"/>
        <v>0.16900000000000001</v>
      </c>
      <c r="I33" s="24">
        <f t="shared" si="6"/>
        <v>1.1299999999999999</v>
      </c>
      <c r="J33" s="17">
        <f t="shared" si="7"/>
        <v>4</v>
      </c>
    </row>
    <row r="34" spans="1:10" ht="13.35" customHeight="1">
      <c r="A34" s="43" t="s">
        <v>32</v>
      </c>
      <c r="B34" s="43" t="s">
        <v>51</v>
      </c>
      <c r="C34" s="69">
        <v>2022</v>
      </c>
      <c r="D34" s="42">
        <v>1.26</v>
      </c>
      <c r="E34" s="42" t="s">
        <v>14</v>
      </c>
      <c r="F34" s="42" t="s">
        <v>15</v>
      </c>
      <c r="G34" s="10">
        <f t="shared" si="4"/>
        <v>0.15509342889208913</v>
      </c>
      <c r="H34" s="10">
        <f t="shared" si="5"/>
        <v>0.155</v>
      </c>
      <c r="I34" s="24">
        <f t="shared" si="6"/>
        <v>1.03</v>
      </c>
      <c r="J34" s="17">
        <f t="shared" si="7"/>
        <v>4</v>
      </c>
    </row>
    <row r="35" spans="1:10" ht="13.35" customHeight="1">
      <c r="A35" s="44" t="s">
        <v>32</v>
      </c>
      <c r="B35" s="44" t="s">
        <v>52</v>
      </c>
      <c r="C35" s="69">
        <v>2022</v>
      </c>
      <c r="D35" s="42">
        <v>1.23</v>
      </c>
      <c r="E35" s="42" t="s">
        <v>14</v>
      </c>
      <c r="F35" s="42" t="s">
        <v>15</v>
      </c>
      <c r="G35" s="10">
        <f t="shared" si="4"/>
        <v>0.16888967495700072</v>
      </c>
      <c r="H35" s="10">
        <f t="shared" si="5"/>
        <v>0.16900000000000001</v>
      </c>
      <c r="I35" s="24">
        <f t="shared" si="6"/>
        <v>1.1299999999999999</v>
      </c>
      <c r="J35" s="17">
        <f t="shared" si="7"/>
        <v>4</v>
      </c>
    </row>
    <row r="36" spans="1:10" ht="13.35" customHeight="1">
      <c r="A36" s="43" t="s">
        <v>32</v>
      </c>
      <c r="B36" s="43" t="s">
        <v>53</v>
      </c>
      <c r="C36" s="69">
        <v>2022</v>
      </c>
      <c r="D36" s="60">
        <v>1.08</v>
      </c>
      <c r="E36" s="60" t="s">
        <v>14</v>
      </c>
      <c r="F36" s="76" t="s">
        <v>15</v>
      </c>
      <c r="G36" s="10">
        <f t="shared" si="4"/>
        <v>0.29210415096468184</v>
      </c>
      <c r="H36" s="10">
        <f t="shared" si="5"/>
        <v>0.29199999999999998</v>
      </c>
      <c r="I36" s="24">
        <f t="shared" si="6"/>
        <v>1.95</v>
      </c>
      <c r="J36" s="17">
        <f t="shared" si="7"/>
        <v>3</v>
      </c>
    </row>
    <row r="37" spans="1:10" ht="13.35" customHeight="1">
      <c r="A37" s="43" t="s">
        <v>32</v>
      </c>
      <c r="B37" s="43" t="s">
        <v>54</v>
      </c>
      <c r="C37" s="69">
        <v>2022</v>
      </c>
      <c r="D37" s="60">
        <v>1.1100000000000001</v>
      </c>
      <c r="E37" s="60" t="s">
        <v>14</v>
      </c>
      <c r="F37" s="76" t="s">
        <v>15</v>
      </c>
      <c r="G37" s="10">
        <f t="shared" si="4"/>
        <v>0.25629276697008341</v>
      </c>
      <c r="H37" s="10">
        <f t="shared" si="5"/>
        <v>0.25600000000000001</v>
      </c>
      <c r="I37" s="24">
        <f t="shared" si="6"/>
        <v>1.71</v>
      </c>
      <c r="J37" s="17">
        <f t="shared" si="7"/>
        <v>3</v>
      </c>
    </row>
    <row r="38" spans="1:10" ht="13.35" customHeight="1">
      <c r="A38" s="43" t="s">
        <v>55</v>
      </c>
      <c r="B38" s="43" t="s">
        <v>56</v>
      </c>
      <c r="C38" s="69">
        <v>2022</v>
      </c>
      <c r="D38" s="60">
        <v>1.48</v>
      </c>
      <c r="E38" s="60" t="s">
        <v>14</v>
      </c>
      <c r="F38" s="60" t="s">
        <v>15</v>
      </c>
      <c r="G38" s="70">
        <f t="shared" si="4"/>
        <v>9.5131298699074329E-2</v>
      </c>
      <c r="H38" s="70">
        <f t="shared" si="5"/>
        <v>9.5000000000000001E-2</v>
      </c>
      <c r="I38" s="71">
        <f>ROUND(H38/0.15,2)</f>
        <v>0.63</v>
      </c>
      <c r="J38" s="65">
        <f t="shared" si="7"/>
        <v>5</v>
      </c>
    </row>
    <row r="39" spans="1:10" ht="13.35" customHeight="1">
      <c r="A39" s="44" t="s">
        <v>55</v>
      </c>
      <c r="B39" s="44" t="s">
        <v>57</v>
      </c>
      <c r="C39" s="69">
        <v>2022</v>
      </c>
      <c r="D39" s="60">
        <v>1.48</v>
      </c>
      <c r="E39" s="60" t="s">
        <v>14</v>
      </c>
      <c r="F39" s="60" t="s">
        <v>15</v>
      </c>
      <c r="G39" s="70">
        <f t="shared" si="4"/>
        <v>9.5131298699074329E-2</v>
      </c>
      <c r="H39" s="70">
        <f t="shared" si="5"/>
        <v>9.5000000000000001E-2</v>
      </c>
      <c r="I39" s="71">
        <f t="shared" si="6"/>
        <v>0.63</v>
      </c>
      <c r="J39" s="65">
        <f t="shared" si="7"/>
        <v>5</v>
      </c>
    </row>
    <row r="40" spans="1:10" ht="13.35" customHeight="1">
      <c r="A40" s="44" t="s">
        <v>55</v>
      </c>
      <c r="B40" s="44" t="s">
        <v>58</v>
      </c>
      <c r="C40" s="69">
        <v>2022</v>
      </c>
      <c r="D40" s="60">
        <v>1.48</v>
      </c>
      <c r="E40" s="60" t="s">
        <v>14</v>
      </c>
      <c r="F40" s="60" t="s">
        <v>15</v>
      </c>
      <c r="G40" s="70">
        <f t="shared" si="4"/>
        <v>9.5131298699074329E-2</v>
      </c>
      <c r="H40" s="70">
        <f t="shared" si="5"/>
        <v>9.5000000000000001E-2</v>
      </c>
      <c r="I40" s="71">
        <f t="shared" si="6"/>
        <v>0.63</v>
      </c>
      <c r="J40" s="65">
        <f t="shared" si="7"/>
        <v>5</v>
      </c>
    </row>
    <row r="41" spans="1:10" ht="13.35" customHeight="1">
      <c r="A41" s="43" t="s">
        <v>59</v>
      </c>
      <c r="B41" s="43" t="s">
        <v>60</v>
      </c>
      <c r="C41" s="69">
        <v>2022</v>
      </c>
      <c r="D41" s="60"/>
      <c r="E41" s="60"/>
      <c r="F41" s="60"/>
      <c r="G41" s="10" t="e">
        <f t="shared" si="4"/>
        <v>#NUM!</v>
      </c>
      <c r="H41" s="10" t="e">
        <f t="shared" si="5"/>
        <v>#NUM!</v>
      </c>
      <c r="I41" s="24" t="e">
        <f t="shared" si="6"/>
        <v>#NUM!</v>
      </c>
      <c r="J41" s="17" t="e">
        <f t="shared" si="7"/>
        <v>#NUM!</v>
      </c>
    </row>
    <row r="42" spans="1:10" ht="13.35" customHeight="1">
      <c r="A42" s="43" t="s">
        <v>59</v>
      </c>
      <c r="B42" s="43" t="s">
        <v>61</v>
      </c>
      <c r="C42" s="69">
        <v>2022</v>
      </c>
      <c r="D42" s="60">
        <v>1.56</v>
      </c>
      <c r="E42" s="60" t="s">
        <v>14</v>
      </c>
      <c r="F42" s="60" t="s">
        <v>15</v>
      </c>
      <c r="G42" s="10">
        <f t="shared" si="4"/>
        <v>8.2904014591289807E-2</v>
      </c>
      <c r="H42" s="10">
        <f t="shared" si="5"/>
        <v>8.3000000000000004E-2</v>
      </c>
      <c r="I42" s="24">
        <f t="shared" si="6"/>
        <v>0.55000000000000004</v>
      </c>
      <c r="J42" s="17">
        <f t="shared" si="7"/>
        <v>5</v>
      </c>
    </row>
    <row r="43" spans="1:10" ht="13.35" customHeight="1">
      <c r="A43" s="40" t="s">
        <v>59</v>
      </c>
      <c r="B43" s="68" t="s">
        <v>62</v>
      </c>
      <c r="C43" s="69">
        <v>2022</v>
      </c>
      <c r="D43" s="42">
        <v>1.25</v>
      </c>
      <c r="E43" s="42" t="s">
        <v>14</v>
      </c>
      <c r="F43" s="42" t="s">
        <v>15</v>
      </c>
      <c r="G43" s="70">
        <f t="shared" si="4"/>
        <v>0.15945645755950677</v>
      </c>
      <c r="H43" s="70">
        <f t="shared" si="5"/>
        <v>0.159</v>
      </c>
      <c r="I43" s="71">
        <f t="shared" si="6"/>
        <v>1.06</v>
      </c>
      <c r="J43" s="65">
        <f t="shared" si="7"/>
        <v>4</v>
      </c>
    </row>
    <row r="44" spans="1:10" ht="13.35" customHeight="1">
      <c r="A44" s="40" t="s">
        <v>59</v>
      </c>
      <c r="B44" s="68" t="s">
        <v>63</v>
      </c>
      <c r="C44" s="69">
        <v>2022</v>
      </c>
      <c r="D44" s="42">
        <v>1.22</v>
      </c>
      <c r="E44" s="42" t="s">
        <v>14</v>
      </c>
      <c r="F44" s="42" t="s">
        <v>15</v>
      </c>
      <c r="G44" s="70">
        <f t="shared" si="4"/>
        <v>0.17399746725853527</v>
      </c>
      <c r="H44" s="70">
        <f t="shared" si="5"/>
        <v>0.17399999999999999</v>
      </c>
      <c r="I44" s="71">
        <f t="shared" si="6"/>
        <v>1.1599999999999999</v>
      </c>
      <c r="J44" s="65">
        <f t="shared" si="7"/>
        <v>4</v>
      </c>
    </row>
    <row r="45" spans="1:10" ht="13.35" customHeight="1">
      <c r="A45" s="41" t="s">
        <v>59</v>
      </c>
      <c r="B45" s="72" t="s">
        <v>64</v>
      </c>
      <c r="C45" s="69">
        <v>2022</v>
      </c>
      <c r="D45" s="42">
        <v>1.25</v>
      </c>
      <c r="E45" s="42" t="s">
        <v>14</v>
      </c>
      <c r="F45" s="42" t="s">
        <v>15</v>
      </c>
      <c r="G45" s="70">
        <f t="shared" si="4"/>
        <v>0.15945645755950677</v>
      </c>
      <c r="H45" s="70">
        <f t="shared" si="5"/>
        <v>0.159</v>
      </c>
      <c r="I45" s="71">
        <f t="shared" si="6"/>
        <v>1.06</v>
      </c>
      <c r="J45" s="65">
        <f t="shared" si="7"/>
        <v>4</v>
      </c>
    </row>
    <row r="46" spans="1:10" ht="13.35" customHeight="1">
      <c r="A46" s="41" t="s">
        <v>59</v>
      </c>
      <c r="B46" s="72" t="s">
        <v>65</v>
      </c>
      <c r="C46" s="69">
        <v>2022</v>
      </c>
      <c r="D46" s="42">
        <v>1.22</v>
      </c>
      <c r="E46" s="42" t="s">
        <v>14</v>
      </c>
      <c r="F46" s="42" t="s">
        <v>15</v>
      </c>
      <c r="G46" s="70">
        <f t="shared" si="4"/>
        <v>0.17399746725853527</v>
      </c>
      <c r="H46" s="70">
        <f t="shared" si="5"/>
        <v>0.17399999999999999</v>
      </c>
      <c r="I46" s="71">
        <f t="shared" si="6"/>
        <v>1.1599999999999999</v>
      </c>
      <c r="J46" s="65">
        <f t="shared" si="7"/>
        <v>4</v>
      </c>
    </row>
    <row r="47" spans="1:10" ht="13.35" customHeight="1">
      <c r="A47" s="40" t="s">
        <v>59</v>
      </c>
      <c r="B47" s="68" t="s">
        <v>66</v>
      </c>
      <c r="C47" s="69">
        <v>2022</v>
      </c>
      <c r="D47" s="60">
        <v>1.25</v>
      </c>
      <c r="E47" s="42" t="s">
        <v>14</v>
      </c>
      <c r="F47" s="42" t="s">
        <v>15</v>
      </c>
      <c r="G47" s="70">
        <f t="shared" si="4"/>
        <v>0.15945645755950677</v>
      </c>
      <c r="H47" s="70">
        <f t="shared" si="5"/>
        <v>0.159</v>
      </c>
      <c r="I47" s="71">
        <f t="shared" si="6"/>
        <v>1.06</v>
      </c>
      <c r="J47" s="65">
        <f t="shared" si="7"/>
        <v>4</v>
      </c>
    </row>
    <row r="48" spans="1:10" ht="13.35" customHeight="1">
      <c r="A48" s="40" t="s">
        <v>59</v>
      </c>
      <c r="B48" s="68" t="s">
        <v>67</v>
      </c>
      <c r="C48" s="69">
        <v>2022</v>
      </c>
      <c r="D48" s="60">
        <v>1.22</v>
      </c>
      <c r="E48" s="60" t="s">
        <v>14</v>
      </c>
      <c r="F48" s="60" t="s">
        <v>15</v>
      </c>
      <c r="G48" s="70">
        <f t="shared" si="4"/>
        <v>0.17399746725853527</v>
      </c>
      <c r="H48" s="70">
        <f t="shared" si="5"/>
        <v>0.17399999999999999</v>
      </c>
      <c r="I48" s="71">
        <f t="shared" si="6"/>
        <v>1.1599999999999999</v>
      </c>
      <c r="J48" s="65">
        <f t="shared" si="7"/>
        <v>4</v>
      </c>
    </row>
    <row r="49" spans="1:10" ht="13.35" customHeight="1">
      <c r="A49" s="41" t="s">
        <v>59</v>
      </c>
      <c r="B49" s="72" t="s">
        <v>68</v>
      </c>
      <c r="C49" s="69">
        <v>2022</v>
      </c>
      <c r="D49" s="60">
        <v>1.25</v>
      </c>
      <c r="E49" s="42" t="s">
        <v>14</v>
      </c>
      <c r="F49" s="42" t="s">
        <v>15</v>
      </c>
      <c r="G49" s="70">
        <f t="shared" si="4"/>
        <v>0.15945645755950677</v>
      </c>
      <c r="H49" s="70">
        <f t="shared" si="5"/>
        <v>0.159</v>
      </c>
      <c r="I49" s="71">
        <f t="shared" si="6"/>
        <v>1.06</v>
      </c>
      <c r="J49" s="65">
        <f t="shared" si="7"/>
        <v>4</v>
      </c>
    </row>
    <row r="50" spans="1:10" ht="13.35" customHeight="1">
      <c r="A50" s="41" t="s">
        <v>59</v>
      </c>
      <c r="B50" s="72" t="s">
        <v>69</v>
      </c>
      <c r="C50" s="69">
        <v>2022</v>
      </c>
      <c r="D50" s="60">
        <v>1.22</v>
      </c>
      <c r="E50" s="60" t="s">
        <v>14</v>
      </c>
      <c r="F50" s="60" t="s">
        <v>15</v>
      </c>
      <c r="G50" s="70">
        <f t="shared" si="4"/>
        <v>0.17399746725853527</v>
      </c>
      <c r="H50" s="70">
        <f t="shared" si="5"/>
        <v>0.17399999999999999</v>
      </c>
      <c r="I50" s="71">
        <f t="shared" si="6"/>
        <v>1.1599999999999999</v>
      </c>
      <c r="J50" s="65">
        <f t="shared" si="7"/>
        <v>4</v>
      </c>
    </row>
    <row r="51" spans="1:10" ht="13.35" customHeight="1">
      <c r="A51" s="40" t="s">
        <v>70</v>
      </c>
      <c r="B51" s="68" t="s">
        <v>71</v>
      </c>
      <c r="C51" s="69">
        <v>2022</v>
      </c>
      <c r="D51" s="42">
        <v>1.17</v>
      </c>
      <c r="E51" s="42" t="s">
        <v>14</v>
      </c>
      <c r="F51" s="42" t="s">
        <v>15</v>
      </c>
      <c r="G51" s="70">
        <f t="shared" si="4"/>
        <v>0.20440074909401917</v>
      </c>
      <c r="H51" s="70">
        <f t="shared" si="5"/>
        <v>0.20399999999999999</v>
      </c>
      <c r="I51" s="71">
        <f t="shared" si="6"/>
        <v>1.36</v>
      </c>
      <c r="J51" s="65">
        <f t="shared" si="7"/>
        <v>3</v>
      </c>
    </row>
    <row r="52" spans="1:10" ht="13.35" customHeight="1">
      <c r="A52" s="40" t="s">
        <v>70</v>
      </c>
      <c r="B52" s="68" t="s">
        <v>72</v>
      </c>
      <c r="C52" s="69">
        <v>2022</v>
      </c>
      <c r="D52" s="42">
        <v>1.17</v>
      </c>
      <c r="E52" s="42" t="s">
        <v>14</v>
      </c>
      <c r="F52" s="42" t="s">
        <v>15</v>
      </c>
      <c r="G52" s="70">
        <f t="shared" si="4"/>
        <v>0.20440074909401917</v>
      </c>
      <c r="H52" s="70">
        <f t="shared" si="5"/>
        <v>0.20399999999999999</v>
      </c>
      <c r="I52" s="71">
        <f t="shared" si="6"/>
        <v>1.36</v>
      </c>
      <c r="J52" s="65">
        <f t="shared" si="7"/>
        <v>3</v>
      </c>
    </row>
    <row r="53" spans="1:10" ht="13.35" customHeight="1">
      <c r="A53" s="68" t="s">
        <v>70</v>
      </c>
      <c r="B53" s="68" t="s">
        <v>73</v>
      </c>
      <c r="C53" s="69">
        <v>2022</v>
      </c>
      <c r="D53" s="60">
        <v>1.2</v>
      </c>
      <c r="E53" s="60" t="s">
        <v>14</v>
      </c>
      <c r="F53" s="60" t="s">
        <v>15</v>
      </c>
      <c r="G53" s="70">
        <f t="shared" si="4"/>
        <v>0.1851047975833634</v>
      </c>
      <c r="H53" s="70">
        <f t="shared" si="5"/>
        <v>0.185</v>
      </c>
      <c r="I53" s="71">
        <f t="shared" si="6"/>
        <v>1.23</v>
      </c>
      <c r="J53" s="65">
        <f t="shared" si="7"/>
        <v>4</v>
      </c>
    </row>
    <row r="54" spans="1:10" ht="13.35" customHeight="1">
      <c r="A54" s="68" t="s">
        <v>70</v>
      </c>
      <c r="B54" s="68" t="s">
        <v>74</v>
      </c>
      <c r="C54" s="69">
        <v>2022</v>
      </c>
      <c r="D54" s="42">
        <v>1.2</v>
      </c>
      <c r="E54" s="42" t="s">
        <v>14</v>
      </c>
      <c r="F54" s="42" t="s">
        <v>15</v>
      </c>
      <c r="G54" s="70">
        <f t="shared" si="4"/>
        <v>0.1851047975833634</v>
      </c>
      <c r="H54" s="70">
        <f t="shared" si="5"/>
        <v>0.185</v>
      </c>
      <c r="I54" s="71">
        <f t="shared" si="6"/>
        <v>1.23</v>
      </c>
      <c r="J54" s="65">
        <f t="shared" si="7"/>
        <v>4</v>
      </c>
    </row>
    <row r="55" spans="1:10" ht="13.35" customHeight="1">
      <c r="A55" s="72" t="s">
        <v>70</v>
      </c>
      <c r="B55" s="72" t="s">
        <v>75</v>
      </c>
      <c r="C55" s="69">
        <v>2022</v>
      </c>
      <c r="D55" s="42"/>
      <c r="E55" s="42"/>
      <c r="F55" s="42"/>
      <c r="G55" s="70" t="e">
        <f t="shared" si="4"/>
        <v>#NUM!</v>
      </c>
      <c r="H55" s="70" t="e">
        <f t="shared" si="5"/>
        <v>#NUM!</v>
      </c>
      <c r="I55" s="71" t="e">
        <f t="shared" si="6"/>
        <v>#NUM!</v>
      </c>
      <c r="J55" s="65" t="e">
        <f t="shared" si="7"/>
        <v>#NUM!</v>
      </c>
    </row>
    <row r="56" spans="1:10" ht="13.35" customHeight="1">
      <c r="A56" s="72" t="s">
        <v>70</v>
      </c>
      <c r="B56" s="72" t="s">
        <v>76</v>
      </c>
      <c r="C56" s="69">
        <v>2022</v>
      </c>
      <c r="D56" s="42"/>
      <c r="E56" s="42"/>
      <c r="F56" s="42"/>
      <c r="G56" s="70" t="e">
        <f t="shared" ref="G56:G88" si="8">IF(F56="Y",((1/(1+EXP(2.6968+(1.1686*LN(D56-0.9)))))),((1/(1+EXP(2.8891+(1.1686*(LN(D56-0.9))))))))</f>
        <v>#NUM!</v>
      </c>
      <c r="H56" s="70" t="e">
        <f t="shared" ref="H56:H88" si="9">ROUND(G56,3)</f>
        <v>#NUM!</v>
      </c>
      <c r="I56" s="71" t="e">
        <f t="shared" ref="I56:I88" si="10">ROUND(H56/0.15,2)</f>
        <v>#NUM!</v>
      </c>
      <c r="J56" s="65" t="e">
        <f t="shared" ref="J56:J88" si="11">IF(I56&lt;0.673,5,IF(I56&lt;1.33,4,IF(I56&lt;2,3,IF(I56&lt;2.67,2,1))))</f>
        <v>#NUM!</v>
      </c>
    </row>
    <row r="57" spans="1:10" ht="13.35" customHeight="1">
      <c r="A57" s="32" t="s">
        <v>77</v>
      </c>
      <c r="B57" s="14" t="s">
        <v>78</v>
      </c>
      <c r="C57" s="69">
        <v>2022</v>
      </c>
      <c r="D57" s="42"/>
      <c r="E57" s="42"/>
      <c r="F57" s="42"/>
      <c r="G57" s="70" t="e">
        <f t="shared" ref="G57:G60" si="12">IF(F57="Y",((1/(1+EXP(2.6968+(1.1686*LN(D57-0.9)))))),((1/(1+EXP(2.8891+(1.1686*(LN(D57-0.9))))))))</f>
        <v>#NUM!</v>
      </c>
      <c r="H57" s="70" t="e">
        <f t="shared" ref="H57:H60" si="13">ROUND(G57,3)</f>
        <v>#NUM!</v>
      </c>
      <c r="I57" s="71" t="e">
        <f t="shared" ref="I57:I60" si="14">ROUND(H57/0.15,2)</f>
        <v>#NUM!</v>
      </c>
      <c r="J57" s="65" t="e">
        <f t="shared" ref="J57:J60" si="15">IF(I57&lt;0.673,5,IF(I57&lt;1.33,4,IF(I57&lt;2,3,IF(I57&lt;2.67,2,1))))</f>
        <v>#NUM!</v>
      </c>
    </row>
    <row r="58" spans="1:10" ht="13.35" customHeight="1">
      <c r="A58" s="32" t="s">
        <v>77</v>
      </c>
      <c r="B58" s="14" t="s">
        <v>79</v>
      </c>
      <c r="C58" s="69">
        <v>2022</v>
      </c>
      <c r="D58" s="42"/>
      <c r="E58" s="42"/>
      <c r="F58" s="42"/>
      <c r="G58" s="70" t="e">
        <f t="shared" si="12"/>
        <v>#NUM!</v>
      </c>
      <c r="H58" s="70" t="e">
        <f t="shared" si="13"/>
        <v>#NUM!</v>
      </c>
      <c r="I58" s="71" t="e">
        <f t="shared" si="14"/>
        <v>#NUM!</v>
      </c>
      <c r="J58" s="65" t="e">
        <f t="shared" si="15"/>
        <v>#NUM!</v>
      </c>
    </row>
    <row r="59" spans="1:10" ht="13.35" customHeight="1">
      <c r="A59" s="32" t="s">
        <v>77</v>
      </c>
      <c r="B59" s="14" t="s">
        <v>80</v>
      </c>
      <c r="C59" s="69">
        <v>2022</v>
      </c>
      <c r="D59" s="42">
        <v>1.45</v>
      </c>
      <c r="E59" s="42" t="s">
        <v>14</v>
      </c>
      <c r="F59" s="42" t="s">
        <v>15</v>
      </c>
      <c r="G59" s="70">
        <f t="shared" si="12"/>
        <v>0.10060976640917974</v>
      </c>
      <c r="H59" s="70">
        <f t="shared" si="13"/>
        <v>0.10100000000000001</v>
      </c>
      <c r="I59" s="71">
        <f t="shared" si="14"/>
        <v>0.67</v>
      </c>
      <c r="J59" s="65">
        <f t="shared" si="15"/>
        <v>5</v>
      </c>
    </row>
    <row r="60" spans="1:10" ht="13.35" customHeight="1">
      <c r="A60" s="14" t="s">
        <v>81</v>
      </c>
      <c r="B60" s="14" t="s">
        <v>82</v>
      </c>
      <c r="C60" s="69">
        <v>2022</v>
      </c>
      <c r="D60" s="60">
        <v>1.38</v>
      </c>
      <c r="E60" s="60" t="s">
        <v>15</v>
      </c>
      <c r="F60" s="60" t="s">
        <v>15</v>
      </c>
      <c r="G60" s="70">
        <f t="shared" si="12"/>
        <v>0.11594702085375087</v>
      </c>
      <c r="H60" s="70">
        <f t="shared" si="13"/>
        <v>0.11600000000000001</v>
      </c>
      <c r="I60" s="71">
        <f t="shared" si="14"/>
        <v>0.77</v>
      </c>
      <c r="J60" s="65">
        <f t="shared" si="15"/>
        <v>4</v>
      </c>
    </row>
    <row r="61" spans="1:10" ht="13.35" customHeight="1">
      <c r="A61" s="43" t="s">
        <v>83</v>
      </c>
      <c r="B61" s="68" t="s">
        <v>84</v>
      </c>
      <c r="C61" s="69">
        <v>2022</v>
      </c>
      <c r="D61" s="60">
        <v>1.2</v>
      </c>
      <c r="E61" s="60" t="s">
        <v>14</v>
      </c>
      <c r="F61" s="60" t="s">
        <v>15</v>
      </c>
      <c r="G61" s="70">
        <f t="shared" ref="G61:G69" si="16">IF(F61="Y",((1/(1+EXP(2.6968+(1.1686*LN(D61-0.9)))))),((1/(1+EXP(2.8891+(1.1686*(LN(D61-0.9))))))))</f>
        <v>0.1851047975833634</v>
      </c>
      <c r="H61" s="70">
        <f t="shared" ref="H61:H69" si="17">ROUND(G61,3)</f>
        <v>0.185</v>
      </c>
      <c r="I61" s="71">
        <f t="shared" ref="I61:I69" si="18">ROUND(H61/0.15,2)</f>
        <v>1.23</v>
      </c>
      <c r="J61" s="65">
        <f t="shared" ref="J61:J69" si="19">IF(I61&lt;0.673,5,IF(I61&lt;1.33,4,IF(I61&lt;2,3,IF(I61&lt;2.67,2,1))))</f>
        <v>4</v>
      </c>
    </row>
    <row r="62" spans="1:10" ht="13.35" customHeight="1">
      <c r="A62" s="43" t="s">
        <v>83</v>
      </c>
      <c r="B62" s="68" t="s">
        <v>85</v>
      </c>
      <c r="C62" s="69">
        <v>2022</v>
      </c>
      <c r="D62" s="60">
        <v>1.2</v>
      </c>
      <c r="E62" s="60" t="s">
        <v>14</v>
      </c>
      <c r="F62" s="60" t="s">
        <v>15</v>
      </c>
      <c r="G62" s="70">
        <f t="shared" si="16"/>
        <v>0.1851047975833634</v>
      </c>
      <c r="H62" s="70">
        <f t="shared" si="17"/>
        <v>0.185</v>
      </c>
      <c r="I62" s="71">
        <f t="shared" si="18"/>
        <v>1.23</v>
      </c>
      <c r="J62" s="65">
        <f t="shared" si="19"/>
        <v>4</v>
      </c>
    </row>
    <row r="63" spans="1:10" ht="13.35" customHeight="1">
      <c r="A63" s="43" t="s">
        <v>86</v>
      </c>
      <c r="B63" s="68" t="s">
        <v>87</v>
      </c>
      <c r="C63" s="69">
        <v>2022</v>
      </c>
      <c r="D63" s="42">
        <v>1.5</v>
      </c>
      <c r="E63" s="60" t="s">
        <v>15</v>
      </c>
      <c r="F63" s="76" t="s">
        <v>15</v>
      </c>
      <c r="G63" s="70">
        <f t="shared" si="16"/>
        <v>9.1775253375741772E-2</v>
      </c>
      <c r="H63" s="70">
        <f t="shared" si="17"/>
        <v>9.1999999999999998E-2</v>
      </c>
      <c r="I63" s="71">
        <f t="shared" si="18"/>
        <v>0.61</v>
      </c>
      <c r="J63" s="65">
        <f t="shared" si="19"/>
        <v>5</v>
      </c>
    </row>
    <row r="64" spans="1:10" ht="13.35" customHeight="1">
      <c r="A64" s="43" t="s">
        <v>86</v>
      </c>
      <c r="B64" s="68" t="s">
        <v>88</v>
      </c>
      <c r="C64" s="69">
        <v>2022</v>
      </c>
      <c r="D64" s="60">
        <v>1.5</v>
      </c>
      <c r="E64" s="60" t="s">
        <v>15</v>
      </c>
      <c r="F64" s="76" t="s">
        <v>15</v>
      </c>
      <c r="G64" s="70">
        <f t="shared" si="16"/>
        <v>9.1775253375741772E-2</v>
      </c>
      <c r="H64" s="70">
        <f t="shared" si="17"/>
        <v>9.1999999999999998E-2</v>
      </c>
      <c r="I64" s="71">
        <f t="shared" si="18"/>
        <v>0.61</v>
      </c>
      <c r="J64" s="65">
        <f t="shared" si="19"/>
        <v>5</v>
      </c>
    </row>
    <row r="65" spans="1:10" ht="13.35" customHeight="1">
      <c r="A65" s="43" t="s">
        <v>86</v>
      </c>
      <c r="B65" s="43" t="s">
        <v>89</v>
      </c>
      <c r="C65" s="69">
        <v>2022</v>
      </c>
      <c r="D65" s="42">
        <v>1.17</v>
      </c>
      <c r="E65" s="60" t="s">
        <v>14</v>
      </c>
      <c r="F65" s="60" t="s">
        <v>15</v>
      </c>
      <c r="G65" s="70">
        <f t="shared" si="16"/>
        <v>0.20440074909401917</v>
      </c>
      <c r="H65" s="70">
        <f t="shared" si="17"/>
        <v>0.20399999999999999</v>
      </c>
      <c r="I65" s="71">
        <f t="shared" si="18"/>
        <v>1.36</v>
      </c>
      <c r="J65" s="65">
        <f t="shared" si="19"/>
        <v>3</v>
      </c>
    </row>
    <row r="66" spans="1:10" ht="13.35" customHeight="1">
      <c r="A66" s="43" t="s">
        <v>86</v>
      </c>
      <c r="B66" s="43" t="s">
        <v>90</v>
      </c>
      <c r="C66" s="69">
        <v>2022</v>
      </c>
      <c r="D66" s="42">
        <v>1.17</v>
      </c>
      <c r="E66" s="42" t="s">
        <v>14</v>
      </c>
      <c r="F66" s="42" t="s">
        <v>15</v>
      </c>
      <c r="G66" s="70">
        <f t="shared" si="16"/>
        <v>0.20440074909401917</v>
      </c>
      <c r="H66" s="70">
        <f t="shared" si="17"/>
        <v>0.20399999999999999</v>
      </c>
      <c r="I66" s="71">
        <f t="shared" si="18"/>
        <v>1.36</v>
      </c>
      <c r="J66" s="65">
        <f t="shared" si="19"/>
        <v>3</v>
      </c>
    </row>
    <row r="67" spans="1:10" ht="13.35" customHeight="1">
      <c r="A67" s="44" t="s">
        <v>86</v>
      </c>
      <c r="B67" s="44" t="s">
        <v>91</v>
      </c>
      <c r="C67" s="69">
        <v>2022</v>
      </c>
      <c r="D67" s="60">
        <v>1.17</v>
      </c>
      <c r="E67" s="60" t="s">
        <v>14</v>
      </c>
      <c r="F67" s="60" t="s">
        <v>15</v>
      </c>
      <c r="G67" s="70">
        <f t="shared" si="16"/>
        <v>0.20440074909401917</v>
      </c>
      <c r="H67" s="70">
        <f t="shared" si="17"/>
        <v>0.20399999999999999</v>
      </c>
      <c r="I67" s="71">
        <f t="shared" si="18"/>
        <v>1.36</v>
      </c>
      <c r="J67" s="65">
        <f t="shared" si="19"/>
        <v>3</v>
      </c>
    </row>
    <row r="68" spans="1:10" ht="13.35" customHeight="1">
      <c r="A68" s="44" t="s">
        <v>86</v>
      </c>
      <c r="B68" s="44" t="s">
        <v>92</v>
      </c>
      <c r="C68" s="69">
        <v>2022</v>
      </c>
      <c r="D68" s="60">
        <v>1.17</v>
      </c>
      <c r="E68" s="60" t="s">
        <v>14</v>
      </c>
      <c r="F68" s="60" t="s">
        <v>15</v>
      </c>
      <c r="G68" s="70">
        <f t="shared" si="16"/>
        <v>0.20440074909401917</v>
      </c>
      <c r="H68" s="70">
        <f t="shared" si="17"/>
        <v>0.20399999999999999</v>
      </c>
      <c r="I68" s="71">
        <f t="shared" si="18"/>
        <v>1.36</v>
      </c>
      <c r="J68" s="65">
        <f t="shared" si="19"/>
        <v>3</v>
      </c>
    </row>
    <row r="69" spans="1:10" ht="13.35" customHeight="1">
      <c r="A69" s="68" t="s">
        <v>86</v>
      </c>
      <c r="B69" s="68" t="s">
        <v>93</v>
      </c>
      <c r="C69" s="69">
        <v>2022</v>
      </c>
      <c r="D69" s="42"/>
      <c r="E69" s="42"/>
      <c r="F69" s="42"/>
      <c r="G69" s="70" t="e">
        <f t="shared" si="16"/>
        <v>#NUM!</v>
      </c>
      <c r="H69" s="70" t="e">
        <f t="shared" si="17"/>
        <v>#NUM!</v>
      </c>
      <c r="I69" s="71" t="e">
        <f t="shared" si="18"/>
        <v>#NUM!</v>
      </c>
      <c r="J69" s="65" t="e">
        <f t="shared" si="19"/>
        <v>#NUM!</v>
      </c>
    </row>
    <row r="70" spans="1:10" ht="13.35" customHeight="1">
      <c r="A70" s="68" t="s">
        <v>86</v>
      </c>
      <c r="B70" s="68" t="s">
        <v>94</v>
      </c>
      <c r="C70" s="69">
        <v>2022</v>
      </c>
      <c r="D70" s="42">
        <v>1.26</v>
      </c>
      <c r="E70" s="42" t="s">
        <v>14</v>
      </c>
      <c r="F70" s="42" t="s">
        <v>15</v>
      </c>
      <c r="G70" s="70">
        <f t="shared" si="8"/>
        <v>0.15509342889208913</v>
      </c>
      <c r="H70" s="70">
        <f t="shared" si="9"/>
        <v>0.155</v>
      </c>
      <c r="I70" s="71">
        <f t="shared" si="10"/>
        <v>1.03</v>
      </c>
      <c r="J70" s="65">
        <f t="shared" si="11"/>
        <v>4</v>
      </c>
    </row>
    <row r="71" spans="1:10" ht="13.35" customHeight="1">
      <c r="A71" s="33" t="s">
        <v>95</v>
      </c>
      <c r="B71" s="60" t="s">
        <v>96</v>
      </c>
      <c r="C71" s="69">
        <v>2022</v>
      </c>
      <c r="D71" s="42"/>
      <c r="E71" s="42"/>
      <c r="F71" s="42"/>
      <c r="G71" s="70" t="e">
        <f t="shared" si="8"/>
        <v>#NUM!</v>
      </c>
      <c r="H71" s="70" t="e">
        <f t="shared" si="9"/>
        <v>#NUM!</v>
      </c>
      <c r="I71" s="71" t="e">
        <f t="shared" si="10"/>
        <v>#NUM!</v>
      </c>
      <c r="J71" s="65" t="e">
        <f t="shared" si="11"/>
        <v>#NUM!</v>
      </c>
    </row>
    <row r="72" spans="1:10" ht="13.35" customHeight="1">
      <c r="A72" s="33" t="s">
        <v>95</v>
      </c>
      <c r="B72" s="60" t="s">
        <v>97</v>
      </c>
      <c r="C72" s="69">
        <v>2022</v>
      </c>
      <c r="D72" s="42">
        <v>1.26</v>
      </c>
      <c r="E72" s="60" t="s">
        <v>14</v>
      </c>
      <c r="F72" s="60" t="s">
        <v>15</v>
      </c>
      <c r="G72" s="70">
        <f t="shared" si="8"/>
        <v>0.15509342889208913</v>
      </c>
      <c r="H72" s="70">
        <f t="shared" si="9"/>
        <v>0.155</v>
      </c>
      <c r="I72" s="71">
        <f t="shared" si="10"/>
        <v>1.03</v>
      </c>
      <c r="J72" s="65">
        <f t="shared" si="11"/>
        <v>4</v>
      </c>
    </row>
    <row r="73" spans="1:10" ht="13.35" customHeight="1">
      <c r="A73" s="33" t="s">
        <v>86</v>
      </c>
      <c r="B73" s="60" t="s">
        <v>98</v>
      </c>
      <c r="C73" s="69">
        <v>2022</v>
      </c>
      <c r="D73" s="60">
        <v>1.21</v>
      </c>
      <c r="E73" s="60" t="s">
        <v>14</v>
      </c>
      <c r="F73" s="60" t="s">
        <v>15</v>
      </c>
      <c r="G73" s="70">
        <f t="shared" ref="G73:G74" si="20">IF(F73="Y",((1/(1+EXP(2.6968+(1.1686*LN(D73-0.9)))))),((1/(1+EXP(2.8891+(1.1686*(LN(D73-0.9))))))))</f>
        <v>0.17939444452697093</v>
      </c>
      <c r="H73" s="70">
        <f t="shared" ref="H73:H74" si="21">ROUND(G73,3)</f>
        <v>0.17899999999999999</v>
      </c>
      <c r="I73" s="71">
        <f t="shared" ref="I73:I74" si="22">ROUND(H73/0.15,2)</f>
        <v>1.19</v>
      </c>
      <c r="J73" s="65">
        <f t="shared" ref="J73:J74" si="23">IF(I73&lt;0.673,5,IF(I73&lt;1.33,4,IF(I73&lt;2,3,IF(I73&lt;2.67,2,1))))</f>
        <v>4</v>
      </c>
    </row>
    <row r="74" spans="1:10" ht="15" customHeight="1">
      <c r="A74" s="33" t="s">
        <v>86</v>
      </c>
      <c r="B74" s="60" t="s">
        <v>99</v>
      </c>
      <c r="C74" s="69">
        <v>2022</v>
      </c>
      <c r="D74" s="42">
        <v>1.21</v>
      </c>
      <c r="E74" s="60" t="s">
        <v>14</v>
      </c>
      <c r="F74" s="60" t="s">
        <v>15</v>
      </c>
      <c r="G74" s="70">
        <f t="shared" si="20"/>
        <v>0.17939444452697093</v>
      </c>
      <c r="H74" s="70">
        <f t="shared" si="21"/>
        <v>0.17899999999999999</v>
      </c>
      <c r="I74" s="71">
        <f t="shared" si="22"/>
        <v>1.19</v>
      </c>
      <c r="J74" s="65">
        <f t="shared" si="23"/>
        <v>4</v>
      </c>
    </row>
    <row r="75" spans="1:10" ht="13.35" customHeight="1">
      <c r="A75" s="43" t="s">
        <v>86</v>
      </c>
      <c r="B75" s="68" t="s">
        <v>100</v>
      </c>
      <c r="C75" s="69">
        <v>2022</v>
      </c>
      <c r="D75" s="60">
        <v>1.25</v>
      </c>
      <c r="E75" s="60" t="s">
        <v>14</v>
      </c>
      <c r="F75" s="60" t="s">
        <v>15</v>
      </c>
      <c r="G75" s="70">
        <f t="shared" si="8"/>
        <v>0.15945645755950677</v>
      </c>
      <c r="H75" s="70">
        <f t="shared" si="9"/>
        <v>0.159</v>
      </c>
      <c r="I75" s="71">
        <f t="shared" si="10"/>
        <v>1.06</v>
      </c>
      <c r="J75" s="65">
        <f t="shared" si="11"/>
        <v>4</v>
      </c>
    </row>
    <row r="76" spans="1:10" ht="13.35" customHeight="1">
      <c r="A76" s="43" t="s">
        <v>86</v>
      </c>
      <c r="B76" s="68" t="s">
        <v>101</v>
      </c>
      <c r="C76" s="69">
        <v>2022</v>
      </c>
      <c r="D76" s="42">
        <v>1.29</v>
      </c>
      <c r="E76" s="42" t="s">
        <v>14</v>
      </c>
      <c r="F76" s="42" t="s">
        <v>15</v>
      </c>
      <c r="G76" s="70">
        <f t="shared" si="8"/>
        <v>0.14322773155168095</v>
      </c>
      <c r="H76" s="70">
        <f t="shared" si="9"/>
        <v>0.14299999999999999</v>
      </c>
      <c r="I76" s="71">
        <f t="shared" si="10"/>
        <v>0.95</v>
      </c>
      <c r="J76" s="65">
        <f t="shared" si="11"/>
        <v>4</v>
      </c>
    </row>
    <row r="77" spans="1:10" ht="13.35" customHeight="1">
      <c r="A77" s="68" t="s">
        <v>102</v>
      </c>
      <c r="B77" s="68" t="s">
        <v>103</v>
      </c>
      <c r="C77" s="69">
        <v>2022</v>
      </c>
      <c r="D77" s="60">
        <v>1.56</v>
      </c>
      <c r="E77" s="60"/>
      <c r="F77" s="60"/>
      <c r="G77" s="70">
        <f t="shared" si="8"/>
        <v>8.2904014591289807E-2</v>
      </c>
      <c r="H77" s="70">
        <f t="shared" si="9"/>
        <v>8.3000000000000004E-2</v>
      </c>
      <c r="I77" s="71">
        <f t="shared" si="10"/>
        <v>0.55000000000000004</v>
      </c>
      <c r="J77" s="65">
        <f t="shared" si="11"/>
        <v>5</v>
      </c>
    </row>
    <row r="78" spans="1:10" ht="13.35" customHeight="1">
      <c r="A78" s="68" t="s">
        <v>102</v>
      </c>
      <c r="B78" s="68" t="s">
        <v>104</v>
      </c>
      <c r="C78" s="69">
        <v>2022</v>
      </c>
      <c r="D78" s="42">
        <v>1.56</v>
      </c>
      <c r="E78" s="42" t="s">
        <v>15</v>
      </c>
      <c r="F78" s="42" t="s">
        <v>15</v>
      </c>
      <c r="G78" s="70">
        <f t="shared" ref="G78:G81" si="24">IF(F78="Y",((1/(1+EXP(2.6968+(1.1686*LN(D78-0.9)))))),((1/(1+EXP(2.8891+(1.1686*(LN(D78-0.9))))))))</f>
        <v>8.2904014591289807E-2</v>
      </c>
      <c r="H78" s="70">
        <f t="shared" ref="H78:H81" si="25">ROUND(G78,3)</f>
        <v>8.3000000000000004E-2</v>
      </c>
      <c r="I78" s="71">
        <f t="shared" ref="I78:I81" si="26">ROUND(H78/0.15,2)</f>
        <v>0.55000000000000004</v>
      </c>
      <c r="J78" s="65">
        <f t="shared" ref="J78:J81" si="27">IF(I78&lt;0.673,5,IF(I78&lt;1.33,4,IF(I78&lt;2,3,IF(I78&lt;2.67,2,1))))</f>
        <v>5</v>
      </c>
    </row>
    <row r="79" spans="1:10" ht="13.35" customHeight="1">
      <c r="A79" s="14" t="s">
        <v>105</v>
      </c>
      <c r="B79" s="14" t="s">
        <v>106</v>
      </c>
      <c r="C79" s="69">
        <v>2022</v>
      </c>
      <c r="D79" s="60">
        <v>1.51</v>
      </c>
      <c r="E79" s="60" t="s">
        <v>15</v>
      </c>
      <c r="F79" s="60" t="s">
        <v>15</v>
      </c>
      <c r="G79" s="10">
        <f>IF(F79="Y",((1/(1+EXP(2.6968+(1.1686*LN(D79-0.9)))))),((1/(1+EXP(2.8891+(1.1686*(LN(D79-0.9))))))))</f>
        <v>9.0177849263241197E-2</v>
      </c>
      <c r="H79" s="10">
        <f>ROUND(G79,3)</f>
        <v>0.09</v>
      </c>
      <c r="I79" s="24">
        <f>ROUND(H79/0.15,2)</f>
        <v>0.6</v>
      </c>
      <c r="J79" s="17">
        <f>IF(I79&lt;0.673,5,IF(I79&lt;1.33,4,IF(I79&lt;2,3,IF(I79&lt;2.67,2,1))))</f>
        <v>5</v>
      </c>
    </row>
    <row r="80" spans="1:10" ht="13.35" customHeight="1">
      <c r="A80" s="14" t="s">
        <v>107</v>
      </c>
      <c r="B80" s="14" t="s">
        <v>108</v>
      </c>
      <c r="C80" s="69">
        <v>2022</v>
      </c>
      <c r="D80" s="60"/>
      <c r="E80" s="60"/>
      <c r="F80" s="60"/>
      <c r="G80" s="70" t="e">
        <f t="shared" si="24"/>
        <v>#NUM!</v>
      </c>
      <c r="H80" s="70" t="e">
        <f t="shared" si="25"/>
        <v>#NUM!</v>
      </c>
      <c r="I80" s="71" t="e">
        <f t="shared" si="26"/>
        <v>#NUM!</v>
      </c>
      <c r="J80" s="65" t="e">
        <f t="shared" si="27"/>
        <v>#NUM!</v>
      </c>
    </row>
    <row r="81" spans="1:10" ht="13.35" customHeight="1">
      <c r="A81" s="14" t="s">
        <v>107</v>
      </c>
      <c r="B81" s="14" t="s">
        <v>109</v>
      </c>
      <c r="C81" s="69">
        <v>2022</v>
      </c>
      <c r="D81" s="60"/>
      <c r="E81" s="60"/>
      <c r="F81" s="60"/>
      <c r="G81" s="70" t="e">
        <f t="shared" si="24"/>
        <v>#NUM!</v>
      </c>
      <c r="H81" s="70" t="e">
        <f t="shared" si="25"/>
        <v>#NUM!</v>
      </c>
      <c r="I81" s="71" t="e">
        <f t="shared" si="26"/>
        <v>#NUM!</v>
      </c>
      <c r="J81" s="65" t="e">
        <f t="shared" si="27"/>
        <v>#NUM!</v>
      </c>
    </row>
    <row r="82" spans="1:10" ht="13.35" customHeight="1">
      <c r="A82" s="68" t="s">
        <v>107</v>
      </c>
      <c r="B82" s="68" t="s">
        <v>110</v>
      </c>
      <c r="C82" s="69">
        <v>2022</v>
      </c>
      <c r="D82" s="60">
        <v>1.32</v>
      </c>
      <c r="E82" s="60" t="s">
        <v>14</v>
      </c>
      <c r="F82" s="60" t="s">
        <v>15</v>
      </c>
      <c r="G82" s="70">
        <f t="shared" si="8"/>
        <v>0.13292518236484185</v>
      </c>
      <c r="H82" s="70">
        <f t="shared" si="9"/>
        <v>0.13300000000000001</v>
      </c>
      <c r="I82" s="71">
        <f t="shared" si="10"/>
        <v>0.89</v>
      </c>
      <c r="J82" s="65">
        <f t="shared" si="11"/>
        <v>4</v>
      </c>
    </row>
    <row r="83" spans="1:10" ht="13.35" customHeight="1">
      <c r="A83" s="68" t="s">
        <v>107</v>
      </c>
      <c r="B83" s="68" t="s">
        <v>111</v>
      </c>
      <c r="C83" s="69">
        <v>2022</v>
      </c>
      <c r="D83" s="60"/>
      <c r="E83" s="60"/>
      <c r="F83" s="60"/>
      <c r="G83" s="70" t="e">
        <f t="shared" si="8"/>
        <v>#NUM!</v>
      </c>
      <c r="H83" s="70" t="e">
        <f t="shared" si="9"/>
        <v>#NUM!</v>
      </c>
      <c r="I83" s="71" t="e">
        <f t="shared" si="10"/>
        <v>#NUM!</v>
      </c>
      <c r="J83" s="65" t="e">
        <f t="shared" si="11"/>
        <v>#NUM!</v>
      </c>
    </row>
    <row r="84" spans="1:10" ht="13.35" customHeight="1">
      <c r="A84" s="68" t="s">
        <v>107</v>
      </c>
      <c r="B84" s="68" t="s">
        <v>112</v>
      </c>
      <c r="C84" s="69">
        <v>2022</v>
      </c>
      <c r="D84" s="42">
        <v>1.2</v>
      </c>
      <c r="E84" s="42" t="s">
        <v>14</v>
      </c>
      <c r="F84" s="42" t="s">
        <v>15</v>
      </c>
      <c r="G84" s="70">
        <f t="shared" si="8"/>
        <v>0.1851047975833634</v>
      </c>
      <c r="H84" s="70">
        <f t="shared" si="9"/>
        <v>0.185</v>
      </c>
      <c r="I84" s="71">
        <f t="shared" si="10"/>
        <v>1.23</v>
      </c>
      <c r="J84" s="65">
        <f t="shared" si="11"/>
        <v>4</v>
      </c>
    </row>
    <row r="85" spans="1:10" ht="13.35" customHeight="1">
      <c r="A85" s="42" t="s">
        <v>107</v>
      </c>
      <c r="B85" s="42" t="s">
        <v>113</v>
      </c>
      <c r="C85" s="69">
        <v>2022</v>
      </c>
      <c r="D85" s="60"/>
      <c r="E85" s="60"/>
      <c r="F85" s="60"/>
      <c r="G85" s="70" t="e">
        <f t="shared" si="8"/>
        <v>#NUM!</v>
      </c>
      <c r="H85" s="70" t="e">
        <f t="shared" si="9"/>
        <v>#NUM!</v>
      </c>
      <c r="I85" s="71" t="e">
        <f t="shared" si="10"/>
        <v>#NUM!</v>
      </c>
      <c r="J85" s="65" t="e">
        <f t="shared" si="11"/>
        <v>#NUM!</v>
      </c>
    </row>
    <row r="86" spans="1:10" ht="13.35" customHeight="1">
      <c r="A86" s="42" t="s">
        <v>107</v>
      </c>
      <c r="B86" s="42" t="s">
        <v>114</v>
      </c>
      <c r="C86" s="69">
        <v>2022</v>
      </c>
      <c r="D86" s="42">
        <v>1.2</v>
      </c>
      <c r="E86" s="42" t="s">
        <v>14</v>
      </c>
      <c r="F86" s="42" t="s">
        <v>15</v>
      </c>
      <c r="G86" s="70">
        <f t="shared" si="8"/>
        <v>0.1851047975833634</v>
      </c>
      <c r="H86" s="70">
        <f t="shared" si="9"/>
        <v>0.185</v>
      </c>
      <c r="I86" s="71">
        <f t="shared" si="10"/>
        <v>1.23</v>
      </c>
      <c r="J86" s="65">
        <f t="shared" si="11"/>
        <v>4</v>
      </c>
    </row>
    <row r="87" spans="1:10" ht="13.35" customHeight="1">
      <c r="A87" s="72" t="s">
        <v>107</v>
      </c>
      <c r="B87" s="72" t="s">
        <v>115</v>
      </c>
      <c r="C87" s="69">
        <v>2022</v>
      </c>
      <c r="D87" s="42"/>
      <c r="E87" s="42"/>
      <c r="F87" s="42"/>
      <c r="G87" s="70" t="e">
        <f t="shared" si="8"/>
        <v>#NUM!</v>
      </c>
      <c r="H87" s="70" t="e">
        <f t="shared" si="9"/>
        <v>#NUM!</v>
      </c>
      <c r="I87" s="71" t="e">
        <f t="shared" si="10"/>
        <v>#NUM!</v>
      </c>
      <c r="J87" s="65" t="e">
        <f t="shared" si="11"/>
        <v>#NUM!</v>
      </c>
    </row>
    <row r="88" spans="1:10" ht="13.35" customHeight="1">
      <c r="A88" s="72" t="s">
        <v>107</v>
      </c>
      <c r="B88" s="72" t="s">
        <v>116</v>
      </c>
      <c r="C88" s="69">
        <v>2022</v>
      </c>
      <c r="D88" s="42">
        <v>1.2</v>
      </c>
      <c r="E88" s="60" t="s">
        <v>14</v>
      </c>
      <c r="F88" s="60" t="s">
        <v>15</v>
      </c>
      <c r="G88" s="70">
        <f t="shared" si="8"/>
        <v>0.1851047975833634</v>
      </c>
      <c r="H88" s="70">
        <f t="shared" si="9"/>
        <v>0.185</v>
      </c>
      <c r="I88" s="71">
        <f t="shared" si="10"/>
        <v>1.23</v>
      </c>
      <c r="J88" s="65">
        <f t="shared" si="11"/>
        <v>4</v>
      </c>
    </row>
    <row r="89" spans="1:10" ht="13.35" customHeight="1">
      <c r="A89" s="14" t="s">
        <v>117</v>
      </c>
      <c r="B89" s="14" t="s">
        <v>118</v>
      </c>
      <c r="C89" s="69">
        <v>2022</v>
      </c>
      <c r="D89" s="60">
        <v>1.33</v>
      </c>
      <c r="E89" s="60" t="s">
        <v>15</v>
      </c>
      <c r="F89" s="76" t="s">
        <v>15</v>
      </c>
      <c r="G89" s="70">
        <f t="shared" ref="G89:G92" si="28">IF(F89="Y",((1/(1+EXP(2.6968+(1.1686*LN(D89-0.9)))))),((1/(1+EXP(2.8891+(1.1686*(LN(D89-0.9))))))))</f>
        <v>0.12978776668212111</v>
      </c>
      <c r="H89" s="70">
        <f t="shared" ref="H89:H92" si="29">ROUND(G89,3)</f>
        <v>0.13</v>
      </c>
      <c r="I89" s="71">
        <f t="shared" ref="I89:I90" si="30">ROUND(H89/0.15,2)</f>
        <v>0.87</v>
      </c>
      <c r="J89" s="65">
        <f t="shared" ref="J89:J92" si="31">IF(I89&lt;0.673,5,IF(I89&lt;1.33,4,IF(I89&lt;2,3,IF(I89&lt;2.67,2,1))))</f>
        <v>4</v>
      </c>
    </row>
    <row r="90" spans="1:10" ht="13.35" customHeight="1">
      <c r="A90" s="60" t="s">
        <v>117</v>
      </c>
      <c r="B90" s="60" t="s">
        <v>119</v>
      </c>
      <c r="C90" s="69">
        <v>2022</v>
      </c>
      <c r="D90" s="60">
        <v>1.33</v>
      </c>
      <c r="E90" s="60" t="s">
        <v>15</v>
      </c>
      <c r="F90" s="76" t="s">
        <v>15</v>
      </c>
      <c r="G90" s="70">
        <f t="shared" si="28"/>
        <v>0.12978776668212111</v>
      </c>
      <c r="H90" s="70">
        <f t="shared" si="29"/>
        <v>0.13</v>
      </c>
      <c r="I90" s="71">
        <f t="shared" si="30"/>
        <v>0.87</v>
      </c>
      <c r="J90" s="65">
        <f t="shared" si="31"/>
        <v>4</v>
      </c>
    </row>
    <row r="91" spans="1:10" ht="13.35" customHeight="1">
      <c r="A91" s="77" t="s">
        <v>117</v>
      </c>
      <c r="B91" s="77" t="s">
        <v>120</v>
      </c>
      <c r="C91" s="69">
        <v>2022</v>
      </c>
      <c r="D91" s="42">
        <v>1.22</v>
      </c>
      <c r="E91" s="60" t="s">
        <v>14</v>
      </c>
      <c r="F91" s="60" t="s">
        <v>15</v>
      </c>
      <c r="G91" s="70">
        <f t="shared" si="28"/>
        <v>0.17399746725853527</v>
      </c>
      <c r="H91" s="70">
        <f t="shared" si="29"/>
        <v>0.17399999999999999</v>
      </c>
      <c r="I91" s="71">
        <f>ROUND(H91/0.15,2)</f>
        <v>1.1599999999999999</v>
      </c>
      <c r="J91" s="65">
        <f t="shared" si="31"/>
        <v>4</v>
      </c>
    </row>
    <row r="92" spans="1:10" ht="13.35" customHeight="1">
      <c r="A92" s="77" t="s">
        <v>117</v>
      </c>
      <c r="B92" s="77" t="s">
        <v>121</v>
      </c>
      <c r="C92" s="69">
        <v>2022</v>
      </c>
      <c r="D92" s="60">
        <v>1.28</v>
      </c>
      <c r="E92" s="42" t="s">
        <v>14</v>
      </c>
      <c r="F92" s="42" t="s">
        <v>15</v>
      </c>
      <c r="G92" s="70">
        <f t="shared" si="28"/>
        <v>0.14699318560666366</v>
      </c>
      <c r="H92" s="70">
        <f t="shared" si="29"/>
        <v>0.14699999999999999</v>
      </c>
      <c r="I92" s="71">
        <f>ROUND(H92/0.15,2)</f>
        <v>0.98</v>
      </c>
      <c r="J92" s="65">
        <f t="shared" si="31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32"/>
  <sheetViews>
    <sheetView zoomScale="145" zoomScaleNormal="145" workbookViewId="0">
      <pane xSplit="5" ySplit="2" topLeftCell="F3" activePane="bottomRight" state="frozen"/>
      <selection pane="topRight"/>
      <selection pane="bottomLeft"/>
      <selection pane="bottomRight" activeCell="A2" sqref="A2"/>
    </sheetView>
  </sheetViews>
  <sheetFormatPr defaultRowHeight="12" customHeight="1"/>
  <cols>
    <col min="1" max="1" width="8.140625" style="115" customWidth="1"/>
    <col min="2" max="2" width="9.85546875" style="115" bestFit="1" customWidth="1"/>
    <col min="3" max="3" width="11.7109375" style="108" customWidth="1"/>
    <col min="4" max="4" width="31.28515625" style="108" customWidth="1"/>
    <col min="5" max="5" width="7.42578125" style="108" customWidth="1"/>
    <col min="6" max="6" width="4.42578125" style="108" bestFit="1" customWidth="1"/>
    <col min="7" max="9" width="8.5703125" style="137" customWidth="1"/>
    <col min="10" max="10" width="8.42578125" style="137" bestFit="1" customWidth="1"/>
    <col min="11" max="20" width="8.5703125" style="137" customWidth="1"/>
    <col min="21" max="21" width="8.85546875" style="137" customWidth="1"/>
    <col min="22" max="22" width="10.140625" style="137" customWidth="1"/>
    <col min="23" max="23" width="7" style="113" customWidth="1"/>
    <col min="24" max="24" width="5.42578125" style="113" customWidth="1"/>
    <col min="25" max="25" width="9" style="113" customWidth="1"/>
    <col min="26" max="26" width="10" style="113" customWidth="1"/>
    <col min="27" max="27" width="7.42578125" style="113" customWidth="1"/>
    <col min="28" max="28" width="6.85546875" style="113" customWidth="1"/>
    <col min="29" max="29" width="6.85546875" style="64" customWidth="1"/>
    <col min="30" max="30" width="7.85546875" style="64" customWidth="1"/>
    <col min="31" max="31" width="8" style="64" customWidth="1"/>
    <col min="32" max="33" width="7" style="64" customWidth="1"/>
    <col min="34" max="34" width="4.85546875" style="64" customWidth="1"/>
    <col min="35" max="35" width="9" style="64" customWidth="1"/>
    <col min="36" max="36" width="10.140625" style="64" customWidth="1"/>
    <col min="37" max="37" width="6.42578125" style="64" customWidth="1"/>
    <col min="38" max="39" width="6.85546875" style="64" customWidth="1"/>
    <col min="40" max="40" width="7.85546875" style="64" customWidth="1"/>
    <col min="41" max="41" width="8" style="64" customWidth="1"/>
    <col min="42" max="42" width="7" style="64" customWidth="1"/>
    <col min="43" max="43" width="7.5703125" style="64" customWidth="1"/>
    <col min="44" max="44" width="9.5703125" style="64" bestFit="1" customWidth="1"/>
    <col min="45" max="45" width="7.140625" style="64" bestFit="1" customWidth="1"/>
    <col min="46" max="46" width="5.5703125" style="113" bestFit="1" customWidth="1"/>
    <col min="47" max="47" width="9.5703125" style="113" bestFit="1" customWidth="1"/>
    <col min="48" max="48" width="5.85546875" style="113" bestFit="1" customWidth="1"/>
    <col min="49" max="49" width="5.5703125" style="140" bestFit="1" customWidth="1"/>
    <col min="50" max="50" width="9.5703125" style="140" bestFit="1" customWidth="1"/>
    <col min="51" max="51" width="5.85546875" style="182" bestFit="1" customWidth="1"/>
    <col min="52" max="16384" width="9.140625" style="64"/>
  </cols>
  <sheetData>
    <row r="1" spans="1:51" s="67" customFormat="1" ht="12" customHeight="1">
      <c r="A1" s="17"/>
      <c r="B1" s="17"/>
      <c r="C1" s="159"/>
      <c r="D1" s="159"/>
      <c r="E1" s="160"/>
      <c r="F1" s="160"/>
      <c r="G1" s="161" t="s">
        <v>122</v>
      </c>
      <c r="H1" s="162"/>
      <c r="I1" s="162"/>
      <c r="J1" s="162"/>
      <c r="K1" s="162"/>
      <c r="L1" s="162"/>
      <c r="M1" s="162"/>
      <c r="N1" s="163"/>
      <c r="O1" s="125" t="s">
        <v>123</v>
      </c>
      <c r="P1" s="164"/>
      <c r="Q1" s="164"/>
      <c r="R1" s="164"/>
      <c r="S1" s="164"/>
      <c r="T1" s="164"/>
      <c r="U1" s="164"/>
      <c r="V1" s="164"/>
      <c r="W1" s="165" t="s">
        <v>124</v>
      </c>
      <c r="X1" s="166"/>
      <c r="Y1" s="166"/>
      <c r="Z1" s="166"/>
      <c r="AA1" s="166"/>
      <c r="AB1" s="166"/>
      <c r="AC1" s="166"/>
      <c r="AD1" s="166"/>
      <c r="AE1" s="166"/>
      <c r="AF1" s="167"/>
      <c r="AG1" s="168" t="s">
        <v>125</v>
      </c>
      <c r="AH1" s="169"/>
      <c r="AI1" s="169"/>
      <c r="AJ1" s="169"/>
      <c r="AK1" s="169"/>
      <c r="AL1" s="169"/>
      <c r="AM1" s="169"/>
      <c r="AN1" s="169"/>
      <c r="AO1" s="169"/>
      <c r="AP1" s="170"/>
      <c r="AQ1" s="171" t="s">
        <v>126</v>
      </c>
      <c r="AR1" s="17" t="s">
        <v>127</v>
      </c>
      <c r="AS1" s="17" t="s">
        <v>128</v>
      </c>
      <c r="AT1" s="5" t="s">
        <v>126</v>
      </c>
      <c r="AU1" s="5" t="s">
        <v>127</v>
      </c>
      <c r="AV1" s="5" t="s">
        <v>129</v>
      </c>
      <c r="AW1" s="25" t="s">
        <v>126</v>
      </c>
      <c r="AX1" s="25" t="s">
        <v>127</v>
      </c>
      <c r="AY1" s="25" t="s">
        <v>129</v>
      </c>
    </row>
    <row r="2" spans="1:51" s="67" customFormat="1" ht="21.75" customHeight="1">
      <c r="A2" s="17" t="s">
        <v>130</v>
      </c>
      <c r="B2" s="17" t="s">
        <v>131</v>
      </c>
      <c r="C2" s="17" t="s">
        <v>1</v>
      </c>
      <c r="D2" s="17" t="s">
        <v>2</v>
      </c>
      <c r="E2" s="37" t="s">
        <v>132</v>
      </c>
      <c r="F2" s="160" t="s">
        <v>3</v>
      </c>
      <c r="G2" s="46" t="s">
        <v>133</v>
      </c>
      <c r="H2" s="11" t="s">
        <v>134</v>
      </c>
      <c r="I2" s="49" t="s">
        <v>135</v>
      </c>
      <c r="J2" s="49" t="s">
        <v>136</v>
      </c>
      <c r="K2" s="49" t="s">
        <v>137</v>
      </c>
      <c r="L2" s="48" t="s">
        <v>138</v>
      </c>
      <c r="M2" s="49" t="s">
        <v>139</v>
      </c>
      <c r="N2" s="172" t="s">
        <v>140</v>
      </c>
      <c r="O2" s="46" t="s">
        <v>133</v>
      </c>
      <c r="P2" s="11" t="s">
        <v>134</v>
      </c>
      <c r="Q2" s="49" t="s">
        <v>135</v>
      </c>
      <c r="R2" s="49" t="s">
        <v>136</v>
      </c>
      <c r="S2" s="49" t="s">
        <v>137</v>
      </c>
      <c r="T2" s="48" t="s">
        <v>138</v>
      </c>
      <c r="U2" s="49" t="s">
        <v>139</v>
      </c>
      <c r="V2" s="173" t="s">
        <v>140</v>
      </c>
      <c r="W2" s="174" t="s">
        <v>141</v>
      </c>
      <c r="X2" s="175" t="s">
        <v>142</v>
      </c>
      <c r="Y2" s="5" t="s">
        <v>143</v>
      </c>
      <c r="Z2" s="5" t="s">
        <v>144</v>
      </c>
      <c r="AA2" s="175" t="s">
        <v>145</v>
      </c>
      <c r="AB2" s="5" t="s">
        <v>146</v>
      </c>
      <c r="AC2" s="17" t="s">
        <v>146</v>
      </c>
      <c r="AD2" s="17" t="s">
        <v>147</v>
      </c>
      <c r="AE2" s="17" t="s">
        <v>148</v>
      </c>
      <c r="AF2" s="106" t="s">
        <v>149</v>
      </c>
      <c r="AG2" s="46" t="s">
        <v>141</v>
      </c>
      <c r="AH2" s="11" t="s">
        <v>142</v>
      </c>
      <c r="AI2" s="11" t="s">
        <v>143</v>
      </c>
      <c r="AJ2" s="11" t="s">
        <v>150</v>
      </c>
      <c r="AK2" s="11" t="s">
        <v>145</v>
      </c>
      <c r="AL2" s="11" t="s">
        <v>146</v>
      </c>
      <c r="AM2" s="11" t="s">
        <v>146</v>
      </c>
      <c r="AN2" s="11" t="s">
        <v>147</v>
      </c>
      <c r="AO2" s="11" t="s">
        <v>148</v>
      </c>
      <c r="AP2" s="176" t="s">
        <v>149</v>
      </c>
      <c r="AQ2" s="171" t="s">
        <v>151</v>
      </c>
      <c r="AR2" s="17" t="s">
        <v>8</v>
      </c>
      <c r="AS2" s="17" t="s">
        <v>8</v>
      </c>
      <c r="AT2" s="7" t="s">
        <v>152</v>
      </c>
      <c r="AU2" s="7" t="s">
        <v>152</v>
      </c>
      <c r="AV2" s="7" t="s">
        <v>152</v>
      </c>
      <c r="AW2" s="9" t="s">
        <v>10</v>
      </c>
      <c r="AX2" s="9" t="s">
        <v>10</v>
      </c>
      <c r="AY2" s="25" t="s">
        <v>153</v>
      </c>
    </row>
    <row r="3" spans="1:51" ht="12" customHeight="1">
      <c r="A3" s="42">
        <v>11663</v>
      </c>
      <c r="B3" s="42" t="s">
        <v>154</v>
      </c>
      <c r="C3" s="65" t="str">
        <f>Rollover!A3</f>
        <v>Acura</v>
      </c>
      <c r="D3" s="65" t="str">
        <f>Rollover!B3</f>
        <v>MDX SUV AWD</v>
      </c>
      <c r="E3" s="61" t="s">
        <v>155</v>
      </c>
      <c r="F3" s="177">
        <f>Rollover!C3</f>
        <v>2022</v>
      </c>
      <c r="G3" s="27">
        <v>243.75200000000001</v>
      </c>
      <c r="H3" s="28">
        <v>0.29199999999999998</v>
      </c>
      <c r="I3" s="28">
        <v>1354.183</v>
      </c>
      <c r="J3" s="28">
        <v>261.06200000000001</v>
      </c>
      <c r="K3" s="28">
        <v>23.920999999999999</v>
      </c>
      <c r="L3" s="28">
        <v>46.091000000000001</v>
      </c>
      <c r="M3" s="28">
        <v>2061.1570000000002</v>
      </c>
      <c r="N3" s="29">
        <v>2317.652</v>
      </c>
      <c r="O3" s="27">
        <v>288.27</v>
      </c>
      <c r="P3" s="28">
        <v>0.30299999999999999</v>
      </c>
      <c r="Q3" s="28">
        <v>544.15899999999999</v>
      </c>
      <c r="R3" s="28">
        <v>333.11</v>
      </c>
      <c r="S3" s="28">
        <v>17.196000000000002</v>
      </c>
      <c r="T3" s="28">
        <v>39.555</v>
      </c>
      <c r="U3" s="28">
        <v>1744.402</v>
      </c>
      <c r="V3" s="56">
        <v>2037.548</v>
      </c>
      <c r="W3" s="52">
        <f t="shared" ref="W3:W16" si="0">NORMDIST(LN(G3),7.45231,0.73998,1)</f>
        <v>4.1023352797599074E-3</v>
      </c>
      <c r="X3" s="10">
        <f t="shared" ref="X3:X16" si="1">1/(1+EXP(3.2269-1.9688*H3))</f>
        <v>6.5865207635833936E-2</v>
      </c>
      <c r="Y3" s="10">
        <f t="shared" ref="Y3:Y16" si="2">1/(1+EXP(10.9745-2.375*I3/1000))</f>
        <v>4.2699320449578985E-4</v>
      </c>
      <c r="Z3" s="10">
        <f t="shared" ref="Z3:Z16" si="3">1/(1+EXP(10.9745-2.375*J3/1000))</f>
        <v>3.1848839935804378E-5</v>
      </c>
      <c r="AA3" s="10">
        <f t="shared" ref="AA3:AA16" si="4">MAX(X3,Y3,Z3)</f>
        <v>6.5865207635833936E-2</v>
      </c>
      <c r="AB3" s="10">
        <f t="shared" ref="AB3:AB16" si="5">1/(1+EXP(12.597-0.05861*35-1.568*(K3^0.4612)))</f>
        <v>2.2631890173337867E-2</v>
      </c>
      <c r="AC3" s="10">
        <f t="shared" ref="AC3:AC16" si="6">AB3</f>
        <v>2.2631890173337867E-2</v>
      </c>
      <c r="AD3" s="10">
        <f t="shared" ref="AD3:AD16" si="7">1/(1+EXP(5.7949-0.5196*M3/1000))</f>
        <v>8.8021092436552408E-3</v>
      </c>
      <c r="AE3" s="10">
        <f t="shared" ref="AE3:AE16" si="8">1/(1+EXP(5.7949-0.5196*N3/1000))</f>
        <v>1.0044368256037261E-2</v>
      </c>
      <c r="AF3" s="58">
        <f t="shared" ref="AF3:AF16" si="9">MAX(AD3,AE3)</f>
        <v>1.0044368256037261E-2</v>
      </c>
      <c r="AG3" s="52">
        <f t="shared" ref="AG3:AG16" si="10">NORMDIST(LN(O3),7.45231,0.73998,1)</f>
        <v>7.8279719756118738E-3</v>
      </c>
      <c r="AH3" s="10">
        <f t="shared" ref="AH3:AH16" si="11">1/(1+EXP(3.2269-1.9688*P3))</f>
        <v>6.7210278929979619E-2</v>
      </c>
      <c r="AI3" s="10">
        <f t="shared" ref="AI3:AI16" si="12">1/(1+EXP(10.958-3.77*Q3/1000))</f>
        <v>1.3548412769250599E-4</v>
      </c>
      <c r="AJ3" s="10">
        <f t="shared" ref="AJ3:AJ16" si="13">1/(1+EXP(10.958-3.77*R3/1000))</f>
        <v>6.1146590821757051E-5</v>
      </c>
      <c r="AK3" s="10">
        <f t="shared" ref="AK3:AK16" si="14">MAX(AH3,AI3,AJ3)</f>
        <v>6.7210278929979619E-2</v>
      </c>
      <c r="AL3" s="10">
        <f t="shared" ref="AL3:AL16" si="15">1/(1+EXP(12.597-0.05861*35-1.568*((S3/0.817)^0.4612)))</f>
        <v>1.5457727639254151E-2</v>
      </c>
      <c r="AM3" s="10">
        <f t="shared" ref="AM3:AM16" si="16">AL3</f>
        <v>1.5457727639254151E-2</v>
      </c>
      <c r="AN3" s="10">
        <f t="shared" ref="AN3:AN16" si="17">1/(1+EXP(5.7949-0.7619*U3/1000))</f>
        <v>1.1364400362879621E-2</v>
      </c>
      <c r="AO3" s="10">
        <f t="shared" ref="AO3:AO16" si="18">1/(1+EXP(5.7949-0.7619*V3/1000))</f>
        <v>1.4168109998371752E-2</v>
      </c>
      <c r="AP3" s="58">
        <f t="shared" ref="AP3:AP16" si="19">MAX(AN3,AO3)</f>
        <v>1.4168109998371752E-2</v>
      </c>
      <c r="AQ3" s="63">
        <f t="shared" ref="AQ3:AQ16" si="20">ROUND(1-(1-W3)*(1-AA3)*(1-AC3)*(1-AF3),3)</f>
        <v>0.1</v>
      </c>
      <c r="AR3" s="10">
        <f t="shared" ref="AR3:AR16" si="21">ROUND(1-(1-AG3)*(1-AK3)*(1-AM3)*(1-AP3),3)</f>
        <v>0.10199999999999999</v>
      </c>
      <c r="AS3" s="10">
        <f t="shared" ref="AS3:AS16" si="22">ROUND(AVERAGE(AR3,AQ3),3)</f>
        <v>0.10100000000000001</v>
      </c>
      <c r="AT3" s="24">
        <f t="shared" ref="AT3:AT16" si="23">ROUND(AQ3/0.15,2)</f>
        <v>0.67</v>
      </c>
      <c r="AU3" s="24">
        <f t="shared" ref="AU3:AU16" si="24">ROUND(AR3/0.15,2)</f>
        <v>0.68</v>
      </c>
      <c r="AV3" s="24">
        <f t="shared" ref="AV3:AV16" si="25">ROUND(AS3/0.15,2)</f>
        <v>0.67</v>
      </c>
      <c r="AW3" s="25">
        <f t="shared" ref="AW3:AW16" si="26">IF(AT3&lt;0.67,5,IF(AT3&lt;1,4,IF(AT3&lt;1.33,3,IF(AT3&lt;2.67,2,1))))</f>
        <v>4</v>
      </c>
      <c r="AX3" s="25">
        <f t="shared" ref="AX3:AX16" si="27">IF(AU3&lt;0.67,5,IF(AU3&lt;1,4,IF(AU3&lt;1.33,3,IF(AU3&lt;2.67,2,1))))</f>
        <v>4</v>
      </c>
      <c r="AY3" s="25">
        <f t="shared" ref="AY3:AY16" si="28">IF(AV3&lt;0.67,5,IF(AV3&lt;1,4,IF(AV3&lt;1.33,3,IF(AV3&lt;2.67,2,1))))</f>
        <v>4</v>
      </c>
    </row>
    <row r="4" spans="1:51" ht="12" customHeight="1">
      <c r="A4" s="42">
        <v>11663</v>
      </c>
      <c r="B4" s="42" t="s">
        <v>154</v>
      </c>
      <c r="C4" s="65" t="str">
        <f>Rollover!A4</f>
        <v>Acura</v>
      </c>
      <c r="D4" s="65" t="str">
        <f>Rollover!B4</f>
        <v>MDX SUV FWD</v>
      </c>
      <c r="E4" s="61" t="s">
        <v>155</v>
      </c>
      <c r="F4" s="177">
        <f>Rollover!C4</f>
        <v>2022</v>
      </c>
      <c r="G4" s="27">
        <v>243.75200000000001</v>
      </c>
      <c r="H4" s="28">
        <v>0.29199999999999998</v>
      </c>
      <c r="I4" s="28">
        <v>1354.183</v>
      </c>
      <c r="J4" s="28">
        <v>261.06200000000001</v>
      </c>
      <c r="K4" s="28">
        <v>23.920999999999999</v>
      </c>
      <c r="L4" s="28">
        <v>46.091000000000001</v>
      </c>
      <c r="M4" s="28">
        <v>2061.1570000000002</v>
      </c>
      <c r="N4" s="29">
        <v>2317.652</v>
      </c>
      <c r="O4" s="27">
        <v>288.27</v>
      </c>
      <c r="P4" s="28">
        <v>0.30299999999999999</v>
      </c>
      <c r="Q4" s="28">
        <v>544.15899999999999</v>
      </c>
      <c r="R4" s="28">
        <v>333.11</v>
      </c>
      <c r="S4" s="28">
        <v>17.196000000000002</v>
      </c>
      <c r="T4" s="28">
        <v>39.555</v>
      </c>
      <c r="U4" s="28">
        <v>1744.402</v>
      </c>
      <c r="V4" s="56">
        <v>2037.548</v>
      </c>
      <c r="W4" s="52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58">
        <f t="shared" si="9"/>
        <v>1.0044368256037261E-2</v>
      </c>
      <c r="AG4" s="52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58">
        <f t="shared" si="19"/>
        <v>1.4168109998371752E-2</v>
      </c>
      <c r="AQ4" s="63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4">
        <f t="shared" si="23"/>
        <v>0.67</v>
      </c>
      <c r="AU4" s="24">
        <f t="shared" si="24"/>
        <v>0.68</v>
      </c>
      <c r="AV4" s="24">
        <f t="shared" si="25"/>
        <v>0.67</v>
      </c>
      <c r="AW4" s="25">
        <f t="shared" si="26"/>
        <v>4</v>
      </c>
      <c r="AX4" s="25">
        <f t="shared" si="27"/>
        <v>4</v>
      </c>
      <c r="AY4" s="25">
        <f t="shared" si="28"/>
        <v>4</v>
      </c>
    </row>
    <row r="5" spans="1:51" ht="12" customHeight="1">
      <c r="A5" s="42">
        <v>14252</v>
      </c>
      <c r="B5" s="60" t="s">
        <v>156</v>
      </c>
      <c r="C5" s="65" t="str">
        <f>Rollover!A5</f>
        <v xml:space="preserve">Audi </v>
      </c>
      <c r="D5" s="65" t="str">
        <f>Rollover!B5</f>
        <v>Q4 e-tron SUV AWD</v>
      </c>
      <c r="E5" s="61" t="s">
        <v>157</v>
      </c>
      <c r="F5" s="177">
        <f>Rollover!C5</f>
        <v>2022</v>
      </c>
      <c r="G5" s="27">
        <v>164.63800000000001</v>
      </c>
      <c r="H5" s="28">
        <v>0.33200000000000002</v>
      </c>
      <c r="I5" s="28">
        <v>770.49699999999996</v>
      </c>
      <c r="J5" s="28">
        <v>332.38799999999998</v>
      </c>
      <c r="K5" s="28">
        <v>24.766999999999999</v>
      </c>
      <c r="L5" s="28">
        <v>37.771999999999998</v>
      </c>
      <c r="M5" s="28">
        <v>319.685</v>
      </c>
      <c r="N5" s="29">
        <v>698.83199999999999</v>
      </c>
      <c r="O5" s="27">
        <v>264.18900000000002</v>
      </c>
      <c r="P5" s="28">
        <v>0.371</v>
      </c>
      <c r="Q5" s="28">
        <v>453.012</v>
      </c>
      <c r="R5" s="28">
        <v>587.68700000000001</v>
      </c>
      <c r="S5" s="28">
        <v>20.119</v>
      </c>
      <c r="T5" s="28">
        <v>35.021000000000001</v>
      </c>
      <c r="U5" s="28">
        <v>62.353000000000002</v>
      </c>
      <c r="V5" s="56">
        <v>112.72199999999999</v>
      </c>
      <c r="W5" s="52">
        <f t="shared" si="0"/>
        <v>7.5224336979683821E-4</v>
      </c>
      <c r="X5" s="10">
        <f t="shared" si="1"/>
        <v>7.087942016141463E-2</v>
      </c>
      <c r="Y5" s="10">
        <f t="shared" si="2"/>
        <v>1.0678678046867129E-4</v>
      </c>
      <c r="Z5" s="10">
        <f t="shared" si="3"/>
        <v>3.7727690828108084E-5</v>
      </c>
      <c r="AA5" s="10">
        <f t="shared" si="4"/>
        <v>7.087942016141463E-2</v>
      </c>
      <c r="AB5" s="10">
        <f t="shared" si="5"/>
        <v>2.5186268770613363E-2</v>
      </c>
      <c r="AC5" s="10">
        <f t="shared" si="6"/>
        <v>2.5186268770613363E-2</v>
      </c>
      <c r="AD5" s="10">
        <f t="shared" si="7"/>
        <v>3.5800513001552521E-3</v>
      </c>
      <c r="AE5" s="10">
        <f t="shared" si="8"/>
        <v>4.3562110712041463E-3</v>
      </c>
      <c r="AF5" s="58">
        <f t="shared" si="9"/>
        <v>4.3562110712041463E-3</v>
      </c>
      <c r="AG5" s="52">
        <f t="shared" si="10"/>
        <v>5.6267937601482418E-3</v>
      </c>
      <c r="AH5" s="10">
        <f t="shared" si="11"/>
        <v>7.6105651318424991E-2</v>
      </c>
      <c r="AI5" s="10">
        <f t="shared" si="12"/>
        <v>9.6088506057358703E-5</v>
      </c>
      <c r="AJ5" s="10">
        <f t="shared" si="13"/>
        <v>1.5964153470730995E-4</v>
      </c>
      <c r="AK5" s="10">
        <f t="shared" si="14"/>
        <v>7.6105651318424991E-2</v>
      </c>
      <c r="AL5" s="10">
        <f t="shared" si="15"/>
        <v>2.4743570281193401E-2</v>
      </c>
      <c r="AM5" s="10">
        <f t="shared" si="16"/>
        <v>2.4743570281193401E-2</v>
      </c>
      <c r="AN5" s="10">
        <f t="shared" si="17"/>
        <v>3.1809376825809648E-3</v>
      </c>
      <c r="AO5" s="10">
        <f t="shared" si="18"/>
        <v>3.3049710909854669E-3</v>
      </c>
      <c r="AP5" s="58">
        <f t="shared" si="19"/>
        <v>3.3049710909854669E-3</v>
      </c>
      <c r="AQ5" s="63">
        <f t="shared" si="20"/>
        <v>9.9000000000000005E-2</v>
      </c>
      <c r="AR5" s="10">
        <f t="shared" si="21"/>
        <v>0.107</v>
      </c>
      <c r="AS5" s="10">
        <f t="shared" si="22"/>
        <v>0.10299999999999999</v>
      </c>
      <c r="AT5" s="24">
        <f t="shared" si="23"/>
        <v>0.66</v>
      </c>
      <c r="AU5" s="24">
        <f t="shared" si="24"/>
        <v>0.71</v>
      </c>
      <c r="AV5" s="24">
        <f t="shared" si="25"/>
        <v>0.69</v>
      </c>
      <c r="AW5" s="25">
        <f t="shared" si="26"/>
        <v>5</v>
      </c>
      <c r="AX5" s="25">
        <f t="shared" si="27"/>
        <v>4</v>
      </c>
      <c r="AY5" s="25">
        <f t="shared" si="28"/>
        <v>4</v>
      </c>
    </row>
    <row r="6" spans="1:51" ht="12" customHeight="1">
      <c r="A6" s="60">
        <v>14252</v>
      </c>
      <c r="B6" s="60" t="s">
        <v>156</v>
      </c>
      <c r="C6" s="62" t="str">
        <f>Rollover!A6</f>
        <v xml:space="preserve">Audi </v>
      </c>
      <c r="D6" s="62" t="str">
        <f>Rollover!B6</f>
        <v>Q4 e-tronSportback SUV AWD</v>
      </c>
      <c r="E6" s="61" t="s">
        <v>157</v>
      </c>
      <c r="F6" s="177">
        <f>Rollover!C6</f>
        <v>2022</v>
      </c>
      <c r="G6" s="18">
        <v>164.63800000000001</v>
      </c>
      <c r="H6" s="19">
        <v>0.33200000000000002</v>
      </c>
      <c r="I6" s="19">
        <v>770.49699999999996</v>
      </c>
      <c r="J6" s="19">
        <v>332.38799999999998</v>
      </c>
      <c r="K6" s="19">
        <v>24.766999999999999</v>
      </c>
      <c r="L6" s="19">
        <v>37.771999999999998</v>
      </c>
      <c r="M6" s="19">
        <v>319.685</v>
      </c>
      <c r="N6" s="20">
        <v>698.83199999999999</v>
      </c>
      <c r="O6" s="18">
        <v>264.18900000000002</v>
      </c>
      <c r="P6" s="19">
        <v>0.371</v>
      </c>
      <c r="Q6" s="19">
        <v>453.012</v>
      </c>
      <c r="R6" s="19">
        <v>587.68700000000001</v>
      </c>
      <c r="S6" s="19">
        <v>20.119</v>
      </c>
      <c r="T6" s="19">
        <v>35.021000000000001</v>
      </c>
      <c r="U6" s="19">
        <v>62.353000000000002</v>
      </c>
      <c r="V6" s="51">
        <v>112.72199999999999</v>
      </c>
      <c r="W6" s="52">
        <f t="shared" si="0"/>
        <v>7.5224336979683821E-4</v>
      </c>
      <c r="X6" s="10">
        <f t="shared" si="1"/>
        <v>7.087942016141463E-2</v>
      </c>
      <c r="Y6" s="10">
        <f t="shared" si="2"/>
        <v>1.0678678046867129E-4</v>
      </c>
      <c r="Z6" s="10">
        <f t="shared" si="3"/>
        <v>3.7727690828108084E-5</v>
      </c>
      <c r="AA6" s="10">
        <f t="shared" si="4"/>
        <v>7.087942016141463E-2</v>
      </c>
      <c r="AB6" s="10">
        <f t="shared" si="5"/>
        <v>2.5186268770613363E-2</v>
      </c>
      <c r="AC6" s="10">
        <f t="shared" si="6"/>
        <v>2.5186268770613363E-2</v>
      </c>
      <c r="AD6" s="10">
        <f t="shared" si="7"/>
        <v>3.5800513001552521E-3</v>
      </c>
      <c r="AE6" s="10">
        <f t="shared" si="8"/>
        <v>4.3562110712041463E-3</v>
      </c>
      <c r="AF6" s="58">
        <f t="shared" si="9"/>
        <v>4.3562110712041463E-3</v>
      </c>
      <c r="AG6" s="52">
        <f t="shared" si="10"/>
        <v>5.6267937601482418E-3</v>
      </c>
      <c r="AH6" s="10">
        <f t="shared" si="11"/>
        <v>7.6105651318424991E-2</v>
      </c>
      <c r="AI6" s="10">
        <f t="shared" si="12"/>
        <v>9.6088506057358703E-5</v>
      </c>
      <c r="AJ6" s="10">
        <f t="shared" si="13"/>
        <v>1.5964153470730995E-4</v>
      </c>
      <c r="AK6" s="10">
        <f t="shared" si="14"/>
        <v>7.6105651318424991E-2</v>
      </c>
      <c r="AL6" s="10">
        <f t="shared" si="15"/>
        <v>2.4743570281193401E-2</v>
      </c>
      <c r="AM6" s="10">
        <f t="shared" si="16"/>
        <v>2.4743570281193401E-2</v>
      </c>
      <c r="AN6" s="10">
        <f t="shared" si="17"/>
        <v>3.1809376825809648E-3</v>
      </c>
      <c r="AO6" s="10">
        <f t="shared" si="18"/>
        <v>3.3049710909854669E-3</v>
      </c>
      <c r="AP6" s="58">
        <f t="shared" si="19"/>
        <v>3.3049710909854669E-3</v>
      </c>
      <c r="AQ6" s="63">
        <f t="shared" si="20"/>
        <v>9.9000000000000005E-2</v>
      </c>
      <c r="AR6" s="10">
        <f t="shared" si="21"/>
        <v>0.107</v>
      </c>
      <c r="AS6" s="10">
        <f t="shared" si="22"/>
        <v>0.10299999999999999</v>
      </c>
      <c r="AT6" s="24">
        <f t="shared" si="23"/>
        <v>0.66</v>
      </c>
      <c r="AU6" s="24">
        <f t="shared" si="24"/>
        <v>0.71</v>
      </c>
      <c r="AV6" s="24">
        <f t="shared" si="25"/>
        <v>0.69</v>
      </c>
      <c r="AW6" s="25">
        <f t="shared" si="26"/>
        <v>5</v>
      </c>
      <c r="AX6" s="25">
        <f t="shared" si="27"/>
        <v>4</v>
      </c>
      <c r="AY6" s="25">
        <f t="shared" si="28"/>
        <v>4</v>
      </c>
    </row>
    <row r="7" spans="1:51" ht="12" customHeight="1">
      <c r="A7" s="42">
        <v>14096</v>
      </c>
      <c r="B7" s="60" t="s">
        <v>158</v>
      </c>
      <c r="C7" s="65" t="str">
        <f>Rollover!A7</f>
        <v>Chevrolet</v>
      </c>
      <c r="D7" s="65" t="str">
        <f>Rollover!B7</f>
        <v>Bolt EUV SUV FWD</v>
      </c>
      <c r="E7" s="61" t="s">
        <v>159</v>
      </c>
      <c r="F7" s="177">
        <f>Rollover!C7</f>
        <v>2022</v>
      </c>
      <c r="G7" s="27">
        <v>161.91999999999999</v>
      </c>
      <c r="H7" s="28">
        <v>0.24399999999999999</v>
      </c>
      <c r="I7" s="28">
        <v>1095.191</v>
      </c>
      <c r="J7" s="28">
        <v>76.228999999999999</v>
      </c>
      <c r="K7" s="28">
        <v>22.968</v>
      </c>
      <c r="L7" s="28">
        <v>35.244999999999997</v>
      </c>
      <c r="M7" s="28">
        <v>464.20299999999997</v>
      </c>
      <c r="N7" s="29">
        <v>822.00300000000004</v>
      </c>
      <c r="O7" s="27">
        <v>300.52800000000002</v>
      </c>
      <c r="P7" s="28">
        <v>0.25900000000000001</v>
      </c>
      <c r="Q7" s="28">
        <v>499.83300000000003</v>
      </c>
      <c r="R7" s="28">
        <v>353.65100000000001</v>
      </c>
      <c r="S7" s="28">
        <v>15.407999999999999</v>
      </c>
      <c r="T7" s="28">
        <v>32.835999999999999</v>
      </c>
      <c r="U7" s="28">
        <v>578.00099999999998</v>
      </c>
      <c r="V7" s="56">
        <v>984.50800000000004</v>
      </c>
      <c r="W7" s="52">
        <f t="shared" si="0"/>
        <v>6.9598037059221969E-4</v>
      </c>
      <c r="X7" s="10">
        <f t="shared" si="1"/>
        <v>6.0283896523332971E-2</v>
      </c>
      <c r="Y7" s="10">
        <f t="shared" si="2"/>
        <v>2.3087080895981108E-4</v>
      </c>
      <c r="Z7" s="10">
        <f t="shared" si="3"/>
        <v>2.053301132947143E-5</v>
      </c>
      <c r="AA7" s="10">
        <f t="shared" si="4"/>
        <v>6.0283896523332971E-2</v>
      </c>
      <c r="AB7" s="10">
        <f t="shared" si="5"/>
        <v>2.0007324850758425E-2</v>
      </c>
      <c r="AC7" s="10">
        <f t="shared" si="6"/>
        <v>2.0007324850758425E-2</v>
      </c>
      <c r="AD7" s="10">
        <f t="shared" si="7"/>
        <v>3.8581567331981846E-3</v>
      </c>
      <c r="AE7" s="10">
        <f t="shared" si="8"/>
        <v>4.642785184304059E-3</v>
      </c>
      <c r="AF7" s="58">
        <f t="shared" si="9"/>
        <v>4.642785184304059E-3</v>
      </c>
      <c r="AG7" s="52">
        <f t="shared" si="10"/>
        <v>9.1236205183262333E-3</v>
      </c>
      <c r="AH7" s="10">
        <f t="shared" si="11"/>
        <v>6.1978762730557614E-2</v>
      </c>
      <c r="AI7" s="10">
        <f t="shared" si="12"/>
        <v>1.1463650827523938E-4</v>
      </c>
      <c r="AJ7" s="10">
        <f t="shared" si="13"/>
        <v>6.6069601608230661E-5</v>
      </c>
      <c r="AK7" s="10">
        <f t="shared" si="14"/>
        <v>6.1978762730557614E-2</v>
      </c>
      <c r="AL7" s="10">
        <f t="shared" si="15"/>
        <v>1.1321684398556606E-2</v>
      </c>
      <c r="AM7" s="10">
        <f t="shared" si="16"/>
        <v>1.1321684398556606E-2</v>
      </c>
      <c r="AN7" s="10">
        <f t="shared" si="17"/>
        <v>4.7044959845307256E-3</v>
      </c>
      <c r="AO7" s="10">
        <f t="shared" si="18"/>
        <v>6.4014841547673047E-3</v>
      </c>
      <c r="AP7" s="58">
        <f t="shared" si="19"/>
        <v>6.4014841547673047E-3</v>
      </c>
      <c r="AQ7" s="63">
        <f t="shared" si="20"/>
        <v>8.4000000000000005E-2</v>
      </c>
      <c r="AR7" s="10">
        <f t="shared" si="21"/>
        <v>8.6999999999999994E-2</v>
      </c>
      <c r="AS7" s="10">
        <f t="shared" si="22"/>
        <v>8.5999999999999993E-2</v>
      </c>
      <c r="AT7" s="24">
        <f t="shared" si="23"/>
        <v>0.56000000000000005</v>
      </c>
      <c r="AU7" s="24">
        <f t="shared" si="24"/>
        <v>0.57999999999999996</v>
      </c>
      <c r="AV7" s="24">
        <f t="shared" si="25"/>
        <v>0.56999999999999995</v>
      </c>
      <c r="AW7" s="25">
        <f t="shared" si="26"/>
        <v>5</v>
      </c>
      <c r="AX7" s="25">
        <f t="shared" si="27"/>
        <v>5</v>
      </c>
      <c r="AY7" s="25">
        <f t="shared" si="28"/>
        <v>5</v>
      </c>
    </row>
    <row r="8" spans="1:51" ht="12" customHeight="1">
      <c r="A8" s="60">
        <v>14218</v>
      </c>
      <c r="B8" s="60" t="s">
        <v>160</v>
      </c>
      <c r="C8" s="65" t="str">
        <f>Rollover!A8</f>
        <v>Chevrolet</v>
      </c>
      <c r="D8" s="65" t="str">
        <f>Rollover!B8</f>
        <v>Bolt EV 5HB FWD</v>
      </c>
      <c r="E8" s="61" t="s">
        <v>161</v>
      </c>
      <c r="F8" s="177">
        <f>Rollover!C8</f>
        <v>2022</v>
      </c>
      <c r="G8" s="18">
        <v>132.364</v>
      </c>
      <c r="H8" s="19">
        <v>0.20300000000000001</v>
      </c>
      <c r="I8" s="19">
        <v>1035.4159999999999</v>
      </c>
      <c r="J8" s="19">
        <v>96.091999999999999</v>
      </c>
      <c r="K8" s="19">
        <v>24.652000000000001</v>
      </c>
      <c r="L8" s="19">
        <v>34.125</v>
      </c>
      <c r="M8" s="19">
        <v>743.35</v>
      </c>
      <c r="N8" s="20">
        <v>822.90899999999999</v>
      </c>
      <c r="O8" s="18">
        <v>285.08100000000002</v>
      </c>
      <c r="P8" s="19">
        <v>0.33800000000000002</v>
      </c>
      <c r="Q8" s="19">
        <v>683.55899999999997</v>
      </c>
      <c r="R8" s="19">
        <v>42.088999999999999</v>
      </c>
      <c r="S8" s="19">
        <v>20.247</v>
      </c>
      <c r="T8" s="19">
        <v>35.340000000000003</v>
      </c>
      <c r="U8" s="19">
        <v>198.58699999999999</v>
      </c>
      <c r="V8" s="51">
        <v>461.94900000000001</v>
      </c>
      <c r="W8" s="52">
        <f t="shared" si="0"/>
        <v>2.6151039438047918E-4</v>
      </c>
      <c r="X8" s="10">
        <f t="shared" si="1"/>
        <v>5.5870142688010473E-2</v>
      </c>
      <c r="Y8" s="10">
        <f t="shared" si="2"/>
        <v>2.0032142799773317E-4</v>
      </c>
      <c r="Z8" s="10">
        <f t="shared" si="3"/>
        <v>2.1524838188156231E-5</v>
      </c>
      <c r="AA8" s="10">
        <f t="shared" si="4"/>
        <v>5.5870142688010473E-2</v>
      </c>
      <c r="AB8" s="10">
        <f t="shared" si="5"/>
        <v>2.4826104662527868E-2</v>
      </c>
      <c r="AC8" s="10">
        <f t="shared" si="6"/>
        <v>2.4826104662527868E-2</v>
      </c>
      <c r="AD8" s="10">
        <f t="shared" si="7"/>
        <v>4.4576970526776869E-3</v>
      </c>
      <c r="AE8" s="10">
        <f t="shared" si="8"/>
        <v>4.644961170705811E-3</v>
      </c>
      <c r="AF8" s="58">
        <f t="shared" si="9"/>
        <v>4.644961170705811E-3</v>
      </c>
      <c r="AG8" s="52">
        <f t="shared" si="10"/>
        <v>7.510507108598719E-3</v>
      </c>
      <c r="AH8" s="10">
        <f t="shared" si="11"/>
        <v>7.1661312753782111E-2</v>
      </c>
      <c r="AI8" s="10">
        <f t="shared" si="12"/>
        <v>2.2913213126420651E-4</v>
      </c>
      <c r="AJ8" s="10">
        <f t="shared" si="13"/>
        <v>2.0412871849479154E-5</v>
      </c>
      <c r="AK8" s="10">
        <f t="shared" si="14"/>
        <v>7.1661312753782111E-2</v>
      </c>
      <c r="AL8" s="10">
        <f t="shared" si="15"/>
        <v>2.5233962599209684E-2</v>
      </c>
      <c r="AM8" s="10">
        <f t="shared" si="16"/>
        <v>2.5233962599209684E-2</v>
      </c>
      <c r="AN8" s="10">
        <f t="shared" si="17"/>
        <v>3.5276250441626366E-3</v>
      </c>
      <c r="AO8" s="10">
        <f t="shared" si="18"/>
        <v>4.3080993300945282E-3</v>
      </c>
      <c r="AP8" s="58">
        <f t="shared" si="19"/>
        <v>4.3080993300945282E-3</v>
      </c>
      <c r="AQ8" s="63">
        <f t="shared" si="20"/>
        <v>8.4000000000000005E-2</v>
      </c>
      <c r="AR8" s="10">
        <f t="shared" si="21"/>
        <v>0.106</v>
      </c>
      <c r="AS8" s="10">
        <f t="shared" si="22"/>
        <v>9.5000000000000001E-2</v>
      </c>
      <c r="AT8" s="24">
        <f t="shared" si="23"/>
        <v>0.56000000000000005</v>
      </c>
      <c r="AU8" s="24">
        <f t="shared" si="24"/>
        <v>0.71</v>
      </c>
      <c r="AV8" s="24">
        <f t="shared" si="25"/>
        <v>0.63</v>
      </c>
      <c r="AW8" s="25">
        <f t="shared" si="26"/>
        <v>5</v>
      </c>
      <c r="AX8" s="25">
        <f t="shared" si="27"/>
        <v>4</v>
      </c>
      <c r="AY8" s="25">
        <f t="shared" si="28"/>
        <v>5</v>
      </c>
    </row>
    <row r="9" spans="1:51" ht="12" customHeight="1">
      <c r="A9" s="60">
        <v>14085</v>
      </c>
      <c r="B9" s="60" t="s">
        <v>162</v>
      </c>
      <c r="C9" s="65" t="str">
        <f>Rollover!A9</f>
        <v>Chevrolet</v>
      </c>
      <c r="D9" s="65" t="str">
        <f>Rollover!B9</f>
        <v>Silverado 1500 PU/CC 2WD</v>
      </c>
      <c r="E9" s="61" t="s">
        <v>163</v>
      </c>
      <c r="F9" s="177">
        <f>Rollover!C9</f>
        <v>2022</v>
      </c>
      <c r="G9" s="18">
        <v>150.37100000000001</v>
      </c>
      <c r="H9" s="19">
        <v>0.26800000000000002</v>
      </c>
      <c r="I9" s="19">
        <v>1504.886</v>
      </c>
      <c r="J9" s="19">
        <v>174.08</v>
      </c>
      <c r="K9" s="19">
        <v>24.741</v>
      </c>
      <c r="L9" s="19">
        <v>39.588999999999999</v>
      </c>
      <c r="M9" s="19">
        <v>532.67399999999998</v>
      </c>
      <c r="N9" s="20">
        <v>735.02499999999998</v>
      </c>
      <c r="O9" s="18">
        <v>409.61</v>
      </c>
      <c r="P9" s="19">
        <v>0.38300000000000001</v>
      </c>
      <c r="Q9" s="19">
        <v>890.61400000000003</v>
      </c>
      <c r="R9" s="19">
        <v>336.88</v>
      </c>
      <c r="S9" s="19">
        <v>14.14</v>
      </c>
      <c r="T9" s="19">
        <v>43.658999999999999</v>
      </c>
      <c r="U9" s="19">
        <v>331.17</v>
      </c>
      <c r="V9" s="51">
        <v>243.40799999999999</v>
      </c>
      <c r="W9" s="52">
        <f t="shared" si="0"/>
        <v>4.8981702072832956E-4</v>
      </c>
      <c r="X9" s="10">
        <f t="shared" si="1"/>
        <v>6.3016941414929931E-2</v>
      </c>
      <c r="Y9" s="10">
        <f t="shared" si="2"/>
        <v>6.1063779935480829E-4</v>
      </c>
      <c r="Z9" s="10">
        <f t="shared" si="3"/>
        <v>2.5904706048719908E-5</v>
      </c>
      <c r="AA9" s="10">
        <f t="shared" si="4"/>
        <v>6.3016941414929931E-2</v>
      </c>
      <c r="AB9" s="10">
        <f t="shared" si="5"/>
        <v>2.510447689814144E-2</v>
      </c>
      <c r="AC9" s="10">
        <f t="shared" si="6"/>
        <v>2.510447689814144E-2</v>
      </c>
      <c r="AD9" s="10">
        <f t="shared" si="7"/>
        <v>3.9973328285971225E-3</v>
      </c>
      <c r="AE9" s="10">
        <f t="shared" si="8"/>
        <v>4.4385415725745779E-3</v>
      </c>
      <c r="AF9" s="58">
        <f t="shared" si="9"/>
        <v>4.4385415725745779E-3</v>
      </c>
      <c r="AG9" s="52">
        <f t="shared" si="10"/>
        <v>2.6063368396777354E-2</v>
      </c>
      <c r="AH9" s="10">
        <f t="shared" si="11"/>
        <v>7.7783577843529988E-2</v>
      </c>
      <c r="AI9" s="10">
        <f t="shared" si="12"/>
        <v>5.0000855304469221E-4</v>
      </c>
      <c r="AJ9" s="10">
        <f t="shared" si="13"/>
        <v>6.2021812285376719E-5</v>
      </c>
      <c r="AK9" s="10">
        <f t="shared" si="14"/>
        <v>7.7783577843529988E-2</v>
      </c>
      <c r="AL9" s="10">
        <f t="shared" si="15"/>
        <v>8.9634102108921334E-3</v>
      </c>
      <c r="AM9" s="10">
        <f t="shared" si="16"/>
        <v>8.9634102108921334E-3</v>
      </c>
      <c r="AN9" s="10">
        <f t="shared" si="17"/>
        <v>3.9011249015652246E-3</v>
      </c>
      <c r="AO9" s="10">
        <f t="shared" si="18"/>
        <v>3.6497235832415207E-3</v>
      </c>
      <c r="AP9" s="58">
        <f t="shared" si="19"/>
        <v>3.9011249015652246E-3</v>
      </c>
      <c r="AQ9" s="63">
        <f t="shared" si="20"/>
        <v>9.0999999999999998E-2</v>
      </c>
      <c r="AR9" s="10">
        <f t="shared" si="21"/>
        <v>0.113</v>
      </c>
      <c r="AS9" s="10">
        <f t="shared" si="22"/>
        <v>0.10199999999999999</v>
      </c>
      <c r="AT9" s="24">
        <f t="shared" si="23"/>
        <v>0.61</v>
      </c>
      <c r="AU9" s="24">
        <f t="shared" si="24"/>
        <v>0.75</v>
      </c>
      <c r="AV9" s="24">
        <f t="shared" si="25"/>
        <v>0.68</v>
      </c>
      <c r="AW9" s="25">
        <f t="shared" si="26"/>
        <v>5</v>
      </c>
      <c r="AX9" s="25">
        <f t="shared" si="27"/>
        <v>4</v>
      </c>
      <c r="AY9" s="25">
        <f t="shared" si="28"/>
        <v>4</v>
      </c>
    </row>
    <row r="10" spans="1:51" ht="12" customHeight="1">
      <c r="A10" s="60">
        <v>14085</v>
      </c>
      <c r="B10" s="60" t="s">
        <v>162</v>
      </c>
      <c r="C10" s="65" t="str">
        <f>Rollover!A10</f>
        <v>Chevrolet</v>
      </c>
      <c r="D10" s="65" t="str">
        <f>Rollover!B10</f>
        <v>Silverado 1500 PU/CC 4WD</v>
      </c>
      <c r="E10" s="61" t="s">
        <v>163</v>
      </c>
      <c r="F10" s="177">
        <f>Rollover!C10</f>
        <v>2022</v>
      </c>
      <c r="G10" s="18">
        <v>150.37100000000001</v>
      </c>
      <c r="H10" s="19">
        <v>0.26800000000000002</v>
      </c>
      <c r="I10" s="19">
        <v>1504.886</v>
      </c>
      <c r="J10" s="19">
        <v>174.08</v>
      </c>
      <c r="K10" s="19">
        <v>24.741</v>
      </c>
      <c r="L10" s="19">
        <v>39.588999999999999</v>
      </c>
      <c r="M10" s="19">
        <v>532.67399999999998</v>
      </c>
      <c r="N10" s="20">
        <v>735.02499999999998</v>
      </c>
      <c r="O10" s="18">
        <v>409.61</v>
      </c>
      <c r="P10" s="19">
        <v>0.38300000000000001</v>
      </c>
      <c r="Q10" s="19">
        <v>890.61400000000003</v>
      </c>
      <c r="R10" s="19">
        <v>336.88</v>
      </c>
      <c r="S10" s="19">
        <v>14.14</v>
      </c>
      <c r="T10" s="19">
        <v>43.658999999999999</v>
      </c>
      <c r="U10" s="19">
        <v>331.17</v>
      </c>
      <c r="V10" s="51">
        <v>243.40799999999999</v>
      </c>
      <c r="W10" s="52">
        <f t="shared" si="0"/>
        <v>4.8981702072832956E-4</v>
      </c>
      <c r="X10" s="10">
        <f t="shared" si="1"/>
        <v>6.3016941414929931E-2</v>
      </c>
      <c r="Y10" s="10">
        <f t="shared" si="2"/>
        <v>6.1063779935480829E-4</v>
      </c>
      <c r="Z10" s="10">
        <f t="shared" si="3"/>
        <v>2.5904706048719908E-5</v>
      </c>
      <c r="AA10" s="10">
        <f t="shared" si="4"/>
        <v>6.3016941414929931E-2</v>
      </c>
      <c r="AB10" s="10">
        <f t="shared" si="5"/>
        <v>2.510447689814144E-2</v>
      </c>
      <c r="AC10" s="10">
        <f t="shared" si="6"/>
        <v>2.510447689814144E-2</v>
      </c>
      <c r="AD10" s="10">
        <f t="shared" si="7"/>
        <v>3.9973328285971225E-3</v>
      </c>
      <c r="AE10" s="10">
        <f t="shared" si="8"/>
        <v>4.4385415725745779E-3</v>
      </c>
      <c r="AF10" s="58">
        <f t="shared" si="9"/>
        <v>4.4385415725745779E-3</v>
      </c>
      <c r="AG10" s="52">
        <f t="shared" si="10"/>
        <v>2.6063368396777354E-2</v>
      </c>
      <c r="AH10" s="10">
        <f t="shared" si="11"/>
        <v>7.7783577843529988E-2</v>
      </c>
      <c r="AI10" s="10">
        <f t="shared" si="12"/>
        <v>5.0000855304469221E-4</v>
      </c>
      <c r="AJ10" s="10">
        <f t="shared" si="13"/>
        <v>6.2021812285376719E-5</v>
      </c>
      <c r="AK10" s="10">
        <f t="shared" si="14"/>
        <v>7.7783577843529988E-2</v>
      </c>
      <c r="AL10" s="10">
        <f t="shared" si="15"/>
        <v>8.9634102108921334E-3</v>
      </c>
      <c r="AM10" s="10">
        <f t="shared" si="16"/>
        <v>8.9634102108921334E-3</v>
      </c>
      <c r="AN10" s="10">
        <f t="shared" si="17"/>
        <v>3.9011249015652246E-3</v>
      </c>
      <c r="AO10" s="10">
        <f t="shared" si="18"/>
        <v>3.6497235832415207E-3</v>
      </c>
      <c r="AP10" s="58">
        <f t="shared" si="19"/>
        <v>3.9011249015652246E-3</v>
      </c>
      <c r="AQ10" s="63">
        <f t="shared" si="20"/>
        <v>9.0999999999999998E-2</v>
      </c>
      <c r="AR10" s="10">
        <f t="shared" si="21"/>
        <v>0.113</v>
      </c>
      <c r="AS10" s="10">
        <f t="shared" si="22"/>
        <v>0.10199999999999999</v>
      </c>
      <c r="AT10" s="24">
        <f t="shared" si="23"/>
        <v>0.61</v>
      </c>
      <c r="AU10" s="24">
        <f t="shared" si="24"/>
        <v>0.75</v>
      </c>
      <c r="AV10" s="24">
        <f t="shared" si="25"/>
        <v>0.68</v>
      </c>
      <c r="AW10" s="25">
        <f t="shared" si="26"/>
        <v>5</v>
      </c>
      <c r="AX10" s="25">
        <f t="shared" si="27"/>
        <v>4</v>
      </c>
      <c r="AY10" s="25">
        <f t="shared" si="28"/>
        <v>4</v>
      </c>
    </row>
    <row r="11" spans="1:51" ht="12" customHeight="1">
      <c r="A11" s="60">
        <v>14085</v>
      </c>
      <c r="B11" s="60" t="s">
        <v>162</v>
      </c>
      <c r="C11" s="65" t="str">
        <f>Rollover!A11</f>
        <v>GMC</v>
      </c>
      <c r="D11" s="65" t="str">
        <f>Rollover!B11</f>
        <v>Sierra 1500 PU/CC 2WD</v>
      </c>
      <c r="E11" s="61" t="s">
        <v>163</v>
      </c>
      <c r="F11" s="177">
        <f>Rollover!C11</f>
        <v>2022</v>
      </c>
      <c r="G11" s="18">
        <v>150.37100000000001</v>
      </c>
      <c r="H11" s="19">
        <v>0.26800000000000002</v>
      </c>
      <c r="I11" s="19">
        <v>1504.886</v>
      </c>
      <c r="J11" s="19">
        <v>174.08</v>
      </c>
      <c r="K11" s="19">
        <v>24.741</v>
      </c>
      <c r="L11" s="19">
        <v>39.588999999999999</v>
      </c>
      <c r="M11" s="19">
        <v>532.67399999999998</v>
      </c>
      <c r="N11" s="20">
        <v>735.02499999999998</v>
      </c>
      <c r="O11" s="18">
        <v>409.61</v>
      </c>
      <c r="P11" s="19">
        <v>0.38300000000000001</v>
      </c>
      <c r="Q11" s="19">
        <v>890.61400000000003</v>
      </c>
      <c r="R11" s="19">
        <v>336.88</v>
      </c>
      <c r="S11" s="19">
        <v>14.14</v>
      </c>
      <c r="T11" s="19">
        <v>43.658999999999999</v>
      </c>
      <c r="U11" s="19">
        <v>331.17</v>
      </c>
      <c r="V11" s="51">
        <v>243.40799999999999</v>
      </c>
      <c r="W11" s="52">
        <f t="shared" si="0"/>
        <v>4.8981702072832956E-4</v>
      </c>
      <c r="X11" s="10">
        <f t="shared" si="1"/>
        <v>6.3016941414929931E-2</v>
      </c>
      <c r="Y11" s="10">
        <f t="shared" si="2"/>
        <v>6.1063779935480829E-4</v>
      </c>
      <c r="Z11" s="10">
        <f t="shared" si="3"/>
        <v>2.5904706048719908E-5</v>
      </c>
      <c r="AA11" s="10">
        <f t="shared" si="4"/>
        <v>6.3016941414929931E-2</v>
      </c>
      <c r="AB11" s="10">
        <f t="shared" si="5"/>
        <v>2.510447689814144E-2</v>
      </c>
      <c r="AC11" s="10">
        <f t="shared" si="6"/>
        <v>2.510447689814144E-2</v>
      </c>
      <c r="AD11" s="10">
        <f t="shared" si="7"/>
        <v>3.9973328285971225E-3</v>
      </c>
      <c r="AE11" s="10">
        <f t="shared" si="8"/>
        <v>4.4385415725745779E-3</v>
      </c>
      <c r="AF11" s="58">
        <f t="shared" si="9"/>
        <v>4.4385415725745779E-3</v>
      </c>
      <c r="AG11" s="52">
        <f t="shared" si="10"/>
        <v>2.6063368396777354E-2</v>
      </c>
      <c r="AH11" s="10">
        <f t="shared" si="11"/>
        <v>7.7783577843529988E-2</v>
      </c>
      <c r="AI11" s="10">
        <f t="shared" si="12"/>
        <v>5.0000855304469221E-4</v>
      </c>
      <c r="AJ11" s="10">
        <f t="shared" si="13"/>
        <v>6.2021812285376719E-5</v>
      </c>
      <c r="AK11" s="10">
        <f t="shared" si="14"/>
        <v>7.7783577843529988E-2</v>
      </c>
      <c r="AL11" s="10">
        <f t="shared" si="15"/>
        <v>8.9634102108921334E-3</v>
      </c>
      <c r="AM11" s="10">
        <f t="shared" si="16"/>
        <v>8.9634102108921334E-3</v>
      </c>
      <c r="AN11" s="10">
        <f t="shared" si="17"/>
        <v>3.9011249015652246E-3</v>
      </c>
      <c r="AO11" s="10">
        <f t="shared" si="18"/>
        <v>3.6497235832415207E-3</v>
      </c>
      <c r="AP11" s="58">
        <f t="shared" si="19"/>
        <v>3.9011249015652246E-3</v>
      </c>
      <c r="AQ11" s="63">
        <f t="shared" si="20"/>
        <v>9.0999999999999998E-2</v>
      </c>
      <c r="AR11" s="10">
        <f t="shared" si="21"/>
        <v>0.113</v>
      </c>
      <c r="AS11" s="10">
        <f t="shared" si="22"/>
        <v>0.10199999999999999</v>
      </c>
      <c r="AT11" s="24">
        <f t="shared" si="23"/>
        <v>0.61</v>
      </c>
      <c r="AU11" s="24">
        <f t="shared" si="24"/>
        <v>0.75</v>
      </c>
      <c r="AV11" s="24">
        <f t="shared" si="25"/>
        <v>0.68</v>
      </c>
      <c r="AW11" s="25">
        <f t="shared" si="26"/>
        <v>5</v>
      </c>
      <c r="AX11" s="25">
        <f t="shared" si="27"/>
        <v>4</v>
      </c>
      <c r="AY11" s="25">
        <f t="shared" si="28"/>
        <v>4</v>
      </c>
    </row>
    <row r="12" spans="1:51" ht="12" customHeight="1">
      <c r="A12" s="60">
        <v>14085</v>
      </c>
      <c r="B12" s="60" t="s">
        <v>162</v>
      </c>
      <c r="C12" s="65" t="str">
        <f>Rollover!A12</f>
        <v>GMC</v>
      </c>
      <c r="D12" s="65" t="str">
        <f>Rollover!B12</f>
        <v>Sierra 1500 PU/CC 4WD</v>
      </c>
      <c r="E12" s="61" t="s">
        <v>163</v>
      </c>
      <c r="F12" s="177">
        <f>Rollover!C12</f>
        <v>2022</v>
      </c>
      <c r="G12" s="18">
        <v>150.37100000000001</v>
      </c>
      <c r="H12" s="19">
        <v>0.26800000000000002</v>
      </c>
      <c r="I12" s="19">
        <v>1504.886</v>
      </c>
      <c r="J12" s="19">
        <v>174.08</v>
      </c>
      <c r="K12" s="19">
        <v>24.741</v>
      </c>
      <c r="L12" s="19">
        <v>39.588999999999999</v>
      </c>
      <c r="M12" s="19">
        <v>532.67399999999998</v>
      </c>
      <c r="N12" s="20">
        <v>735.02499999999998</v>
      </c>
      <c r="O12" s="18">
        <v>409.61</v>
      </c>
      <c r="P12" s="19">
        <v>0.38300000000000001</v>
      </c>
      <c r="Q12" s="19">
        <v>890.61400000000003</v>
      </c>
      <c r="R12" s="19">
        <v>336.88</v>
      </c>
      <c r="S12" s="19">
        <v>14.14</v>
      </c>
      <c r="T12" s="19">
        <v>43.658999999999999</v>
      </c>
      <c r="U12" s="19">
        <v>331.17</v>
      </c>
      <c r="V12" s="51">
        <v>243.40799999999999</v>
      </c>
      <c r="W12" s="52">
        <f t="shared" si="0"/>
        <v>4.8981702072832956E-4</v>
      </c>
      <c r="X12" s="10">
        <f t="shared" si="1"/>
        <v>6.3016941414929931E-2</v>
      </c>
      <c r="Y12" s="10">
        <f t="shared" si="2"/>
        <v>6.1063779935480829E-4</v>
      </c>
      <c r="Z12" s="10">
        <f t="shared" si="3"/>
        <v>2.5904706048719908E-5</v>
      </c>
      <c r="AA12" s="10">
        <f t="shared" si="4"/>
        <v>6.3016941414929931E-2</v>
      </c>
      <c r="AB12" s="10">
        <f t="shared" si="5"/>
        <v>2.510447689814144E-2</v>
      </c>
      <c r="AC12" s="10">
        <f t="shared" si="6"/>
        <v>2.510447689814144E-2</v>
      </c>
      <c r="AD12" s="10">
        <f t="shared" si="7"/>
        <v>3.9973328285971225E-3</v>
      </c>
      <c r="AE12" s="10">
        <f t="shared" si="8"/>
        <v>4.4385415725745779E-3</v>
      </c>
      <c r="AF12" s="58">
        <f t="shared" si="9"/>
        <v>4.4385415725745779E-3</v>
      </c>
      <c r="AG12" s="52">
        <f t="shared" si="10"/>
        <v>2.6063368396777354E-2</v>
      </c>
      <c r="AH12" s="10">
        <f t="shared" si="11"/>
        <v>7.7783577843529988E-2</v>
      </c>
      <c r="AI12" s="10">
        <f t="shared" si="12"/>
        <v>5.0000855304469221E-4</v>
      </c>
      <c r="AJ12" s="10">
        <f t="shared" si="13"/>
        <v>6.2021812285376719E-5</v>
      </c>
      <c r="AK12" s="10">
        <f t="shared" si="14"/>
        <v>7.7783577843529988E-2</v>
      </c>
      <c r="AL12" s="10">
        <f t="shared" si="15"/>
        <v>8.9634102108921334E-3</v>
      </c>
      <c r="AM12" s="10">
        <f t="shared" si="16"/>
        <v>8.9634102108921334E-3</v>
      </c>
      <c r="AN12" s="10">
        <f t="shared" si="17"/>
        <v>3.9011249015652246E-3</v>
      </c>
      <c r="AO12" s="10">
        <f t="shared" si="18"/>
        <v>3.6497235832415207E-3</v>
      </c>
      <c r="AP12" s="58">
        <f t="shared" si="19"/>
        <v>3.9011249015652246E-3</v>
      </c>
      <c r="AQ12" s="63">
        <f t="shared" si="20"/>
        <v>9.0999999999999998E-2</v>
      </c>
      <c r="AR12" s="10">
        <f t="shared" si="21"/>
        <v>0.113</v>
      </c>
      <c r="AS12" s="10">
        <f t="shared" si="22"/>
        <v>0.10199999999999999</v>
      </c>
      <c r="AT12" s="24">
        <f t="shared" si="23"/>
        <v>0.61</v>
      </c>
      <c r="AU12" s="24">
        <f t="shared" si="24"/>
        <v>0.75</v>
      </c>
      <c r="AV12" s="24">
        <f t="shared" si="25"/>
        <v>0.68</v>
      </c>
      <c r="AW12" s="25">
        <f t="shared" si="26"/>
        <v>5</v>
      </c>
      <c r="AX12" s="25">
        <f t="shared" si="27"/>
        <v>4</v>
      </c>
      <c r="AY12" s="25">
        <f t="shared" si="28"/>
        <v>4</v>
      </c>
    </row>
    <row r="13" spans="1:51" ht="12" customHeight="1">
      <c r="A13" s="60">
        <v>14243</v>
      </c>
      <c r="B13" s="60" t="s">
        <v>164</v>
      </c>
      <c r="C13" s="65" t="str">
        <f>Rollover!A13</f>
        <v>Chevrolet</v>
      </c>
      <c r="D13" s="65" t="str">
        <f>Rollover!B13</f>
        <v>Traverse SUV AWD</v>
      </c>
      <c r="E13" s="61" t="s">
        <v>163</v>
      </c>
      <c r="F13" s="177">
        <f>Rollover!C13</f>
        <v>2022</v>
      </c>
      <c r="G13" s="18">
        <v>170.38499999999999</v>
      </c>
      <c r="H13" s="19">
        <v>0.20200000000000001</v>
      </c>
      <c r="I13" s="19">
        <v>961.98599999999999</v>
      </c>
      <c r="J13" s="19">
        <v>370.57100000000003</v>
      </c>
      <c r="K13" s="19">
        <v>19.870999999999999</v>
      </c>
      <c r="L13" s="19">
        <v>39.094000000000001</v>
      </c>
      <c r="M13" s="19">
        <v>308.54399999999998</v>
      </c>
      <c r="N13" s="20">
        <v>213.239</v>
      </c>
      <c r="O13" s="18">
        <v>306.678</v>
      </c>
      <c r="P13" s="19">
        <v>0.34599999999999997</v>
      </c>
      <c r="Q13" s="19">
        <v>426.78100000000001</v>
      </c>
      <c r="R13" s="19">
        <v>492.98</v>
      </c>
      <c r="S13" s="19">
        <v>15.553000000000001</v>
      </c>
      <c r="T13" s="19">
        <v>36.506</v>
      </c>
      <c r="U13" s="19">
        <v>1232.145</v>
      </c>
      <c r="V13" s="51">
        <v>1038.4880000000001</v>
      </c>
      <c r="W13" s="52">
        <f t="shared" si="0"/>
        <v>8.8165323582595505E-4</v>
      </c>
      <c r="X13" s="10">
        <f t="shared" si="1"/>
        <v>5.5766381869094911E-2</v>
      </c>
      <c r="Y13" s="10">
        <f t="shared" si="2"/>
        <v>1.6826818158924213E-4</v>
      </c>
      <c r="Z13" s="10">
        <f t="shared" si="3"/>
        <v>4.1308792605237301E-5</v>
      </c>
      <c r="AA13" s="10">
        <f t="shared" si="4"/>
        <v>5.5766381869094911E-2</v>
      </c>
      <c r="AB13" s="10">
        <f t="shared" si="5"/>
        <v>1.3106819501135738E-2</v>
      </c>
      <c r="AC13" s="10">
        <f t="shared" si="6"/>
        <v>1.3106819501135738E-2</v>
      </c>
      <c r="AD13" s="10">
        <f t="shared" si="7"/>
        <v>3.5594602960376922E-3</v>
      </c>
      <c r="AE13" s="10">
        <f t="shared" si="8"/>
        <v>3.3880700106114193E-3</v>
      </c>
      <c r="AF13" s="58">
        <f t="shared" si="9"/>
        <v>3.5594602960376922E-3</v>
      </c>
      <c r="AG13" s="52">
        <f t="shared" si="10"/>
        <v>9.8191683157712525E-3</v>
      </c>
      <c r="AH13" s="10">
        <f t="shared" si="11"/>
        <v>7.2716218495709778E-2</v>
      </c>
      <c r="AI13" s="10">
        <f t="shared" si="12"/>
        <v>8.7041749462292135E-5</v>
      </c>
      <c r="AJ13" s="10">
        <f t="shared" si="13"/>
        <v>1.1171303979349053E-4</v>
      </c>
      <c r="AK13" s="10">
        <f t="shared" si="14"/>
        <v>7.2716218495709778E-2</v>
      </c>
      <c r="AL13" s="10">
        <f t="shared" si="15"/>
        <v>1.1619941796661334E-2</v>
      </c>
      <c r="AM13" s="10">
        <f t="shared" si="16"/>
        <v>1.1619941796661334E-2</v>
      </c>
      <c r="AN13" s="10">
        <f t="shared" si="17"/>
        <v>7.7204767749097505E-3</v>
      </c>
      <c r="AO13" s="10">
        <f t="shared" si="18"/>
        <v>6.6684569791207798E-3</v>
      </c>
      <c r="AP13" s="58">
        <f t="shared" si="19"/>
        <v>7.7204767749097505E-3</v>
      </c>
      <c r="AQ13" s="63">
        <f t="shared" si="20"/>
        <v>7.1999999999999995E-2</v>
      </c>
      <c r="AR13" s="10">
        <f t="shared" si="21"/>
        <v>9.9000000000000005E-2</v>
      </c>
      <c r="AS13" s="10">
        <f t="shared" si="22"/>
        <v>8.5999999999999993E-2</v>
      </c>
      <c r="AT13" s="24">
        <f t="shared" si="23"/>
        <v>0.48</v>
      </c>
      <c r="AU13" s="24">
        <f t="shared" si="24"/>
        <v>0.66</v>
      </c>
      <c r="AV13" s="24">
        <f t="shared" si="25"/>
        <v>0.56999999999999995</v>
      </c>
      <c r="AW13" s="25">
        <f t="shared" si="26"/>
        <v>5</v>
      </c>
      <c r="AX13" s="25">
        <f t="shared" si="27"/>
        <v>5</v>
      </c>
      <c r="AY13" s="25">
        <f t="shared" si="28"/>
        <v>5</v>
      </c>
    </row>
    <row r="14" spans="1:51" ht="12" customHeight="1">
      <c r="A14" s="60">
        <v>14243</v>
      </c>
      <c r="B14" s="60" t="s">
        <v>164</v>
      </c>
      <c r="C14" s="65" t="str">
        <f>Rollover!A14</f>
        <v>Chevrolet</v>
      </c>
      <c r="D14" s="65" t="str">
        <f>Rollover!B14</f>
        <v>Traverse SUV FWD</v>
      </c>
      <c r="E14" s="61" t="s">
        <v>163</v>
      </c>
      <c r="F14" s="177">
        <f>Rollover!C14</f>
        <v>2022</v>
      </c>
      <c r="G14" s="18">
        <v>170.38499999999999</v>
      </c>
      <c r="H14" s="19">
        <v>0.20200000000000001</v>
      </c>
      <c r="I14" s="19">
        <v>961.98599999999999</v>
      </c>
      <c r="J14" s="19">
        <v>370.57100000000003</v>
      </c>
      <c r="K14" s="19">
        <v>19.870999999999999</v>
      </c>
      <c r="L14" s="19">
        <v>39.094000000000001</v>
      </c>
      <c r="M14" s="19">
        <v>308.54399999999998</v>
      </c>
      <c r="N14" s="20">
        <v>213.239</v>
      </c>
      <c r="O14" s="18">
        <v>306.678</v>
      </c>
      <c r="P14" s="19">
        <v>0.34599999999999997</v>
      </c>
      <c r="Q14" s="19">
        <v>426.78100000000001</v>
      </c>
      <c r="R14" s="19">
        <v>492.98</v>
      </c>
      <c r="S14" s="19">
        <v>15.553000000000001</v>
      </c>
      <c r="T14" s="19">
        <v>36.506</v>
      </c>
      <c r="U14" s="19">
        <v>1232.145</v>
      </c>
      <c r="V14" s="51">
        <v>1038.4880000000001</v>
      </c>
      <c r="W14" s="52">
        <f t="shared" si="0"/>
        <v>8.8165323582595505E-4</v>
      </c>
      <c r="X14" s="10">
        <f t="shared" si="1"/>
        <v>5.5766381869094911E-2</v>
      </c>
      <c r="Y14" s="10">
        <f t="shared" si="2"/>
        <v>1.6826818158924213E-4</v>
      </c>
      <c r="Z14" s="10">
        <f t="shared" si="3"/>
        <v>4.1308792605237301E-5</v>
      </c>
      <c r="AA14" s="10">
        <f t="shared" si="4"/>
        <v>5.5766381869094911E-2</v>
      </c>
      <c r="AB14" s="10">
        <f t="shared" si="5"/>
        <v>1.3106819501135738E-2</v>
      </c>
      <c r="AC14" s="10">
        <f t="shared" si="6"/>
        <v>1.3106819501135738E-2</v>
      </c>
      <c r="AD14" s="10">
        <f t="shared" si="7"/>
        <v>3.5594602960376922E-3</v>
      </c>
      <c r="AE14" s="10">
        <f t="shared" si="8"/>
        <v>3.3880700106114193E-3</v>
      </c>
      <c r="AF14" s="58">
        <f t="shared" si="9"/>
        <v>3.5594602960376922E-3</v>
      </c>
      <c r="AG14" s="52">
        <f t="shared" si="10"/>
        <v>9.8191683157712525E-3</v>
      </c>
      <c r="AH14" s="10">
        <f t="shared" si="11"/>
        <v>7.2716218495709778E-2</v>
      </c>
      <c r="AI14" s="10">
        <f t="shared" si="12"/>
        <v>8.7041749462292135E-5</v>
      </c>
      <c r="AJ14" s="10">
        <f t="shared" si="13"/>
        <v>1.1171303979349053E-4</v>
      </c>
      <c r="AK14" s="10">
        <f t="shared" si="14"/>
        <v>7.2716218495709778E-2</v>
      </c>
      <c r="AL14" s="10">
        <f t="shared" si="15"/>
        <v>1.1619941796661334E-2</v>
      </c>
      <c r="AM14" s="10">
        <f t="shared" si="16"/>
        <v>1.1619941796661334E-2</v>
      </c>
      <c r="AN14" s="10">
        <f t="shared" si="17"/>
        <v>7.7204767749097505E-3</v>
      </c>
      <c r="AO14" s="10">
        <f t="shared" si="18"/>
        <v>6.6684569791207798E-3</v>
      </c>
      <c r="AP14" s="58">
        <f t="shared" si="19"/>
        <v>7.7204767749097505E-3</v>
      </c>
      <c r="AQ14" s="63">
        <f t="shared" si="20"/>
        <v>7.1999999999999995E-2</v>
      </c>
      <c r="AR14" s="10">
        <f t="shared" si="21"/>
        <v>9.9000000000000005E-2</v>
      </c>
      <c r="AS14" s="10">
        <f t="shared" si="22"/>
        <v>8.5999999999999993E-2</v>
      </c>
      <c r="AT14" s="24">
        <f t="shared" si="23"/>
        <v>0.48</v>
      </c>
      <c r="AU14" s="24">
        <f t="shared" si="24"/>
        <v>0.66</v>
      </c>
      <c r="AV14" s="24">
        <f t="shared" si="25"/>
        <v>0.56999999999999995</v>
      </c>
      <c r="AW14" s="25">
        <f t="shared" si="26"/>
        <v>5</v>
      </c>
      <c r="AX14" s="25">
        <f t="shared" si="27"/>
        <v>5</v>
      </c>
      <c r="AY14" s="25">
        <f t="shared" si="28"/>
        <v>5</v>
      </c>
    </row>
    <row r="15" spans="1:51" ht="12" customHeight="1">
      <c r="A15" s="60">
        <v>14243</v>
      </c>
      <c r="B15" s="60" t="s">
        <v>164</v>
      </c>
      <c r="C15" s="62" t="str">
        <f>Rollover!A15</f>
        <v>Buick</v>
      </c>
      <c r="D15" s="62" t="str">
        <f>Rollover!B15</f>
        <v>Enclave SUV AWD</v>
      </c>
      <c r="E15" s="61" t="s">
        <v>163</v>
      </c>
      <c r="F15" s="177">
        <f>Rollover!C15</f>
        <v>2022</v>
      </c>
      <c r="G15" s="18">
        <v>170.38499999999999</v>
      </c>
      <c r="H15" s="19">
        <v>0.20200000000000001</v>
      </c>
      <c r="I15" s="19">
        <v>961.98599999999999</v>
      </c>
      <c r="J15" s="19">
        <v>370.57100000000003</v>
      </c>
      <c r="K15" s="19">
        <v>19.870999999999999</v>
      </c>
      <c r="L15" s="19">
        <v>39.094000000000001</v>
      </c>
      <c r="M15" s="19">
        <v>308.54399999999998</v>
      </c>
      <c r="N15" s="20">
        <v>213.239</v>
      </c>
      <c r="O15" s="18">
        <v>306.678</v>
      </c>
      <c r="P15" s="19">
        <v>0.34599999999999997</v>
      </c>
      <c r="Q15" s="19">
        <v>426.78100000000001</v>
      </c>
      <c r="R15" s="19">
        <v>492.98</v>
      </c>
      <c r="S15" s="19">
        <v>15.553000000000001</v>
      </c>
      <c r="T15" s="19">
        <v>36.506</v>
      </c>
      <c r="U15" s="19">
        <v>1232.145</v>
      </c>
      <c r="V15" s="51">
        <v>1038.4880000000001</v>
      </c>
      <c r="W15" s="52">
        <f t="shared" si="0"/>
        <v>8.8165323582595505E-4</v>
      </c>
      <c r="X15" s="10">
        <f t="shared" si="1"/>
        <v>5.5766381869094911E-2</v>
      </c>
      <c r="Y15" s="10">
        <f t="shared" si="2"/>
        <v>1.6826818158924213E-4</v>
      </c>
      <c r="Z15" s="10">
        <f t="shared" si="3"/>
        <v>4.1308792605237301E-5</v>
      </c>
      <c r="AA15" s="10">
        <f t="shared" si="4"/>
        <v>5.5766381869094911E-2</v>
      </c>
      <c r="AB15" s="10">
        <f t="shared" si="5"/>
        <v>1.3106819501135738E-2</v>
      </c>
      <c r="AC15" s="10">
        <f t="shared" si="6"/>
        <v>1.3106819501135738E-2</v>
      </c>
      <c r="AD15" s="10">
        <f t="shared" si="7"/>
        <v>3.5594602960376922E-3</v>
      </c>
      <c r="AE15" s="10">
        <f t="shared" si="8"/>
        <v>3.3880700106114193E-3</v>
      </c>
      <c r="AF15" s="58">
        <f t="shared" si="9"/>
        <v>3.5594602960376922E-3</v>
      </c>
      <c r="AG15" s="52">
        <f t="shared" si="10"/>
        <v>9.8191683157712525E-3</v>
      </c>
      <c r="AH15" s="10">
        <f t="shared" si="11"/>
        <v>7.2716218495709778E-2</v>
      </c>
      <c r="AI15" s="10">
        <f t="shared" si="12"/>
        <v>8.7041749462292135E-5</v>
      </c>
      <c r="AJ15" s="10">
        <f t="shared" si="13"/>
        <v>1.1171303979349053E-4</v>
      </c>
      <c r="AK15" s="10">
        <f t="shared" si="14"/>
        <v>7.2716218495709778E-2</v>
      </c>
      <c r="AL15" s="10">
        <f t="shared" si="15"/>
        <v>1.1619941796661334E-2</v>
      </c>
      <c r="AM15" s="10">
        <f t="shared" si="16"/>
        <v>1.1619941796661334E-2</v>
      </c>
      <c r="AN15" s="10">
        <f t="shared" si="17"/>
        <v>7.7204767749097505E-3</v>
      </c>
      <c r="AO15" s="10">
        <f t="shared" si="18"/>
        <v>6.6684569791207798E-3</v>
      </c>
      <c r="AP15" s="58">
        <f t="shared" si="19"/>
        <v>7.7204767749097505E-3</v>
      </c>
      <c r="AQ15" s="63">
        <f t="shared" si="20"/>
        <v>7.1999999999999995E-2</v>
      </c>
      <c r="AR15" s="10">
        <f t="shared" si="21"/>
        <v>9.9000000000000005E-2</v>
      </c>
      <c r="AS15" s="10">
        <f t="shared" si="22"/>
        <v>8.5999999999999993E-2</v>
      </c>
      <c r="AT15" s="24">
        <f t="shared" si="23"/>
        <v>0.48</v>
      </c>
      <c r="AU15" s="24">
        <f t="shared" si="24"/>
        <v>0.66</v>
      </c>
      <c r="AV15" s="24">
        <f t="shared" si="25"/>
        <v>0.56999999999999995</v>
      </c>
      <c r="AW15" s="25">
        <f t="shared" si="26"/>
        <v>5</v>
      </c>
      <c r="AX15" s="25">
        <f t="shared" si="27"/>
        <v>5</v>
      </c>
      <c r="AY15" s="25">
        <f t="shared" si="28"/>
        <v>5</v>
      </c>
    </row>
    <row r="16" spans="1:51" ht="12" customHeight="1">
      <c r="A16" s="60">
        <v>14243</v>
      </c>
      <c r="B16" s="60" t="s">
        <v>164</v>
      </c>
      <c r="C16" s="62" t="str">
        <f>Rollover!A16</f>
        <v>Buick</v>
      </c>
      <c r="D16" s="62" t="str">
        <f>Rollover!B16</f>
        <v>Enclave SUV FWD</v>
      </c>
      <c r="E16" s="61" t="s">
        <v>163</v>
      </c>
      <c r="F16" s="177">
        <f>Rollover!C16</f>
        <v>2022</v>
      </c>
      <c r="G16" s="18">
        <v>170.38499999999999</v>
      </c>
      <c r="H16" s="19">
        <v>0.20200000000000001</v>
      </c>
      <c r="I16" s="19">
        <v>961.98599999999999</v>
      </c>
      <c r="J16" s="19">
        <v>370.57100000000003</v>
      </c>
      <c r="K16" s="19">
        <v>19.870999999999999</v>
      </c>
      <c r="L16" s="19">
        <v>39.094000000000001</v>
      </c>
      <c r="M16" s="19">
        <v>308.54399999999998</v>
      </c>
      <c r="N16" s="20">
        <v>213.239</v>
      </c>
      <c r="O16" s="18">
        <v>306.678</v>
      </c>
      <c r="P16" s="19">
        <v>0.34599999999999997</v>
      </c>
      <c r="Q16" s="19">
        <v>426.78100000000001</v>
      </c>
      <c r="R16" s="19">
        <v>492.98</v>
      </c>
      <c r="S16" s="19">
        <v>15.553000000000001</v>
      </c>
      <c r="T16" s="19">
        <v>36.506</v>
      </c>
      <c r="U16" s="19">
        <v>1232.145</v>
      </c>
      <c r="V16" s="51">
        <v>1038.4880000000001</v>
      </c>
      <c r="W16" s="52">
        <f t="shared" si="0"/>
        <v>8.8165323582595505E-4</v>
      </c>
      <c r="X16" s="10">
        <f t="shared" si="1"/>
        <v>5.5766381869094911E-2</v>
      </c>
      <c r="Y16" s="10">
        <f t="shared" si="2"/>
        <v>1.6826818158924213E-4</v>
      </c>
      <c r="Z16" s="10">
        <f t="shared" si="3"/>
        <v>4.1308792605237301E-5</v>
      </c>
      <c r="AA16" s="10">
        <f t="shared" si="4"/>
        <v>5.5766381869094911E-2</v>
      </c>
      <c r="AB16" s="10">
        <f t="shared" si="5"/>
        <v>1.3106819501135738E-2</v>
      </c>
      <c r="AC16" s="10">
        <f t="shared" si="6"/>
        <v>1.3106819501135738E-2</v>
      </c>
      <c r="AD16" s="10">
        <f t="shared" si="7"/>
        <v>3.5594602960376922E-3</v>
      </c>
      <c r="AE16" s="10">
        <f t="shared" si="8"/>
        <v>3.3880700106114193E-3</v>
      </c>
      <c r="AF16" s="58">
        <f t="shared" si="9"/>
        <v>3.5594602960376922E-3</v>
      </c>
      <c r="AG16" s="52">
        <f t="shared" si="10"/>
        <v>9.8191683157712525E-3</v>
      </c>
      <c r="AH16" s="10">
        <f t="shared" si="11"/>
        <v>7.2716218495709778E-2</v>
      </c>
      <c r="AI16" s="10">
        <f t="shared" si="12"/>
        <v>8.7041749462292135E-5</v>
      </c>
      <c r="AJ16" s="10">
        <f t="shared" si="13"/>
        <v>1.1171303979349053E-4</v>
      </c>
      <c r="AK16" s="10">
        <f t="shared" si="14"/>
        <v>7.2716218495709778E-2</v>
      </c>
      <c r="AL16" s="10">
        <f t="shared" si="15"/>
        <v>1.1619941796661334E-2</v>
      </c>
      <c r="AM16" s="10">
        <f t="shared" si="16"/>
        <v>1.1619941796661334E-2</v>
      </c>
      <c r="AN16" s="10">
        <f t="shared" si="17"/>
        <v>7.7204767749097505E-3</v>
      </c>
      <c r="AO16" s="10">
        <f t="shared" si="18"/>
        <v>6.6684569791207798E-3</v>
      </c>
      <c r="AP16" s="58">
        <f t="shared" si="19"/>
        <v>7.7204767749097505E-3</v>
      </c>
      <c r="AQ16" s="63">
        <f t="shared" si="20"/>
        <v>7.1999999999999995E-2</v>
      </c>
      <c r="AR16" s="10">
        <f t="shared" si="21"/>
        <v>9.9000000000000005E-2</v>
      </c>
      <c r="AS16" s="10">
        <f t="shared" si="22"/>
        <v>8.5999999999999993E-2</v>
      </c>
      <c r="AT16" s="24">
        <f t="shared" si="23"/>
        <v>0.48</v>
      </c>
      <c r="AU16" s="24">
        <f t="shared" si="24"/>
        <v>0.66</v>
      </c>
      <c r="AV16" s="24">
        <f t="shared" si="25"/>
        <v>0.56999999999999995</v>
      </c>
      <c r="AW16" s="25">
        <f t="shared" si="26"/>
        <v>5</v>
      </c>
      <c r="AX16" s="25">
        <f t="shared" si="27"/>
        <v>5</v>
      </c>
      <c r="AY16" s="25">
        <f t="shared" si="28"/>
        <v>5</v>
      </c>
    </row>
    <row r="17" spans="1:51" ht="12" customHeight="1">
      <c r="A17" s="42">
        <v>14065</v>
      </c>
      <c r="B17" s="42" t="s">
        <v>165</v>
      </c>
      <c r="C17" s="65" t="str">
        <f>Rollover!A17</f>
        <v>Ford</v>
      </c>
      <c r="D17" s="65" t="str">
        <f>Rollover!B17</f>
        <v>Bronco 4 DR SUV 4WD</v>
      </c>
      <c r="E17" s="61" t="s">
        <v>161</v>
      </c>
      <c r="F17" s="177">
        <f>Rollover!C17</f>
        <v>2022</v>
      </c>
      <c r="G17" s="27">
        <v>119.867</v>
      </c>
      <c r="H17" s="28">
        <v>0.28000000000000003</v>
      </c>
      <c r="I17" s="28">
        <v>1621.104</v>
      </c>
      <c r="J17" s="28">
        <v>57.765000000000001</v>
      </c>
      <c r="K17" s="28">
        <v>31.367999999999999</v>
      </c>
      <c r="L17" s="28">
        <v>37.302999999999997</v>
      </c>
      <c r="M17" s="28">
        <v>1832.4269999999999</v>
      </c>
      <c r="N17" s="29">
        <v>589.745</v>
      </c>
      <c r="O17" s="27">
        <v>286.512</v>
      </c>
      <c r="P17" s="28">
        <v>0.28599999999999998</v>
      </c>
      <c r="Q17" s="28">
        <v>703.77599999999995</v>
      </c>
      <c r="R17" s="28">
        <v>433.93200000000002</v>
      </c>
      <c r="S17" s="28">
        <v>11.097</v>
      </c>
      <c r="T17" s="28">
        <v>37.213999999999999</v>
      </c>
      <c r="U17" s="28">
        <v>2048.8029999999999</v>
      </c>
      <c r="V17" s="56">
        <v>625.399</v>
      </c>
      <c r="W17" s="52">
        <f t="shared" ref="W17:W55" si="29">NORMDIST(LN(G17),7.45231,0.73998,1)</f>
        <v>1.5746342918357694E-4</v>
      </c>
      <c r="X17" s="10">
        <f t="shared" ref="X17:X55" si="30">1/(1+EXP(3.2269-1.9688*H17))</f>
        <v>6.4426419898688234E-2</v>
      </c>
      <c r="Y17" s="10">
        <f t="shared" ref="Y17:Y55" si="31">1/(1+EXP(10.9745-2.375*I17/1000))</f>
        <v>8.0458583012554309E-4</v>
      </c>
      <c r="Z17" s="10">
        <f t="shared" ref="Z17:Z55" si="32">1/(1+EXP(10.9745-2.375*J17/1000))</f>
        <v>1.9652072052081702E-5</v>
      </c>
      <c r="AA17" s="10">
        <f t="shared" ref="AA17:AA55" si="33">MAX(X17,Y17,Z17)</f>
        <v>6.4426419898688234E-2</v>
      </c>
      <c r="AB17" s="10">
        <f t="shared" ref="AB17:AB55" si="34">1/(1+EXP(12.597-0.05861*35-1.568*(K17^0.4612)))</f>
        <v>5.4026528921777672E-2</v>
      </c>
      <c r="AC17" s="10">
        <f t="shared" ref="AC17:AC55" si="35">AB17</f>
        <v>5.4026528921777672E-2</v>
      </c>
      <c r="AD17" s="10">
        <f t="shared" ref="AD17:AD55" si="36">1/(1+EXP(5.7949-0.5196*M17/1000))</f>
        <v>7.8234849356201511E-3</v>
      </c>
      <c r="AE17" s="10">
        <f t="shared" ref="AE17:AE55" si="37">1/(1+EXP(5.7949-0.5196*N17/1000))</f>
        <v>4.1171498186234577E-3</v>
      </c>
      <c r="AF17" s="58">
        <f t="shared" ref="AF17:AF55" si="38">MAX(AD17,AE17)</f>
        <v>7.8234849356201511E-3</v>
      </c>
      <c r="AG17" s="52">
        <f t="shared" ref="AG17:AG55" si="39">NORMDIST(LN(O17),7.45231,0.73998,1)</f>
        <v>7.6519689803404003E-3</v>
      </c>
      <c r="AH17" s="10">
        <f t="shared" ref="AH17:AH55" si="40">1/(1+EXP(3.2269-1.9688*P17))</f>
        <v>6.5142118363650386E-2</v>
      </c>
      <c r="AI17" s="10">
        <f t="shared" ref="AI17:AI55" si="41">1/(1+EXP(10.958-3.77*Q17/1000))</f>
        <v>2.4727443011360312E-4</v>
      </c>
      <c r="AJ17" s="10">
        <f t="shared" ref="AJ17:AJ55" si="42">1/(1+EXP(10.958-3.77*R17/1000))</f>
        <v>8.9420036047371611E-5</v>
      </c>
      <c r="AK17" s="10">
        <f t="shared" ref="AK17:AK55" si="43">MAX(AH17,AI17,AJ17)</f>
        <v>6.5142118363650386E-2</v>
      </c>
      <c r="AL17" s="10">
        <f t="shared" ref="AL17:AL55" si="44">1/(1+EXP(12.597-0.05861*35-1.568*((S17/0.817)^0.4612)))</f>
        <v>4.8536701165061607E-3</v>
      </c>
      <c r="AM17" s="10">
        <f t="shared" ref="AM17:AM55" si="45">AL17</f>
        <v>4.8536701165061607E-3</v>
      </c>
      <c r="AN17" s="10">
        <f t="shared" ref="AN17:AN55" si="46">1/(1+EXP(5.7949-0.7619*U17/1000))</f>
        <v>1.4288383145759124E-2</v>
      </c>
      <c r="AO17" s="10">
        <f t="shared" ref="AO17:AO55" si="47">1/(1+EXP(5.7949-0.7619*V17/1000))</f>
        <v>4.8766484893077965E-3</v>
      </c>
      <c r="AP17" s="58">
        <f t="shared" ref="AP17:AP55" si="48">MAX(AN17,AO17)</f>
        <v>1.4288383145759124E-2</v>
      </c>
      <c r="AQ17" s="63">
        <f t="shared" ref="AQ17:AQ55" si="49">ROUND(1-(1-W17)*(1-AA17)*(1-AC17)*(1-AF17),3)</f>
        <v>0.122</v>
      </c>
      <c r="AR17" s="10">
        <f t="shared" ref="AR17:AR55" si="50">ROUND(1-(1-AG17)*(1-AK17)*(1-AM17)*(1-AP17),3)</f>
        <v>0.09</v>
      </c>
      <c r="AS17" s="10">
        <f t="shared" ref="AS17:AS55" si="51">ROUND(AVERAGE(AR17,AQ17),3)</f>
        <v>0.106</v>
      </c>
      <c r="AT17" s="24">
        <f t="shared" ref="AT17:AT55" si="52">ROUND(AQ17/0.15,2)</f>
        <v>0.81</v>
      </c>
      <c r="AU17" s="24">
        <f t="shared" ref="AU17:AU55" si="53">ROUND(AR17/0.15,2)</f>
        <v>0.6</v>
      </c>
      <c r="AV17" s="24">
        <f t="shared" ref="AV17:AV55" si="54">ROUND(AS17/0.15,2)</f>
        <v>0.71</v>
      </c>
      <c r="AW17" s="25">
        <f t="shared" ref="AW17:AW55" si="55">IF(AT17&lt;0.67,5,IF(AT17&lt;1,4,IF(AT17&lt;1.33,3,IF(AT17&lt;2.67,2,1))))</f>
        <v>4</v>
      </c>
      <c r="AX17" s="25">
        <f t="shared" ref="AX17:AX55" si="56">IF(AU17&lt;0.67,5,IF(AU17&lt;1,4,IF(AU17&lt;1.33,3,IF(AU17&lt;2.67,2,1))))</f>
        <v>5</v>
      </c>
      <c r="AY17" s="25">
        <f t="shared" ref="AY17:AY55" si="57">IF(AV17&lt;0.67,5,IF(AV17&lt;1,4,IF(AV17&lt;1.33,3,IF(AV17&lt;2.67,2,1))))</f>
        <v>4</v>
      </c>
    </row>
    <row r="18" spans="1:51" ht="12" customHeight="1">
      <c r="A18" s="42">
        <v>14075</v>
      </c>
      <c r="B18" s="42" t="s">
        <v>166</v>
      </c>
      <c r="C18" s="65" t="str">
        <f>Rollover!A18</f>
        <v>Ford</v>
      </c>
      <c r="D18" s="65" t="str">
        <f>Rollover!B18</f>
        <v>Escape PHEV SUV FWD</v>
      </c>
      <c r="E18" s="61" t="s">
        <v>155</v>
      </c>
      <c r="F18" s="177">
        <f>Rollover!C18</f>
        <v>2022</v>
      </c>
      <c r="G18" s="27">
        <v>156.63999999999999</v>
      </c>
      <c r="H18" s="28">
        <v>0.26200000000000001</v>
      </c>
      <c r="I18" s="28">
        <v>641.73099999999999</v>
      </c>
      <c r="J18" s="28">
        <v>188.68799999999999</v>
      </c>
      <c r="K18" s="28">
        <v>29.442</v>
      </c>
      <c r="L18" s="28">
        <v>37.860999999999997</v>
      </c>
      <c r="M18" s="28">
        <v>1218.212</v>
      </c>
      <c r="N18" s="29">
        <v>789.03899999999999</v>
      </c>
      <c r="O18" s="27">
        <v>193.81</v>
      </c>
      <c r="P18" s="28">
        <v>0.39600000000000002</v>
      </c>
      <c r="Q18" s="28">
        <v>898.87199999999996</v>
      </c>
      <c r="R18" s="28">
        <v>218.697</v>
      </c>
      <c r="S18" s="28">
        <v>11.836</v>
      </c>
      <c r="T18" s="28">
        <v>44.459000000000003</v>
      </c>
      <c r="U18" s="28">
        <v>913.49300000000005</v>
      </c>
      <c r="V18" s="56">
        <v>854.52300000000002</v>
      </c>
      <c r="W18" s="52">
        <f t="shared" si="29"/>
        <v>5.9531699575115734E-4</v>
      </c>
      <c r="X18" s="10">
        <f t="shared" si="30"/>
        <v>6.2323035120640552E-2</v>
      </c>
      <c r="Y18" s="10">
        <f t="shared" si="31"/>
        <v>7.8652784069147761E-5</v>
      </c>
      <c r="Z18" s="10">
        <f t="shared" si="32"/>
        <v>2.681919167238517E-5</v>
      </c>
      <c r="AA18" s="10">
        <f t="shared" si="33"/>
        <v>6.2323035120640552E-2</v>
      </c>
      <c r="AB18" s="10">
        <f t="shared" si="34"/>
        <v>4.3771299180892086E-2</v>
      </c>
      <c r="AC18" s="10">
        <f t="shared" si="35"/>
        <v>4.3771299180892086E-2</v>
      </c>
      <c r="AD18" s="10">
        <f t="shared" si="36"/>
        <v>5.6980493049284663E-3</v>
      </c>
      <c r="AE18" s="10">
        <f t="shared" si="37"/>
        <v>4.5643001522353982E-3</v>
      </c>
      <c r="AF18" s="58">
        <f t="shared" si="38"/>
        <v>5.6980493049284663E-3</v>
      </c>
      <c r="AG18" s="52">
        <f t="shared" si="39"/>
        <v>1.5716456932745805E-3</v>
      </c>
      <c r="AH18" s="10">
        <f t="shared" si="40"/>
        <v>7.9639502946007176E-2</v>
      </c>
      <c r="AI18" s="10">
        <f t="shared" si="41"/>
        <v>5.1581184269641419E-4</v>
      </c>
      <c r="AJ18" s="10">
        <f t="shared" si="42"/>
        <v>3.9724118537212579E-5</v>
      </c>
      <c r="AK18" s="10">
        <f t="shared" si="43"/>
        <v>7.9639502946007176E-2</v>
      </c>
      <c r="AL18" s="10">
        <f t="shared" si="44"/>
        <v>5.6775750207933538E-3</v>
      </c>
      <c r="AM18" s="10">
        <f t="shared" si="45"/>
        <v>5.6775750207933538E-3</v>
      </c>
      <c r="AN18" s="10">
        <f t="shared" si="46"/>
        <v>6.066372094573393E-3</v>
      </c>
      <c r="AO18" s="10">
        <f t="shared" si="47"/>
        <v>5.8013930294366087E-3</v>
      </c>
      <c r="AP18" s="58">
        <f t="shared" si="48"/>
        <v>6.066372094573393E-3</v>
      </c>
      <c r="AQ18" s="63">
        <f t="shared" si="49"/>
        <v>0.109</v>
      </c>
      <c r="AR18" s="10">
        <f t="shared" si="50"/>
        <v>9.1999999999999998E-2</v>
      </c>
      <c r="AS18" s="10">
        <f t="shared" si="51"/>
        <v>0.10100000000000001</v>
      </c>
      <c r="AT18" s="24">
        <f t="shared" si="52"/>
        <v>0.73</v>
      </c>
      <c r="AU18" s="24">
        <f t="shared" si="53"/>
        <v>0.61</v>
      </c>
      <c r="AV18" s="24">
        <f t="shared" si="54"/>
        <v>0.67</v>
      </c>
      <c r="AW18" s="25">
        <f t="shared" si="55"/>
        <v>4</v>
      </c>
      <c r="AX18" s="25">
        <f t="shared" si="56"/>
        <v>5</v>
      </c>
      <c r="AY18" s="25">
        <f t="shared" si="57"/>
        <v>4</v>
      </c>
    </row>
    <row r="19" spans="1:51" ht="12" customHeight="1">
      <c r="A19" s="60">
        <v>14075</v>
      </c>
      <c r="B19" s="60" t="s">
        <v>166</v>
      </c>
      <c r="C19" s="62" t="str">
        <f>Rollover!A19</f>
        <v>Lincoln</v>
      </c>
      <c r="D19" s="62" t="str">
        <f>Rollover!B19</f>
        <v>Corsair PHEV SUV AWD</v>
      </c>
      <c r="E19" s="61" t="s">
        <v>155</v>
      </c>
      <c r="F19" s="177">
        <f>Rollover!C19</f>
        <v>2022</v>
      </c>
      <c r="G19" s="18">
        <v>156.63999999999999</v>
      </c>
      <c r="H19" s="19">
        <v>0.26200000000000001</v>
      </c>
      <c r="I19" s="19">
        <v>641.73099999999999</v>
      </c>
      <c r="J19" s="19">
        <v>188.68799999999999</v>
      </c>
      <c r="K19" s="19">
        <v>29.442</v>
      </c>
      <c r="L19" s="19">
        <v>37.860999999999997</v>
      </c>
      <c r="M19" s="19">
        <v>1218.212</v>
      </c>
      <c r="N19" s="20">
        <v>789.03899999999999</v>
      </c>
      <c r="O19" s="18">
        <v>193.81</v>
      </c>
      <c r="P19" s="19">
        <v>0.39600000000000002</v>
      </c>
      <c r="Q19" s="19">
        <v>898.87199999999996</v>
      </c>
      <c r="R19" s="19">
        <v>218.697</v>
      </c>
      <c r="S19" s="19">
        <v>11.836</v>
      </c>
      <c r="T19" s="19">
        <v>44.459000000000003</v>
      </c>
      <c r="U19" s="19">
        <v>913.49300000000005</v>
      </c>
      <c r="V19" s="51">
        <v>854.52300000000002</v>
      </c>
      <c r="W19" s="52">
        <f t="shared" si="29"/>
        <v>5.9531699575115734E-4</v>
      </c>
      <c r="X19" s="10">
        <f t="shared" si="30"/>
        <v>6.2323035120640552E-2</v>
      </c>
      <c r="Y19" s="10">
        <f t="shared" si="31"/>
        <v>7.8652784069147761E-5</v>
      </c>
      <c r="Z19" s="10">
        <f t="shared" si="32"/>
        <v>2.681919167238517E-5</v>
      </c>
      <c r="AA19" s="10">
        <f t="shared" si="33"/>
        <v>6.2323035120640552E-2</v>
      </c>
      <c r="AB19" s="10">
        <f t="shared" si="34"/>
        <v>4.3771299180892086E-2</v>
      </c>
      <c r="AC19" s="10">
        <f t="shared" si="35"/>
        <v>4.3771299180892086E-2</v>
      </c>
      <c r="AD19" s="10">
        <f t="shared" si="36"/>
        <v>5.6980493049284663E-3</v>
      </c>
      <c r="AE19" s="10">
        <f t="shared" si="37"/>
        <v>4.5643001522353982E-3</v>
      </c>
      <c r="AF19" s="58">
        <f t="shared" si="38"/>
        <v>5.6980493049284663E-3</v>
      </c>
      <c r="AG19" s="52">
        <f t="shared" si="39"/>
        <v>1.5716456932745805E-3</v>
      </c>
      <c r="AH19" s="10">
        <f t="shared" si="40"/>
        <v>7.9639502946007176E-2</v>
      </c>
      <c r="AI19" s="10">
        <f t="shared" si="41"/>
        <v>5.1581184269641419E-4</v>
      </c>
      <c r="AJ19" s="10">
        <f t="shared" si="42"/>
        <v>3.9724118537212579E-5</v>
      </c>
      <c r="AK19" s="10">
        <f t="shared" si="43"/>
        <v>7.9639502946007176E-2</v>
      </c>
      <c r="AL19" s="10">
        <f t="shared" si="44"/>
        <v>5.6775750207933538E-3</v>
      </c>
      <c r="AM19" s="10">
        <f t="shared" si="45"/>
        <v>5.6775750207933538E-3</v>
      </c>
      <c r="AN19" s="10">
        <f t="shared" si="46"/>
        <v>6.066372094573393E-3</v>
      </c>
      <c r="AO19" s="10">
        <f t="shared" si="47"/>
        <v>5.8013930294366087E-3</v>
      </c>
      <c r="AP19" s="58">
        <f t="shared" si="48"/>
        <v>6.066372094573393E-3</v>
      </c>
      <c r="AQ19" s="63">
        <f t="shared" si="49"/>
        <v>0.109</v>
      </c>
      <c r="AR19" s="10">
        <f t="shared" si="50"/>
        <v>9.1999999999999998E-2</v>
      </c>
      <c r="AS19" s="10">
        <f t="shared" si="51"/>
        <v>0.10100000000000001</v>
      </c>
      <c r="AT19" s="24">
        <f t="shared" si="52"/>
        <v>0.73</v>
      </c>
      <c r="AU19" s="24">
        <f t="shared" si="53"/>
        <v>0.61</v>
      </c>
      <c r="AV19" s="24">
        <f t="shared" si="54"/>
        <v>0.67</v>
      </c>
      <c r="AW19" s="25">
        <f t="shared" si="55"/>
        <v>4</v>
      </c>
      <c r="AX19" s="25">
        <f t="shared" si="56"/>
        <v>5</v>
      </c>
      <c r="AY19" s="25">
        <f t="shared" si="57"/>
        <v>4</v>
      </c>
    </row>
    <row r="20" spans="1:51" ht="12" customHeight="1">
      <c r="A20" s="60">
        <v>14087</v>
      </c>
      <c r="B20" s="60" t="s">
        <v>167</v>
      </c>
      <c r="C20" s="65" t="str">
        <f>Rollover!A20</f>
        <v>Ford</v>
      </c>
      <c r="D20" s="65" t="str">
        <f>Rollover!B20</f>
        <v>Expedition SUV 2WD</v>
      </c>
      <c r="E20" s="61" t="s">
        <v>155</v>
      </c>
      <c r="F20" s="177">
        <f>Rollover!C20</f>
        <v>2022</v>
      </c>
      <c r="G20" s="18">
        <v>203.583</v>
      </c>
      <c r="H20" s="19">
        <v>0.23799999999999999</v>
      </c>
      <c r="I20" s="19">
        <v>1202.635</v>
      </c>
      <c r="J20" s="19">
        <v>356.86700000000002</v>
      </c>
      <c r="K20" s="19">
        <v>20.056999999999999</v>
      </c>
      <c r="L20" s="19">
        <v>35.316000000000003</v>
      </c>
      <c r="M20" s="19">
        <v>775.56200000000001</v>
      </c>
      <c r="N20" s="20">
        <v>721.38900000000001</v>
      </c>
      <c r="O20" s="18">
        <v>200.386</v>
      </c>
      <c r="P20" s="19">
        <v>0.28199999999999997</v>
      </c>
      <c r="Q20" s="19">
        <v>1028.162</v>
      </c>
      <c r="R20" s="19">
        <v>384.04199999999997</v>
      </c>
      <c r="S20" s="19">
        <v>9.6110000000000007</v>
      </c>
      <c r="T20" s="19">
        <v>42.811</v>
      </c>
      <c r="U20" s="19">
        <v>233.108</v>
      </c>
      <c r="V20" s="51">
        <v>53.863</v>
      </c>
      <c r="W20" s="52">
        <f t="shared" si="29"/>
        <v>1.9453899592460726E-3</v>
      </c>
      <c r="X20" s="10">
        <f t="shared" si="30"/>
        <v>5.961817008594416E-2</v>
      </c>
      <c r="Y20" s="10">
        <f t="shared" si="31"/>
        <v>2.9796340446625665E-4</v>
      </c>
      <c r="Z20" s="10">
        <f t="shared" si="32"/>
        <v>3.9986012127877309E-5</v>
      </c>
      <c r="AA20" s="10">
        <f t="shared" si="33"/>
        <v>5.961817008594416E-2</v>
      </c>
      <c r="AB20" s="10">
        <f t="shared" si="34"/>
        <v>1.3458074232798186E-2</v>
      </c>
      <c r="AC20" s="10">
        <f t="shared" si="35"/>
        <v>1.3458074232798186E-2</v>
      </c>
      <c r="AD20" s="10">
        <f t="shared" si="36"/>
        <v>4.5325939742540625E-3</v>
      </c>
      <c r="AE20" s="10">
        <f t="shared" si="37"/>
        <v>4.4073425869178987E-3</v>
      </c>
      <c r="AF20" s="58">
        <f t="shared" si="38"/>
        <v>4.5325939742540625E-3</v>
      </c>
      <c r="AG20" s="52">
        <f t="shared" si="39"/>
        <v>1.8171495766099875E-3</v>
      </c>
      <c r="AH20" s="10">
        <f t="shared" si="40"/>
        <v>6.4664168782384332E-2</v>
      </c>
      <c r="AI20" s="10">
        <f t="shared" si="41"/>
        <v>8.3952933223302938E-4</v>
      </c>
      <c r="AJ20" s="10">
        <f t="shared" si="42"/>
        <v>7.4089572888536606E-5</v>
      </c>
      <c r="AK20" s="10">
        <f t="shared" si="43"/>
        <v>6.4664168782384332E-2</v>
      </c>
      <c r="AL20" s="10">
        <f t="shared" si="44"/>
        <v>3.4766533926281419E-3</v>
      </c>
      <c r="AM20" s="10">
        <f t="shared" si="45"/>
        <v>3.4766533926281419E-3</v>
      </c>
      <c r="AN20" s="10">
        <f t="shared" si="46"/>
        <v>3.6212975248191646E-3</v>
      </c>
      <c r="AO20" s="10">
        <f t="shared" si="47"/>
        <v>3.1604929139524831E-3</v>
      </c>
      <c r="AP20" s="58">
        <f t="shared" si="48"/>
        <v>3.6212975248191646E-3</v>
      </c>
      <c r="AQ20" s="63">
        <f t="shared" si="49"/>
        <v>7.8E-2</v>
      </c>
      <c r="AR20" s="10">
        <f t="shared" si="50"/>
        <v>7.2999999999999995E-2</v>
      </c>
      <c r="AS20" s="10">
        <f t="shared" si="51"/>
        <v>7.5999999999999998E-2</v>
      </c>
      <c r="AT20" s="24">
        <f t="shared" si="52"/>
        <v>0.52</v>
      </c>
      <c r="AU20" s="24">
        <f t="shared" si="53"/>
        <v>0.49</v>
      </c>
      <c r="AV20" s="24">
        <f t="shared" si="54"/>
        <v>0.51</v>
      </c>
      <c r="AW20" s="25">
        <f t="shared" si="55"/>
        <v>5</v>
      </c>
      <c r="AX20" s="25">
        <f t="shared" si="56"/>
        <v>5</v>
      </c>
      <c r="AY20" s="25">
        <f t="shared" si="57"/>
        <v>5</v>
      </c>
    </row>
    <row r="21" spans="1:51" ht="12" customHeight="1">
      <c r="A21" s="60">
        <v>14087</v>
      </c>
      <c r="B21" s="60" t="s">
        <v>167</v>
      </c>
      <c r="C21" s="65" t="str">
        <f>Rollover!A21</f>
        <v>Ford</v>
      </c>
      <c r="D21" s="65" t="str">
        <f>Rollover!B21</f>
        <v>Expedition SUV 4WD</v>
      </c>
      <c r="E21" s="61" t="s">
        <v>155</v>
      </c>
      <c r="F21" s="177">
        <f>Rollover!C21</f>
        <v>2022</v>
      </c>
      <c r="G21" s="18">
        <v>203.583</v>
      </c>
      <c r="H21" s="19">
        <v>0.23799999999999999</v>
      </c>
      <c r="I21" s="19">
        <v>1202.635</v>
      </c>
      <c r="J21" s="19">
        <v>356.86700000000002</v>
      </c>
      <c r="K21" s="19">
        <v>20.056999999999999</v>
      </c>
      <c r="L21" s="19">
        <v>35.316000000000003</v>
      </c>
      <c r="M21" s="19">
        <v>775.56200000000001</v>
      </c>
      <c r="N21" s="20">
        <v>721.38900000000001</v>
      </c>
      <c r="O21" s="18">
        <v>200.386</v>
      </c>
      <c r="P21" s="19">
        <v>0.28199999999999997</v>
      </c>
      <c r="Q21" s="19">
        <v>1028.162</v>
      </c>
      <c r="R21" s="19">
        <v>384.04199999999997</v>
      </c>
      <c r="S21" s="19">
        <v>9.6110000000000007</v>
      </c>
      <c r="T21" s="19">
        <v>42.811</v>
      </c>
      <c r="U21" s="19">
        <v>233.108</v>
      </c>
      <c r="V21" s="51">
        <v>53.863</v>
      </c>
      <c r="W21" s="52">
        <f t="shared" si="29"/>
        <v>1.9453899592460726E-3</v>
      </c>
      <c r="X21" s="10">
        <f t="shared" si="30"/>
        <v>5.961817008594416E-2</v>
      </c>
      <c r="Y21" s="10">
        <f t="shared" si="31"/>
        <v>2.9796340446625665E-4</v>
      </c>
      <c r="Z21" s="10">
        <f t="shared" si="32"/>
        <v>3.9986012127877309E-5</v>
      </c>
      <c r="AA21" s="10">
        <f t="shared" si="33"/>
        <v>5.961817008594416E-2</v>
      </c>
      <c r="AB21" s="10">
        <f t="shared" si="34"/>
        <v>1.3458074232798186E-2</v>
      </c>
      <c r="AC21" s="10">
        <f t="shared" si="35"/>
        <v>1.3458074232798186E-2</v>
      </c>
      <c r="AD21" s="10">
        <f t="shared" si="36"/>
        <v>4.5325939742540625E-3</v>
      </c>
      <c r="AE21" s="10">
        <f t="shared" si="37"/>
        <v>4.4073425869178987E-3</v>
      </c>
      <c r="AF21" s="58">
        <f t="shared" si="38"/>
        <v>4.5325939742540625E-3</v>
      </c>
      <c r="AG21" s="52">
        <f t="shared" si="39"/>
        <v>1.8171495766099875E-3</v>
      </c>
      <c r="AH21" s="10">
        <f t="shared" si="40"/>
        <v>6.4664168782384332E-2</v>
      </c>
      <c r="AI21" s="10">
        <f t="shared" si="41"/>
        <v>8.3952933223302938E-4</v>
      </c>
      <c r="AJ21" s="10">
        <f t="shared" si="42"/>
        <v>7.4089572888536606E-5</v>
      </c>
      <c r="AK21" s="10">
        <f t="shared" si="43"/>
        <v>6.4664168782384332E-2</v>
      </c>
      <c r="AL21" s="10">
        <f t="shared" si="44"/>
        <v>3.4766533926281419E-3</v>
      </c>
      <c r="AM21" s="10">
        <f t="shared" si="45"/>
        <v>3.4766533926281419E-3</v>
      </c>
      <c r="AN21" s="10">
        <f t="shared" si="46"/>
        <v>3.6212975248191646E-3</v>
      </c>
      <c r="AO21" s="10">
        <f t="shared" si="47"/>
        <v>3.1604929139524831E-3</v>
      </c>
      <c r="AP21" s="58">
        <f t="shared" si="48"/>
        <v>3.6212975248191646E-3</v>
      </c>
      <c r="AQ21" s="63">
        <f t="shared" si="49"/>
        <v>7.8E-2</v>
      </c>
      <c r="AR21" s="10">
        <f t="shared" si="50"/>
        <v>7.2999999999999995E-2</v>
      </c>
      <c r="AS21" s="10">
        <f t="shared" si="51"/>
        <v>7.5999999999999998E-2</v>
      </c>
      <c r="AT21" s="24">
        <f t="shared" si="52"/>
        <v>0.52</v>
      </c>
      <c r="AU21" s="24">
        <f t="shared" si="53"/>
        <v>0.49</v>
      </c>
      <c r="AV21" s="24">
        <f t="shared" si="54"/>
        <v>0.51</v>
      </c>
      <c r="AW21" s="25">
        <f t="shared" si="55"/>
        <v>5</v>
      </c>
      <c r="AX21" s="25">
        <f t="shared" si="56"/>
        <v>5</v>
      </c>
      <c r="AY21" s="25">
        <f t="shared" si="57"/>
        <v>5</v>
      </c>
    </row>
    <row r="22" spans="1:51" ht="12" customHeight="1">
      <c r="A22" s="60">
        <v>14087</v>
      </c>
      <c r="B22" s="60" t="s">
        <v>167</v>
      </c>
      <c r="C22" s="62" t="str">
        <f>Rollover!A22</f>
        <v>Ford</v>
      </c>
      <c r="D22" s="62" t="str">
        <f>Rollover!B22</f>
        <v>Expedition EL SUV 2WD</v>
      </c>
      <c r="E22" s="61" t="s">
        <v>155</v>
      </c>
      <c r="F22" s="177">
        <f>Rollover!C22</f>
        <v>2022</v>
      </c>
      <c r="G22" s="18">
        <v>203.583</v>
      </c>
      <c r="H22" s="19">
        <v>0.23799999999999999</v>
      </c>
      <c r="I22" s="19">
        <v>1202.635</v>
      </c>
      <c r="J22" s="19">
        <v>356.86700000000002</v>
      </c>
      <c r="K22" s="19">
        <v>20.056999999999999</v>
      </c>
      <c r="L22" s="19">
        <v>35.316000000000003</v>
      </c>
      <c r="M22" s="19">
        <v>775.56200000000001</v>
      </c>
      <c r="N22" s="20">
        <v>721.38900000000001</v>
      </c>
      <c r="O22" s="18">
        <v>200.386</v>
      </c>
      <c r="P22" s="19">
        <v>0.28199999999999997</v>
      </c>
      <c r="Q22" s="19">
        <v>1028.162</v>
      </c>
      <c r="R22" s="19">
        <v>384.04199999999997</v>
      </c>
      <c r="S22" s="19">
        <v>9.6110000000000007</v>
      </c>
      <c r="T22" s="19">
        <v>42.811</v>
      </c>
      <c r="U22" s="19">
        <v>233.108</v>
      </c>
      <c r="V22" s="51">
        <v>53.863</v>
      </c>
      <c r="W22" s="52">
        <f t="shared" si="29"/>
        <v>1.9453899592460726E-3</v>
      </c>
      <c r="X22" s="10">
        <f t="shared" si="30"/>
        <v>5.961817008594416E-2</v>
      </c>
      <c r="Y22" s="10">
        <f t="shared" si="31"/>
        <v>2.9796340446625665E-4</v>
      </c>
      <c r="Z22" s="10">
        <f t="shared" si="32"/>
        <v>3.9986012127877309E-5</v>
      </c>
      <c r="AA22" s="10">
        <f t="shared" si="33"/>
        <v>5.961817008594416E-2</v>
      </c>
      <c r="AB22" s="10">
        <f t="shared" si="34"/>
        <v>1.3458074232798186E-2</v>
      </c>
      <c r="AC22" s="10">
        <f t="shared" si="35"/>
        <v>1.3458074232798186E-2</v>
      </c>
      <c r="AD22" s="10">
        <f t="shared" si="36"/>
        <v>4.5325939742540625E-3</v>
      </c>
      <c r="AE22" s="10">
        <f t="shared" si="37"/>
        <v>4.4073425869178987E-3</v>
      </c>
      <c r="AF22" s="58">
        <f t="shared" si="38"/>
        <v>4.5325939742540625E-3</v>
      </c>
      <c r="AG22" s="52">
        <f t="shared" si="39"/>
        <v>1.8171495766099875E-3</v>
      </c>
      <c r="AH22" s="10">
        <f t="shared" si="40"/>
        <v>6.4664168782384332E-2</v>
      </c>
      <c r="AI22" s="10">
        <f t="shared" si="41"/>
        <v>8.3952933223302938E-4</v>
      </c>
      <c r="AJ22" s="10">
        <f t="shared" si="42"/>
        <v>7.4089572888536606E-5</v>
      </c>
      <c r="AK22" s="10">
        <f t="shared" si="43"/>
        <v>6.4664168782384332E-2</v>
      </c>
      <c r="AL22" s="10">
        <f t="shared" si="44"/>
        <v>3.4766533926281419E-3</v>
      </c>
      <c r="AM22" s="10">
        <f t="shared" si="45"/>
        <v>3.4766533926281419E-3</v>
      </c>
      <c r="AN22" s="10">
        <f t="shared" si="46"/>
        <v>3.6212975248191646E-3</v>
      </c>
      <c r="AO22" s="10">
        <f t="shared" si="47"/>
        <v>3.1604929139524831E-3</v>
      </c>
      <c r="AP22" s="58">
        <f t="shared" si="48"/>
        <v>3.6212975248191646E-3</v>
      </c>
      <c r="AQ22" s="63">
        <f t="shared" si="49"/>
        <v>7.8E-2</v>
      </c>
      <c r="AR22" s="10">
        <f t="shared" si="50"/>
        <v>7.2999999999999995E-2</v>
      </c>
      <c r="AS22" s="10">
        <f t="shared" si="51"/>
        <v>7.5999999999999998E-2</v>
      </c>
      <c r="AT22" s="24">
        <f t="shared" si="52"/>
        <v>0.52</v>
      </c>
      <c r="AU22" s="24">
        <f t="shared" si="53"/>
        <v>0.49</v>
      </c>
      <c r="AV22" s="24">
        <f t="shared" si="54"/>
        <v>0.51</v>
      </c>
      <c r="AW22" s="25">
        <f t="shared" si="55"/>
        <v>5</v>
      </c>
      <c r="AX22" s="25">
        <f t="shared" si="56"/>
        <v>5</v>
      </c>
      <c r="AY22" s="25">
        <f t="shared" si="57"/>
        <v>5</v>
      </c>
    </row>
    <row r="23" spans="1:51" ht="12" customHeight="1">
      <c r="A23" s="60">
        <v>14087</v>
      </c>
      <c r="B23" s="60" t="s">
        <v>167</v>
      </c>
      <c r="C23" s="62" t="str">
        <f>Rollover!A23</f>
        <v>Ford</v>
      </c>
      <c r="D23" s="62" t="str">
        <f>Rollover!B23</f>
        <v>Expedition EL SUV 4WD</v>
      </c>
      <c r="E23" s="61" t="s">
        <v>155</v>
      </c>
      <c r="F23" s="177">
        <f>Rollover!C23</f>
        <v>2022</v>
      </c>
      <c r="G23" s="18">
        <v>203.583</v>
      </c>
      <c r="H23" s="19">
        <v>0.23799999999999999</v>
      </c>
      <c r="I23" s="19">
        <v>1202.635</v>
      </c>
      <c r="J23" s="19">
        <v>356.86700000000002</v>
      </c>
      <c r="K23" s="19">
        <v>20.056999999999999</v>
      </c>
      <c r="L23" s="19">
        <v>35.316000000000003</v>
      </c>
      <c r="M23" s="19">
        <v>775.56200000000001</v>
      </c>
      <c r="N23" s="20">
        <v>721.38900000000001</v>
      </c>
      <c r="O23" s="18">
        <v>200.386</v>
      </c>
      <c r="P23" s="19">
        <v>0.28199999999999997</v>
      </c>
      <c r="Q23" s="19">
        <v>1028.162</v>
      </c>
      <c r="R23" s="19">
        <v>384.04199999999997</v>
      </c>
      <c r="S23" s="19">
        <v>9.6110000000000007</v>
      </c>
      <c r="T23" s="19">
        <v>42.811</v>
      </c>
      <c r="U23" s="19">
        <v>233.108</v>
      </c>
      <c r="V23" s="51">
        <v>53.863</v>
      </c>
      <c r="W23" s="52">
        <f t="shared" si="29"/>
        <v>1.9453899592460726E-3</v>
      </c>
      <c r="X23" s="10">
        <f t="shared" si="30"/>
        <v>5.961817008594416E-2</v>
      </c>
      <c r="Y23" s="10">
        <f t="shared" si="31"/>
        <v>2.9796340446625665E-4</v>
      </c>
      <c r="Z23" s="10">
        <f t="shared" si="32"/>
        <v>3.9986012127877309E-5</v>
      </c>
      <c r="AA23" s="10">
        <f t="shared" si="33"/>
        <v>5.961817008594416E-2</v>
      </c>
      <c r="AB23" s="10">
        <f t="shared" si="34"/>
        <v>1.3458074232798186E-2</v>
      </c>
      <c r="AC23" s="10">
        <f t="shared" si="35"/>
        <v>1.3458074232798186E-2</v>
      </c>
      <c r="AD23" s="10">
        <f t="shared" si="36"/>
        <v>4.5325939742540625E-3</v>
      </c>
      <c r="AE23" s="10">
        <f t="shared" si="37"/>
        <v>4.4073425869178987E-3</v>
      </c>
      <c r="AF23" s="58">
        <f t="shared" si="38"/>
        <v>4.5325939742540625E-3</v>
      </c>
      <c r="AG23" s="52">
        <f t="shared" si="39"/>
        <v>1.8171495766099875E-3</v>
      </c>
      <c r="AH23" s="10">
        <f t="shared" si="40"/>
        <v>6.4664168782384332E-2</v>
      </c>
      <c r="AI23" s="10">
        <f t="shared" si="41"/>
        <v>8.3952933223302938E-4</v>
      </c>
      <c r="AJ23" s="10">
        <f t="shared" si="42"/>
        <v>7.4089572888536606E-5</v>
      </c>
      <c r="AK23" s="10">
        <f t="shared" si="43"/>
        <v>6.4664168782384332E-2</v>
      </c>
      <c r="AL23" s="10">
        <f t="shared" si="44"/>
        <v>3.4766533926281419E-3</v>
      </c>
      <c r="AM23" s="10">
        <f t="shared" si="45"/>
        <v>3.4766533926281419E-3</v>
      </c>
      <c r="AN23" s="10">
        <f t="shared" si="46"/>
        <v>3.6212975248191646E-3</v>
      </c>
      <c r="AO23" s="10">
        <f t="shared" si="47"/>
        <v>3.1604929139524831E-3</v>
      </c>
      <c r="AP23" s="58">
        <f t="shared" si="48"/>
        <v>3.6212975248191646E-3</v>
      </c>
      <c r="AQ23" s="63">
        <f t="shared" si="49"/>
        <v>7.8E-2</v>
      </c>
      <c r="AR23" s="10">
        <f t="shared" si="50"/>
        <v>7.2999999999999995E-2</v>
      </c>
      <c r="AS23" s="10">
        <f t="shared" si="51"/>
        <v>7.5999999999999998E-2</v>
      </c>
      <c r="AT23" s="24">
        <f t="shared" si="52"/>
        <v>0.52</v>
      </c>
      <c r="AU23" s="24">
        <f t="shared" si="53"/>
        <v>0.49</v>
      </c>
      <c r="AV23" s="24">
        <f t="shared" si="54"/>
        <v>0.51</v>
      </c>
      <c r="AW23" s="25">
        <f t="shared" si="55"/>
        <v>5</v>
      </c>
      <c r="AX23" s="25">
        <f t="shared" si="56"/>
        <v>5</v>
      </c>
      <c r="AY23" s="25">
        <f t="shared" si="57"/>
        <v>5</v>
      </c>
    </row>
    <row r="24" spans="1:51" ht="12" customHeight="1">
      <c r="A24" s="60">
        <v>14087</v>
      </c>
      <c r="B24" s="60" t="s">
        <v>167</v>
      </c>
      <c r="C24" s="16" t="str">
        <f>Rollover!A24</f>
        <v>Lincoln</v>
      </c>
      <c r="D24" s="16" t="str">
        <f>Rollover!B24</f>
        <v>Navigator SUV 2WD</v>
      </c>
      <c r="E24" s="61" t="s">
        <v>155</v>
      </c>
      <c r="F24" s="37">
        <f>Rollover!C24</f>
        <v>2022</v>
      </c>
      <c r="G24" s="18">
        <v>203.583</v>
      </c>
      <c r="H24" s="19">
        <v>0.23799999999999999</v>
      </c>
      <c r="I24" s="19">
        <v>1202.635</v>
      </c>
      <c r="J24" s="19">
        <v>356.86700000000002</v>
      </c>
      <c r="K24" s="19">
        <v>20.056999999999999</v>
      </c>
      <c r="L24" s="19">
        <v>35.316000000000003</v>
      </c>
      <c r="M24" s="19">
        <v>775.56200000000001</v>
      </c>
      <c r="N24" s="20">
        <v>721.38900000000001</v>
      </c>
      <c r="O24" s="18">
        <v>200.386</v>
      </c>
      <c r="P24" s="19">
        <v>0.28199999999999997</v>
      </c>
      <c r="Q24" s="19">
        <v>1028.162</v>
      </c>
      <c r="R24" s="19">
        <v>384.04199999999997</v>
      </c>
      <c r="S24" s="19">
        <v>9.6110000000000007</v>
      </c>
      <c r="T24" s="19">
        <v>42.811</v>
      </c>
      <c r="U24" s="19">
        <v>233.108</v>
      </c>
      <c r="V24" s="51">
        <v>53.863</v>
      </c>
      <c r="W24" s="52">
        <f>NORMDIST(LN(G24),7.45231,0.73998,1)</f>
        <v>1.9453899592460726E-3</v>
      </c>
      <c r="X24" s="10">
        <f>1/(1+EXP(3.2269-1.9688*H24))</f>
        <v>5.961817008594416E-2</v>
      </c>
      <c r="Y24" s="10">
        <f t="shared" ref="Y24:Z27" si="58">1/(1+EXP(10.9745-2.375*I24/1000))</f>
        <v>2.9796340446625665E-4</v>
      </c>
      <c r="Z24" s="10">
        <f t="shared" si="58"/>
        <v>3.9986012127877309E-5</v>
      </c>
      <c r="AA24" s="10">
        <f>MAX(X24,Y24,Z24)</f>
        <v>5.961817008594416E-2</v>
      </c>
      <c r="AB24" s="10">
        <f>1/(1+EXP(12.597-0.05861*35-1.568*(K24^0.4612)))</f>
        <v>1.3458074232798186E-2</v>
      </c>
      <c r="AC24" s="10">
        <f>AB24</f>
        <v>1.3458074232798186E-2</v>
      </c>
      <c r="AD24" s="10">
        <f t="shared" ref="AD24:AE27" si="59">1/(1+EXP(5.7949-0.5196*M24/1000))</f>
        <v>4.5325939742540625E-3</v>
      </c>
      <c r="AE24" s="10">
        <f t="shared" si="59"/>
        <v>4.4073425869178987E-3</v>
      </c>
      <c r="AF24" s="58">
        <f>MAX(AD24,AE24)</f>
        <v>4.5325939742540625E-3</v>
      </c>
      <c r="AG24" s="52">
        <f>NORMDIST(LN(O24),7.45231,0.73998,1)</f>
        <v>1.8171495766099875E-3</v>
      </c>
      <c r="AH24" s="10">
        <f>1/(1+EXP(3.2269-1.9688*P24))</f>
        <v>6.4664168782384332E-2</v>
      </c>
      <c r="AI24" s="10">
        <f t="shared" ref="AI24:AJ27" si="60">1/(1+EXP(10.958-3.77*Q24/1000))</f>
        <v>8.3952933223302938E-4</v>
      </c>
      <c r="AJ24" s="10">
        <f t="shared" si="60"/>
        <v>7.4089572888536606E-5</v>
      </c>
      <c r="AK24" s="10">
        <f>MAX(AH24,AI24,AJ24)</f>
        <v>6.4664168782384332E-2</v>
      </c>
      <c r="AL24" s="10">
        <f>1/(1+EXP(12.597-0.05861*35-1.568*((S24/0.817)^0.4612)))</f>
        <v>3.4766533926281419E-3</v>
      </c>
      <c r="AM24" s="10">
        <f>AL24</f>
        <v>3.4766533926281419E-3</v>
      </c>
      <c r="AN24" s="10">
        <f t="shared" ref="AN24:AO27" si="61">1/(1+EXP(5.7949-0.7619*U24/1000))</f>
        <v>3.6212975248191646E-3</v>
      </c>
      <c r="AO24" s="10">
        <f t="shared" si="61"/>
        <v>3.1604929139524831E-3</v>
      </c>
      <c r="AP24" s="58">
        <f>MAX(AN24,AO24)</f>
        <v>3.6212975248191646E-3</v>
      </c>
      <c r="AQ24" s="63">
        <f>ROUND(1-(1-W24)*(1-AA24)*(1-AC24)*(1-AF24),3)</f>
        <v>7.8E-2</v>
      </c>
      <c r="AR24" s="10">
        <f>ROUND(1-(1-AG24)*(1-AK24)*(1-AM24)*(1-AP24),3)</f>
        <v>7.2999999999999995E-2</v>
      </c>
      <c r="AS24" s="10">
        <f>ROUND(AVERAGE(AR24,AQ24),3)</f>
        <v>7.5999999999999998E-2</v>
      </c>
      <c r="AT24" s="24">
        <f t="shared" ref="AT24:AV27" si="62">ROUND(AQ24/0.15,2)</f>
        <v>0.52</v>
      </c>
      <c r="AU24" s="24">
        <f t="shared" si="62"/>
        <v>0.49</v>
      </c>
      <c r="AV24" s="24">
        <f t="shared" si="62"/>
        <v>0.51</v>
      </c>
      <c r="AW24" s="25">
        <f t="shared" ref="AW24:AY27" si="63">IF(AT24&lt;0.67,5,IF(AT24&lt;1,4,IF(AT24&lt;1.33,3,IF(AT24&lt;2.67,2,1))))</f>
        <v>5</v>
      </c>
      <c r="AX24" s="25">
        <f t="shared" si="63"/>
        <v>5</v>
      </c>
      <c r="AY24" s="25">
        <f t="shared" si="63"/>
        <v>5</v>
      </c>
    </row>
    <row r="25" spans="1:51" ht="12" customHeight="1">
      <c r="A25" s="60">
        <v>14087</v>
      </c>
      <c r="B25" s="60" t="s">
        <v>167</v>
      </c>
      <c r="C25" s="16" t="str">
        <f>Rollover!A25</f>
        <v>Lincoln</v>
      </c>
      <c r="D25" s="16" t="str">
        <f>Rollover!B25</f>
        <v>Navigator SUV 4WD</v>
      </c>
      <c r="E25" s="61" t="s">
        <v>155</v>
      </c>
      <c r="F25" s="37">
        <f>Rollover!C25</f>
        <v>2022</v>
      </c>
      <c r="G25" s="18">
        <v>203.583</v>
      </c>
      <c r="H25" s="19">
        <v>0.23799999999999999</v>
      </c>
      <c r="I25" s="19">
        <v>1202.635</v>
      </c>
      <c r="J25" s="19">
        <v>356.86700000000002</v>
      </c>
      <c r="K25" s="19">
        <v>20.056999999999999</v>
      </c>
      <c r="L25" s="19">
        <v>35.316000000000003</v>
      </c>
      <c r="M25" s="19">
        <v>775.56200000000001</v>
      </c>
      <c r="N25" s="20">
        <v>721.38900000000001</v>
      </c>
      <c r="O25" s="18">
        <v>200.386</v>
      </c>
      <c r="P25" s="19">
        <v>0.28199999999999997</v>
      </c>
      <c r="Q25" s="19">
        <v>1028.162</v>
      </c>
      <c r="R25" s="19">
        <v>384.04199999999997</v>
      </c>
      <c r="S25" s="19">
        <v>9.6110000000000007</v>
      </c>
      <c r="T25" s="19">
        <v>42.811</v>
      </c>
      <c r="U25" s="19">
        <v>233.108</v>
      </c>
      <c r="V25" s="51">
        <v>53.863</v>
      </c>
      <c r="W25" s="52">
        <f>NORMDIST(LN(G25),7.45231,0.73998,1)</f>
        <v>1.9453899592460726E-3</v>
      </c>
      <c r="X25" s="10">
        <f>1/(1+EXP(3.2269-1.9688*H25))</f>
        <v>5.961817008594416E-2</v>
      </c>
      <c r="Y25" s="10">
        <f t="shared" si="58"/>
        <v>2.9796340446625665E-4</v>
      </c>
      <c r="Z25" s="10">
        <f t="shared" si="58"/>
        <v>3.9986012127877309E-5</v>
      </c>
      <c r="AA25" s="10">
        <f>MAX(X25,Y25,Z25)</f>
        <v>5.961817008594416E-2</v>
      </c>
      <c r="AB25" s="10">
        <f>1/(1+EXP(12.597-0.05861*35-1.568*(K25^0.4612)))</f>
        <v>1.3458074232798186E-2</v>
      </c>
      <c r="AC25" s="10">
        <f>AB25</f>
        <v>1.3458074232798186E-2</v>
      </c>
      <c r="AD25" s="10">
        <f t="shared" si="59"/>
        <v>4.5325939742540625E-3</v>
      </c>
      <c r="AE25" s="10">
        <f t="shared" si="59"/>
        <v>4.4073425869178987E-3</v>
      </c>
      <c r="AF25" s="58">
        <f>MAX(AD25,AE25)</f>
        <v>4.5325939742540625E-3</v>
      </c>
      <c r="AG25" s="52">
        <f>NORMDIST(LN(O25),7.45231,0.73998,1)</f>
        <v>1.8171495766099875E-3</v>
      </c>
      <c r="AH25" s="10">
        <f>1/(1+EXP(3.2269-1.9688*P25))</f>
        <v>6.4664168782384332E-2</v>
      </c>
      <c r="AI25" s="10">
        <f t="shared" si="60"/>
        <v>8.3952933223302938E-4</v>
      </c>
      <c r="AJ25" s="10">
        <f t="shared" si="60"/>
        <v>7.4089572888536606E-5</v>
      </c>
      <c r="AK25" s="10">
        <f>MAX(AH25,AI25,AJ25)</f>
        <v>6.4664168782384332E-2</v>
      </c>
      <c r="AL25" s="10">
        <f>1/(1+EXP(12.597-0.05861*35-1.568*((S25/0.817)^0.4612)))</f>
        <v>3.4766533926281419E-3</v>
      </c>
      <c r="AM25" s="10">
        <f>AL25</f>
        <v>3.4766533926281419E-3</v>
      </c>
      <c r="AN25" s="10">
        <f t="shared" si="61"/>
        <v>3.6212975248191646E-3</v>
      </c>
      <c r="AO25" s="10">
        <f t="shared" si="61"/>
        <v>3.1604929139524831E-3</v>
      </c>
      <c r="AP25" s="58">
        <f>MAX(AN25,AO25)</f>
        <v>3.6212975248191646E-3</v>
      </c>
      <c r="AQ25" s="63">
        <f>ROUND(1-(1-W25)*(1-AA25)*(1-AC25)*(1-AF25),3)</f>
        <v>7.8E-2</v>
      </c>
      <c r="AR25" s="10">
        <f>ROUND(1-(1-AG25)*(1-AK25)*(1-AM25)*(1-AP25),3)</f>
        <v>7.2999999999999995E-2</v>
      </c>
      <c r="AS25" s="10">
        <f>ROUND(AVERAGE(AR25,AQ25),3)</f>
        <v>7.5999999999999998E-2</v>
      </c>
      <c r="AT25" s="24">
        <f t="shared" si="62"/>
        <v>0.52</v>
      </c>
      <c r="AU25" s="24">
        <f t="shared" si="62"/>
        <v>0.49</v>
      </c>
      <c r="AV25" s="24">
        <f t="shared" si="62"/>
        <v>0.51</v>
      </c>
      <c r="AW25" s="25">
        <f t="shared" si="63"/>
        <v>5</v>
      </c>
      <c r="AX25" s="25">
        <f t="shared" si="63"/>
        <v>5</v>
      </c>
      <c r="AY25" s="25">
        <f t="shared" si="63"/>
        <v>5</v>
      </c>
    </row>
    <row r="26" spans="1:51" ht="12" customHeight="1">
      <c r="A26" s="60">
        <v>14087</v>
      </c>
      <c r="B26" s="60" t="s">
        <v>167</v>
      </c>
      <c r="C26" s="16" t="str">
        <f>Rollover!A26</f>
        <v>Lincoln</v>
      </c>
      <c r="D26" s="16" t="str">
        <f>Rollover!B26</f>
        <v>Navigator EL 2WD</v>
      </c>
      <c r="E26" s="61" t="s">
        <v>155</v>
      </c>
      <c r="F26" s="37">
        <f>Rollover!C26</f>
        <v>2022</v>
      </c>
      <c r="G26" s="18">
        <v>203.583</v>
      </c>
      <c r="H26" s="19">
        <v>0.23799999999999999</v>
      </c>
      <c r="I26" s="19">
        <v>1202.635</v>
      </c>
      <c r="J26" s="19">
        <v>356.86700000000002</v>
      </c>
      <c r="K26" s="19">
        <v>20.056999999999999</v>
      </c>
      <c r="L26" s="19">
        <v>35.316000000000003</v>
      </c>
      <c r="M26" s="19">
        <v>775.56200000000001</v>
      </c>
      <c r="N26" s="20">
        <v>721.38900000000001</v>
      </c>
      <c r="O26" s="18">
        <v>200.386</v>
      </c>
      <c r="P26" s="19">
        <v>0.28199999999999997</v>
      </c>
      <c r="Q26" s="19">
        <v>1028.162</v>
      </c>
      <c r="R26" s="19">
        <v>384.04199999999997</v>
      </c>
      <c r="S26" s="19">
        <v>9.6110000000000007</v>
      </c>
      <c r="T26" s="19">
        <v>42.811</v>
      </c>
      <c r="U26" s="19">
        <v>233.108</v>
      </c>
      <c r="V26" s="51">
        <v>53.863</v>
      </c>
      <c r="W26" s="52">
        <f>NORMDIST(LN(G26),7.45231,0.73998,1)</f>
        <v>1.9453899592460726E-3</v>
      </c>
      <c r="X26" s="10">
        <f>1/(1+EXP(3.2269-1.9688*H26))</f>
        <v>5.961817008594416E-2</v>
      </c>
      <c r="Y26" s="10">
        <f t="shared" si="58"/>
        <v>2.9796340446625665E-4</v>
      </c>
      <c r="Z26" s="10">
        <f t="shared" si="58"/>
        <v>3.9986012127877309E-5</v>
      </c>
      <c r="AA26" s="10">
        <f>MAX(X26,Y26,Z26)</f>
        <v>5.961817008594416E-2</v>
      </c>
      <c r="AB26" s="10">
        <f>1/(1+EXP(12.597-0.05861*35-1.568*(K26^0.4612)))</f>
        <v>1.3458074232798186E-2</v>
      </c>
      <c r="AC26" s="10">
        <f>AB26</f>
        <v>1.3458074232798186E-2</v>
      </c>
      <c r="AD26" s="10">
        <f t="shared" si="59"/>
        <v>4.5325939742540625E-3</v>
      </c>
      <c r="AE26" s="10">
        <f t="shared" si="59"/>
        <v>4.4073425869178987E-3</v>
      </c>
      <c r="AF26" s="58">
        <f>MAX(AD26,AE26)</f>
        <v>4.5325939742540625E-3</v>
      </c>
      <c r="AG26" s="52">
        <f>NORMDIST(LN(O26),7.45231,0.73998,1)</f>
        <v>1.8171495766099875E-3</v>
      </c>
      <c r="AH26" s="10">
        <f>1/(1+EXP(3.2269-1.9688*P26))</f>
        <v>6.4664168782384332E-2</v>
      </c>
      <c r="AI26" s="10">
        <f t="shared" si="60"/>
        <v>8.3952933223302938E-4</v>
      </c>
      <c r="AJ26" s="10">
        <f t="shared" si="60"/>
        <v>7.4089572888536606E-5</v>
      </c>
      <c r="AK26" s="10">
        <f>MAX(AH26,AI26,AJ26)</f>
        <v>6.4664168782384332E-2</v>
      </c>
      <c r="AL26" s="10">
        <f>1/(1+EXP(12.597-0.05861*35-1.568*((S26/0.817)^0.4612)))</f>
        <v>3.4766533926281419E-3</v>
      </c>
      <c r="AM26" s="10">
        <f>AL26</f>
        <v>3.4766533926281419E-3</v>
      </c>
      <c r="AN26" s="10">
        <f t="shared" si="61"/>
        <v>3.6212975248191646E-3</v>
      </c>
      <c r="AO26" s="10">
        <f t="shared" si="61"/>
        <v>3.1604929139524831E-3</v>
      </c>
      <c r="AP26" s="58">
        <f>MAX(AN26,AO26)</f>
        <v>3.6212975248191646E-3</v>
      </c>
      <c r="AQ26" s="63">
        <f>ROUND(1-(1-W26)*(1-AA26)*(1-AC26)*(1-AF26),3)</f>
        <v>7.8E-2</v>
      </c>
      <c r="AR26" s="10">
        <f>ROUND(1-(1-AG26)*(1-AK26)*(1-AM26)*(1-AP26),3)</f>
        <v>7.2999999999999995E-2</v>
      </c>
      <c r="AS26" s="10">
        <f>ROUND(AVERAGE(AR26,AQ26),3)</f>
        <v>7.5999999999999998E-2</v>
      </c>
      <c r="AT26" s="24">
        <f t="shared" si="62"/>
        <v>0.52</v>
      </c>
      <c r="AU26" s="24">
        <f t="shared" si="62"/>
        <v>0.49</v>
      </c>
      <c r="AV26" s="24">
        <f t="shared" si="62"/>
        <v>0.51</v>
      </c>
      <c r="AW26" s="25">
        <f t="shared" si="63"/>
        <v>5</v>
      </c>
      <c r="AX26" s="25">
        <f t="shared" si="63"/>
        <v>5</v>
      </c>
      <c r="AY26" s="25">
        <f t="shared" si="63"/>
        <v>5</v>
      </c>
    </row>
    <row r="27" spans="1:51" ht="12" customHeight="1">
      <c r="A27" s="60">
        <v>14087</v>
      </c>
      <c r="B27" s="60" t="s">
        <v>167</v>
      </c>
      <c r="C27" s="16" t="str">
        <f>Rollover!A27</f>
        <v>Lincoln</v>
      </c>
      <c r="D27" s="16" t="str">
        <f>Rollover!B27</f>
        <v>Navigator EL 4WD</v>
      </c>
      <c r="E27" s="61" t="s">
        <v>155</v>
      </c>
      <c r="F27" s="37">
        <f>Rollover!C27</f>
        <v>2022</v>
      </c>
      <c r="G27" s="18">
        <v>203.583</v>
      </c>
      <c r="H27" s="19">
        <v>0.23799999999999999</v>
      </c>
      <c r="I27" s="19">
        <v>1202.635</v>
      </c>
      <c r="J27" s="19">
        <v>356.86700000000002</v>
      </c>
      <c r="K27" s="19">
        <v>20.056999999999999</v>
      </c>
      <c r="L27" s="19">
        <v>35.316000000000003</v>
      </c>
      <c r="M27" s="19">
        <v>775.56200000000001</v>
      </c>
      <c r="N27" s="20">
        <v>721.38900000000001</v>
      </c>
      <c r="O27" s="18">
        <v>200.386</v>
      </c>
      <c r="P27" s="19">
        <v>0.28199999999999997</v>
      </c>
      <c r="Q27" s="19">
        <v>1028.162</v>
      </c>
      <c r="R27" s="19">
        <v>384.04199999999997</v>
      </c>
      <c r="S27" s="19">
        <v>9.6110000000000007</v>
      </c>
      <c r="T27" s="19">
        <v>42.811</v>
      </c>
      <c r="U27" s="19">
        <v>233.108</v>
      </c>
      <c r="V27" s="51">
        <v>53.863</v>
      </c>
      <c r="W27" s="52">
        <f>NORMDIST(LN(G27),7.45231,0.73998,1)</f>
        <v>1.9453899592460726E-3</v>
      </c>
      <c r="X27" s="10">
        <f>1/(1+EXP(3.2269-1.9688*H27))</f>
        <v>5.961817008594416E-2</v>
      </c>
      <c r="Y27" s="10">
        <f t="shared" si="58"/>
        <v>2.9796340446625665E-4</v>
      </c>
      <c r="Z27" s="10">
        <f t="shared" si="58"/>
        <v>3.9986012127877309E-5</v>
      </c>
      <c r="AA27" s="10">
        <f>MAX(X27,Y27,Z27)</f>
        <v>5.961817008594416E-2</v>
      </c>
      <c r="AB27" s="10">
        <f>1/(1+EXP(12.597-0.05861*35-1.568*(K27^0.4612)))</f>
        <v>1.3458074232798186E-2</v>
      </c>
      <c r="AC27" s="10">
        <f>AB27</f>
        <v>1.3458074232798186E-2</v>
      </c>
      <c r="AD27" s="10">
        <f t="shared" si="59"/>
        <v>4.5325939742540625E-3</v>
      </c>
      <c r="AE27" s="10">
        <f t="shared" si="59"/>
        <v>4.4073425869178987E-3</v>
      </c>
      <c r="AF27" s="58">
        <f>MAX(AD27,AE27)</f>
        <v>4.5325939742540625E-3</v>
      </c>
      <c r="AG27" s="52">
        <f>NORMDIST(LN(O27),7.45231,0.73998,1)</f>
        <v>1.8171495766099875E-3</v>
      </c>
      <c r="AH27" s="10">
        <f>1/(1+EXP(3.2269-1.9688*P27))</f>
        <v>6.4664168782384332E-2</v>
      </c>
      <c r="AI27" s="10">
        <f t="shared" si="60"/>
        <v>8.3952933223302938E-4</v>
      </c>
      <c r="AJ27" s="10">
        <f t="shared" si="60"/>
        <v>7.4089572888536606E-5</v>
      </c>
      <c r="AK27" s="10">
        <f>MAX(AH27,AI27,AJ27)</f>
        <v>6.4664168782384332E-2</v>
      </c>
      <c r="AL27" s="10">
        <f>1/(1+EXP(12.597-0.05861*35-1.568*((S27/0.817)^0.4612)))</f>
        <v>3.4766533926281419E-3</v>
      </c>
      <c r="AM27" s="10">
        <f>AL27</f>
        <v>3.4766533926281419E-3</v>
      </c>
      <c r="AN27" s="10">
        <f t="shared" si="61"/>
        <v>3.6212975248191646E-3</v>
      </c>
      <c r="AO27" s="10">
        <f t="shared" si="61"/>
        <v>3.1604929139524831E-3</v>
      </c>
      <c r="AP27" s="58">
        <f>MAX(AN27,AO27)</f>
        <v>3.6212975248191646E-3</v>
      </c>
      <c r="AQ27" s="63">
        <f>ROUND(1-(1-W27)*(1-AA27)*(1-AC27)*(1-AF27),3)</f>
        <v>7.8E-2</v>
      </c>
      <c r="AR27" s="10">
        <f>ROUND(1-(1-AG27)*(1-AK27)*(1-AM27)*(1-AP27),3)</f>
        <v>7.2999999999999995E-2</v>
      </c>
      <c r="AS27" s="10">
        <f>ROUND(AVERAGE(AR27,AQ27),3)</f>
        <v>7.5999999999999998E-2</v>
      </c>
      <c r="AT27" s="24">
        <f t="shared" si="62"/>
        <v>0.52</v>
      </c>
      <c r="AU27" s="24">
        <f t="shared" si="62"/>
        <v>0.49</v>
      </c>
      <c r="AV27" s="24">
        <f t="shared" si="62"/>
        <v>0.51</v>
      </c>
      <c r="AW27" s="25">
        <f t="shared" si="63"/>
        <v>5</v>
      </c>
      <c r="AX27" s="25">
        <f t="shared" si="63"/>
        <v>5</v>
      </c>
      <c r="AY27" s="25">
        <f t="shared" si="63"/>
        <v>5</v>
      </c>
    </row>
    <row r="28" spans="1:51" ht="12" customHeight="1">
      <c r="A28" s="60">
        <v>14307</v>
      </c>
      <c r="B28" s="60" t="s">
        <v>168</v>
      </c>
      <c r="C28" s="65" t="str">
        <f>Rollover!A28</f>
        <v>Ford</v>
      </c>
      <c r="D28" s="65" t="str">
        <f>Rollover!B28</f>
        <v>F-150 Lightning BEV PU/CC 4WD</v>
      </c>
      <c r="E28" s="61" t="s">
        <v>155</v>
      </c>
      <c r="F28" s="177">
        <f>Rollover!C28</f>
        <v>2022</v>
      </c>
      <c r="G28" s="18">
        <v>336.83499999999998</v>
      </c>
      <c r="H28" s="19">
        <v>0.42399999999999999</v>
      </c>
      <c r="I28" s="19">
        <v>2017.1869999999999</v>
      </c>
      <c r="J28" s="19">
        <v>340.82600000000002</v>
      </c>
      <c r="K28" s="19">
        <v>25.884</v>
      </c>
      <c r="L28" s="19">
        <v>40.432000000000002</v>
      </c>
      <c r="M28" s="19">
        <v>1000.121</v>
      </c>
      <c r="N28" s="20">
        <v>813.577</v>
      </c>
      <c r="O28" s="18">
        <v>448.983</v>
      </c>
      <c r="P28" s="19">
        <v>0.35799999999999998</v>
      </c>
      <c r="Q28" s="19">
        <v>808.50800000000004</v>
      </c>
      <c r="R28" s="19">
        <v>593.96799999999996</v>
      </c>
      <c r="S28" s="19">
        <v>9.9309999999999992</v>
      </c>
      <c r="T28" s="19">
        <v>51.542999999999999</v>
      </c>
      <c r="U28" s="19">
        <v>380.53399999999999</v>
      </c>
      <c r="V28" s="51">
        <v>534.08199999999999</v>
      </c>
      <c r="W28" s="52">
        <f t="shared" si="29"/>
        <v>1.3676824071331571E-2</v>
      </c>
      <c r="X28" s="10">
        <f t="shared" si="30"/>
        <v>8.3774887480479704E-2</v>
      </c>
      <c r="Y28" s="10">
        <f t="shared" si="31"/>
        <v>2.0585744070018689E-3</v>
      </c>
      <c r="Z28" s="10">
        <f t="shared" si="32"/>
        <v>3.8491360590399507E-5</v>
      </c>
      <c r="AA28" s="10">
        <f t="shared" si="33"/>
        <v>8.3774887480479704E-2</v>
      </c>
      <c r="AB28" s="10">
        <f t="shared" si="34"/>
        <v>2.890690689056348E-2</v>
      </c>
      <c r="AC28" s="10">
        <f t="shared" si="35"/>
        <v>2.890690689056348E-2</v>
      </c>
      <c r="AD28" s="10">
        <f t="shared" si="36"/>
        <v>5.090695457700461E-3</v>
      </c>
      <c r="AE28" s="10">
        <f t="shared" si="37"/>
        <v>4.6225965654847854E-3</v>
      </c>
      <c r="AF28" s="58">
        <f t="shared" si="38"/>
        <v>5.090695457700461E-3</v>
      </c>
      <c r="AG28" s="52">
        <f t="shared" si="39"/>
        <v>3.4527797781734135E-2</v>
      </c>
      <c r="AH28" s="10">
        <f t="shared" si="40"/>
        <v>7.4325428783836425E-2</v>
      </c>
      <c r="AI28" s="10">
        <f t="shared" si="41"/>
        <v>3.6694746958094261E-4</v>
      </c>
      <c r="AJ28" s="10">
        <f t="shared" si="42"/>
        <v>1.6346623224085924E-4</v>
      </c>
      <c r="AK28" s="10">
        <f t="shared" si="43"/>
        <v>7.4325428783836425E-2</v>
      </c>
      <c r="AL28" s="10">
        <f t="shared" si="44"/>
        <v>3.7441332843362635E-3</v>
      </c>
      <c r="AM28" s="10">
        <f t="shared" si="45"/>
        <v>3.7441332843362635E-3</v>
      </c>
      <c r="AN28" s="10">
        <f t="shared" si="46"/>
        <v>4.0500364195263476E-3</v>
      </c>
      <c r="AO28" s="10">
        <f t="shared" si="47"/>
        <v>4.5503838245402025E-3</v>
      </c>
      <c r="AP28" s="58">
        <f t="shared" si="48"/>
        <v>4.5503838245402025E-3</v>
      </c>
      <c r="AQ28" s="63">
        <f t="shared" si="49"/>
        <v>0.127</v>
      </c>
      <c r="AR28" s="10">
        <f t="shared" si="50"/>
        <v>0.114</v>
      </c>
      <c r="AS28" s="10">
        <f t="shared" si="51"/>
        <v>0.121</v>
      </c>
      <c r="AT28" s="24">
        <f t="shared" si="52"/>
        <v>0.85</v>
      </c>
      <c r="AU28" s="24">
        <f t="shared" si="53"/>
        <v>0.76</v>
      </c>
      <c r="AV28" s="24">
        <f t="shared" si="54"/>
        <v>0.81</v>
      </c>
      <c r="AW28" s="25">
        <f t="shared" si="55"/>
        <v>4</v>
      </c>
      <c r="AX28" s="25">
        <f t="shared" si="56"/>
        <v>4</v>
      </c>
      <c r="AY28" s="25">
        <f t="shared" si="57"/>
        <v>4</v>
      </c>
    </row>
    <row r="29" spans="1:51" ht="12" customHeight="1">
      <c r="A29" s="60">
        <v>14353</v>
      </c>
      <c r="B29" s="60" t="s">
        <v>169</v>
      </c>
      <c r="C29" s="65" t="str">
        <f>Rollover!A29</f>
        <v>Ford</v>
      </c>
      <c r="D29" s="65" t="str">
        <f>Rollover!B29</f>
        <v>F-150 Super Crew HEV PU/CC 2WD</v>
      </c>
      <c r="E29" s="61" t="s">
        <v>155</v>
      </c>
      <c r="F29" s="177">
        <f>Rollover!C29</f>
        <v>2022</v>
      </c>
      <c r="G29" s="18">
        <v>367.096</v>
      </c>
      <c r="H29" s="19">
        <v>0.27800000000000002</v>
      </c>
      <c r="I29" s="19">
        <v>974.61699999999996</v>
      </c>
      <c r="J29" s="19">
        <v>816.01599999999996</v>
      </c>
      <c r="K29" s="19">
        <v>20.451000000000001</v>
      </c>
      <c r="L29" s="19">
        <v>42.430999999999997</v>
      </c>
      <c r="M29" s="19">
        <v>644.44100000000003</v>
      </c>
      <c r="N29" s="20">
        <v>544.01199999999994</v>
      </c>
      <c r="O29" s="18">
        <v>314.86399999999998</v>
      </c>
      <c r="P29" s="19">
        <v>0.38100000000000001</v>
      </c>
      <c r="Q29" s="19">
        <v>707.21</v>
      </c>
      <c r="R29" s="19">
        <v>492.76299999999998</v>
      </c>
      <c r="S29" s="19">
        <v>8.5</v>
      </c>
      <c r="T29" s="19">
        <v>46.76</v>
      </c>
      <c r="U29" s="19">
        <v>139.68100000000001</v>
      </c>
      <c r="V29" s="51">
        <v>108.568</v>
      </c>
      <c r="W29" s="52">
        <f t="shared" si="29"/>
        <v>1.8301107384004457E-2</v>
      </c>
      <c r="X29" s="10">
        <f t="shared" si="30"/>
        <v>6.4189485150733513E-2</v>
      </c>
      <c r="Y29" s="10">
        <f t="shared" si="31"/>
        <v>1.7339158371506666E-4</v>
      </c>
      <c r="Z29" s="10">
        <f t="shared" si="32"/>
        <v>1.1897692585831115E-4</v>
      </c>
      <c r="AA29" s="10">
        <f t="shared" si="33"/>
        <v>6.4189485150733513E-2</v>
      </c>
      <c r="AB29" s="10">
        <f t="shared" si="34"/>
        <v>1.4226921075824172E-2</v>
      </c>
      <c r="AC29" s="10">
        <f t="shared" si="35"/>
        <v>1.4226921075824172E-2</v>
      </c>
      <c r="AD29" s="10">
        <f t="shared" si="36"/>
        <v>4.2353352760477921E-3</v>
      </c>
      <c r="AE29" s="10">
        <f t="shared" si="37"/>
        <v>4.0208565507228993E-3</v>
      </c>
      <c r="AF29" s="58">
        <f t="shared" si="38"/>
        <v>4.2353352760477921E-3</v>
      </c>
      <c r="AG29" s="52">
        <f t="shared" si="39"/>
        <v>1.0792623401187166E-2</v>
      </c>
      <c r="AH29" s="10">
        <f t="shared" si="40"/>
        <v>7.7501590004152479E-2</v>
      </c>
      <c r="AI29" s="10">
        <f t="shared" si="41"/>
        <v>2.5049569403370089E-4</v>
      </c>
      <c r="AJ29" s="10">
        <f t="shared" si="42"/>
        <v>1.1162169604281896E-4</v>
      </c>
      <c r="AK29" s="10">
        <f t="shared" si="43"/>
        <v>7.7501590004152479E-2</v>
      </c>
      <c r="AL29" s="10">
        <f t="shared" si="44"/>
        <v>2.6583123463607729E-3</v>
      </c>
      <c r="AM29" s="10">
        <f t="shared" si="45"/>
        <v>2.6583123463607729E-3</v>
      </c>
      <c r="AN29" s="10">
        <f t="shared" si="46"/>
        <v>3.3733260104702044E-3</v>
      </c>
      <c r="AO29" s="10">
        <f t="shared" si="47"/>
        <v>3.2945620220812596E-3</v>
      </c>
      <c r="AP29" s="58">
        <f t="shared" si="48"/>
        <v>3.3733260104702044E-3</v>
      </c>
      <c r="AQ29" s="63">
        <f t="shared" si="49"/>
        <v>9.8000000000000004E-2</v>
      </c>
      <c r="AR29" s="10">
        <f t="shared" si="50"/>
        <v>9.2999999999999999E-2</v>
      </c>
      <c r="AS29" s="10">
        <f t="shared" si="51"/>
        <v>9.6000000000000002E-2</v>
      </c>
      <c r="AT29" s="24">
        <f t="shared" si="52"/>
        <v>0.65</v>
      </c>
      <c r="AU29" s="24">
        <f t="shared" si="53"/>
        <v>0.62</v>
      </c>
      <c r="AV29" s="24">
        <f t="shared" si="54"/>
        <v>0.64</v>
      </c>
      <c r="AW29" s="25">
        <f t="shared" si="55"/>
        <v>5</v>
      </c>
      <c r="AX29" s="25">
        <f t="shared" si="56"/>
        <v>5</v>
      </c>
      <c r="AY29" s="25">
        <f t="shared" si="57"/>
        <v>5</v>
      </c>
    </row>
    <row r="30" spans="1:51" ht="12" customHeight="1">
      <c r="A30" s="60">
        <v>14353</v>
      </c>
      <c r="B30" s="60" t="s">
        <v>169</v>
      </c>
      <c r="C30" s="65" t="str">
        <f>Rollover!A30</f>
        <v>Ford</v>
      </c>
      <c r="D30" s="65" t="str">
        <f>Rollover!B30</f>
        <v>F-150 Super Crew HEV PU/CC 4WD</v>
      </c>
      <c r="E30" s="61" t="s">
        <v>155</v>
      </c>
      <c r="F30" s="177">
        <f>Rollover!C30</f>
        <v>2022</v>
      </c>
      <c r="G30" s="18">
        <v>367.096</v>
      </c>
      <c r="H30" s="19">
        <v>0.27800000000000002</v>
      </c>
      <c r="I30" s="19">
        <v>974.61699999999996</v>
      </c>
      <c r="J30" s="19">
        <v>816.01599999999996</v>
      </c>
      <c r="K30" s="19">
        <v>20.451000000000001</v>
      </c>
      <c r="L30" s="19">
        <v>42.430999999999997</v>
      </c>
      <c r="M30" s="19">
        <v>644.44100000000003</v>
      </c>
      <c r="N30" s="20">
        <v>544.01199999999994</v>
      </c>
      <c r="O30" s="18">
        <v>314.86399999999998</v>
      </c>
      <c r="P30" s="19">
        <v>0.38100000000000001</v>
      </c>
      <c r="Q30" s="19">
        <v>707.21</v>
      </c>
      <c r="R30" s="19">
        <v>492.76299999999998</v>
      </c>
      <c r="S30" s="19">
        <v>8.5</v>
      </c>
      <c r="T30" s="19">
        <v>46.76</v>
      </c>
      <c r="U30" s="19">
        <v>139.68100000000001</v>
      </c>
      <c r="V30" s="51">
        <v>108.568</v>
      </c>
      <c r="W30" s="52">
        <f t="shared" si="29"/>
        <v>1.8301107384004457E-2</v>
      </c>
      <c r="X30" s="10">
        <f t="shared" si="30"/>
        <v>6.4189485150733513E-2</v>
      </c>
      <c r="Y30" s="10">
        <f t="shared" si="31"/>
        <v>1.7339158371506666E-4</v>
      </c>
      <c r="Z30" s="10">
        <f t="shared" si="32"/>
        <v>1.1897692585831115E-4</v>
      </c>
      <c r="AA30" s="10">
        <f t="shared" si="33"/>
        <v>6.4189485150733513E-2</v>
      </c>
      <c r="AB30" s="10">
        <f t="shared" si="34"/>
        <v>1.4226921075824172E-2</v>
      </c>
      <c r="AC30" s="10">
        <f t="shared" si="35"/>
        <v>1.4226921075824172E-2</v>
      </c>
      <c r="AD30" s="10">
        <f t="shared" si="36"/>
        <v>4.2353352760477921E-3</v>
      </c>
      <c r="AE30" s="10">
        <f t="shared" si="37"/>
        <v>4.0208565507228993E-3</v>
      </c>
      <c r="AF30" s="58">
        <f t="shared" si="38"/>
        <v>4.2353352760477921E-3</v>
      </c>
      <c r="AG30" s="52">
        <f t="shared" si="39"/>
        <v>1.0792623401187166E-2</v>
      </c>
      <c r="AH30" s="10">
        <f t="shared" si="40"/>
        <v>7.7501590004152479E-2</v>
      </c>
      <c r="AI30" s="10">
        <f t="shared" si="41"/>
        <v>2.5049569403370089E-4</v>
      </c>
      <c r="AJ30" s="10">
        <f t="shared" si="42"/>
        <v>1.1162169604281896E-4</v>
      </c>
      <c r="AK30" s="10">
        <f t="shared" si="43"/>
        <v>7.7501590004152479E-2</v>
      </c>
      <c r="AL30" s="10">
        <f t="shared" si="44"/>
        <v>2.6583123463607729E-3</v>
      </c>
      <c r="AM30" s="10">
        <f t="shared" si="45"/>
        <v>2.6583123463607729E-3</v>
      </c>
      <c r="AN30" s="10">
        <f t="shared" si="46"/>
        <v>3.3733260104702044E-3</v>
      </c>
      <c r="AO30" s="10">
        <f t="shared" si="47"/>
        <v>3.2945620220812596E-3</v>
      </c>
      <c r="AP30" s="58">
        <f t="shared" si="48"/>
        <v>3.3733260104702044E-3</v>
      </c>
      <c r="AQ30" s="63">
        <f t="shared" si="49"/>
        <v>9.8000000000000004E-2</v>
      </c>
      <c r="AR30" s="10">
        <f t="shared" si="50"/>
        <v>9.2999999999999999E-2</v>
      </c>
      <c r="AS30" s="10">
        <f t="shared" si="51"/>
        <v>9.6000000000000002E-2</v>
      </c>
      <c r="AT30" s="24">
        <f t="shared" si="52"/>
        <v>0.65</v>
      </c>
      <c r="AU30" s="24">
        <f t="shared" si="53"/>
        <v>0.62</v>
      </c>
      <c r="AV30" s="24">
        <f t="shared" si="54"/>
        <v>0.64</v>
      </c>
      <c r="AW30" s="25">
        <f t="shared" si="55"/>
        <v>5</v>
      </c>
      <c r="AX30" s="25">
        <f t="shared" si="56"/>
        <v>5</v>
      </c>
      <c r="AY30" s="25">
        <f t="shared" si="57"/>
        <v>5</v>
      </c>
    </row>
    <row r="31" spans="1:51" ht="12" customHeight="1">
      <c r="A31" s="178">
        <v>10797</v>
      </c>
      <c r="B31" s="60" t="s">
        <v>170</v>
      </c>
      <c r="C31" s="65" t="str">
        <f>Rollover!A31</f>
        <v>Ford</v>
      </c>
      <c r="D31" s="65" t="str">
        <f>Rollover!B31</f>
        <v>F-250 Super Cab PU/EC 2WD</v>
      </c>
      <c r="E31" s="61" t="s">
        <v>155</v>
      </c>
      <c r="F31" s="177">
        <f>Rollover!C31</f>
        <v>2022</v>
      </c>
      <c r="G31" s="18">
        <v>179.012</v>
      </c>
      <c r="H31" s="19">
        <v>0.28899999999999998</v>
      </c>
      <c r="I31" s="19">
        <v>608.62300000000005</v>
      </c>
      <c r="J31" s="19">
        <v>97.706999999999994</v>
      </c>
      <c r="K31" s="19">
        <v>22.055</v>
      </c>
      <c r="L31" s="19">
        <v>37.112000000000002</v>
      </c>
      <c r="M31" s="19">
        <v>109.068</v>
      </c>
      <c r="N31" s="20">
        <v>452.31900000000002</v>
      </c>
      <c r="O31" s="18">
        <v>327.18299999999999</v>
      </c>
      <c r="P31" s="19">
        <v>0.34599999999999997</v>
      </c>
      <c r="Q31" s="19">
        <v>620.851</v>
      </c>
      <c r="R31" s="19">
        <v>590.00699999999995</v>
      </c>
      <c r="S31" s="19">
        <v>12.250999999999999</v>
      </c>
      <c r="T31" s="19">
        <v>40.622999999999998</v>
      </c>
      <c r="U31" s="19">
        <v>2776.3409999999999</v>
      </c>
      <c r="V31" s="51">
        <v>1811.123</v>
      </c>
      <c r="W31" s="52">
        <f t="shared" si="29"/>
        <v>1.1040992821344175E-3</v>
      </c>
      <c r="X31" s="10">
        <f t="shared" si="30"/>
        <v>6.5502735165145057E-2</v>
      </c>
      <c r="Y31" s="10">
        <f t="shared" si="31"/>
        <v>7.2705531971611689E-5</v>
      </c>
      <c r="Z31" s="10">
        <f t="shared" si="32"/>
        <v>2.1607556147810406E-5</v>
      </c>
      <c r="AA31" s="10">
        <f t="shared" si="33"/>
        <v>6.5502735165145057E-2</v>
      </c>
      <c r="AB31" s="10">
        <f t="shared" si="34"/>
        <v>1.7727131232446153E-2</v>
      </c>
      <c r="AC31" s="10">
        <f t="shared" si="35"/>
        <v>1.7727131232446153E-2</v>
      </c>
      <c r="AD31" s="10">
        <f t="shared" si="36"/>
        <v>3.2101309071416806E-3</v>
      </c>
      <c r="AE31" s="10">
        <f t="shared" si="37"/>
        <v>3.8344973743362591E-3</v>
      </c>
      <c r="AF31" s="58">
        <f t="shared" si="38"/>
        <v>3.8344973743362591E-3</v>
      </c>
      <c r="AG31" s="52">
        <f t="shared" si="39"/>
        <v>1.2360867309917241E-2</v>
      </c>
      <c r="AH31" s="10">
        <f t="shared" si="40"/>
        <v>7.2716218495709778E-2</v>
      </c>
      <c r="AI31" s="10">
        <f t="shared" si="41"/>
        <v>1.8089882783891504E-4</v>
      </c>
      <c r="AJ31" s="10">
        <f t="shared" si="42"/>
        <v>1.6104372166808535E-4</v>
      </c>
      <c r="AK31" s="10">
        <f t="shared" si="43"/>
        <v>7.2716218495709778E-2</v>
      </c>
      <c r="AL31" s="10">
        <f t="shared" si="44"/>
        <v>6.1854937574773996E-3</v>
      </c>
      <c r="AM31" s="10">
        <f t="shared" si="45"/>
        <v>6.1854937574773996E-3</v>
      </c>
      <c r="AN31" s="10">
        <f t="shared" si="46"/>
        <v>2.4611890041461349E-2</v>
      </c>
      <c r="AO31" s="10">
        <f t="shared" si="47"/>
        <v>1.1949960316986899E-2</v>
      </c>
      <c r="AP31" s="58">
        <f t="shared" si="48"/>
        <v>2.4611890041461349E-2</v>
      </c>
      <c r="AQ31" s="63">
        <f t="shared" si="49"/>
        <v>8.6999999999999994E-2</v>
      </c>
      <c r="AR31" s="10">
        <f t="shared" si="50"/>
        <v>0.112</v>
      </c>
      <c r="AS31" s="10">
        <f t="shared" si="51"/>
        <v>0.1</v>
      </c>
      <c r="AT31" s="24">
        <f t="shared" si="52"/>
        <v>0.57999999999999996</v>
      </c>
      <c r="AU31" s="24">
        <f t="shared" si="53"/>
        <v>0.75</v>
      </c>
      <c r="AV31" s="24">
        <f t="shared" si="54"/>
        <v>0.67</v>
      </c>
      <c r="AW31" s="25">
        <f t="shared" si="55"/>
        <v>5</v>
      </c>
      <c r="AX31" s="25">
        <f t="shared" si="56"/>
        <v>4</v>
      </c>
      <c r="AY31" s="25">
        <f t="shared" si="57"/>
        <v>4</v>
      </c>
    </row>
    <row r="32" spans="1:51" ht="12" customHeight="1">
      <c r="A32" s="178">
        <v>10797</v>
      </c>
      <c r="B32" s="60" t="s">
        <v>170</v>
      </c>
      <c r="C32" s="65" t="str">
        <f>Rollover!A32</f>
        <v>Ford</v>
      </c>
      <c r="D32" s="65" t="str">
        <f>Rollover!B32</f>
        <v>F-250 Super Cab PU/EC 4WD</v>
      </c>
      <c r="E32" s="61" t="s">
        <v>155</v>
      </c>
      <c r="F32" s="177">
        <f>Rollover!C32</f>
        <v>2022</v>
      </c>
      <c r="G32" s="18">
        <v>179.012</v>
      </c>
      <c r="H32" s="19">
        <v>0.28899999999999998</v>
      </c>
      <c r="I32" s="19">
        <v>608.62300000000005</v>
      </c>
      <c r="J32" s="19">
        <v>97.706999999999994</v>
      </c>
      <c r="K32" s="19">
        <v>22.055</v>
      </c>
      <c r="L32" s="19">
        <v>37.112000000000002</v>
      </c>
      <c r="M32" s="19">
        <v>109.068</v>
      </c>
      <c r="N32" s="20">
        <v>452.31900000000002</v>
      </c>
      <c r="O32" s="18">
        <v>327.18299999999999</v>
      </c>
      <c r="P32" s="19">
        <v>0.34599999999999997</v>
      </c>
      <c r="Q32" s="19">
        <v>620.851</v>
      </c>
      <c r="R32" s="19">
        <v>590.00699999999995</v>
      </c>
      <c r="S32" s="19">
        <v>12.250999999999999</v>
      </c>
      <c r="T32" s="19">
        <v>40.622999999999998</v>
      </c>
      <c r="U32" s="19">
        <v>2776.3409999999999</v>
      </c>
      <c r="V32" s="51">
        <v>1811.123</v>
      </c>
      <c r="W32" s="52">
        <f t="shared" si="29"/>
        <v>1.1040992821344175E-3</v>
      </c>
      <c r="X32" s="10">
        <f t="shared" si="30"/>
        <v>6.5502735165145057E-2</v>
      </c>
      <c r="Y32" s="10">
        <f t="shared" si="31"/>
        <v>7.2705531971611689E-5</v>
      </c>
      <c r="Z32" s="10">
        <f t="shared" si="32"/>
        <v>2.1607556147810406E-5</v>
      </c>
      <c r="AA32" s="10">
        <f t="shared" si="33"/>
        <v>6.5502735165145057E-2</v>
      </c>
      <c r="AB32" s="10">
        <f t="shared" si="34"/>
        <v>1.7727131232446153E-2</v>
      </c>
      <c r="AC32" s="10">
        <f t="shared" si="35"/>
        <v>1.7727131232446153E-2</v>
      </c>
      <c r="AD32" s="10">
        <f t="shared" si="36"/>
        <v>3.2101309071416806E-3</v>
      </c>
      <c r="AE32" s="10">
        <f t="shared" si="37"/>
        <v>3.8344973743362591E-3</v>
      </c>
      <c r="AF32" s="58">
        <f t="shared" si="38"/>
        <v>3.8344973743362591E-3</v>
      </c>
      <c r="AG32" s="52">
        <f t="shared" si="39"/>
        <v>1.2360867309917241E-2</v>
      </c>
      <c r="AH32" s="10">
        <f t="shared" si="40"/>
        <v>7.2716218495709778E-2</v>
      </c>
      <c r="AI32" s="10">
        <f t="shared" si="41"/>
        <v>1.8089882783891504E-4</v>
      </c>
      <c r="AJ32" s="10">
        <f t="shared" si="42"/>
        <v>1.6104372166808535E-4</v>
      </c>
      <c r="AK32" s="10">
        <f t="shared" si="43"/>
        <v>7.2716218495709778E-2</v>
      </c>
      <c r="AL32" s="10">
        <f t="shared" si="44"/>
        <v>6.1854937574773996E-3</v>
      </c>
      <c r="AM32" s="10">
        <f t="shared" si="45"/>
        <v>6.1854937574773996E-3</v>
      </c>
      <c r="AN32" s="10">
        <f t="shared" si="46"/>
        <v>2.4611890041461349E-2</v>
      </c>
      <c r="AO32" s="10">
        <f t="shared" si="47"/>
        <v>1.1949960316986899E-2</v>
      </c>
      <c r="AP32" s="58">
        <f t="shared" si="48"/>
        <v>2.4611890041461349E-2</v>
      </c>
      <c r="AQ32" s="63">
        <f t="shared" si="49"/>
        <v>8.6999999999999994E-2</v>
      </c>
      <c r="AR32" s="10">
        <f t="shared" si="50"/>
        <v>0.112</v>
      </c>
      <c r="AS32" s="10">
        <f t="shared" si="51"/>
        <v>0.1</v>
      </c>
      <c r="AT32" s="24">
        <f t="shared" si="52"/>
        <v>0.57999999999999996</v>
      </c>
      <c r="AU32" s="24">
        <f t="shared" si="53"/>
        <v>0.75</v>
      </c>
      <c r="AV32" s="24">
        <f t="shared" si="54"/>
        <v>0.67</v>
      </c>
      <c r="AW32" s="25">
        <f t="shared" si="55"/>
        <v>5</v>
      </c>
      <c r="AX32" s="25">
        <f t="shared" si="56"/>
        <v>4</v>
      </c>
      <c r="AY32" s="25">
        <f t="shared" si="57"/>
        <v>4</v>
      </c>
    </row>
    <row r="33" spans="1:51" ht="12" customHeight="1">
      <c r="A33" s="60">
        <v>14127</v>
      </c>
      <c r="B33" s="60" t="s">
        <v>171</v>
      </c>
      <c r="C33" s="65" t="str">
        <f>Rollover!A33</f>
        <v>Ford</v>
      </c>
      <c r="D33" s="65" t="str">
        <f>Rollover!B33</f>
        <v>Maverick PU/CC FWD</v>
      </c>
      <c r="E33" s="61" t="s">
        <v>161</v>
      </c>
      <c r="F33" s="177">
        <f>Rollover!C33</f>
        <v>2022</v>
      </c>
      <c r="G33" s="18">
        <v>129.458</v>
      </c>
      <c r="H33" s="19">
        <v>0.22</v>
      </c>
      <c r="I33" s="19">
        <v>1041.953</v>
      </c>
      <c r="J33" s="19">
        <v>50.465000000000003</v>
      </c>
      <c r="K33" s="19">
        <v>23.228999999999999</v>
      </c>
      <c r="L33" s="19">
        <v>40.307000000000002</v>
      </c>
      <c r="M33" s="19">
        <v>618.89</v>
      </c>
      <c r="N33" s="20">
        <v>217.59200000000001</v>
      </c>
      <c r="O33" s="18">
        <v>201.548</v>
      </c>
      <c r="P33" s="19">
        <v>0.51</v>
      </c>
      <c r="Q33" s="19">
        <v>820.03200000000004</v>
      </c>
      <c r="R33" s="19">
        <v>209.482</v>
      </c>
      <c r="S33" s="19">
        <v>14.531000000000001</v>
      </c>
      <c r="T33" s="19">
        <v>40.700000000000003</v>
      </c>
      <c r="U33" s="19">
        <v>684.11400000000003</v>
      </c>
      <c r="V33" s="51">
        <v>1053.48</v>
      </c>
      <c r="W33" s="52">
        <f t="shared" si="29"/>
        <v>2.3378336577377007E-4</v>
      </c>
      <c r="X33" s="10">
        <f t="shared" si="30"/>
        <v>5.7662089306329538E-2</v>
      </c>
      <c r="Y33" s="10">
        <f t="shared" si="31"/>
        <v>2.0345512348346096E-4</v>
      </c>
      <c r="Z33" s="10">
        <f t="shared" si="32"/>
        <v>1.931429737870439E-5</v>
      </c>
      <c r="AA33" s="10">
        <f t="shared" si="33"/>
        <v>5.7662089306329538E-2</v>
      </c>
      <c r="AB33" s="10">
        <f t="shared" si="34"/>
        <v>2.0700519213544096E-2</v>
      </c>
      <c r="AC33" s="10">
        <f t="shared" si="35"/>
        <v>2.0700519213544096E-2</v>
      </c>
      <c r="AD33" s="10">
        <f t="shared" si="36"/>
        <v>4.1797107801639236E-3</v>
      </c>
      <c r="AE33" s="10">
        <f t="shared" si="37"/>
        <v>3.3957158324783195E-3</v>
      </c>
      <c r="AF33" s="58">
        <f t="shared" si="38"/>
        <v>4.1797107801639236E-3</v>
      </c>
      <c r="AG33" s="52">
        <f t="shared" si="39"/>
        <v>1.8630766174237653E-3</v>
      </c>
      <c r="AH33" s="10">
        <f t="shared" si="40"/>
        <v>9.7720586054227954E-2</v>
      </c>
      <c r="AI33" s="10">
        <f t="shared" si="41"/>
        <v>3.8323481284932998E-4</v>
      </c>
      <c r="AJ33" s="10">
        <f t="shared" si="42"/>
        <v>3.8367829284028817E-5</v>
      </c>
      <c r="AK33" s="10">
        <f t="shared" si="43"/>
        <v>9.7720586054227954E-2</v>
      </c>
      <c r="AL33" s="10">
        <f t="shared" si="44"/>
        <v>9.6445693241711435E-3</v>
      </c>
      <c r="AM33" s="10">
        <f t="shared" si="45"/>
        <v>9.6445693241711435E-3</v>
      </c>
      <c r="AN33" s="10">
        <f t="shared" si="46"/>
        <v>5.098620803448149E-3</v>
      </c>
      <c r="AO33" s="10">
        <f t="shared" si="47"/>
        <v>6.7445468003218267E-3</v>
      </c>
      <c r="AP33" s="58">
        <f t="shared" si="48"/>
        <v>6.7445468003218267E-3</v>
      </c>
      <c r="AQ33" s="63">
        <f t="shared" si="49"/>
        <v>8.1000000000000003E-2</v>
      </c>
      <c r="AR33" s="10">
        <f t="shared" si="50"/>
        <v>0.114</v>
      </c>
      <c r="AS33" s="10">
        <f t="shared" si="51"/>
        <v>9.8000000000000004E-2</v>
      </c>
      <c r="AT33" s="24">
        <f t="shared" si="52"/>
        <v>0.54</v>
      </c>
      <c r="AU33" s="24">
        <f t="shared" si="53"/>
        <v>0.76</v>
      </c>
      <c r="AV33" s="24">
        <f t="shared" si="54"/>
        <v>0.65</v>
      </c>
      <c r="AW33" s="25">
        <f t="shared" si="55"/>
        <v>5</v>
      </c>
      <c r="AX33" s="25">
        <f t="shared" si="56"/>
        <v>4</v>
      </c>
      <c r="AY33" s="25">
        <f t="shared" si="57"/>
        <v>5</v>
      </c>
    </row>
    <row r="34" spans="1:51" ht="12" customHeight="1">
      <c r="A34" s="60">
        <v>14127</v>
      </c>
      <c r="B34" s="60" t="s">
        <v>171</v>
      </c>
      <c r="C34" s="65" t="str">
        <f>Rollover!A34</f>
        <v>Ford</v>
      </c>
      <c r="D34" s="65" t="str">
        <f>Rollover!B34</f>
        <v>Maverick PU/CC 4WD</v>
      </c>
      <c r="E34" s="61" t="s">
        <v>161</v>
      </c>
      <c r="F34" s="177">
        <f>Rollover!C34</f>
        <v>2022</v>
      </c>
      <c r="G34" s="18">
        <v>129.458</v>
      </c>
      <c r="H34" s="19">
        <v>0.22</v>
      </c>
      <c r="I34" s="19">
        <v>1041.953</v>
      </c>
      <c r="J34" s="19">
        <v>50.465000000000003</v>
      </c>
      <c r="K34" s="19">
        <v>23.228999999999999</v>
      </c>
      <c r="L34" s="19">
        <v>40.307000000000002</v>
      </c>
      <c r="M34" s="19">
        <v>618.89</v>
      </c>
      <c r="N34" s="20">
        <v>217.59200000000001</v>
      </c>
      <c r="O34" s="18">
        <v>201.548</v>
      </c>
      <c r="P34" s="19">
        <v>0.51</v>
      </c>
      <c r="Q34" s="19">
        <v>820.03200000000004</v>
      </c>
      <c r="R34" s="19">
        <v>209.482</v>
      </c>
      <c r="S34" s="19">
        <v>14.531000000000001</v>
      </c>
      <c r="T34" s="19">
        <v>40.700000000000003</v>
      </c>
      <c r="U34" s="19">
        <v>684.11400000000003</v>
      </c>
      <c r="V34" s="51">
        <v>1053.48</v>
      </c>
      <c r="W34" s="52">
        <f t="shared" si="29"/>
        <v>2.3378336577377007E-4</v>
      </c>
      <c r="X34" s="10">
        <f t="shared" si="30"/>
        <v>5.7662089306329538E-2</v>
      </c>
      <c r="Y34" s="10">
        <f t="shared" si="31"/>
        <v>2.0345512348346096E-4</v>
      </c>
      <c r="Z34" s="10">
        <f t="shared" si="32"/>
        <v>1.931429737870439E-5</v>
      </c>
      <c r="AA34" s="10">
        <f t="shared" si="33"/>
        <v>5.7662089306329538E-2</v>
      </c>
      <c r="AB34" s="10">
        <f t="shared" si="34"/>
        <v>2.0700519213544096E-2</v>
      </c>
      <c r="AC34" s="10">
        <f t="shared" si="35"/>
        <v>2.0700519213544096E-2</v>
      </c>
      <c r="AD34" s="10">
        <f t="shared" si="36"/>
        <v>4.1797107801639236E-3</v>
      </c>
      <c r="AE34" s="10">
        <f t="shared" si="37"/>
        <v>3.3957158324783195E-3</v>
      </c>
      <c r="AF34" s="58">
        <f t="shared" si="38"/>
        <v>4.1797107801639236E-3</v>
      </c>
      <c r="AG34" s="52">
        <f t="shared" si="39"/>
        <v>1.8630766174237653E-3</v>
      </c>
      <c r="AH34" s="10">
        <f t="shared" si="40"/>
        <v>9.7720586054227954E-2</v>
      </c>
      <c r="AI34" s="10">
        <f t="shared" si="41"/>
        <v>3.8323481284932998E-4</v>
      </c>
      <c r="AJ34" s="10">
        <f t="shared" si="42"/>
        <v>3.8367829284028817E-5</v>
      </c>
      <c r="AK34" s="10">
        <f t="shared" si="43"/>
        <v>9.7720586054227954E-2</v>
      </c>
      <c r="AL34" s="10">
        <f t="shared" si="44"/>
        <v>9.6445693241711435E-3</v>
      </c>
      <c r="AM34" s="10">
        <f t="shared" si="45"/>
        <v>9.6445693241711435E-3</v>
      </c>
      <c r="AN34" s="10">
        <f t="shared" si="46"/>
        <v>5.098620803448149E-3</v>
      </c>
      <c r="AO34" s="10">
        <f t="shared" si="47"/>
        <v>6.7445468003218267E-3</v>
      </c>
      <c r="AP34" s="58">
        <f t="shared" si="48"/>
        <v>6.7445468003218267E-3</v>
      </c>
      <c r="AQ34" s="63">
        <f t="shared" si="49"/>
        <v>8.1000000000000003E-2</v>
      </c>
      <c r="AR34" s="10">
        <f t="shared" si="50"/>
        <v>0.114</v>
      </c>
      <c r="AS34" s="10">
        <f t="shared" si="51"/>
        <v>9.8000000000000004E-2</v>
      </c>
      <c r="AT34" s="24">
        <f t="shared" si="52"/>
        <v>0.54</v>
      </c>
      <c r="AU34" s="24">
        <f t="shared" si="53"/>
        <v>0.76</v>
      </c>
      <c r="AV34" s="24">
        <f t="shared" si="54"/>
        <v>0.65</v>
      </c>
      <c r="AW34" s="25">
        <f t="shared" si="55"/>
        <v>5</v>
      </c>
      <c r="AX34" s="25">
        <f t="shared" si="56"/>
        <v>4</v>
      </c>
      <c r="AY34" s="25">
        <f t="shared" si="57"/>
        <v>5</v>
      </c>
    </row>
    <row r="35" spans="1:51" ht="12" customHeight="1">
      <c r="A35" s="60">
        <v>14127</v>
      </c>
      <c r="B35" s="60" t="s">
        <v>171</v>
      </c>
      <c r="C35" s="65" t="str">
        <f>Rollover!A35</f>
        <v>Ford</v>
      </c>
      <c r="D35" s="65" t="str">
        <f>Rollover!B35</f>
        <v>Maverick HEV PU/CC FWD</v>
      </c>
      <c r="E35" s="61" t="s">
        <v>161</v>
      </c>
      <c r="F35" s="177">
        <f>Rollover!C35</f>
        <v>2022</v>
      </c>
      <c r="G35" s="18">
        <v>129.458</v>
      </c>
      <c r="H35" s="19">
        <v>0.22</v>
      </c>
      <c r="I35" s="19">
        <v>1041.953</v>
      </c>
      <c r="J35" s="19">
        <v>50.465000000000003</v>
      </c>
      <c r="K35" s="19">
        <v>23.228999999999999</v>
      </c>
      <c r="L35" s="19">
        <v>40.307000000000002</v>
      </c>
      <c r="M35" s="19">
        <v>618.89</v>
      </c>
      <c r="N35" s="20">
        <v>217.59200000000001</v>
      </c>
      <c r="O35" s="18">
        <v>201.548</v>
      </c>
      <c r="P35" s="19">
        <v>0.51</v>
      </c>
      <c r="Q35" s="19">
        <v>820.03200000000004</v>
      </c>
      <c r="R35" s="19">
        <v>209.482</v>
      </c>
      <c r="S35" s="19">
        <v>14.531000000000001</v>
      </c>
      <c r="T35" s="19">
        <v>40.700000000000003</v>
      </c>
      <c r="U35" s="19">
        <v>684.11400000000003</v>
      </c>
      <c r="V35" s="51">
        <v>1053.48</v>
      </c>
      <c r="W35" s="52">
        <f t="shared" si="29"/>
        <v>2.3378336577377007E-4</v>
      </c>
      <c r="X35" s="10">
        <f t="shared" si="30"/>
        <v>5.7662089306329538E-2</v>
      </c>
      <c r="Y35" s="10">
        <f t="shared" si="31"/>
        <v>2.0345512348346096E-4</v>
      </c>
      <c r="Z35" s="10">
        <f t="shared" si="32"/>
        <v>1.931429737870439E-5</v>
      </c>
      <c r="AA35" s="10">
        <f t="shared" si="33"/>
        <v>5.7662089306329538E-2</v>
      </c>
      <c r="AB35" s="10">
        <f t="shared" si="34"/>
        <v>2.0700519213544096E-2</v>
      </c>
      <c r="AC35" s="10">
        <f t="shared" si="35"/>
        <v>2.0700519213544096E-2</v>
      </c>
      <c r="AD35" s="10">
        <f t="shared" si="36"/>
        <v>4.1797107801639236E-3</v>
      </c>
      <c r="AE35" s="10">
        <f t="shared" si="37"/>
        <v>3.3957158324783195E-3</v>
      </c>
      <c r="AF35" s="58">
        <f t="shared" si="38"/>
        <v>4.1797107801639236E-3</v>
      </c>
      <c r="AG35" s="52">
        <f t="shared" si="39"/>
        <v>1.8630766174237653E-3</v>
      </c>
      <c r="AH35" s="10">
        <f t="shared" si="40"/>
        <v>9.7720586054227954E-2</v>
      </c>
      <c r="AI35" s="10">
        <f t="shared" si="41"/>
        <v>3.8323481284932998E-4</v>
      </c>
      <c r="AJ35" s="10">
        <f t="shared" si="42"/>
        <v>3.8367829284028817E-5</v>
      </c>
      <c r="AK35" s="10">
        <f t="shared" si="43"/>
        <v>9.7720586054227954E-2</v>
      </c>
      <c r="AL35" s="10">
        <f t="shared" si="44"/>
        <v>9.6445693241711435E-3</v>
      </c>
      <c r="AM35" s="10">
        <f t="shared" si="45"/>
        <v>9.6445693241711435E-3</v>
      </c>
      <c r="AN35" s="10">
        <f t="shared" si="46"/>
        <v>5.098620803448149E-3</v>
      </c>
      <c r="AO35" s="10">
        <f t="shared" si="47"/>
        <v>6.7445468003218267E-3</v>
      </c>
      <c r="AP35" s="58">
        <f t="shared" si="48"/>
        <v>6.7445468003218267E-3</v>
      </c>
      <c r="AQ35" s="63">
        <f t="shared" si="49"/>
        <v>8.1000000000000003E-2</v>
      </c>
      <c r="AR35" s="10">
        <f t="shared" si="50"/>
        <v>0.114</v>
      </c>
      <c r="AS35" s="10">
        <f t="shared" si="51"/>
        <v>9.8000000000000004E-2</v>
      </c>
      <c r="AT35" s="24">
        <f t="shared" si="52"/>
        <v>0.54</v>
      </c>
      <c r="AU35" s="24">
        <f t="shared" si="53"/>
        <v>0.76</v>
      </c>
      <c r="AV35" s="24">
        <f t="shared" si="54"/>
        <v>0.65</v>
      </c>
      <c r="AW35" s="25">
        <f t="shared" si="55"/>
        <v>5</v>
      </c>
      <c r="AX35" s="25">
        <f t="shared" si="56"/>
        <v>4</v>
      </c>
      <c r="AY35" s="25">
        <f t="shared" si="57"/>
        <v>5</v>
      </c>
    </row>
    <row r="36" spans="1:51" ht="12" customHeight="1">
      <c r="A36" s="60">
        <v>14262</v>
      </c>
      <c r="B36" s="60" t="s">
        <v>172</v>
      </c>
      <c r="C36" s="65" t="str">
        <f>Rollover!A36</f>
        <v>Ford</v>
      </c>
      <c r="D36" s="65" t="str">
        <f>Rollover!B36</f>
        <v>Ranger Super Cab PU/EC 2WD</v>
      </c>
      <c r="E36" s="61" t="s">
        <v>155</v>
      </c>
      <c r="F36" s="177">
        <f>Rollover!C36</f>
        <v>2022</v>
      </c>
      <c r="G36" s="18">
        <v>124.23699999999999</v>
      </c>
      <c r="H36" s="19">
        <v>0.35899999999999999</v>
      </c>
      <c r="I36" s="19">
        <v>1581.232</v>
      </c>
      <c r="J36" s="19">
        <v>216.89</v>
      </c>
      <c r="K36" s="19">
        <v>25.709</v>
      </c>
      <c r="L36" s="19">
        <v>38.744999999999997</v>
      </c>
      <c r="M36" s="19">
        <v>3378.5880000000002</v>
      </c>
      <c r="N36" s="20">
        <v>1607.5530000000001</v>
      </c>
      <c r="O36" s="18">
        <v>306.815</v>
      </c>
      <c r="P36" s="19">
        <v>0.32900000000000001</v>
      </c>
      <c r="Q36" s="19">
        <v>677.97</v>
      </c>
      <c r="R36" s="19">
        <v>476.14800000000002</v>
      </c>
      <c r="S36" s="19">
        <v>13.161</v>
      </c>
      <c r="T36" s="19">
        <v>39.183999999999997</v>
      </c>
      <c r="U36" s="19">
        <v>2039.7380000000001</v>
      </c>
      <c r="V36" s="51">
        <v>728.48199999999997</v>
      </c>
      <c r="W36" s="52">
        <f t="shared" si="29"/>
        <v>1.8948547646772501E-4</v>
      </c>
      <c r="X36" s="10">
        <f t="shared" si="30"/>
        <v>7.4460998079012602E-2</v>
      </c>
      <c r="Y36" s="10">
        <f t="shared" si="31"/>
        <v>7.3194424696727573E-4</v>
      </c>
      <c r="Z36" s="10">
        <f t="shared" si="32"/>
        <v>2.8677006389148992E-5</v>
      </c>
      <c r="AA36" s="10">
        <f t="shared" si="33"/>
        <v>7.4460998079012602E-2</v>
      </c>
      <c r="AB36" s="10">
        <f t="shared" si="34"/>
        <v>2.8296668371313043E-2</v>
      </c>
      <c r="AC36" s="10">
        <f t="shared" si="35"/>
        <v>2.8296668371313043E-2</v>
      </c>
      <c r="AD36" s="10">
        <f t="shared" si="36"/>
        <v>1.7303599565444694E-2</v>
      </c>
      <c r="AE36" s="10">
        <f t="shared" si="37"/>
        <v>6.9667489949337491E-3</v>
      </c>
      <c r="AF36" s="58">
        <f t="shared" si="38"/>
        <v>1.7303599565444694E-2</v>
      </c>
      <c r="AG36" s="52">
        <f t="shared" si="39"/>
        <v>9.8350113773126545E-3</v>
      </c>
      <c r="AH36" s="10">
        <f t="shared" si="40"/>
        <v>7.0491435568372424E-2</v>
      </c>
      <c r="AI36" s="10">
        <f t="shared" si="41"/>
        <v>2.2435577587421105E-4</v>
      </c>
      <c r="AJ36" s="10">
        <f t="shared" si="42"/>
        <v>1.0484506273572321E-4</v>
      </c>
      <c r="AK36" s="10">
        <f t="shared" si="43"/>
        <v>7.0491435568372424E-2</v>
      </c>
      <c r="AL36" s="10">
        <f t="shared" si="44"/>
        <v>7.4232218609192029E-3</v>
      </c>
      <c r="AM36" s="10">
        <f t="shared" si="45"/>
        <v>7.4232218609192029E-3</v>
      </c>
      <c r="AN36" s="10">
        <f t="shared" si="46"/>
        <v>1.4191434317215314E-2</v>
      </c>
      <c r="AO36" s="10">
        <f t="shared" si="47"/>
        <v>5.2729963435971007E-3</v>
      </c>
      <c r="AP36" s="58">
        <f t="shared" si="48"/>
        <v>1.4191434317215314E-2</v>
      </c>
      <c r="AQ36" s="63">
        <f t="shared" si="49"/>
        <v>0.11600000000000001</v>
      </c>
      <c r="AR36" s="10">
        <f t="shared" si="50"/>
        <v>9.9000000000000005E-2</v>
      </c>
      <c r="AS36" s="10">
        <f t="shared" si="51"/>
        <v>0.108</v>
      </c>
      <c r="AT36" s="24">
        <f t="shared" si="52"/>
        <v>0.77</v>
      </c>
      <c r="AU36" s="24">
        <f t="shared" si="53"/>
        <v>0.66</v>
      </c>
      <c r="AV36" s="24">
        <f t="shared" si="54"/>
        <v>0.72</v>
      </c>
      <c r="AW36" s="25">
        <f t="shared" si="55"/>
        <v>4</v>
      </c>
      <c r="AX36" s="25">
        <f t="shared" si="56"/>
        <v>5</v>
      </c>
      <c r="AY36" s="25">
        <f t="shared" si="57"/>
        <v>4</v>
      </c>
    </row>
    <row r="37" spans="1:51" ht="12" customHeight="1">
      <c r="A37" s="60">
        <v>14262</v>
      </c>
      <c r="B37" s="60" t="s">
        <v>172</v>
      </c>
      <c r="C37" s="65" t="str">
        <f>Rollover!A37</f>
        <v>Ford</v>
      </c>
      <c r="D37" s="65" t="str">
        <f>Rollover!B37</f>
        <v>Ranger Super Cab PU/EC 4WD</v>
      </c>
      <c r="E37" s="61" t="s">
        <v>155</v>
      </c>
      <c r="F37" s="177">
        <f>Rollover!C37</f>
        <v>2022</v>
      </c>
      <c r="G37" s="18">
        <v>124.23699999999999</v>
      </c>
      <c r="H37" s="19">
        <v>0.35899999999999999</v>
      </c>
      <c r="I37" s="19">
        <v>1581.232</v>
      </c>
      <c r="J37" s="19">
        <v>216.89</v>
      </c>
      <c r="K37" s="19">
        <v>25.709</v>
      </c>
      <c r="L37" s="19">
        <v>38.744999999999997</v>
      </c>
      <c r="M37" s="19">
        <v>3378.5880000000002</v>
      </c>
      <c r="N37" s="20">
        <v>1607.5530000000001</v>
      </c>
      <c r="O37" s="18">
        <v>306.815</v>
      </c>
      <c r="P37" s="19">
        <v>0.32900000000000001</v>
      </c>
      <c r="Q37" s="19">
        <v>677.97</v>
      </c>
      <c r="R37" s="19">
        <v>476.14800000000002</v>
      </c>
      <c r="S37" s="19">
        <v>13.161</v>
      </c>
      <c r="T37" s="19">
        <v>39.183999999999997</v>
      </c>
      <c r="U37" s="19">
        <v>2039.7380000000001</v>
      </c>
      <c r="V37" s="51">
        <v>728.48199999999997</v>
      </c>
      <c r="W37" s="52">
        <f t="shared" si="29"/>
        <v>1.8948547646772501E-4</v>
      </c>
      <c r="X37" s="10">
        <f t="shared" si="30"/>
        <v>7.4460998079012602E-2</v>
      </c>
      <c r="Y37" s="10">
        <f t="shared" si="31"/>
        <v>7.3194424696727573E-4</v>
      </c>
      <c r="Z37" s="10">
        <f t="shared" si="32"/>
        <v>2.8677006389148992E-5</v>
      </c>
      <c r="AA37" s="10">
        <f t="shared" si="33"/>
        <v>7.4460998079012602E-2</v>
      </c>
      <c r="AB37" s="10">
        <f t="shared" si="34"/>
        <v>2.8296668371313043E-2</v>
      </c>
      <c r="AC37" s="10">
        <f t="shared" si="35"/>
        <v>2.8296668371313043E-2</v>
      </c>
      <c r="AD37" s="10">
        <f t="shared" si="36"/>
        <v>1.7303599565444694E-2</v>
      </c>
      <c r="AE37" s="10">
        <f t="shared" si="37"/>
        <v>6.9667489949337491E-3</v>
      </c>
      <c r="AF37" s="58">
        <f t="shared" si="38"/>
        <v>1.7303599565444694E-2</v>
      </c>
      <c r="AG37" s="52">
        <f t="shared" si="39"/>
        <v>9.8350113773126545E-3</v>
      </c>
      <c r="AH37" s="10">
        <f t="shared" si="40"/>
        <v>7.0491435568372424E-2</v>
      </c>
      <c r="AI37" s="10">
        <f t="shared" si="41"/>
        <v>2.2435577587421105E-4</v>
      </c>
      <c r="AJ37" s="10">
        <f t="shared" si="42"/>
        <v>1.0484506273572321E-4</v>
      </c>
      <c r="AK37" s="10">
        <f t="shared" si="43"/>
        <v>7.0491435568372424E-2</v>
      </c>
      <c r="AL37" s="10">
        <f t="shared" si="44"/>
        <v>7.4232218609192029E-3</v>
      </c>
      <c r="AM37" s="10">
        <f t="shared" si="45"/>
        <v>7.4232218609192029E-3</v>
      </c>
      <c r="AN37" s="10">
        <f t="shared" si="46"/>
        <v>1.4191434317215314E-2</v>
      </c>
      <c r="AO37" s="10">
        <f t="shared" si="47"/>
        <v>5.2729963435971007E-3</v>
      </c>
      <c r="AP37" s="58">
        <f t="shared" si="48"/>
        <v>1.4191434317215314E-2</v>
      </c>
      <c r="AQ37" s="63">
        <f t="shared" si="49"/>
        <v>0.11600000000000001</v>
      </c>
      <c r="AR37" s="10">
        <f t="shared" si="50"/>
        <v>9.9000000000000005E-2</v>
      </c>
      <c r="AS37" s="10">
        <f t="shared" si="51"/>
        <v>0.108</v>
      </c>
      <c r="AT37" s="24">
        <f t="shared" si="52"/>
        <v>0.77</v>
      </c>
      <c r="AU37" s="24">
        <f t="shared" si="53"/>
        <v>0.66</v>
      </c>
      <c r="AV37" s="24">
        <f t="shared" si="54"/>
        <v>0.72</v>
      </c>
      <c r="AW37" s="25">
        <f t="shared" si="55"/>
        <v>4</v>
      </c>
      <c r="AX37" s="25">
        <f t="shared" si="56"/>
        <v>5</v>
      </c>
      <c r="AY37" s="25">
        <f t="shared" si="57"/>
        <v>4</v>
      </c>
    </row>
    <row r="38" spans="1:51" ht="12" customHeight="1">
      <c r="A38" s="60">
        <v>14048</v>
      </c>
      <c r="B38" s="60" t="s">
        <v>173</v>
      </c>
      <c r="C38" s="65" t="str">
        <f>Rollover!A38</f>
        <v>Honda</v>
      </c>
      <c r="D38" s="65" t="str">
        <f>Rollover!B38</f>
        <v>Civic 4DR FWD</v>
      </c>
      <c r="E38" s="61" t="s">
        <v>155</v>
      </c>
      <c r="F38" s="177">
        <f>Rollover!C38</f>
        <v>2022</v>
      </c>
      <c r="G38" s="52">
        <v>325.346</v>
      </c>
      <c r="H38" s="10">
        <v>0.30299999999999999</v>
      </c>
      <c r="I38" s="10">
        <v>1071.037</v>
      </c>
      <c r="J38" s="10">
        <v>103.711</v>
      </c>
      <c r="K38" s="10">
        <v>19.547999999999998</v>
      </c>
      <c r="L38" s="10">
        <v>36.225000000000001</v>
      </c>
      <c r="M38" s="10">
        <v>838.65499999999997</v>
      </c>
      <c r="N38" s="58">
        <v>1653.34</v>
      </c>
      <c r="O38" s="52">
        <v>444.48</v>
      </c>
      <c r="P38" s="10">
        <v>0.249</v>
      </c>
      <c r="Q38" s="10">
        <v>840.15099999999995</v>
      </c>
      <c r="R38" s="10">
        <v>272.31299999999999</v>
      </c>
      <c r="S38" s="10">
        <v>11.391</v>
      </c>
      <c r="T38" s="10">
        <v>41.145000000000003</v>
      </c>
      <c r="U38" s="10">
        <v>1222.229</v>
      </c>
      <c r="V38" s="59">
        <v>730.42200000000003</v>
      </c>
      <c r="W38" s="52">
        <f t="shared" si="29"/>
        <v>1.2119105160907128E-2</v>
      </c>
      <c r="X38" s="10">
        <f t="shared" si="30"/>
        <v>6.7210278929979619E-2</v>
      </c>
      <c r="Y38" s="10">
        <f t="shared" si="31"/>
        <v>2.1800225503727924E-4</v>
      </c>
      <c r="Z38" s="10">
        <f t="shared" si="32"/>
        <v>2.1917869540360902E-5</v>
      </c>
      <c r="AA38" s="10">
        <f t="shared" si="33"/>
        <v>6.7210278929979619E-2</v>
      </c>
      <c r="AB38" s="10">
        <f t="shared" si="34"/>
        <v>1.2514219721766848E-2</v>
      </c>
      <c r="AC38" s="10">
        <f t="shared" si="35"/>
        <v>1.2514219721766848E-2</v>
      </c>
      <c r="AD38" s="10">
        <f t="shared" si="36"/>
        <v>4.68294167724723E-3</v>
      </c>
      <c r="AE38" s="10">
        <f t="shared" si="37"/>
        <v>7.1332852608337804E-3</v>
      </c>
      <c r="AF38" s="58">
        <f t="shared" si="38"/>
        <v>7.1332852608337804E-3</v>
      </c>
      <c r="AG38" s="52">
        <f t="shared" si="39"/>
        <v>3.3499718824108474E-2</v>
      </c>
      <c r="AH38" s="10">
        <f t="shared" si="40"/>
        <v>6.0843976465800663E-2</v>
      </c>
      <c r="AI38" s="10">
        <f t="shared" si="41"/>
        <v>4.1342094928034341E-4</v>
      </c>
      <c r="AJ38" s="10">
        <f t="shared" si="42"/>
        <v>4.8622284007813228E-5</v>
      </c>
      <c r="AK38" s="10">
        <f t="shared" si="43"/>
        <v>6.0843976465800663E-2</v>
      </c>
      <c r="AL38" s="10">
        <f t="shared" si="44"/>
        <v>5.1695276264507248E-3</v>
      </c>
      <c r="AM38" s="10">
        <f t="shared" si="45"/>
        <v>5.1695276264507248E-3</v>
      </c>
      <c r="AN38" s="10">
        <f t="shared" si="46"/>
        <v>7.6628136247878197E-3</v>
      </c>
      <c r="AO38" s="10">
        <f t="shared" si="47"/>
        <v>5.2807548602380227E-3</v>
      </c>
      <c r="AP38" s="58">
        <f t="shared" si="48"/>
        <v>7.6628136247878197E-3</v>
      </c>
      <c r="AQ38" s="63">
        <f t="shared" si="49"/>
        <v>9.7000000000000003E-2</v>
      </c>
      <c r="AR38" s="10">
        <f t="shared" si="50"/>
        <v>0.104</v>
      </c>
      <c r="AS38" s="10">
        <f t="shared" si="51"/>
        <v>0.10100000000000001</v>
      </c>
      <c r="AT38" s="24">
        <f t="shared" si="52"/>
        <v>0.65</v>
      </c>
      <c r="AU38" s="24">
        <f t="shared" si="53"/>
        <v>0.69</v>
      </c>
      <c r="AV38" s="24">
        <f t="shared" si="54"/>
        <v>0.67</v>
      </c>
      <c r="AW38" s="25">
        <f t="shared" si="55"/>
        <v>5</v>
      </c>
      <c r="AX38" s="25">
        <f t="shared" si="56"/>
        <v>4</v>
      </c>
      <c r="AY38" s="25">
        <f t="shared" si="57"/>
        <v>4</v>
      </c>
    </row>
    <row r="39" spans="1:51" ht="12" customHeight="1">
      <c r="A39" s="60">
        <v>14048</v>
      </c>
      <c r="B39" s="60" t="s">
        <v>173</v>
      </c>
      <c r="C39" s="62" t="str">
        <f>Rollover!A39</f>
        <v>Honda</v>
      </c>
      <c r="D39" s="62" t="str">
        <f>Rollover!B39</f>
        <v>Civic SI 4DR FWD</v>
      </c>
      <c r="E39" s="61" t="s">
        <v>155</v>
      </c>
      <c r="F39" s="177">
        <f>Rollover!C39</f>
        <v>2022</v>
      </c>
      <c r="G39" s="52">
        <v>325.346</v>
      </c>
      <c r="H39" s="10">
        <v>0.30299999999999999</v>
      </c>
      <c r="I39" s="10">
        <v>1071.037</v>
      </c>
      <c r="J39" s="10">
        <v>103.711</v>
      </c>
      <c r="K39" s="10">
        <v>19.547999999999998</v>
      </c>
      <c r="L39" s="10">
        <v>36.225000000000001</v>
      </c>
      <c r="M39" s="10">
        <v>838.65499999999997</v>
      </c>
      <c r="N39" s="58">
        <v>1653.34</v>
      </c>
      <c r="O39" s="52">
        <v>444.48</v>
      </c>
      <c r="P39" s="10">
        <v>0.249</v>
      </c>
      <c r="Q39" s="10">
        <v>840.15099999999995</v>
      </c>
      <c r="R39" s="10">
        <v>272.31299999999999</v>
      </c>
      <c r="S39" s="10">
        <v>11.391</v>
      </c>
      <c r="T39" s="10">
        <v>41.145000000000003</v>
      </c>
      <c r="U39" s="10">
        <v>1222.229</v>
      </c>
      <c r="V39" s="59">
        <v>730.42200000000003</v>
      </c>
      <c r="W39" s="52">
        <f t="shared" si="29"/>
        <v>1.2119105160907128E-2</v>
      </c>
      <c r="X39" s="10">
        <f t="shared" si="30"/>
        <v>6.7210278929979619E-2</v>
      </c>
      <c r="Y39" s="10">
        <f t="shared" si="31"/>
        <v>2.1800225503727924E-4</v>
      </c>
      <c r="Z39" s="10">
        <f t="shared" si="32"/>
        <v>2.1917869540360902E-5</v>
      </c>
      <c r="AA39" s="10">
        <f t="shared" si="33"/>
        <v>6.7210278929979619E-2</v>
      </c>
      <c r="AB39" s="10">
        <f t="shared" si="34"/>
        <v>1.2514219721766848E-2</v>
      </c>
      <c r="AC39" s="10">
        <f t="shared" si="35"/>
        <v>1.2514219721766848E-2</v>
      </c>
      <c r="AD39" s="10">
        <f t="shared" si="36"/>
        <v>4.68294167724723E-3</v>
      </c>
      <c r="AE39" s="10">
        <f t="shared" si="37"/>
        <v>7.1332852608337804E-3</v>
      </c>
      <c r="AF39" s="58">
        <f t="shared" si="38"/>
        <v>7.1332852608337804E-3</v>
      </c>
      <c r="AG39" s="52">
        <f t="shared" si="39"/>
        <v>3.3499718824108474E-2</v>
      </c>
      <c r="AH39" s="10">
        <f t="shared" si="40"/>
        <v>6.0843976465800663E-2</v>
      </c>
      <c r="AI39" s="10">
        <f t="shared" si="41"/>
        <v>4.1342094928034341E-4</v>
      </c>
      <c r="AJ39" s="10">
        <f t="shared" si="42"/>
        <v>4.8622284007813228E-5</v>
      </c>
      <c r="AK39" s="10">
        <f t="shared" si="43"/>
        <v>6.0843976465800663E-2</v>
      </c>
      <c r="AL39" s="10">
        <f t="shared" si="44"/>
        <v>5.1695276264507248E-3</v>
      </c>
      <c r="AM39" s="10">
        <f t="shared" si="45"/>
        <v>5.1695276264507248E-3</v>
      </c>
      <c r="AN39" s="10">
        <f t="shared" si="46"/>
        <v>7.6628136247878197E-3</v>
      </c>
      <c r="AO39" s="10">
        <f t="shared" si="47"/>
        <v>5.2807548602380227E-3</v>
      </c>
      <c r="AP39" s="58">
        <f t="shared" si="48"/>
        <v>7.6628136247878197E-3</v>
      </c>
      <c r="AQ39" s="63">
        <f t="shared" si="49"/>
        <v>9.7000000000000003E-2</v>
      </c>
      <c r="AR39" s="10">
        <f t="shared" si="50"/>
        <v>0.104</v>
      </c>
      <c r="AS39" s="10">
        <f t="shared" si="51"/>
        <v>0.10100000000000001</v>
      </c>
      <c r="AT39" s="24">
        <f t="shared" si="52"/>
        <v>0.65</v>
      </c>
      <c r="AU39" s="24">
        <f t="shared" si="53"/>
        <v>0.69</v>
      </c>
      <c r="AV39" s="24">
        <f t="shared" si="54"/>
        <v>0.67</v>
      </c>
      <c r="AW39" s="25">
        <f t="shared" si="55"/>
        <v>5</v>
      </c>
      <c r="AX39" s="25">
        <f t="shared" si="56"/>
        <v>4</v>
      </c>
      <c r="AY39" s="25">
        <f t="shared" si="57"/>
        <v>4</v>
      </c>
    </row>
    <row r="40" spans="1:51" ht="12" customHeight="1">
      <c r="A40" s="60">
        <v>14048</v>
      </c>
      <c r="B40" s="60" t="s">
        <v>173</v>
      </c>
      <c r="C40" s="62" t="str">
        <f>Rollover!A40</f>
        <v>Honda</v>
      </c>
      <c r="D40" s="62" t="str">
        <f>Rollover!B40</f>
        <v>Civic 5HB FWD</v>
      </c>
      <c r="E40" s="61" t="s">
        <v>155</v>
      </c>
      <c r="F40" s="177">
        <f>Rollover!C40</f>
        <v>2022</v>
      </c>
      <c r="G40" s="52">
        <v>325.346</v>
      </c>
      <c r="H40" s="10">
        <v>0.30299999999999999</v>
      </c>
      <c r="I40" s="10">
        <v>1071.037</v>
      </c>
      <c r="J40" s="10">
        <v>103.711</v>
      </c>
      <c r="K40" s="10">
        <v>19.547999999999998</v>
      </c>
      <c r="L40" s="10">
        <v>36.225000000000001</v>
      </c>
      <c r="M40" s="10">
        <v>838.65499999999997</v>
      </c>
      <c r="N40" s="58">
        <v>1653.34</v>
      </c>
      <c r="O40" s="52">
        <v>444.48</v>
      </c>
      <c r="P40" s="10">
        <v>0.249</v>
      </c>
      <c r="Q40" s="10">
        <v>840.15099999999995</v>
      </c>
      <c r="R40" s="10">
        <v>272.31299999999999</v>
      </c>
      <c r="S40" s="10">
        <v>11.391</v>
      </c>
      <c r="T40" s="10">
        <v>41.145000000000003</v>
      </c>
      <c r="U40" s="10">
        <v>1222.229</v>
      </c>
      <c r="V40" s="59">
        <v>730.42200000000003</v>
      </c>
      <c r="W40" s="52">
        <f t="shared" si="29"/>
        <v>1.2119105160907128E-2</v>
      </c>
      <c r="X40" s="10">
        <f t="shared" si="30"/>
        <v>6.7210278929979619E-2</v>
      </c>
      <c r="Y40" s="10">
        <f t="shared" si="31"/>
        <v>2.1800225503727924E-4</v>
      </c>
      <c r="Z40" s="10">
        <f t="shared" si="32"/>
        <v>2.1917869540360902E-5</v>
      </c>
      <c r="AA40" s="10">
        <f t="shared" si="33"/>
        <v>6.7210278929979619E-2</v>
      </c>
      <c r="AB40" s="10">
        <f t="shared" si="34"/>
        <v>1.2514219721766848E-2</v>
      </c>
      <c r="AC40" s="10">
        <f t="shared" si="35"/>
        <v>1.2514219721766848E-2</v>
      </c>
      <c r="AD40" s="10">
        <f t="shared" si="36"/>
        <v>4.68294167724723E-3</v>
      </c>
      <c r="AE40" s="10">
        <f t="shared" si="37"/>
        <v>7.1332852608337804E-3</v>
      </c>
      <c r="AF40" s="58">
        <f t="shared" si="38"/>
        <v>7.1332852608337804E-3</v>
      </c>
      <c r="AG40" s="52">
        <f t="shared" si="39"/>
        <v>3.3499718824108474E-2</v>
      </c>
      <c r="AH40" s="10">
        <f t="shared" si="40"/>
        <v>6.0843976465800663E-2</v>
      </c>
      <c r="AI40" s="10">
        <f t="shared" si="41"/>
        <v>4.1342094928034341E-4</v>
      </c>
      <c r="AJ40" s="10">
        <f t="shared" si="42"/>
        <v>4.8622284007813228E-5</v>
      </c>
      <c r="AK40" s="10">
        <f t="shared" si="43"/>
        <v>6.0843976465800663E-2</v>
      </c>
      <c r="AL40" s="10">
        <f t="shared" si="44"/>
        <v>5.1695276264507248E-3</v>
      </c>
      <c r="AM40" s="10">
        <f t="shared" si="45"/>
        <v>5.1695276264507248E-3</v>
      </c>
      <c r="AN40" s="10">
        <f t="shared" si="46"/>
        <v>7.6628136247878197E-3</v>
      </c>
      <c r="AO40" s="10">
        <f t="shared" si="47"/>
        <v>5.2807548602380227E-3</v>
      </c>
      <c r="AP40" s="58">
        <f t="shared" si="48"/>
        <v>7.6628136247878197E-3</v>
      </c>
      <c r="AQ40" s="63">
        <f t="shared" si="49"/>
        <v>9.7000000000000003E-2</v>
      </c>
      <c r="AR40" s="10">
        <f t="shared" si="50"/>
        <v>0.104</v>
      </c>
      <c r="AS40" s="10">
        <f t="shared" si="51"/>
        <v>0.10100000000000001</v>
      </c>
      <c r="AT40" s="24">
        <f t="shared" si="52"/>
        <v>0.65</v>
      </c>
      <c r="AU40" s="24">
        <f t="shared" si="53"/>
        <v>0.69</v>
      </c>
      <c r="AV40" s="24">
        <f t="shared" si="54"/>
        <v>0.67</v>
      </c>
      <c r="AW40" s="25">
        <f t="shared" si="55"/>
        <v>5</v>
      </c>
      <c r="AX40" s="25">
        <f t="shared" si="56"/>
        <v>4</v>
      </c>
      <c r="AY40" s="25">
        <f t="shared" si="57"/>
        <v>4</v>
      </c>
    </row>
    <row r="41" spans="1:51" ht="12" customHeight="1">
      <c r="A41" s="60">
        <v>14091</v>
      </c>
      <c r="B41" s="60" t="s">
        <v>174</v>
      </c>
      <c r="C41" s="65" t="str">
        <f>Rollover!A41</f>
        <v>Hyundai</v>
      </c>
      <c r="D41" s="65" t="str">
        <f>Rollover!B41</f>
        <v>Ioniq 5 SUV RWD</v>
      </c>
      <c r="E41" s="61" t="s">
        <v>161</v>
      </c>
      <c r="F41" s="177">
        <f>Rollover!C41</f>
        <v>2022</v>
      </c>
      <c r="G41" s="18">
        <v>312.75900000000001</v>
      </c>
      <c r="H41" s="19">
        <v>0.218</v>
      </c>
      <c r="I41" s="19">
        <v>904.3</v>
      </c>
      <c r="J41" s="19">
        <v>467.01799999999997</v>
      </c>
      <c r="K41" s="19">
        <v>26.478999999999999</v>
      </c>
      <c r="L41" s="19">
        <v>45.738999999999997</v>
      </c>
      <c r="M41" s="19">
        <v>2627.9520000000002</v>
      </c>
      <c r="N41" s="20">
        <v>3020.2049999999999</v>
      </c>
      <c r="O41" s="18">
        <v>201.607</v>
      </c>
      <c r="P41" s="19">
        <v>0.51500000000000001</v>
      </c>
      <c r="Q41" s="19">
        <v>460.036</v>
      </c>
      <c r="R41" s="19">
        <v>368.88799999999998</v>
      </c>
      <c r="S41" s="19">
        <v>18.335999999999999</v>
      </c>
      <c r="T41" s="19">
        <v>47.610999999999997</v>
      </c>
      <c r="U41" s="19">
        <v>2788.4290000000001</v>
      </c>
      <c r="V41" s="51">
        <v>2427.826</v>
      </c>
      <c r="W41" s="52">
        <f t="shared" si="29"/>
        <v>1.0537086668308576E-2</v>
      </c>
      <c r="X41" s="10">
        <f t="shared" si="30"/>
        <v>5.7448503543772476E-2</v>
      </c>
      <c r="Y41" s="10">
        <f t="shared" si="31"/>
        <v>1.4672738186091253E-4</v>
      </c>
      <c r="Z41" s="10">
        <f t="shared" si="32"/>
        <v>5.194193004578247E-5</v>
      </c>
      <c r="AA41" s="10">
        <f t="shared" si="33"/>
        <v>5.7448503543772476E-2</v>
      </c>
      <c r="AB41" s="10">
        <f t="shared" si="34"/>
        <v>3.1060828853162078E-2</v>
      </c>
      <c r="AC41" s="10">
        <f t="shared" si="35"/>
        <v>3.1060828853162078E-2</v>
      </c>
      <c r="AD41" s="10">
        <f t="shared" si="36"/>
        <v>1.1781001490668222E-2</v>
      </c>
      <c r="AE41" s="10">
        <f t="shared" si="37"/>
        <v>1.4405974962887669E-2</v>
      </c>
      <c r="AF41" s="58">
        <f t="shared" si="38"/>
        <v>1.4405974962887669E-2</v>
      </c>
      <c r="AG41" s="52">
        <f t="shared" si="39"/>
        <v>1.8654292895869066E-3</v>
      </c>
      <c r="AH41" s="10">
        <f t="shared" si="40"/>
        <v>9.8591987814467569E-2</v>
      </c>
      <c r="AI41" s="10">
        <f t="shared" si="41"/>
        <v>9.8666710152065036E-5</v>
      </c>
      <c r="AJ41" s="10">
        <f t="shared" si="42"/>
        <v>6.9975721053635318E-5</v>
      </c>
      <c r="AK41" s="10">
        <f t="shared" si="43"/>
        <v>9.8591987814467569E-2</v>
      </c>
      <c r="AL41" s="10">
        <f t="shared" si="44"/>
        <v>1.8669441253475961E-2</v>
      </c>
      <c r="AM41" s="10">
        <f t="shared" si="45"/>
        <v>1.8669441253475961E-2</v>
      </c>
      <c r="AN41" s="10">
        <f t="shared" si="46"/>
        <v>2.4833953648702771E-2</v>
      </c>
      <c r="AO41" s="10">
        <f t="shared" si="47"/>
        <v>1.8981260281020162E-2</v>
      </c>
      <c r="AP41" s="58">
        <f t="shared" si="48"/>
        <v>2.4833953648702771E-2</v>
      </c>
      <c r="AQ41" s="63">
        <f t="shared" si="49"/>
        <v>0.109</v>
      </c>
      <c r="AR41" s="10">
        <f t="shared" si="50"/>
        <v>0.13900000000000001</v>
      </c>
      <c r="AS41" s="10">
        <f t="shared" si="51"/>
        <v>0.124</v>
      </c>
      <c r="AT41" s="24">
        <f t="shared" si="52"/>
        <v>0.73</v>
      </c>
      <c r="AU41" s="24">
        <f t="shared" si="53"/>
        <v>0.93</v>
      </c>
      <c r="AV41" s="24">
        <f t="shared" si="54"/>
        <v>0.83</v>
      </c>
      <c r="AW41" s="25">
        <f t="shared" si="55"/>
        <v>4</v>
      </c>
      <c r="AX41" s="25">
        <f t="shared" si="56"/>
        <v>4</v>
      </c>
      <c r="AY41" s="25">
        <f t="shared" si="57"/>
        <v>4</v>
      </c>
    </row>
    <row r="42" spans="1:51" ht="12" customHeight="1">
      <c r="A42" s="60">
        <v>14091</v>
      </c>
      <c r="B42" s="60" t="s">
        <v>174</v>
      </c>
      <c r="C42" s="65" t="str">
        <f>Rollover!A42</f>
        <v>Hyundai</v>
      </c>
      <c r="D42" s="65" t="str">
        <f>Rollover!B42</f>
        <v>Ioniq 5 SUV AWD</v>
      </c>
      <c r="E42" s="61" t="s">
        <v>161</v>
      </c>
      <c r="F42" s="177">
        <f>Rollover!C42</f>
        <v>2022</v>
      </c>
      <c r="G42" s="18">
        <v>312.75900000000001</v>
      </c>
      <c r="H42" s="19">
        <v>0.218</v>
      </c>
      <c r="I42" s="19">
        <v>904.3</v>
      </c>
      <c r="J42" s="19">
        <v>467.01799999999997</v>
      </c>
      <c r="K42" s="19">
        <v>26.478999999999999</v>
      </c>
      <c r="L42" s="19">
        <v>45.738999999999997</v>
      </c>
      <c r="M42" s="19">
        <v>2627.9520000000002</v>
      </c>
      <c r="N42" s="20">
        <v>3020.2049999999999</v>
      </c>
      <c r="O42" s="18">
        <v>201.607</v>
      </c>
      <c r="P42" s="19">
        <v>0.51500000000000001</v>
      </c>
      <c r="Q42" s="19">
        <v>460.036</v>
      </c>
      <c r="R42" s="19">
        <v>368.88799999999998</v>
      </c>
      <c r="S42" s="19">
        <v>18.335999999999999</v>
      </c>
      <c r="T42" s="19">
        <v>47.610999999999997</v>
      </c>
      <c r="U42" s="19">
        <v>2788.4290000000001</v>
      </c>
      <c r="V42" s="51">
        <v>2427.826</v>
      </c>
      <c r="W42" s="52">
        <f t="shared" si="29"/>
        <v>1.0537086668308576E-2</v>
      </c>
      <c r="X42" s="10">
        <f t="shared" si="30"/>
        <v>5.7448503543772476E-2</v>
      </c>
      <c r="Y42" s="10">
        <f t="shared" si="31"/>
        <v>1.4672738186091253E-4</v>
      </c>
      <c r="Z42" s="10">
        <f t="shared" si="32"/>
        <v>5.194193004578247E-5</v>
      </c>
      <c r="AA42" s="10">
        <f t="shared" si="33"/>
        <v>5.7448503543772476E-2</v>
      </c>
      <c r="AB42" s="10">
        <f t="shared" si="34"/>
        <v>3.1060828853162078E-2</v>
      </c>
      <c r="AC42" s="10">
        <f t="shared" si="35"/>
        <v>3.1060828853162078E-2</v>
      </c>
      <c r="AD42" s="10">
        <f t="shared" si="36"/>
        <v>1.1781001490668222E-2</v>
      </c>
      <c r="AE42" s="10">
        <f t="shared" si="37"/>
        <v>1.4405974962887669E-2</v>
      </c>
      <c r="AF42" s="58">
        <f t="shared" si="38"/>
        <v>1.4405974962887669E-2</v>
      </c>
      <c r="AG42" s="52">
        <f t="shared" si="39"/>
        <v>1.8654292895869066E-3</v>
      </c>
      <c r="AH42" s="10">
        <f t="shared" si="40"/>
        <v>9.8591987814467569E-2</v>
      </c>
      <c r="AI42" s="10">
        <f t="shared" si="41"/>
        <v>9.8666710152065036E-5</v>
      </c>
      <c r="AJ42" s="10">
        <f t="shared" si="42"/>
        <v>6.9975721053635318E-5</v>
      </c>
      <c r="AK42" s="10">
        <f t="shared" si="43"/>
        <v>9.8591987814467569E-2</v>
      </c>
      <c r="AL42" s="10">
        <f t="shared" si="44"/>
        <v>1.8669441253475961E-2</v>
      </c>
      <c r="AM42" s="10">
        <f t="shared" si="45"/>
        <v>1.8669441253475961E-2</v>
      </c>
      <c r="AN42" s="10">
        <f t="shared" si="46"/>
        <v>2.4833953648702771E-2</v>
      </c>
      <c r="AO42" s="10">
        <f t="shared" si="47"/>
        <v>1.8981260281020162E-2</v>
      </c>
      <c r="AP42" s="58">
        <f t="shared" si="48"/>
        <v>2.4833953648702771E-2</v>
      </c>
      <c r="AQ42" s="63">
        <f t="shared" si="49"/>
        <v>0.109</v>
      </c>
      <c r="AR42" s="10">
        <f t="shared" si="50"/>
        <v>0.13900000000000001</v>
      </c>
      <c r="AS42" s="10">
        <f t="shared" si="51"/>
        <v>0.124</v>
      </c>
      <c r="AT42" s="24">
        <f t="shared" si="52"/>
        <v>0.73</v>
      </c>
      <c r="AU42" s="24">
        <f t="shared" si="53"/>
        <v>0.93</v>
      </c>
      <c r="AV42" s="24">
        <f t="shared" si="54"/>
        <v>0.83</v>
      </c>
      <c r="AW42" s="25">
        <f t="shared" si="55"/>
        <v>4</v>
      </c>
      <c r="AX42" s="25">
        <f t="shared" si="56"/>
        <v>4</v>
      </c>
      <c r="AY42" s="25">
        <f t="shared" si="57"/>
        <v>4</v>
      </c>
    </row>
    <row r="43" spans="1:51" ht="12" customHeight="1">
      <c r="A43" s="42">
        <v>11668</v>
      </c>
      <c r="B43" s="42" t="s">
        <v>175</v>
      </c>
      <c r="C43" s="65" t="str">
        <f>Rollover!A43</f>
        <v>Hyundai</v>
      </c>
      <c r="D43" s="65" t="str">
        <f>Rollover!B43</f>
        <v>Tucson SUV FWD early release</v>
      </c>
      <c r="E43" s="61" t="s">
        <v>155</v>
      </c>
      <c r="F43" s="177">
        <f>Rollover!C43</f>
        <v>2022</v>
      </c>
      <c r="G43" s="27">
        <v>267.52699999999999</v>
      </c>
      <c r="H43" s="28">
        <v>0.193</v>
      </c>
      <c r="I43" s="28">
        <v>909.03499999999997</v>
      </c>
      <c r="J43" s="28">
        <v>169.642</v>
      </c>
      <c r="K43" s="28">
        <v>29.463999999999999</v>
      </c>
      <c r="L43" s="28">
        <v>45.265999999999998</v>
      </c>
      <c r="M43" s="28">
        <v>343.78800000000001</v>
      </c>
      <c r="N43" s="29">
        <v>322.36399999999998</v>
      </c>
      <c r="O43" s="27">
        <v>347.56700000000001</v>
      </c>
      <c r="P43" s="28">
        <v>0.45700000000000002</v>
      </c>
      <c r="Q43" s="28">
        <v>603.88300000000004</v>
      </c>
      <c r="R43" s="28">
        <v>185.166</v>
      </c>
      <c r="S43" s="28">
        <v>17.440000000000001</v>
      </c>
      <c r="T43" s="28">
        <v>44.649000000000001</v>
      </c>
      <c r="U43" s="28">
        <v>89.647999999999996</v>
      </c>
      <c r="V43" s="56">
        <v>356.18099999999998</v>
      </c>
      <c r="W43" s="52">
        <f t="shared" si="29"/>
        <v>5.9052458583925931E-3</v>
      </c>
      <c r="X43" s="10">
        <f t="shared" si="30"/>
        <v>5.4840661938768687E-2</v>
      </c>
      <c r="Y43" s="10">
        <f t="shared" si="31"/>
        <v>1.4838648949714293E-4</v>
      </c>
      <c r="Z43" s="10">
        <f t="shared" si="32"/>
        <v>2.5633104856438446E-5</v>
      </c>
      <c r="AA43" s="10">
        <f t="shared" si="33"/>
        <v>5.4840661938768687E-2</v>
      </c>
      <c r="AB43" s="10">
        <f t="shared" si="34"/>
        <v>4.3879032917146649E-2</v>
      </c>
      <c r="AC43" s="10">
        <f t="shared" si="35"/>
        <v>4.3879032917146649E-2</v>
      </c>
      <c r="AD43" s="10">
        <f t="shared" si="36"/>
        <v>3.6250059568330665E-3</v>
      </c>
      <c r="AE43" s="10">
        <f t="shared" si="37"/>
        <v>3.5850203535062832E-3</v>
      </c>
      <c r="AF43" s="58">
        <f t="shared" si="38"/>
        <v>3.6250059568330665E-3</v>
      </c>
      <c r="AG43" s="52">
        <f t="shared" si="39"/>
        <v>1.523031685539155E-2</v>
      </c>
      <c r="AH43" s="10">
        <f t="shared" si="40"/>
        <v>8.8898551642244056E-2</v>
      </c>
      <c r="AI43" s="10">
        <f t="shared" si="41"/>
        <v>1.6969110629316321E-4</v>
      </c>
      <c r="AJ43" s="10">
        <f t="shared" si="42"/>
        <v>3.5007116529496676E-5</v>
      </c>
      <c r="AK43" s="10">
        <f t="shared" si="43"/>
        <v>8.8898551642244056E-2</v>
      </c>
      <c r="AL43" s="10">
        <f t="shared" si="44"/>
        <v>1.610484474409454E-2</v>
      </c>
      <c r="AM43" s="10">
        <f t="shared" si="45"/>
        <v>1.610484474409454E-2</v>
      </c>
      <c r="AN43" s="10">
        <f t="shared" si="46"/>
        <v>3.2475642089999121E-3</v>
      </c>
      <c r="AO43" s="10">
        <f t="shared" si="47"/>
        <v>3.9758786963701026E-3</v>
      </c>
      <c r="AP43" s="58">
        <f t="shared" si="48"/>
        <v>3.9758786963701026E-3</v>
      </c>
      <c r="AQ43" s="63">
        <f t="shared" si="49"/>
        <v>0.105</v>
      </c>
      <c r="AR43" s="10">
        <f t="shared" si="50"/>
        <v>0.121</v>
      </c>
      <c r="AS43" s="10">
        <f t="shared" si="51"/>
        <v>0.113</v>
      </c>
      <c r="AT43" s="24">
        <f t="shared" si="52"/>
        <v>0.7</v>
      </c>
      <c r="AU43" s="24">
        <f t="shared" si="53"/>
        <v>0.81</v>
      </c>
      <c r="AV43" s="24">
        <f t="shared" si="54"/>
        <v>0.75</v>
      </c>
      <c r="AW43" s="25">
        <f t="shared" si="55"/>
        <v>4</v>
      </c>
      <c r="AX43" s="25">
        <f t="shared" si="56"/>
        <v>4</v>
      </c>
      <c r="AY43" s="25">
        <f t="shared" si="57"/>
        <v>4</v>
      </c>
    </row>
    <row r="44" spans="1:51" ht="12" customHeight="1">
      <c r="A44" s="42">
        <v>11668</v>
      </c>
      <c r="B44" s="42" t="s">
        <v>175</v>
      </c>
      <c r="C44" s="65" t="str">
        <f>Rollover!A44</f>
        <v>Hyundai</v>
      </c>
      <c r="D44" s="65" t="str">
        <f>Rollover!B44</f>
        <v>Tucson SUV AWD early release</v>
      </c>
      <c r="E44" s="61" t="s">
        <v>155</v>
      </c>
      <c r="F44" s="177">
        <f>Rollover!C44</f>
        <v>2022</v>
      </c>
      <c r="G44" s="27">
        <v>267.52699999999999</v>
      </c>
      <c r="H44" s="28">
        <v>0.193</v>
      </c>
      <c r="I44" s="28">
        <v>909.03499999999997</v>
      </c>
      <c r="J44" s="28">
        <v>169.642</v>
      </c>
      <c r="K44" s="28">
        <v>29.463999999999999</v>
      </c>
      <c r="L44" s="28">
        <v>45.265999999999998</v>
      </c>
      <c r="M44" s="28">
        <v>343.78800000000001</v>
      </c>
      <c r="N44" s="29">
        <v>322.36399999999998</v>
      </c>
      <c r="O44" s="27">
        <v>347.56700000000001</v>
      </c>
      <c r="P44" s="28">
        <v>0.45700000000000002</v>
      </c>
      <c r="Q44" s="28">
        <v>603.88300000000004</v>
      </c>
      <c r="R44" s="28">
        <v>185.166</v>
      </c>
      <c r="S44" s="28">
        <v>17.440000000000001</v>
      </c>
      <c r="T44" s="28">
        <v>44.649000000000001</v>
      </c>
      <c r="U44" s="28">
        <v>89.647999999999996</v>
      </c>
      <c r="V44" s="56">
        <v>356.18099999999998</v>
      </c>
      <c r="W44" s="52">
        <f t="shared" si="29"/>
        <v>5.9052458583925931E-3</v>
      </c>
      <c r="X44" s="10">
        <f t="shared" si="30"/>
        <v>5.4840661938768687E-2</v>
      </c>
      <c r="Y44" s="10">
        <f t="shared" si="31"/>
        <v>1.4838648949714293E-4</v>
      </c>
      <c r="Z44" s="10">
        <f t="shared" si="32"/>
        <v>2.5633104856438446E-5</v>
      </c>
      <c r="AA44" s="10">
        <f t="shared" si="33"/>
        <v>5.4840661938768687E-2</v>
      </c>
      <c r="AB44" s="10">
        <f t="shared" si="34"/>
        <v>4.3879032917146649E-2</v>
      </c>
      <c r="AC44" s="10">
        <f t="shared" si="35"/>
        <v>4.3879032917146649E-2</v>
      </c>
      <c r="AD44" s="10">
        <f t="shared" si="36"/>
        <v>3.6250059568330665E-3</v>
      </c>
      <c r="AE44" s="10">
        <f t="shared" si="37"/>
        <v>3.5850203535062832E-3</v>
      </c>
      <c r="AF44" s="58">
        <f t="shared" si="38"/>
        <v>3.6250059568330665E-3</v>
      </c>
      <c r="AG44" s="52">
        <f t="shared" si="39"/>
        <v>1.523031685539155E-2</v>
      </c>
      <c r="AH44" s="10">
        <f t="shared" si="40"/>
        <v>8.8898551642244056E-2</v>
      </c>
      <c r="AI44" s="10">
        <f t="shared" si="41"/>
        <v>1.6969110629316321E-4</v>
      </c>
      <c r="AJ44" s="10">
        <f t="shared" si="42"/>
        <v>3.5007116529496676E-5</v>
      </c>
      <c r="AK44" s="10">
        <f t="shared" si="43"/>
        <v>8.8898551642244056E-2</v>
      </c>
      <c r="AL44" s="10">
        <f t="shared" si="44"/>
        <v>1.610484474409454E-2</v>
      </c>
      <c r="AM44" s="10">
        <f t="shared" si="45"/>
        <v>1.610484474409454E-2</v>
      </c>
      <c r="AN44" s="10">
        <f t="shared" si="46"/>
        <v>3.2475642089999121E-3</v>
      </c>
      <c r="AO44" s="10">
        <f t="shared" si="47"/>
        <v>3.9758786963701026E-3</v>
      </c>
      <c r="AP44" s="58">
        <f t="shared" si="48"/>
        <v>3.9758786963701026E-3</v>
      </c>
      <c r="AQ44" s="63">
        <f t="shared" si="49"/>
        <v>0.105</v>
      </c>
      <c r="AR44" s="10">
        <f t="shared" si="50"/>
        <v>0.121</v>
      </c>
      <c r="AS44" s="10">
        <f t="shared" si="51"/>
        <v>0.113</v>
      </c>
      <c r="AT44" s="24">
        <f t="shared" si="52"/>
        <v>0.7</v>
      </c>
      <c r="AU44" s="24">
        <f t="shared" si="53"/>
        <v>0.81</v>
      </c>
      <c r="AV44" s="24">
        <f t="shared" si="54"/>
        <v>0.75</v>
      </c>
      <c r="AW44" s="25">
        <f t="shared" si="55"/>
        <v>4</v>
      </c>
      <c r="AX44" s="25">
        <f t="shared" si="56"/>
        <v>4</v>
      </c>
      <c r="AY44" s="25">
        <f t="shared" si="57"/>
        <v>4</v>
      </c>
    </row>
    <row r="45" spans="1:51" ht="12" customHeight="1">
      <c r="A45" s="60">
        <v>11668</v>
      </c>
      <c r="B45" s="42" t="s">
        <v>175</v>
      </c>
      <c r="C45" s="62" t="str">
        <f>Rollover!A45</f>
        <v>Hyundai</v>
      </c>
      <c r="D45" s="62" t="str">
        <f>Rollover!B45</f>
        <v>Tucson HEV SUV FWD early release</v>
      </c>
      <c r="E45" s="61" t="s">
        <v>155</v>
      </c>
      <c r="F45" s="177">
        <f>Rollover!C45</f>
        <v>2022</v>
      </c>
      <c r="G45" s="18">
        <v>267.52699999999999</v>
      </c>
      <c r="H45" s="19">
        <v>0.193</v>
      </c>
      <c r="I45" s="19">
        <v>909.03499999999997</v>
      </c>
      <c r="J45" s="19">
        <v>169.642</v>
      </c>
      <c r="K45" s="19">
        <v>29.463999999999999</v>
      </c>
      <c r="L45" s="19">
        <v>45.265999999999998</v>
      </c>
      <c r="M45" s="19">
        <v>343.78800000000001</v>
      </c>
      <c r="N45" s="20">
        <v>322.36399999999998</v>
      </c>
      <c r="O45" s="18">
        <v>347.56700000000001</v>
      </c>
      <c r="P45" s="19">
        <v>0.45700000000000002</v>
      </c>
      <c r="Q45" s="19">
        <v>603.88300000000004</v>
      </c>
      <c r="R45" s="19">
        <v>185.166</v>
      </c>
      <c r="S45" s="19">
        <v>17.440000000000001</v>
      </c>
      <c r="T45" s="19">
        <v>44.649000000000001</v>
      </c>
      <c r="U45" s="19">
        <v>89.647999999999996</v>
      </c>
      <c r="V45" s="51">
        <v>356.18099999999998</v>
      </c>
      <c r="W45" s="52">
        <f t="shared" si="29"/>
        <v>5.9052458583925931E-3</v>
      </c>
      <c r="X45" s="10">
        <f t="shared" si="30"/>
        <v>5.4840661938768687E-2</v>
      </c>
      <c r="Y45" s="10">
        <f t="shared" si="31"/>
        <v>1.4838648949714293E-4</v>
      </c>
      <c r="Z45" s="10">
        <f t="shared" si="32"/>
        <v>2.5633104856438446E-5</v>
      </c>
      <c r="AA45" s="10">
        <f t="shared" si="33"/>
        <v>5.4840661938768687E-2</v>
      </c>
      <c r="AB45" s="10">
        <f t="shared" si="34"/>
        <v>4.3879032917146649E-2</v>
      </c>
      <c r="AC45" s="10">
        <f t="shared" si="35"/>
        <v>4.3879032917146649E-2</v>
      </c>
      <c r="AD45" s="10">
        <f t="shared" si="36"/>
        <v>3.6250059568330665E-3</v>
      </c>
      <c r="AE45" s="10">
        <f t="shared" si="37"/>
        <v>3.5850203535062832E-3</v>
      </c>
      <c r="AF45" s="58">
        <f t="shared" si="38"/>
        <v>3.6250059568330665E-3</v>
      </c>
      <c r="AG45" s="52">
        <f t="shared" si="39"/>
        <v>1.523031685539155E-2</v>
      </c>
      <c r="AH45" s="10">
        <f t="shared" si="40"/>
        <v>8.8898551642244056E-2</v>
      </c>
      <c r="AI45" s="10">
        <f t="shared" si="41"/>
        <v>1.6969110629316321E-4</v>
      </c>
      <c r="AJ45" s="10">
        <f t="shared" si="42"/>
        <v>3.5007116529496676E-5</v>
      </c>
      <c r="AK45" s="10">
        <f t="shared" si="43"/>
        <v>8.8898551642244056E-2</v>
      </c>
      <c r="AL45" s="10">
        <f t="shared" si="44"/>
        <v>1.610484474409454E-2</v>
      </c>
      <c r="AM45" s="10">
        <f t="shared" si="45"/>
        <v>1.610484474409454E-2</v>
      </c>
      <c r="AN45" s="10">
        <f t="shared" si="46"/>
        <v>3.2475642089999121E-3</v>
      </c>
      <c r="AO45" s="10">
        <f t="shared" si="47"/>
        <v>3.9758786963701026E-3</v>
      </c>
      <c r="AP45" s="58">
        <f t="shared" si="48"/>
        <v>3.9758786963701026E-3</v>
      </c>
      <c r="AQ45" s="63">
        <f t="shared" si="49"/>
        <v>0.105</v>
      </c>
      <c r="AR45" s="10">
        <f t="shared" si="50"/>
        <v>0.121</v>
      </c>
      <c r="AS45" s="10">
        <f t="shared" si="51"/>
        <v>0.113</v>
      </c>
      <c r="AT45" s="24">
        <f t="shared" si="52"/>
        <v>0.7</v>
      </c>
      <c r="AU45" s="24">
        <f t="shared" si="53"/>
        <v>0.81</v>
      </c>
      <c r="AV45" s="24">
        <f t="shared" si="54"/>
        <v>0.75</v>
      </c>
      <c r="AW45" s="25">
        <f t="shared" si="55"/>
        <v>4</v>
      </c>
      <c r="AX45" s="25">
        <f t="shared" si="56"/>
        <v>4</v>
      </c>
      <c r="AY45" s="25">
        <f t="shared" si="57"/>
        <v>4</v>
      </c>
    </row>
    <row r="46" spans="1:51" ht="12" customHeight="1">
      <c r="A46" s="60">
        <v>11668</v>
      </c>
      <c r="B46" s="42" t="s">
        <v>175</v>
      </c>
      <c r="C46" s="62" t="str">
        <f>Rollover!A46</f>
        <v>Hyundai</v>
      </c>
      <c r="D46" s="62" t="str">
        <f>Rollover!B46</f>
        <v>Tucson HEV SUV AWD early release</v>
      </c>
      <c r="E46" s="61" t="s">
        <v>155</v>
      </c>
      <c r="F46" s="177">
        <f>Rollover!C46</f>
        <v>2022</v>
      </c>
      <c r="G46" s="18">
        <v>267.52699999999999</v>
      </c>
      <c r="H46" s="19">
        <v>0.193</v>
      </c>
      <c r="I46" s="19">
        <v>909.03499999999997</v>
      </c>
      <c r="J46" s="19">
        <v>169.642</v>
      </c>
      <c r="K46" s="19">
        <v>29.463999999999999</v>
      </c>
      <c r="L46" s="19">
        <v>45.265999999999998</v>
      </c>
      <c r="M46" s="19">
        <v>343.78800000000001</v>
      </c>
      <c r="N46" s="20">
        <v>322.36399999999998</v>
      </c>
      <c r="O46" s="18">
        <v>347.56700000000001</v>
      </c>
      <c r="P46" s="19">
        <v>0.45700000000000002</v>
      </c>
      <c r="Q46" s="19">
        <v>603.88300000000004</v>
      </c>
      <c r="R46" s="19">
        <v>185.166</v>
      </c>
      <c r="S46" s="19">
        <v>17.440000000000001</v>
      </c>
      <c r="T46" s="19">
        <v>44.649000000000001</v>
      </c>
      <c r="U46" s="19">
        <v>89.647999999999996</v>
      </c>
      <c r="V46" s="51">
        <v>356.18099999999998</v>
      </c>
      <c r="W46" s="52">
        <f t="shared" si="29"/>
        <v>5.9052458583925931E-3</v>
      </c>
      <c r="X46" s="10">
        <f t="shared" si="30"/>
        <v>5.4840661938768687E-2</v>
      </c>
      <c r="Y46" s="10">
        <f t="shared" si="31"/>
        <v>1.4838648949714293E-4</v>
      </c>
      <c r="Z46" s="10">
        <f t="shared" si="32"/>
        <v>2.5633104856438446E-5</v>
      </c>
      <c r="AA46" s="10">
        <f t="shared" si="33"/>
        <v>5.4840661938768687E-2</v>
      </c>
      <c r="AB46" s="10">
        <f t="shared" si="34"/>
        <v>4.3879032917146649E-2</v>
      </c>
      <c r="AC46" s="10">
        <f t="shared" si="35"/>
        <v>4.3879032917146649E-2</v>
      </c>
      <c r="AD46" s="10">
        <f t="shared" si="36"/>
        <v>3.6250059568330665E-3</v>
      </c>
      <c r="AE46" s="10">
        <f t="shared" si="37"/>
        <v>3.5850203535062832E-3</v>
      </c>
      <c r="AF46" s="58">
        <f t="shared" si="38"/>
        <v>3.6250059568330665E-3</v>
      </c>
      <c r="AG46" s="52">
        <f t="shared" si="39"/>
        <v>1.523031685539155E-2</v>
      </c>
      <c r="AH46" s="10">
        <f t="shared" si="40"/>
        <v>8.8898551642244056E-2</v>
      </c>
      <c r="AI46" s="10">
        <f t="shared" si="41"/>
        <v>1.6969110629316321E-4</v>
      </c>
      <c r="AJ46" s="10">
        <f t="shared" si="42"/>
        <v>3.5007116529496676E-5</v>
      </c>
      <c r="AK46" s="10">
        <f t="shared" si="43"/>
        <v>8.8898551642244056E-2</v>
      </c>
      <c r="AL46" s="10">
        <f t="shared" si="44"/>
        <v>1.610484474409454E-2</v>
      </c>
      <c r="AM46" s="10">
        <f t="shared" si="45"/>
        <v>1.610484474409454E-2</v>
      </c>
      <c r="AN46" s="10">
        <f t="shared" si="46"/>
        <v>3.2475642089999121E-3</v>
      </c>
      <c r="AO46" s="10">
        <f t="shared" si="47"/>
        <v>3.9758786963701026E-3</v>
      </c>
      <c r="AP46" s="58">
        <f t="shared" si="48"/>
        <v>3.9758786963701026E-3</v>
      </c>
      <c r="AQ46" s="63">
        <f t="shared" si="49"/>
        <v>0.105</v>
      </c>
      <c r="AR46" s="10">
        <f t="shared" si="50"/>
        <v>0.121</v>
      </c>
      <c r="AS46" s="10">
        <f t="shared" si="51"/>
        <v>0.113</v>
      </c>
      <c r="AT46" s="24">
        <f t="shared" si="52"/>
        <v>0.7</v>
      </c>
      <c r="AU46" s="24">
        <f t="shared" si="53"/>
        <v>0.81</v>
      </c>
      <c r="AV46" s="24">
        <f t="shared" si="54"/>
        <v>0.75</v>
      </c>
      <c r="AW46" s="25">
        <f t="shared" si="55"/>
        <v>4</v>
      </c>
      <c r="AX46" s="25">
        <f t="shared" si="56"/>
        <v>4</v>
      </c>
      <c r="AY46" s="25">
        <f t="shared" si="57"/>
        <v>4</v>
      </c>
    </row>
    <row r="47" spans="1:51" ht="12" customHeight="1">
      <c r="A47" s="60">
        <v>14059</v>
      </c>
      <c r="B47" s="60" t="s">
        <v>176</v>
      </c>
      <c r="C47" s="65" t="str">
        <f>Rollover!A47</f>
        <v>Hyundai</v>
      </c>
      <c r="D47" s="65" t="str">
        <f>Rollover!B47</f>
        <v>Tucson SUV FWD later release</v>
      </c>
      <c r="E47" s="61" t="s">
        <v>155</v>
      </c>
      <c r="F47" s="177">
        <f>Rollover!C47</f>
        <v>2022</v>
      </c>
      <c r="G47" s="18">
        <v>364.44099999999997</v>
      </c>
      <c r="H47" s="19">
        <v>0.23499999999999999</v>
      </c>
      <c r="I47" s="19">
        <v>728.24800000000005</v>
      </c>
      <c r="J47" s="19">
        <v>60.639000000000003</v>
      </c>
      <c r="K47" s="19">
        <v>24.337</v>
      </c>
      <c r="L47" s="19">
        <v>43.637</v>
      </c>
      <c r="M47" s="19">
        <v>121.512</v>
      </c>
      <c r="N47" s="20">
        <v>269.34800000000001</v>
      </c>
      <c r="O47" s="18">
        <v>325.226</v>
      </c>
      <c r="P47" s="19">
        <v>0.34499999999999997</v>
      </c>
      <c r="Q47" s="19">
        <v>554.64200000000005</v>
      </c>
      <c r="R47" s="19">
        <v>261.88299999999998</v>
      </c>
      <c r="S47" s="19">
        <v>10.698</v>
      </c>
      <c r="T47" s="19">
        <v>51.22</v>
      </c>
      <c r="U47" s="19">
        <v>225.60400000000001</v>
      </c>
      <c r="V47" s="51">
        <v>55.561</v>
      </c>
      <c r="W47" s="52">
        <f t="shared" si="29"/>
        <v>1.7865173832312606E-2</v>
      </c>
      <c r="X47" s="10">
        <f t="shared" si="30"/>
        <v>5.9287894628588814E-2</v>
      </c>
      <c r="Y47" s="10">
        <f t="shared" si="31"/>
        <v>9.6592679871459165E-5</v>
      </c>
      <c r="Z47" s="10">
        <f t="shared" si="32"/>
        <v>1.9786668366522114E-5</v>
      </c>
      <c r="AA47" s="10">
        <f t="shared" si="33"/>
        <v>5.9287894628588814E-2</v>
      </c>
      <c r="AB47" s="10">
        <f t="shared" si="34"/>
        <v>2.3860631172100522E-2</v>
      </c>
      <c r="AC47" s="10">
        <f t="shared" si="35"/>
        <v>2.3860631172100522E-2</v>
      </c>
      <c r="AD47" s="10">
        <f t="shared" si="36"/>
        <v>3.2308872707076737E-3</v>
      </c>
      <c r="AE47" s="10">
        <f t="shared" si="37"/>
        <v>3.4879509788548844E-3</v>
      </c>
      <c r="AF47" s="58">
        <f t="shared" si="38"/>
        <v>3.4879509788548844E-3</v>
      </c>
      <c r="AG47" s="52">
        <f t="shared" si="39"/>
        <v>1.2103408921910643E-2</v>
      </c>
      <c r="AH47" s="10">
        <f t="shared" si="40"/>
        <v>7.2583576752864323E-2</v>
      </c>
      <c r="AI47" s="10">
        <f t="shared" si="41"/>
        <v>1.4094502813878686E-4</v>
      </c>
      <c r="AJ47" s="10">
        <f t="shared" si="42"/>
        <v>4.6747590732865224E-5</v>
      </c>
      <c r="AK47" s="10">
        <f t="shared" si="43"/>
        <v>7.2583576752864323E-2</v>
      </c>
      <c r="AL47" s="10">
        <f t="shared" si="44"/>
        <v>4.4490190204293078E-3</v>
      </c>
      <c r="AM47" s="10">
        <f t="shared" si="45"/>
        <v>4.4490190204293078E-3</v>
      </c>
      <c r="AN47" s="10">
        <f t="shared" si="46"/>
        <v>3.6007268989780615E-3</v>
      </c>
      <c r="AO47" s="10">
        <f t="shared" si="47"/>
        <v>3.164571361679172E-3</v>
      </c>
      <c r="AP47" s="58">
        <f t="shared" si="48"/>
        <v>3.6007268989780615E-3</v>
      </c>
      <c r="AQ47" s="63">
        <f t="shared" si="49"/>
        <v>0.10100000000000001</v>
      </c>
      <c r="AR47" s="10">
        <f t="shared" si="50"/>
        <v>9.0999999999999998E-2</v>
      </c>
      <c r="AS47" s="10">
        <f t="shared" si="51"/>
        <v>9.6000000000000002E-2</v>
      </c>
      <c r="AT47" s="24">
        <f t="shared" si="52"/>
        <v>0.67</v>
      </c>
      <c r="AU47" s="24">
        <f t="shared" si="53"/>
        <v>0.61</v>
      </c>
      <c r="AV47" s="24">
        <f t="shared" si="54"/>
        <v>0.64</v>
      </c>
      <c r="AW47" s="25">
        <f t="shared" si="55"/>
        <v>4</v>
      </c>
      <c r="AX47" s="25">
        <f t="shared" si="56"/>
        <v>5</v>
      </c>
      <c r="AY47" s="25">
        <f t="shared" si="57"/>
        <v>5</v>
      </c>
    </row>
    <row r="48" spans="1:51" ht="12" customHeight="1">
      <c r="A48" s="60">
        <v>14059</v>
      </c>
      <c r="B48" s="60" t="s">
        <v>176</v>
      </c>
      <c r="C48" s="65" t="str">
        <f>Rollover!A48</f>
        <v>Hyundai</v>
      </c>
      <c r="D48" s="65" t="str">
        <f>Rollover!B48</f>
        <v>Tucson SUV AWD later release</v>
      </c>
      <c r="E48" s="61" t="s">
        <v>155</v>
      </c>
      <c r="F48" s="177">
        <f>Rollover!C48</f>
        <v>2022</v>
      </c>
      <c r="G48" s="18">
        <v>364.44099999999997</v>
      </c>
      <c r="H48" s="19">
        <v>0.23499999999999999</v>
      </c>
      <c r="I48" s="19">
        <v>728.24800000000005</v>
      </c>
      <c r="J48" s="19">
        <v>60.639000000000003</v>
      </c>
      <c r="K48" s="19">
        <v>24.337</v>
      </c>
      <c r="L48" s="19">
        <v>43.637</v>
      </c>
      <c r="M48" s="19">
        <v>121.512</v>
      </c>
      <c r="N48" s="20">
        <v>269.34800000000001</v>
      </c>
      <c r="O48" s="18">
        <v>325.226</v>
      </c>
      <c r="P48" s="19">
        <v>0.34499999999999997</v>
      </c>
      <c r="Q48" s="19">
        <v>554.64200000000005</v>
      </c>
      <c r="R48" s="19">
        <v>261.88299999999998</v>
      </c>
      <c r="S48" s="19">
        <v>10.698</v>
      </c>
      <c r="T48" s="19">
        <v>51.22</v>
      </c>
      <c r="U48" s="19">
        <v>225.60400000000001</v>
      </c>
      <c r="V48" s="51">
        <v>55.561</v>
      </c>
      <c r="W48" s="52">
        <f t="shared" si="29"/>
        <v>1.7865173832312606E-2</v>
      </c>
      <c r="X48" s="10">
        <f t="shared" si="30"/>
        <v>5.9287894628588814E-2</v>
      </c>
      <c r="Y48" s="10">
        <f t="shared" si="31"/>
        <v>9.6592679871459165E-5</v>
      </c>
      <c r="Z48" s="10">
        <f t="shared" si="32"/>
        <v>1.9786668366522114E-5</v>
      </c>
      <c r="AA48" s="10">
        <f t="shared" si="33"/>
        <v>5.9287894628588814E-2</v>
      </c>
      <c r="AB48" s="10">
        <f t="shared" si="34"/>
        <v>2.3860631172100522E-2</v>
      </c>
      <c r="AC48" s="10">
        <f t="shared" si="35"/>
        <v>2.3860631172100522E-2</v>
      </c>
      <c r="AD48" s="10">
        <f t="shared" si="36"/>
        <v>3.2308872707076737E-3</v>
      </c>
      <c r="AE48" s="10">
        <f t="shared" si="37"/>
        <v>3.4879509788548844E-3</v>
      </c>
      <c r="AF48" s="58">
        <f t="shared" si="38"/>
        <v>3.4879509788548844E-3</v>
      </c>
      <c r="AG48" s="52">
        <f t="shared" si="39"/>
        <v>1.2103408921910643E-2</v>
      </c>
      <c r="AH48" s="10">
        <f t="shared" si="40"/>
        <v>7.2583576752864323E-2</v>
      </c>
      <c r="AI48" s="10">
        <f t="shared" si="41"/>
        <v>1.4094502813878686E-4</v>
      </c>
      <c r="AJ48" s="10">
        <f t="shared" si="42"/>
        <v>4.6747590732865224E-5</v>
      </c>
      <c r="AK48" s="10">
        <f t="shared" si="43"/>
        <v>7.2583576752864323E-2</v>
      </c>
      <c r="AL48" s="10">
        <f t="shared" si="44"/>
        <v>4.4490190204293078E-3</v>
      </c>
      <c r="AM48" s="10">
        <f t="shared" si="45"/>
        <v>4.4490190204293078E-3</v>
      </c>
      <c r="AN48" s="10">
        <f t="shared" si="46"/>
        <v>3.6007268989780615E-3</v>
      </c>
      <c r="AO48" s="10">
        <f t="shared" si="47"/>
        <v>3.164571361679172E-3</v>
      </c>
      <c r="AP48" s="58">
        <f t="shared" si="48"/>
        <v>3.6007268989780615E-3</v>
      </c>
      <c r="AQ48" s="63">
        <f t="shared" si="49"/>
        <v>0.10100000000000001</v>
      </c>
      <c r="AR48" s="10">
        <f t="shared" si="50"/>
        <v>9.0999999999999998E-2</v>
      </c>
      <c r="AS48" s="10">
        <f t="shared" si="51"/>
        <v>9.6000000000000002E-2</v>
      </c>
      <c r="AT48" s="24">
        <f t="shared" si="52"/>
        <v>0.67</v>
      </c>
      <c r="AU48" s="24">
        <f t="shared" si="53"/>
        <v>0.61</v>
      </c>
      <c r="AV48" s="24">
        <f t="shared" si="54"/>
        <v>0.64</v>
      </c>
      <c r="AW48" s="25">
        <f t="shared" si="55"/>
        <v>4</v>
      </c>
      <c r="AX48" s="25">
        <f t="shared" si="56"/>
        <v>5</v>
      </c>
      <c r="AY48" s="25">
        <f t="shared" si="57"/>
        <v>5</v>
      </c>
    </row>
    <row r="49" spans="1:51" ht="12" customHeight="1">
      <c r="A49" s="60">
        <v>14059</v>
      </c>
      <c r="B49" s="60" t="s">
        <v>176</v>
      </c>
      <c r="C49" s="65" t="str">
        <f>Rollover!A49</f>
        <v>Hyundai</v>
      </c>
      <c r="D49" s="65" t="str">
        <f>Rollover!B49</f>
        <v>Tucson HEV SUV FWD later release</v>
      </c>
      <c r="E49" s="61" t="s">
        <v>155</v>
      </c>
      <c r="F49" s="177">
        <f>Rollover!C49</f>
        <v>2022</v>
      </c>
      <c r="G49" s="18">
        <v>364.44099999999997</v>
      </c>
      <c r="H49" s="19">
        <v>0.23499999999999999</v>
      </c>
      <c r="I49" s="19">
        <v>728.24800000000005</v>
      </c>
      <c r="J49" s="19">
        <v>60.639000000000003</v>
      </c>
      <c r="K49" s="19">
        <v>24.337</v>
      </c>
      <c r="L49" s="19">
        <v>43.637</v>
      </c>
      <c r="M49" s="19">
        <v>121.512</v>
      </c>
      <c r="N49" s="20">
        <v>269.34800000000001</v>
      </c>
      <c r="O49" s="18">
        <v>325.226</v>
      </c>
      <c r="P49" s="19">
        <v>0.34499999999999997</v>
      </c>
      <c r="Q49" s="19">
        <v>554.64200000000005</v>
      </c>
      <c r="R49" s="19">
        <v>261.88299999999998</v>
      </c>
      <c r="S49" s="19">
        <v>10.698</v>
      </c>
      <c r="T49" s="19">
        <v>51.22</v>
      </c>
      <c r="U49" s="19">
        <v>225.60400000000001</v>
      </c>
      <c r="V49" s="51">
        <v>55.561</v>
      </c>
      <c r="W49" s="52">
        <f t="shared" si="29"/>
        <v>1.7865173832312606E-2</v>
      </c>
      <c r="X49" s="10">
        <f t="shared" si="30"/>
        <v>5.9287894628588814E-2</v>
      </c>
      <c r="Y49" s="10">
        <f t="shared" si="31"/>
        <v>9.6592679871459165E-5</v>
      </c>
      <c r="Z49" s="10">
        <f t="shared" si="32"/>
        <v>1.9786668366522114E-5</v>
      </c>
      <c r="AA49" s="10">
        <f t="shared" si="33"/>
        <v>5.9287894628588814E-2</v>
      </c>
      <c r="AB49" s="10">
        <f t="shared" si="34"/>
        <v>2.3860631172100522E-2</v>
      </c>
      <c r="AC49" s="10">
        <f t="shared" si="35"/>
        <v>2.3860631172100522E-2</v>
      </c>
      <c r="AD49" s="10">
        <f t="shared" si="36"/>
        <v>3.2308872707076737E-3</v>
      </c>
      <c r="AE49" s="10">
        <f t="shared" si="37"/>
        <v>3.4879509788548844E-3</v>
      </c>
      <c r="AF49" s="58">
        <f t="shared" si="38"/>
        <v>3.4879509788548844E-3</v>
      </c>
      <c r="AG49" s="52">
        <f t="shared" si="39"/>
        <v>1.2103408921910643E-2</v>
      </c>
      <c r="AH49" s="10">
        <f t="shared" si="40"/>
        <v>7.2583576752864323E-2</v>
      </c>
      <c r="AI49" s="10">
        <f t="shared" si="41"/>
        <v>1.4094502813878686E-4</v>
      </c>
      <c r="AJ49" s="10">
        <f t="shared" si="42"/>
        <v>4.6747590732865224E-5</v>
      </c>
      <c r="AK49" s="10">
        <f t="shared" si="43"/>
        <v>7.2583576752864323E-2</v>
      </c>
      <c r="AL49" s="10">
        <f t="shared" si="44"/>
        <v>4.4490190204293078E-3</v>
      </c>
      <c r="AM49" s="10">
        <f t="shared" si="45"/>
        <v>4.4490190204293078E-3</v>
      </c>
      <c r="AN49" s="10">
        <f t="shared" si="46"/>
        <v>3.6007268989780615E-3</v>
      </c>
      <c r="AO49" s="10">
        <f t="shared" si="47"/>
        <v>3.164571361679172E-3</v>
      </c>
      <c r="AP49" s="58">
        <f t="shared" si="48"/>
        <v>3.6007268989780615E-3</v>
      </c>
      <c r="AQ49" s="63">
        <f t="shared" si="49"/>
        <v>0.10100000000000001</v>
      </c>
      <c r="AR49" s="10">
        <f t="shared" si="50"/>
        <v>9.0999999999999998E-2</v>
      </c>
      <c r="AS49" s="10">
        <f t="shared" si="51"/>
        <v>9.6000000000000002E-2</v>
      </c>
      <c r="AT49" s="24">
        <f t="shared" si="52"/>
        <v>0.67</v>
      </c>
      <c r="AU49" s="24">
        <f t="shared" si="53"/>
        <v>0.61</v>
      </c>
      <c r="AV49" s="24">
        <f t="shared" si="54"/>
        <v>0.64</v>
      </c>
      <c r="AW49" s="25">
        <f t="shared" si="55"/>
        <v>4</v>
      </c>
      <c r="AX49" s="25">
        <f t="shared" si="56"/>
        <v>5</v>
      </c>
      <c r="AY49" s="25">
        <f t="shared" si="57"/>
        <v>5</v>
      </c>
    </row>
    <row r="50" spans="1:51" ht="12" customHeight="1">
      <c r="A50" s="60">
        <v>14059</v>
      </c>
      <c r="B50" s="60" t="s">
        <v>176</v>
      </c>
      <c r="C50" s="65" t="str">
        <f>Rollover!A50</f>
        <v>Hyundai</v>
      </c>
      <c r="D50" s="65" t="str">
        <f>Rollover!B50</f>
        <v>Tucson HEV SUV AWD later release</v>
      </c>
      <c r="E50" s="61" t="s">
        <v>155</v>
      </c>
      <c r="F50" s="177">
        <f>Rollover!C50</f>
        <v>2022</v>
      </c>
      <c r="G50" s="18">
        <v>364.44099999999997</v>
      </c>
      <c r="H50" s="19">
        <v>0.23499999999999999</v>
      </c>
      <c r="I50" s="19">
        <v>728.24800000000005</v>
      </c>
      <c r="J50" s="19">
        <v>60.639000000000003</v>
      </c>
      <c r="K50" s="19">
        <v>24.337</v>
      </c>
      <c r="L50" s="19">
        <v>43.637</v>
      </c>
      <c r="M50" s="19">
        <v>121.512</v>
      </c>
      <c r="N50" s="20">
        <v>269.34800000000001</v>
      </c>
      <c r="O50" s="18">
        <v>325.226</v>
      </c>
      <c r="P50" s="19">
        <v>0.34499999999999997</v>
      </c>
      <c r="Q50" s="19">
        <v>554.64200000000005</v>
      </c>
      <c r="R50" s="19">
        <v>261.88299999999998</v>
      </c>
      <c r="S50" s="19">
        <v>10.698</v>
      </c>
      <c r="T50" s="19">
        <v>51.22</v>
      </c>
      <c r="U50" s="19">
        <v>225.60400000000001</v>
      </c>
      <c r="V50" s="51">
        <v>55.561</v>
      </c>
      <c r="W50" s="52">
        <f t="shared" si="29"/>
        <v>1.7865173832312606E-2</v>
      </c>
      <c r="X50" s="10">
        <f t="shared" si="30"/>
        <v>5.9287894628588814E-2</v>
      </c>
      <c r="Y50" s="10">
        <f t="shared" si="31"/>
        <v>9.6592679871459165E-5</v>
      </c>
      <c r="Z50" s="10">
        <f t="shared" si="32"/>
        <v>1.9786668366522114E-5</v>
      </c>
      <c r="AA50" s="10">
        <f t="shared" si="33"/>
        <v>5.9287894628588814E-2</v>
      </c>
      <c r="AB50" s="10">
        <f t="shared" si="34"/>
        <v>2.3860631172100522E-2</v>
      </c>
      <c r="AC50" s="10">
        <f t="shared" si="35"/>
        <v>2.3860631172100522E-2</v>
      </c>
      <c r="AD50" s="10">
        <f t="shared" si="36"/>
        <v>3.2308872707076737E-3</v>
      </c>
      <c r="AE50" s="10">
        <f t="shared" si="37"/>
        <v>3.4879509788548844E-3</v>
      </c>
      <c r="AF50" s="58">
        <f t="shared" si="38"/>
        <v>3.4879509788548844E-3</v>
      </c>
      <c r="AG50" s="52">
        <f t="shared" si="39"/>
        <v>1.2103408921910643E-2</v>
      </c>
      <c r="AH50" s="10">
        <f t="shared" si="40"/>
        <v>7.2583576752864323E-2</v>
      </c>
      <c r="AI50" s="10">
        <f t="shared" si="41"/>
        <v>1.4094502813878686E-4</v>
      </c>
      <c r="AJ50" s="10">
        <f t="shared" si="42"/>
        <v>4.6747590732865224E-5</v>
      </c>
      <c r="AK50" s="10">
        <f t="shared" si="43"/>
        <v>7.2583576752864323E-2</v>
      </c>
      <c r="AL50" s="10">
        <f t="shared" si="44"/>
        <v>4.4490190204293078E-3</v>
      </c>
      <c r="AM50" s="10">
        <f t="shared" si="45"/>
        <v>4.4490190204293078E-3</v>
      </c>
      <c r="AN50" s="10">
        <f t="shared" si="46"/>
        <v>3.6007268989780615E-3</v>
      </c>
      <c r="AO50" s="10">
        <f t="shared" si="47"/>
        <v>3.164571361679172E-3</v>
      </c>
      <c r="AP50" s="58">
        <f t="shared" si="48"/>
        <v>3.6007268989780615E-3</v>
      </c>
      <c r="AQ50" s="63">
        <f t="shared" si="49"/>
        <v>0.10100000000000001</v>
      </c>
      <c r="AR50" s="10">
        <f t="shared" si="50"/>
        <v>9.0999999999999998E-2</v>
      </c>
      <c r="AS50" s="10">
        <f t="shared" si="51"/>
        <v>9.6000000000000002E-2</v>
      </c>
      <c r="AT50" s="24">
        <f t="shared" si="52"/>
        <v>0.67</v>
      </c>
      <c r="AU50" s="24">
        <f t="shared" si="53"/>
        <v>0.61</v>
      </c>
      <c r="AV50" s="24">
        <f t="shared" si="54"/>
        <v>0.64</v>
      </c>
      <c r="AW50" s="25">
        <f t="shared" si="55"/>
        <v>4</v>
      </c>
      <c r="AX50" s="25">
        <f t="shared" si="56"/>
        <v>5</v>
      </c>
      <c r="AY50" s="25">
        <f t="shared" si="57"/>
        <v>5</v>
      </c>
    </row>
    <row r="51" spans="1:51" ht="12" customHeight="1">
      <c r="A51" s="60">
        <v>14062</v>
      </c>
      <c r="B51" s="60" t="s">
        <v>177</v>
      </c>
      <c r="C51" s="65" t="str">
        <f>Rollover!A51</f>
        <v>Jeep</v>
      </c>
      <c r="D51" s="65" t="str">
        <f>Rollover!B51</f>
        <v>Compass SUV FWD</v>
      </c>
      <c r="E51" s="61" t="s">
        <v>163</v>
      </c>
      <c r="F51" s="177">
        <f>Rollover!C51</f>
        <v>2022</v>
      </c>
      <c r="G51" s="18">
        <v>284.16000000000003</v>
      </c>
      <c r="H51" s="19">
        <v>0.371</v>
      </c>
      <c r="I51" s="19">
        <v>1351.86</v>
      </c>
      <c r="J51" s="19">
        <v>227.649</v>
      </c>
      <c r="K51" s="19">
        <v>25.561</v>
      </c>
      <c r="L51" s="19">
        <v>39.637</v>
      </c>
      <c r="M51" s="19">
        <v>1512.7639999999999</v>
      </c>
      <c r="N51" s="20">
        <v>1555.1890000000001</v>
      </c>
      <c r="O51" s="18">
        <v>174.84800000000001</v>
      </c>
      <c r="P51" s="19">
        <v>0.40500000000000003</v>
      </c>
      <c r="Q51" s="19">
        <v>722.69799999999998</v>
      </c>
      <c r="R51" s="19">
        <v>470.38299999999998</v>
      </c>
      <c r="S51" s="19">
        <v>16.876999999999999</v>
      </c>
      <c r="T51" s="19">
        <v>40.545000000000002</v>
      </c>
      <c r="U51" s="19">
        <v>314.33499999999998</v>
      </c>
      <c r="V51" s="51">
        <v>913.35400000000004</v>
      </c>
      <c r="W51" s="52">
        <f t="shared" si="29"/>
        <v>7.4203154776239537E-3</v>
      </c>
      <c r="X51" s="10">
        <f t="shared" si="30"/>
        <v>7.6105651318424991E-2</v>
      </c>
      <c r="Y51" s="10">
        <f t="shared" si="31"/>
        <v>4.2464491384335798E-4</v>
      </c>
      <c r="Z51" s="10">
        <f t="shared" si="32"/>
        <v>2.9419199732707394E-5</v>
      </c>
      <c r="AA51" s="10">
        <f t="shared" si="33"/>
        <v>7.6105651318424991E-2</v>
      </c>
      <c r="AB51" s="10">
        <f t="shared" si="34"/>
        <v>2.7788657404714812E-2</v>
      </c>
      <c r="AC51" s="10">
        <f t="shared" si="35"/>
        <v>2.7788657404714812E-2</v>
      </c>
      <c r="AD51" s="10">
        <f t="shared" si="36"/>
        <v>6.6341542739218424E-3</v>
      </c>
      <c r="AE51" s="10">
        <f t="shared" si="37"/>
        <v>6.7810188865920478E-3</v>
      </c>
      <c r="AF51" s="58">
        <f t="shared" si="38"/>
        <v>6.7810188865920478E-3</v>
      </c>
      <c r="AG51" s="52">
        <f t="shared" si="39"/>
        <v>9.9236936744662076E-4</v>
      </c>
      <c r="AH51" s="10">
        <f t="shared" si="40"/>
        <v>8.0947979971873835E-2</v>
      </c>
      <c r="AI51" s="10">
        <f t="shared" si="41"/>
        <v>2.6555352713902446E-4</v>
      </c>
      <c r="AJ51" s="10">
        <f t="shared" si="42"/>
        <v>1.0259117050023624E-4</v>
      </c>
      <c r="AK51" s="10">
        <f t="shared" si="43"/>
        <v>8.0947979971873835E-2</v>
      </c>
      <c r="AL51" s="10">
        <f t="shared" si="44"/>
        <v>1.4643199382292037E-2</v>
      </c>
      <c r="AM51" s="10">
        <f t="shared" si="45"/>
        <v>1.4643199382292037E-2</v>
      </c>
      <c r="AN51" s="10">
        <f t="shared" si="46"/>
        <v>3.85159782296535E-3</v>
      </c>
      <c r="AO51" s="10">
        <f t="shared" si="47"/>
        <v>6.0657335716609827E-3</v>
      </c>
      <c r="AP51" s="58">
        <f t="shared" si="48"/>
        <v>6.0657335716609827E-3</v>
      </c>
      <c r="AQ51" s="63">
        <f t="shared" si="49"/>
        <v>0.114</v>
      </c>
      <c r="AR51" s="10">
        <f t="shared" si="50"/>
        <v>0.10100000000000001</v>
      </c>
      <c r="AS51" s="10">
        <f t="shared" si="51"/>
        <v>0.108</v>
      </c>
      <c r="AT51" s="24">
        <f t="shared" si="52"/>
        <v>0.76</v>
      </c>
      <c r="AU51" s="24">
        <f t="shared" si="53"/>
        <v>0.67</v>
      </c>
      <c r="AV51" s="24">
        <f t="shared" si="54"/>
        <v>0.72</v>
      </c>
      <c r="AW51" s="25">
        <f t="shared" si="55"/>
        <v>4</v>
      </c>
      <c r="AX51" s="25">
        <f t="shared" si="56"/>
        <v>4</v>
      </c>
      <c r="AY51" s="25">
        <f t="shared" si="57"/>
        <v>4</v>
      </c>
    </row>
    <row r="52" spans="1:51" ht="12" customHeight="1">
      <c r="A52" s="42">
        <v>14062</v>
      </c>
      <c r="B52" s="60" t="s">
        <v>177</v>
      </c>
      <c r="C52" s="65" t="str">
        <f>Rollover!A52</f>
        <v>Jeep</v>
      </c>
      <c r="D52" s="65" t="str">
        <f>Rollover!B52</f>
        <v>Compass SUV AWD</v>
      </c>
      <c r="E52" s="156" t="s">
        <v>163</v>
      </c>
      <c r="F52" s="177">
        <f>Rollover!C52</f>
        <v>2022</v>
      </c>
      <c r="G52" s="27">
        <v>284.16000000000003</v>
      </c>
      <c r="H52" s="28">
        <v>0.371</v>
      </c>
      <c r="I52" s="28">
        <v>1351.86</v>
      </c>
      <c r="J52" s="28">
        <v>227.649</v>
      </c>
      <c r="K52" s="28">
        <v>25.561</v>
      </c>
      <c r="L52" s="28">
        <v>39.637</v>
      </c>
      <c r="M52" s="28">
        <v>1512.7639999999999</v>
      </c>
      <c r="N52" s="29">
        <v>1555.1890000000001</v>
      </c>
      <c r="O52" s="27">
        <v>174.84800000000001</v>
      </c>
      <c r="P52" s="28">
        <v>0.40500000000000003</v>
      </c>
      <c r="Q52" s="28">
        <v>722.69799999999998</v>
      </c>
      <c r="R52" s="28">
        <v>470.38299999999998</v>
      </c>
      <c r="S52" s="28">
        <v>16.876999999999999</v>
      </c>
      <c r="T52" s="28">
        <v>40.545000000000002</v>
      </c>
      <c r="U52" s="28">
        <v>314.33499999999998</v>
      </c>
      <c r="V52" s="56">
        <v>913.35400000000004</v>
      </c>
      <c r="W52" s="52">
        <f t="shared" si="29"/>
        <v>7.4203154776239537E-3</v>
      </c>
      <c r="X52" s="10">
        <f t="shared" si="30"/>
        <v>7.6105651318424991E-2</v>
      </c>
      <c r="Y52" s="10">
        <f t="shared" si="31"/>
        <v>4.2464491384335798E-4</v>
      </c>
      <c r="Z52" s="10">
        <f t="shared" si="32"/>
        <v>2.9419199732707394E-5</v>
      </c>
      <c r="AA52" s="10">
        <f t="shared" si="33"/>
        <v>7.6105651318424991E-2</v>
      </c>
      <c r="AB52" s="10">
        <f t="shared" si="34"/>
        <v>2.7788657404714812E-2</v>
      </c>
      <c r="AC52" s="10">
        <f t="shared" si="35"/>
        <v>2.7788657404714812E-2</v>
      </c>
      <c r="AD52" s="10">
        <f t="shared" si="36"/>
        <v>6.6341542739218424E-3</v>
      </c>
      <c r="AE52" s="10">
        <f t="shared" si="37"/>
        <v>6.7810188865920478E-3</v>
      </c>
      <c r="AF52" s="58">
        <f t="shared" si="38"/>
        <v>6.7810188865920478E-3</v>
      </c>
      <c r="AG52" s="52">
        <f t="shared" si="39"/>
        <v>9.9236936744662076E-4</v>
      </c>
      <c r="AH52" s="10">
        <f t="shared" si="40"/>
        <v>8.0947979971873835E-2</v>
      </c>
      <c r="AI52" s="10">
        <f t="shared" si="41"/>
        <v>2.6555352713902446E-4</v>
      </c>
      <c r="AJ52" s="10">
        <f t="shared" si="42"/>
        <v>1.0259117050023624E-4</v>
      </c>
      <c r="AK52" s="10">
        <f t="shared" si="43"/>
        <v>8.0947979971873835E-2</v>
      </c>
      <c r="AL52" s="10">
        <f t="shared" si="44"/>
        <v>1.4643199382292037E-2</v>
      </c>
      <c r="AM52" s="10">
        <f t="shared" si="45"/>
        <v>1.4643199382292037E-2</v>
      </c>
      <c r="AN52" s="10">
        <f t="shared" si="46"/>
        <v>3.85159782296535E-3</v>
      </c>
      <c r="AO52" s="10">
        <f t="shared" si="47"/>
        <v>6.0657335716609827E-3</v>
      </c>
      <c r="AP52" s="58">
        <f t="shared" si="48"/>
        <v>6.0657335716609827E-3</v>
      </c>
      <c r="AQ52" s="63">
        <f t="shared" si="49"/>
        <v>0.114</v>
      </c>
      <c r="AR52" s="10">
        <f t="shared" si="50"/>
        <v>0.10100000000000001</v>
      </c>
      <c r="AS52" s="10">
        <f t="shared" si="51"/>
        <v>0.108</v>
      </c>
      <c r="AT52" s="24">
        <f t="shared" si="52"/>
        <v>0.76</v>
      </c>
      <c r="AU52" s="24">
        <f t="shared" si="53"/>
        <v>0.67</v>
      </c>
      <c r="AV52" s="24">
        <f t="shared" si="54"/>
        <v>0.72</v>
      </c>
      <c r="AW52" s="25">
        <f t="shared" si="55"/>
        <v>4</v>
      </c>
      <c r="AX52" s="25">
        <f t="shared" si="56"/>
        <v>4</v>
      </c>
      <c r="AY52" s="25">
        <f t="shared" si="57"/>
        <v>4</v>
      </c>
    </row>
    <row r="53" spans="1:51" ht="12" customHeight="1">
      <c r="A53" s="60">
        <v>14242</v>
      </c>
      <c r="B53" s="60" t="s">
        <v>178</v>
      </c>
      <c r="C53" s="65" t="str">
        <f>Rollover!A53</f>
        <v>Jeep</v>
      </c>
      <c r="D53" s="65" t="str">
        <f>Rollover!B53</f>
        <v>Grand Cherokee L SUV 2WD</v>
      </c>
      <c r="E53" s="61" t="s">
        <v>163</v>
      </c>
      <c r="F53" s="177">
        <f>Rollover!C53</f>
        <v>2022</v>
      </c>
      <c r="G53" s="18">
        <v>128.6</v>
      </c>
      <c r="H53" s="19">
        <v>0.20899999999999999</v>
      </c>
      <c r="I53" s="19">
        <v>658.84900000000005</v>
      </c>
      <c r="J53" s="19">
        <v>371.97199999999998</v>
      </c>
      <c r="K53" s="19">
        <v>21.193000000000001</v>
      </c>
      <c r="L53" s="19">
        <v>31.693999999999999</v>
      </c>
      <c r="M53" s="19">
        <v>2142.5140000000001</v>
      </c>
      <c r="N53" s="20">
        <v>1151.998</v>
      </c>
      <c r="O53" s="18">
        <v>137.32499999999999</v>
      </c>
      <c r="P53" s="19">
        <v>0.27700000000000002</v>
      </c>
      <c r="Q53" s="19">
        <v>555.37699999999995</v>
      </c>
      <c r="R53" s="19">
        <v>183.06700000000001</v>
      </c>
      <c r="S53" s="19">
        <v>14.856999999999999</v>
      </c>
      <c r="T53" s="19">
        <v>29.652000000000001</v>
      </c>
      <c r="U53" s="19">
        <v>1778.595</v>
      </c>
      <c r="V53" s="51">
        <v>1542.932</v>
      </c>
      <c r="W53" s="52">
        <f t="shared" si="29"/>
        <v>2.2602753410383281E-4</v>
      </c>
      <c r="X53" s="10">
        <f t="shared" si="30"/>
        <v>5.6496531186568832E-2</v>
      </c>
      <c r="Y53" s="10">
        <f t="shared" si="31"/>
        <v>8.1916055832250234E-5</v>
      </c>
      <c r="Z53" s="10">
        <f t="shared" si="32"/>
        <v>4.1446465670159445E-5</v>
      </c>
      <c r="AA53" s="10">
        <f t="shared" si="33"/>
        <v>5.6496531186568832E-2</v>
      </c>
      <c r="AB53" s="10">
        <f t="shared" si="34"/>
        <v>1.5769836031900058E-2</v>
      </c>
      <c r="AC53" s="10">
        <f t="shared" si="35"/>
        <v>1.5769836031900058E-2</v>
      </c>
      <c r="AD53" s="10">
        <f t="shared" si="36"/>
        <v>9.1786898793333738E-3</v>
      </c>
      <c r="AE53" s="10">
        <f t="shared" si="37"/>
        <v>5.5064042252166304E-3</v>
      </c>
      <c r="AF53" s="58">
        <f t="shared" si="38"/>
        <v>9.1786898793333738E-3</v>
      </c>
      <c r="AG53" s="52">
        <f t="shared" si="39"/>
        <v>3.1430857884317268E-4</v>
      </c>
      <c r="AH53" s="10">
        <f t="shared" si="40"/>
        <v>6.4071322343990295E-2</v>
      </c>
      <c r="AI53" s="10">
        <f t="shared" si="41"/>
        <v>1.4133606608857677E-4</v>
      </c>
      <c r="AJ53" s="10">
        <f t="shared" si="42"/>
        <v>3.4731199921571719E-5</v>
      </c>
      <c r="AK53" s="10">
        <f t="shared" si="43"/>
        <v>6.4071322343990295E-2</v>
      </c>
      <c r="AL53" s="10">
        <f t="shared" si="44"/>
        <v>1.0243221995065483E-2</v>
      </c>
      <c r="AM53" s="10">
        <f t="shared" si="45"/>
        <v>1.0243221995065483E-2</v>
      </c>
      <c r="AN53" s="10">
        <f t="shared" si="46"/>
        <v>1.1660854166364625E-2</v>
      </c>
      <c r="AO53" s="10">
        <f t="shared" si="47"/>
        <v>9.7630432047256036E-3</v>
      </c>
      <c r="AP53" s="58">
        <f t="shared" si="48"/>
        <v>1.1660854166364625E-2</v>
      </c>
      <c r="AQ53" s="63">
        <f t="shared" si="49"/>
        <v>0.08</v>
      </c>
      <c r="AR53" s="10">
        <f t="shared" si="50"/>
        <v>8.5000000000000006E-2</v>
      </c>
      <c r="AS53" s="10">
        <f t="shared" si="51"/>
        <v>8.3000000000000004E-2</v>
      </c>
      <c r="AT53" s="24">
        <f t="shared" si="52"/>
        <v>0.53</v>
      </c>
      <c r="AU53" s="24">
        <f t="shared" si="53"/>
        <v>0.56999999999999995</v>
      </c>
      <c r="AV53" s="24">
        <f t="shared" si="54"/>
        <v>0.55000000000000004</v>
      </c>
      <c r="AW53" s="25">
        <f t="shared" si="55"/>
        <v>5</v>
      </c>
      <c r="AX53" s="25">
        <f t="shared" si="56"/>
        <v>5</v>
      </c>
      <c r="AY53" s="25">
        <f t="shared" si="57"/>
        <v>5</v>
      </c>
    </row>
    <row r="54" spans="1:51" ht="12" customHeight="1">
      <c r="A54" s="60">
        <v>14242</v>
      </c>
      <c r="B54" s="60" t="s">
        <v>178</v>
      </c>
      <c r="C54" s="65" t="str">
        <f>Rollover!A54</f>
        <v>Jeep</v>
      </c>
      <c r="D54" s="65" t="str">
        <f>Rollover!B54</f>
        <v>Grand Cherokee L SUV 4WD</v>
      </c>
      <c r="E54" s="61" t="s">
        <v>163</v>
      </c>
      <c r="F54" s="177">
        <f>Rollover!C54</f>
        <v>2022</v>
      </c>
      <c r="G54" s="18">
        <v>128.6</v>
      </c>
      <c r="H54" s="19">
        <v>0.20899999999999999</v>
      </c>
      <c r="I54" s="19">
        <v>658.84900000000005</v>
      </c>
      <c r="J54" s="19">
        <v>371.97199999999998</v>
      </c>
      <c r="K54" s="19">
        <v>21.193000000000001</v>
      </c>
      <c r="L54" s="19">
        <v>31.693999999999999</v>
      </c>
      <c r="M54" s="19">
        <v>2142.5140000000001</v>
      </c>
      <c r="N54" s="20">
        <v>1151.998</v>
      </c>
      <c r="O54" s="18">
        <v>137.32499999999999</v>
      </c>
      <c r="P54" s="19">
        <v>0.27700000000000002</v>
      </c>
      <c r="Q54" s="19">
        <v>555.37699999999995</v>
      </c>
      <c r="R54" s="19">
        <v>183.06700000000001</v>
      </c>
      <c r="S54" s="19">
        <v>14.856999999999999</v>
      </c>
      <c r="T54" s="19">
        <v>29.652000000000001</v>
      </c>
      <c r="U54" s="19">
        <v>1778.595</v>
      </c>
      <c r="V54" s="51">
        <v>1542.932</v>
      </c>
      <c r="W54" s="52">
        <f t="shared" si="29"/>
        <v>2.2602753410383281E-4</v>
      </c>
      <c r="X54" s="10">
        <f t="shared" si="30"/>
        <v>5.6496531186568832E-2</v>
      </c>
      <c r="Y54" s="10">
        <f t="shared" si="31"/>
        <v>8.1916055832250234E-5</v>
      </c>
      <c r="Z54" s="10">
        <f t="shared" si="32"/>
        <v>4.1446465670159445E-5</v>
      </c>
      <c r="AA54" s="10">
        <f t="shared" si="33"/>
        <v>5.6496531186568832E-2</v>
      </c>
      <c r="AB54" s="10">
        <f t="shared" si="34"/>
        <v>1.5769836031900058E-2</v>
      </c>
      <c r="AC54" s="10">
        <f t="shared" si="35"/>
        <v>1.5769836031900058E-2</v>
      </c>
      <c r="AD54" s="10">
        <f t="shared" si="36"/>
        <v>9.1786898793333738E-3</v>
      </c>
      <c r="AE54" s="10">
        <f t="shared" si="37"/>
        <v>5.5064042252166304E-3</v>
      </c>
      <c r="AF54" s="58">
        <f t="shared" si="38"/>
        <v>9.1786898793333738E-3</v>
      </c>
      <c r="AG54" s="52">
        <f t="shared" si="39"/>
        <v>3.1430857884317268E-4</v>
      </c>
      <c r="AH54" s="10">
        <f t="shared" si="40"/>
        <v>6.4071322343990295E-2</v>
      </c>
      <c r="AI54" s="10">
        <f t="shared" si="41"/>
        <v>1.4133606608857677E-4</v>
      </c>
      <c r="AJ54" s="10">
        <f t="shared" si="42"/>
        <v>3.4731199921571719E-5</v>
      </c>
      <c r="AK54" s="10">
        <f t="shared" si="43"/>
        <v>6.4071322343990295E-2</v>
      </c>
      <c r="AL54" s="10">
        <f t="shared" si="44"/>
        <v>1.0243221995065483E-2</v>
      </c>
      <c r="AM54" s="10">
        <f t="shared" si="45"/>
        <v>1.0243221995065483E-2</v>
      </c>
      <c r="AN54" s="10">
        <f t="shared" si="46"/>
        <v>1.1660854166364625E-2</v>
      </c>
      <c r="AO54" s="10">
        <f t="shared" si="47"/>
        <v>9.7630432047256036E-3</v>
      </c>
      <c r="AP54" s="58">
        <f t="shared" si="48"/>
        <v>1.1660854166364625E-2</v>
      </c>
      <c r="AQ54" s="63">
        <f t="shared" si="49"/>
        <v>0.08</v>
      </c>
      <c r="AR54" s="10">
        <f t="shared" si="50"/>
        <v>8.5000000000000006E-2</v>
      </c>
      <c r="AS54" s="10">
        <f t="shared" si="51"/>
        <v>8.3000000000000004E-2</v>
      </c>
      <c r="AT54" s="24">
        <f t="shared" si="52"/>
        <v>0.53</v>
      </c>
      <c r="AU54" s="24">
        <f t="shared" si="53"/>
        <v>0.56999999999999995</v>
      </c>
      <c r="AV54" s="24">
        <f t="shared" si="54"/>
        <v>0.55000000000000004</v>
      </c>
      <c r="AW54" s="25">
        <f t="shared" si="55"/>
        <v>5</v>
      </c>
      <c r="AX54" s="25">
        <f t="shared" si="56"/>
        <v>5</v>
      </c>
      <c r="AY54" s="25">
        <f t="shared" si="57"/>
        <v>5</v>
      </c>
    </row>
    <row r="55" spans="1:51" ht="12" customHeight="1">
      <c r="A55" s="60">
        <v>14242</v>
      </c>
      <c r="B55" s="60" t="s">
        <v>178</v>
      </c>
      <c r="C55" s="65" t="str">
        <f>Rollover!A55</f>
        <v>Jeep</v>
      </c>
      <c r="D55" s="62" t="str">
        <f>Rollover!B55</f>
        <v>Grand Cherokee SUV 2WD</v>
      </c>
      <c r="E55" s="61" t="s">
        <v>163</v>
      </c>
      <c r="F55" s="177">
        <f>Rollover!C55</f>
        <v>2022</v>
      </c>
      <c r="G55" s="18">
        <v>128.6</v>
      </c>
      <c r="H55" s="19">
        <v>0.20899999999999999</v>
      </c>
      <c r="I55" s="19">
        <v>658.84900000000005</v>
      </c>
      <c r="J55" s="19">
        <v>371.97199999999998</v>
      </c>
      <c r="K55" s="19">
        <v>21.193000000000001</v>
      </c>
      <c r="L55" s="19">
        <v>31.693999999999999</v>
      </c>
      <c r="M55" s="19">
        <v>2142.5140000000001</v>
      </c>
      <c r="N55" s="20">
        <v>1151.998</v>
      </c>
      <c r="O55" s="18">
        <v>137.32499999999999</v>
      </c>
      <c r="P55" s="19">
        <v>0.27700000000000002</v>
      </c>
      <c r="Q55" s="19">
        <v>555.37699999999995</v>
      </c>
      <c r="R55" s="19">
        <v>183.06700000000001</v>
      </c>
      <c r="S55" s="19">
        <v>14.856999999999999</v>
      </c>
      <c r="T55" s="19">
        <v>29.652000000000001</v>
      </c>
      <c r="U55" s="19">
        <v>1778.595</v>
      </c>
      <c r="V55" s="51">
        <v>1542.932</v>
      </c>
      <c r="W55" s="52">
        <f t="shared" si="29"/>
        <v>2.2602753410383281E-4</v>
      </c>
      <c r="X55" s="10">
        <f t="shared" si="30"/>
        <v>5.6496531186568832E-2</v>
      </c>
      <c r="Y55" s="10">
        <f t="shared" si="31"/>
        <v>8.1916055832250234E-5</v>
      </c>
      <c r="Z55" s="10">
        <f t="shared" si="32"/>
        <v>4.1446465670159445E-5</v>
      </c>
      <c r="AA55" s="10">
        <f t="shared" si="33"/>
        <v>5.6496531186568832E-2</v>
      </c>
      <c r="AB55" s="10">
        <f t="shared" si="34"/>
        <v>1.5769836031900058E-2</v>
      </c>
      <c r="AC55" s="10">
        <f t="shared" si="35"/>
        <v>1.5769836031900058E-2</v>
      </c>
      <c r="AD55" s="10">
        <f t="shared" si="36"/>
        <v>9.1786898793333738E-3</v>
      </c>
      <c r="AE55" s="10">
        <f t="shared" si="37"/>
        <v>5.5064042252166304E-3</v>
      </c>
      <c r="AF55" s="58">
        <f t="shared" si="38"/>
        <v>9.1786898793333738E-3</v>
      </c>
      <c r="AG55" s="52">
        <f t="shared" si="39"/>
        <v>3.1430857884317268E-4</v>
      </c>
      <c r="AH55" s="10">
        <f t="shared" si="40"/>
        <v>6.4071322343990295E-2</v>
      </c>
      <c r="AI55" s="10">
        <f t="shared" si="41"/>
        <v>1.4133606608857677E-4</v>
      </c>
      <c r="AJ55" s="10">
        <f t="shared" si="42"/>
        <v>3.4731199921571719E-5</v>
      </c>
      <c r="AK55" s="10">
        <f t="shared" si="43"/>
        <v>6.4071322343990295E-2</v>
      </c>
      <c r="AL55" s="10">
        <f t="shared" si="44"/>
        <v>1.0243221995065483E-2</v>
      </c>
      <c r="AM55" s="10">
        <f t="shared" si="45"/>
        <v>1.0243221995065483E-2</v>
      </c>
      <c r="AN55" s="10">
        <f t="shared" si="46"/>
        <v>1.1660854166364625E-2</v>
      </c>
      <c r="AO55" s="10">
        <f t="shared" si="47"/>
        <v>9.7630432047256036E-3</v>
      </c>
      <c r="AP55" s="58">
        <f t="shared" si="48"/>
        <v>1.1660854166364625E-2</v>
      </c>
      <c r="AQ55" s="63">
        <f t="shared" si="49"/>
        <v>0.08</v>
      </c>
      <c r="AR55" s="10">
        <f t="shared" si="50"/>
        <v>8.5000000000000006E-2</v>
      </c>
      <c r="AS55" s="10">
        <f t="shared" si="51"/>
        <v>8.3000000000000004E-2</v>
      </c>
      <c r="AT55" s="24">
        <f t="shared" si="52"/>
        <v>0.53</v>
      </c>
      <c r="AU55" s="24">
        <f t="shared" si="53"/>
        <v>0.56999999999999995</v>
      </c>
      <c r="AV55" s="24">
        <f t="shared" si="54"/>
        <v>0.55000000000000004</v>
      </c>
      <c r="AW55" s="25">
        <f t="shared" si="55"/>
        <v>5</v>
      </c>
      <c r="AX55" s="25">
        <f t="shared" si="56"/>
        <v>5</v>
      </c>
      <c r="AY55" s="25">
        <f t="shared" si="57"/>
        <v>5</v>
      </c>
    </row>
    <row r="56" spans="1:51" ht="12" customHeight="1">
      <c r="A56" s="60">
        <v>14242</v>
      </c>
      <c r="B56" s="60" t="s">
        <v>178</v>
      </c>
      <c r="C56" s="65" t="str">
        <f>Rollover!A56</f>
        <v>Jeep</v>
      </c>
      <c r="D56" s="62" t="str">
        <f>Rollover!B56</f>
        <v>Grand Cherokee SUV 4WD</v>
      </c>
      <c r="E56" s="61" t="s">
        <v>163</v>
      </c>
      <c r="F56" s="177">
        <f>Rollover!C56</f>
        <v>2022</v>
      </c>
      <c r="G56" s="18">
        <v>128.6</v>
      </c>
      <c r="H56" s="19">
        <v>0.20899999999999999</v>
      </c>
      <c r="I56" s="19">
        <v>658.84900000000005</v>
      </c>
      <c r="J56" s="19">
        <v>371.97199999999998</v>
      </c>
      <c r="K56" s="19">
        <v>21.193000000000001</v>
      </c>
      <c r="L56" s="19">
        <v>31.693999999999999</v>
      </c>
      <c r="M56" s="19">
        <v>2142.5140000000001</v>
      </c>
      <c r="N56" s="20">
        <v>1151.998</v>
      </c>
      <c r="O56" s="18">
        <v>137.32499999999999</v>
      </c>
      <c r="P56" s="19">
        <v>0.27700000000000002</v>
      </c>
      <c r="Q56" s="19">
        <v>555.37699999999995</v>
      </c>
      <c r="R56" s="19">
        <v>183.06700000000001</v>
      </c>
      <c r="S56" s="19">
        <v>14.856999999999999</v>
      </c>
      <c r="T56" s="19">
        <v>29.652000000000001</v>
      </c>
      <c r="U56" s="19">
        <v>1778.595</v>
      </c>
      <c r="V56" s="51">
        <v>1542.932</v>
      </c>
      <c r="W56" s="52">
        <f t="shared" ref="W56:W87" si="64">NORMDIST(LN(G56),7.45231,0.73998,1)</f>
        <v>2.2602753410383281E-4</v>
      </c>
      <c r="X56" s="10">
        <f t="shared" ref="X56:X87" si="65">1/(1+EXP(3.2269-1.9688*H56))</f>
        <v>5.6496531186568832E-2</v>
      </c>
      <c r="Y56" s="10">
        <f t="shared" ref="Y56:Y87" si="66">1/(1+EXP(10.9745-2.375*I56/1000))</f>
        <v>8.1916055832250234E-5</v>
      </c>
      <c r="Z56" s="10">
        <f t="shared" ref="Z56:Z87" si="67">1/(1+EXP(10.9745-2.375*J56/1000))</f>
        <v>4.1446465670159445E-5</v>
      </c>
      <c r="AA56" s="10">
        <f t="shared" ref="AA56:AA87" si="68">MAX(X56,Y56,Z56)</f>
        <v>5.6496531186568832E-2</v>
      </c>
      <c r="AB56" s="10">
        <f t="shared" ref="AB56:AB87" si="69">1/(1+EXP(12.597-0.05861*35-1.568*(K56^0.4612)))</f>
        <v>1.5769836031900058E-2</v>
      </c>
      <c r="AC56" s="10">
        <f t="shared" ref="AC56:AC87" si="70">AB56</f>
        <v>1.5769836031900058E-2</v>
      </c>
      <c r="AD56" s="10">
        <f t="shared" ref="AD56:AD87" si="71">1/(1+EXP(5.7949-0.5196*M56/1000))</f>
        <v>9.1786898793333738E-3</v>
      </c>
      <c r="AE56" s="10">
        <f t="shared" ref="AE56:AE87" si="72">1/(1+EXP(5.7949-0.5196*N56/1000))</f>
        <v>5.5064042252166304E-3</v>
      </c>
      <c r="AF56" s="58">
        <f t="shared" ref="AF56:AF87" si="73">MAX(AD56,AE56)</f>
        <v>9.1786898793333738E-3</v>
      </c>
      <c r="AG56" s="52">
        <f t="shared" ref="AG56:AG87" si="74">NORMDIST(LN(O56),7.45231,0.73998,1)</f>
        <v>3.1430857884317268E-4</v>
      </c>
      <c r="AH56" s="10">
        <f t="shared" ref="AH56:AH87" si="75">1/(1+EXP(3.2269-1.9688*P56))</f>
        <v>6.4071322343990295E-2</v>
      </c>
      <c r="AI56" s="10">
        <f t="shared" ref="AI56:AI87" si="76">1/(1+EXP(10.958-3.77*Q56/1000))</f>
        <v>1.4133606608857677E-4</v>
      </c>
      <c r="AJ56" s="10">
        <f t="shared" ref="AJ56:AJ87" si="77">1/(1+EXP(10.958-3.77*R56/1000))</f>
        <v>3.4731199921571719E-5</v>
      </c>
      <c r="AK56" s="10">
        <f t="shared" ref="AK56:AK87" si="78">MAX(AH56,AI56,AJ56)</f>
        <v>6.4071322343990295E-2</v>
      </c>
      <c r="AL56" s="10">
        <f t="shared" ref="AL56:AL87" si="79">1/(1+EXP(12.597-0.05861*35-1.568*((S56/0.817)^0.4612)))</f>
        <v>1.0243221995065483E-2</v>
      </c>
      <c r="AM56" s="10">
        <f t="shared" ref="AM56:AM87" si="80">AL56</f>
        <v>1.0243221995065483E-2</v>
      </c>
      <c r="AN56" s="10">
        <f t="shared" ref="AN56:AN87" si="81">1/(1+EXP(5.7949-0.7619*U56/1000))</f>
        <v>1.1660854166364625E-2</v>
      </c>
      <c r="AO56" s="10">
        <f t="shared" ref="AO56:AO87" si="82">1/(1+EXP(5.7949-0.7619*V56/1000))</f>
        <v>9.7630432047256036E-3</v>
      </c>
      <c r="AP56" s="58">
        <f t="shared" ref="AP56:AP87" si="83">MAX(AN56,AO56)</f>
        <v>1.1660854166364625E-2</v>
      </c>
      <c r="AQ56" s="63">
        <f t="shared" ref="AQ56:AQ87" si="84">ROUND(1-(1-W56)*(1-AA56)*(1-AC56)*(1-AF56),3)</f>
        <v>0.08</v>
      </c>
      <c r="AR56" s="10">
        <f t="shared" ref="AR56:AR87" si="85">ROUND(1-(1-AG56)*(1-AK56)*(1-AM56)*(1-AP56),3)</f>
        <v>8.5000000000000006E-2</v>
      </c>
      <c r="AS56" s="10">
        <f t="shared" ref="AS56:AS87" si="86">ROUND(AVERAGE(AR56,AQ56),3)</f>
        <v>8.3000000000000004E-2</v>
      </c>
      <c r="AT56" s="24">
        <f t="shared" ref="AT56:AT87" si="87">ROUND(AQ56/0.15,2)</f>
        <v>0.53</v>
      </c>
      <c r="AU56" s="24">
        <f t="shared" ref="AU56:AU87" si="88">ROUND(AR56/0.15,2)</f>
        <v>0.56999999999999995</v>
      </c>
      <c r="AV56" s="24">
        <f t="shared" ref="AV56:AV87" si="89">ROUND(AS56/0.15,2)</f>
        <v>0.55000000000000004</v>
      </c>
      <c r="AW56" s="25">
        <f t="shared" ref="AW56:AW87" si="90">IF(AT56&lt;0.67,5,IF(AT56&lt;1,4,IF(AT56&lt;1.33,3,IF(AT56&lt;2.67,2,1))))</f>
        <v>5</v>
      </c>
      <c r="AX56" s="25">
        <f t="shared" ref="AX56:AX87" si="91">IF(AU56&lt;0.67,5,IF(AU56&lt;1,4,IF(AU56&lt;1.33,3,IF(AU56&lt;2.67,2,1))))</f>
        <v>5</v>
      </c>
      <c r="AY56" s="25">
        <f t="shared" ref="AY56:AY87" si="92">IF(AV56&lt;0.67,5,IF(AV56&lt;1,4,IF(AV56&lt;1.33,3,IF(AV56&lt;2.67,2,1))))</f>
        <v>5</v>
      </c>
    </row>
    <row r="57" spans="1:51" ht="12" customHeight="1">
      <c r="A57" s="60">
        <v>14264</v>
      </c>
      <c r="B57" s="60" t="s">
        <v>179</v>
      </c>
      <c r="C57" s="65" t="str">
        <f>Rollover!A57</f>
        <v>Kia</v>
      </c>
      <c r="D57" s="65" t="str">
        <f>Rollover!B57</f>
        <v>EV6 SUV RWD</v>
      </c>
      <c r="E57" s="61" t="s">
        <v>157</v>
      </c>
      <c r="F57" s="177">
        <f>Rollover!C57</f>
        <v>2022</v>
      </c>
      <c r="G57" s="18">
        <v>122.271</v>
      </c>
      <c r="H57" s="19">
        <v>0.192</v>
      </c>
      <c r="I57" s="19">
        <v>848.02599999999995</v>
      </c>
      <c r="J57" s="19">
        <v>87.457999999999998</v>
      </c>
      <c r="K57" s="19">
        <v>27.36</v>
      </c>
      <c r="L57" s="19">
        <v>39.771000000000001</v>
      </c>
      <c r="M57" s="19">
        <v>900.654</v>
      </c>
      <c r="N57" s="20">
        <v>1227.4970000000001</v>
      </c>
      <c r="O57" s="18">
        <v>169.85599999999999</v>
      </c>
      <c r="P57" s="19">
        <v>0.32500000000000001</v>
      </c>
      <c r="Q57" s="19">
        <v>437.86599999999999</v>
      </c>
      <c r="R57" s="19">
        <v>395.17</v>
      </c>
      <c r="S57" s="19">
        <v>16.904</v>
      </c>
      <c r="T57" s="19">
        <v>49.395000000000003</v>
      </c>
      <c r="U57" s="19">
        <v>2329.049</v>
      </c>
      <c r="V57" s="51">
        <v>408.983</v>
      </c>
      <c r="W57" s="52">
        <f t="shared" ref="W57:W60" si="93">NORMDIST(LN(G57),7.45231,0.73998,1)</f>
        <v>1.7453450747123239E-4</v>
      </c>
      <c r="X57" s="10">
        <f t="shared" ref="X57:X60" si="94">1/(1+EXP(3.2269-1.9688*H57))</f>
        <v>5.473870219948216E-2</v>
      </c>
      <c r="Y57" s="10">
        <f t="shared" ref="Y57:Y60" si="95">1/(1+EXP(10.9745-2.375*I57/1000))</f>
        <v>1.2837349262733287E-4</v>
      </c>
      <c r="Z57" s="10">
        <f t="shared" ref="Z57:Z60" si="96">1/(1+EXP(10.9745-2.375*J57/1000))</f>
        <v>2.1087959120165105E-5</v>
      </c>
      <c r="AA57" s="10">
        <f t="shared" ref="AA57:AA60" si="97">MAX(X57,Y57,Z57)</f>
        <v>5.473870219948216E-2</v>
      </c>
      <c r="AB57" s="10">
        <f t="shared" ref="AB57:AB60" si="98">1/(1+EXP(12.597-0.05861*35-1.568*(K57^0.4612)))</f>
        <v>3.4483447754817508E-2</v>
      </c>
      <c r="AC57" s="10">
        <f t="shared" ref="AC57:AC60" si="99">AB57</f>
        <v>3.4483447754817508E-2</v>
      </c>
      <c r="AD57" s="10">
        <f t="shared" ref="AD57:AD60" si="100">1/(1+EXP(5.7949-0.5196*M57/1000))</f>
        <v>4.835516035696992E-3</v>
      </c>
      <c r="AE57" s="10">
        <f t="shared" ref="AE57:AE60" si="101">1/(1+EXP(5.7949-0.5196*N57/1000))</f>
        <v>5.7254481099798743E-3</v>
      </c>
      <c r="AF57" s="58">
        <f t="shared" ref="AF57:AF60" si="102">MAX(AD57,AE57)</f>
        <v>5.7254481099798743E-3</v>
      </c>
      <c r="AG57" s="52">
        <f t="shared" ref="AG57:AG60" si="103">NORMDIST(LN(O57),7.45231,0.73998,1)</f>
        <v>8.6913236584333772E-4</v>
      </c>
      <c r="AH57" s="10">
        <f t="shared" ref="AH57:AH60" si="104">1/(1+EXP(3.2269-1.9688*P57))</f>
        <v>6.9977175742497996E-2</v>
      </c>
      <c r="AI57" s="10">
        <f t="shared" ref="AI57:AI60" si="105">1/(1+EXP(10.958-3.77*Q57/1000))</f>
        <v>9.0756002829860678E-5</v>
      </c>
      <c r="AJ57" s="10">
        <f t="shared" ref="AJ57:AJ60" si="106">1/(1+EXP(10.958-3.77*R57/1000))</f>
        <v>7.7263695746738131E-5</v>
      </c>
      <c r="AK57" s="10">
        <f t="shared" ref="AK57:AK60" si="107">MAX(AH57,AI57,AJ57)</f>
        <v>6.9977175742497996E-2</v>
      </c>
      <c r="AL57" s="10">
        <f t="shared" ref="AL57:AL60" si="108">1/(1+EXP(12.597-0.05861*35-1.568*((S57/0.817)^0.4612)))</f>
        <v>1.4710783316781561E-2</v>
      </c>
      <c r="AM57" s="10">
        <f t="shared" ref="AM57:AM60" si="109">AL57</f>
        <v>1.4710783316781561E-2</v>
      </c>
      <c r="AN57" s="10">
        <f t="shared" ref="AN57:AN60" si="110">1/(1+EXP(5.7949-0.7619*U57/1000))</f>
        <v>1.7629453694729246E-2</v>
      </c>
      <c r="AO57" s="10">
        <f t="shared" ref="AO57:AO60" si="111">1/(1+EXP(5.7949-0.7619*V57/1000))</f>
        <v>4.1384131885041113E-3</v>
      </c>
      <c r="AP57" s="58">
        <f t="shared" ref="AP57:AP60" si="112">MAX(AN57,AO57)</f>
        <v>1.7629453694729246E-2</v>
      </c>
      <c r="AQ57" s="63">
        <f t="shared" ref="AQ57:AQ60" si="113">ROUND(1-(1-W57)*(1-AA57)*(1-AC57)*(1-AF57),3)</f>
        <v>9.2999999999999999E-2</v>
      </c>
      <c r="AR57" s="10">
        <f t="shared" ref="AR57:AR60" si="114">ROUND(1-(1-AG57)*(1-AK57)*(1-AM57)*(1-AP57),3)</f>
        <v>0.10100000000000001</v>
      </c>
      <c r="AS57" s="10">
        <f t="shared" ref="AS57:AS60" si="115">ROUND(AVERAGE(AR57,AQ57),3)</f>
        <v>9.7000000000000003E-2</v>
      </c>
      <c r="AT57" s="24">
        <f t="shared" ref="AT57:AT60" si="116">ROUND(AQ57/0.15,2)</f>
        <v>0.62</v>
      </c>
      <c r="AU57" s="24">
        <f t="shared" ref="AU57:AU60" si="117">ROUND(AR57/0.15,2)</f>
        <v>0.67</v>
      </c>
      <c r="AV57" s="24">
        <f t="shared" ref="AV57:AV60" si="118">ROUND(AS57/0.15,2)</f>
        <v>0.65</v>
      </c>
      <c r="AW57" s="25">
        <f t="shared" ref="AW57:AW60" si="119">IF(AT57&lt;0.67,5,IF(AT57&lt;1,4,IF(AT57&lt;1.33,3,IF(AT57&lt;2.67,2,1))))</f>
        <v>5</v>
      </c>
      <c r="AX57" s="25">
        <f t="shared" ref="AX57:AX60" si="120">IF(AU57&lt;0.67,5,IF(AU57&lt;1,4,IF(AU57&lt;1.33,3,IF(AU57&lt;2.67,2,1))))</f>
        <v>4</v>
      </c>
      <c r="AY57" s="25">
        <f t="shared" ref="AY57:AY60" si="121">IF(AV57&lt;0.67,5,IF(AV57&lt;1,4,IF(AV57&lt;1.33,3,IF(AV57&lt;2.67,2,1))))</f>
        <v>5</v>
      </c>
    </row>
    <row r="58" spans="1:51" ht="12" customHeight="1">
      <c r="A58" s="60">
        <v>14264</v>
      </c>
      <c r="B58" s="60" t="s">
        <v>179</v>
      </c>
      <c r="C58" s="65" t="str">
        <f>Rollover!A58</f>
        <v>Kia</v>
      </c>
      <c r="D58" s="65" t="str">
        <f>Rollover!B58</f>
        <v>EV6 SUV AWD</v>
      </c>
      <c r="E58" s="61" t="s">
        <v>157</v>
      </c>
      <c r="F58" s="177">
        <f>Rollover!C58</f>
        <v>2022</v>
      </c>
      <c r="G58" s="18">
        <v>122.271</v>
      </c>
      <c r="H58" s="19">
        <v>0.192</v>
      </c>
      <c r="I58" s="19">
        <v>848.02599999999995</v>
      </c>
      <c r="J58" s="19">
        <v>87.457999999999998</v>
      </c>
      <c r="K58" s="19">
        <v>27.36</v>
      </c>
      <c r="L58" s="19">
        <v>39.771000000000001</v>
      </c>
      <c r="M58" s="19">
        <v>900.654</v>
      </c>
      <c r="N58" s="20">
        <v>1227.4970000000001</v>
      </c>
      <c r="O58" s="18">
        <v>169.85599999999999</v>
      </c>
      <c r="P58" s="19">
        <v>0.32500000000000001</v>
      </c>
      <c r="Q58" s="19">
        <v>437.86599999999999</v>
      </c>
      <c r="R58" s="19">
        <v>395.17</v>
      </c>
      <c r="S58" s="19">
        <v>16.904</v>
      </c>
      <c r="T58" s="19">
        <v>49.395000000000003</v>
      </c>
      <c r="U58" s="19">
        <v>2329.049</v>
      </c>
      <c r="V58" s="51">
        <v>408.983</v>
      </c>
      <c r="W58" s="52">
        <f t="shared" si="93"/>
        <v>1.7453450747123239E-4</v>
      </c>
      <c r="X58" s="10">
        <f t="shared" si="94"/>
        <v>5.473870219948216E-2</v>
      </c>
      <c r="Y58" s="10">
        <f t="shared" si="95"/>
        <v>1.2837349262733287E-4</v>
      </c>
      <c r="Z58" s="10">
        <f t="shared" si="96"/>
        <v>2.1087959120165105E-5</v>
      </c>
      <c r="AA58" s="10">
        <f t="shared" si="97"/>
        <v>5.473870219948216E-2</v>
      </c>
      <c r="AB58" s="10">
        <f t="shared" si="98"/>
        <v>3.4483447754817508E-2</v>
      </c>
      <c r="AC58" s="10">
        <f t="shared" si="99"/>
        <v>3.4483447754817508E-2</v>
      </c>
      <c r="AD58" s="10">
        <f t="shared" si="100"/>
        <v>4.835516035696992E-3</v>
      </c>
      <c r="AE58" s="10">
        <f t="shared" si="101"/>
        <v>5.7254481099798743E-3</v>
      </c>
      <c r="AF58" s="58">
        <f t="shared" si="102"/>
        <v>5.7254481099798743E-3</v>
      </c>
      <c r="AG58" s="52">
        <f t="shared" si="103"/>
        <v>8.6913236584333772E-4</v>
      </c>
      <c r="AH58" s="10">
        <f t="shared" si="104"/>
        <v>6.9977175742497996E-2</v>
      </c>
      <c r="AI58" s="10">
        <f t="shared" si="105"/>
        <v>9.0756002829860678E-5</v>
      </c>
      <c r="AJ58" s="10">
        <f t="shared" si="106"/>
        <v>7.7263695746738131E-5</v>
      </c>
      <c r="AK58" s="10">
        <f t="shared" si="107"/>
        <v>6.9977175742497996E-2</v>
      </c>
      <c r="AL58" s="10">
        <f t="shared" si="108"/>
        <v>1.4710783316781561E-2</v>
      </c>
      <c r="AM58" s="10">
        <f t="shared" si="109"/>
        <v>1.4710783316781561E-2</v>
      </c>
      <c r="AN58" s="10">
        <f t="shared" si="110"/>
        <v>1.7629453694729246E-2</v>
      </c>
      <c r="AO58" s="10">
        <f t="shared" si="111"/>
        <v>4.1384131885041113E-3</v>
      </c>
      <c r="AP58" s="58">
        <f t="shared" si="112"/>
        <v>1.7629453694729246E-2</v>
      </c>
      <c r="AQ58" s="63">
        <f t="shared" si="113"/>
        <v>9.2999999999999999E-2</v>
      </c>
      <c r="AR58" s="10">
        <f t="shared" si="114"/>
        <v>0.10100000000000001</v>
      </c>
      <c r="AS58" s="10">
        <f t="shared" si="115"/>
        <v>9.7000000000000003E-2</v>
      </c>
      <c r="AT58" s="24">
        <f t="shared" si="116"/>
        <v>0.62</v>
      </c>
      <c r="AU58" s="24">
        <f t="shared" si="117"/>
        <v>0.67</v>
      </c>
      <c r="AV58" s="24">
        <f t="shared" si="118"/>
        <v>0.65</v>
      </c>
      <c r="AW58" s="25">
        <f t="shared" si="119"/>
        <v>5</v>
      </c>
      <c r="AX58" s="25">
        <f t="shared" si="120"/>
        <v>4</v>
      </c>
      <c r="AY58" s="25">
        <f t="shared" si="121"/>
        <v>5</v>
      </c>
    </row>
    <row r="59" spans="1:51" ht="12" customHeight="1">
      <c r="A59" s="60">
        <v>14056</v>
      </c>
      <c r="B59" s="60" t="s">
        <v>180</v>
      </c>
      <c r="C59" s="65" t="str">
        <f>Rollover!A59</f>
        <v>Kia</v>
      </c>
      <c r="D59" s="65" t="str">
        <f>Rollover!B59</f>
        <v>Niro Electric SUV FWD</v>
      </c>
      <c r="E59" s="61" t="s">
        <v>161</v>
      </c>
      <c r="F59" s="177">
        <f>Rollover!C59</f>
        <v>2022</v>
      </c>
      <c r="G59" s="18">
        <v>179.66499999999999</v>
      </c>
      <c r="H59" s="19">
        <v>0.20899999999999999</v>
      </c>
      <c r="I59" s="19">
        <v>927.024</v>
      </c>
      <c r="J59" s="19">
        <v>219.84899999999999</v>
      </c>
      <c r="K59" s="19">
        <v>31.553000000000001</v>
      </c>
      <c r="L59" s="19">
        <v>38.085999999999999</v>
      </c>
      <c r="M59" s="19">
        <v>625.928</v>
      </c>
      <c r="N59" s="20">
        <v>1192.384</v>
      </c>
      <c r="O59" s="18">
        <v>229.261</v>
      </c>
      <c r="P59" s="19">
        <v>0.41</v>
      </c>
      <c r="Q59" s="19">
        <v>809.42499999999995</v>
      </c>
      <c r="R59" s="19">
        <v>105.453</v>
      </c>
      <c r="S59" s="19">
        <v>16.265999999999998</v>
      </c>
      <c r="T59" s="19">
        <v>45.726999999999997</v>
      </c>
      <c r="U59" s="19">
        <v>1178.143</v>
      </c>
      <c r="V59" s="51">
        <v>96.569000000000003</v>
      </c>
      <c r="W59" s="52">
        <f t="shared" si="93"/>
        <v>1.1223799466167307E-3</v>
      </c>
      <c r="X59" s="10">
        <f t="shared" si="94"/>
        <v>5.6496531186568832E-2</v>
      </c>
      <c r="Y59" s="10">
        <f t="shared" si="95"/>
        <v>1.5486250883043796E-4</v>
      </c>
      <c r="Z59" s="10">
        <f t="shared" si="96"/>
        <v>2.8879241600394377E-5</v>
      </c>
      <c r="AA59" s="10">
        <f t="shared" si="97"/>
        <v>5.6496531186568832E-2</v>
      </c>
      <c r="AB59" s="10">
        <f t="shared" si="98"/>
        <v>5.5102849579929725E-2</v>
      </c>
      <c r="AC59" s="10">
        <f t="shared" si="99"/>
        <v>5.5102849579929725E-2</v>
      </c>
      <c r="AD59" s="10">
        <f t="shared" si="100"/>
        <v>4.1949594967939262E-3</v>
      </c>
      <c r="AE59" s="10">
        <f t="shared" si="101"/>
        <v>5.6225180853177658E-3</v>
      </c>
      <c r="AF59" s="58">
        <f t="shared" si="102"/>
        <v>5.6225180853177658E-3</v>
      </c>
      <c r="AG59" s="52">
        <f t="shared" si="103"/>
        <v>3.2018944821605166E-3</v>
      </c>
      <c r="AH59" s="10">
        <f t="shared" si="104"/>
        <v>8.1683355930183013E-2</v>
      </c>
      <c r="AI59" s="10">
        <f t="shared" si="105"/>
        <v>3.6821776740016891E-4</v>
      </c>
      <c r="AJ59" s="10">
        <f t="shared" si="106"/>
        <v>2.5920714764987255E-5</v>
      </c>
      <c r="AK59" s="10">
        <f t="shared" si="107"/>
        <v>8.1683355930183013E-2</v>
      </c>
      <c r="AL59" s="10">
        <f t="shared" si="108"/>
        <v>1.3178777711553315E-2</v>
      </c>
      <c r="AM59" s="10">
        <f t="shared" si="109"/>
        <v>1.3178777711553315E-2</v>
      </c>
      <c r="AN59" s="10">
        <f t="shared" si="110"/>
        <v>7.4115771051933921E-3</v>
      </c>
      <c r="AO59" s="10">
        <f t="shared" si="111"/>
        <v>3.2646781473252133E-3</v>
      </c>
      <c r="AP59" s="58">
        <f t="shared" si="112"/>
        <v>7.4115771051933921E-3</v>
      </c>
      <c r="AQ59" s="63">
        <f t="shared" si="113"/>
        <v>0.114</v>
      </c>
      <c r="AR59" s="10">
        <f t="shared" si="114"/>
        <v>0.10299999999999999</v>
      </c>
      <c r="AS59" s="10">
        <f t="shared" si="115"/>
        <v>0.109</v>
      </c>
      <c r="AT59" s="24">
        <f t="shared" si="116"/>
        <v>0.76</v>
      </c>
      <c r="AU59" s="24">
        <f t="shared" si="117"/>
        <v>0.69</v>
      </c>
      <c r="AV59" s="24">
        <f t="shared" si="118"/>
        <v>0.73</v>
      </c>
      <c r="AW59" s="25">
        <f t="shared" si="119"/>
        <v>4</v>
      </c>
      <c r="AX59" s="25">
        <f t="shared" si="120"/>
        <v>4</v>
      </c>
      <c r="AY59" s="25">
        <f t="shared" si="121"/>
        <v>4</v>
      </c>
    </row>
    <row r="60" spans="1:51" ht="12" customHeight="1">
      <c r="A60" s="60">
        <v>14051</v>
      </c>
      <c r="B60" s="60" t="s">
        <v>181</v>
      </c>
      <c r="C60" s="65" t="str">
        <f>Rollover!A60</f>
        <v>Mazda</v>
      </c>
      <c r="D60" s="65" t="str">
        <f>Rollover!B60</f>
        <v>MX-30 5HB FWD</v>
      </c>
      <c r="E60" s="61" t="s">
        <v>155</v>
      </c>
      <c r="F60" s="177">
        <f>Rollover!C60</f>
        <v>2022</v>
      </c>
      <c r="G60" s="18">
        <v>122.843</v>
      </c>
      <c r="H60" s="19">
        <v>0.218</v>
      </c>
      <c r="I60" s="19">
        <v>1059.325</v>
      </c>
      <c r="J60" s="19">
        <v>46.963000000000001</v>
      </c>
      <c r="K60" s="19">
        <v>23.853999999999999</v>
      </c>
      <c r="L60" s="19">
        <v>35.033000000000001</v>
      </c>
      <c r="M60" s="19">
        <v>911.96</v>
      </c>
      <c r="N60" s="20">
        <v>1179.2</v>
      </c>
      <c r="O60" s="18">
        <v>158.255</v>
      </c>
      <c r="P60" s="19">
        <v>0.28799999999999998</v>
      </c>
      <c r="Q60" s="19">
        <v>1119.2380000000001</v>
      </c>
      <c r="R60" s="19">
        <v>274.40899999999999</v>
      </c>
      <c r="S60" s="19">
        <v>10.207000000000001</v>
      </c>
      <c r="T60" s="19">
        <v>42.386000000000003</v>
      </c>
      <c r="U60" s="19">
        <v>739.61</v>
      </c>
      <c r="V60" s="51">
        <v>745.91399999999999</v>
      </c>
      <c r="W60" s="52">
        <f t="shared" si="93"/>
        <v>1.7879077353310805E-4</v>
      </c>
      <c r="X60" s="10">
        <f t="shared" si="94"/>
        <v>5.7448503543772476E-2</v>
      </c>
      <c r="Y60" s="10">
        <f t="shared" si="95"/>
        <v>2.1202313314999096E-4</v>
      </c>
      <c r="Z60" s="10">
        <f t="shared" si="96"/>
        <v>1.9154324803962128E-5</v>
      </c>
      <c r="AA60" s="10">
        <f t="shared" si="97"/>
        <v>5.7448503543772476E-2</v>
      </c>
      <c r="AB60" s="10">
        <f t="shared" si="98"/>
        <v>2.2438820183819475E-2</v>
      </c>
      <c r="AC60" s="10">
        <f t="shared" si="99"/>
        <v>2.2438820183819475E-2</v>
      </c>
      <c r="AD60" s="10">
        <f t="shared" si="100"/>
        <v>4.8638677761054247E-3</v>
      </c>
      <c r="AE60" s="10">
        <f t="shared" si="101"/>
        <v>5.584347532325556E-3</v>
      </c>
      <c r="AF60" s="58">
        <f t="shared" si="102"/>
        <v>5.584347532325556E-3</v>
      </c>
      <c r="AG60" s="52">
        <f t="shared" si="103"/>
        <v>6.2492545734484616E-4</v>
      </c>
      <c r="AH60" s="10">
        <f t="shared" si="104"/>
        <v>6.5382323773201578E-2</v>
      </c>
      <c r="AI60" s="10">
        <f t="shared" si="105"/>
        <v>1.1830534729891373E-3</v>
      </c>
      <c r="AJ60" s="10">
        <f t="shared" si="106"/>
        <v>4.9007996504574076E-5</v>
      </c>
      <c r="AK60" s="10">
        <f t="shared" si="107"/>
        <v>6.5382323773201578E-2</v>
      </c>
      <c r="AL60" s="10">
        <f t="shared" si="108"/>
        <v>3.9871446218945374E-3</v>
      </c>
      <c r="AM60" s="10">
        <f t="shared" si="109"/>
        <v>3.9871446218945374E-3</v>
      </c>
      <c r="AN60" s="10">
        <f t="shared" si="110"/>
        <v>5.3176543506080745E-3</v>
      </c>
      <c r="AO60" s="10">
        <f t="shared" si="111"/>
        <v>5.3431197770488882E-3</v>
      </c>
      <c r="AP60" s="58">
        <f t="shared" si="112"/>
        <v>5.3431197770488882E-3</v>
      </c>
      <c r="AQ60" s="63">
        <f t="shared" si="113"/>
        <v>8.4000000000000005E-2</v>
      </c>
      <c r="AR60" s="10">
        <f t="shared" si="114"/>
        <v>7.4999999999999997E-2</v>
      </c>
      <c r="AS60" s="10">
        <f t="shared" si="115"/>
        <v>0.08</v>
      </c>
      <c r="AT60" s="24">
        <f t="shared" si="116"/>
        <v>0.56000000000000005</v>
      </c>
      <c r="AU60" s="24">
        <f t="shared" si="117"/>
        <v>0.5</v>
      </c>
      <c r="AV60" s="24">
        <f t="shared" si="118"/>
        <v>0.53</v>
      </c>
      <c r="AW60" s="25">
        <f t="shared" si="119"/>
        <v>5</v>
      </c>
      <c r="AX60" s="25">
        <f t="shared" si="120"/>
        <v>5</v>
      </c>
      <c r="AY60" s="25">
        <f t="shared" si="121"/>
        <v>5</v>
      </c>
    </row>
    <row r="61" spans="1:51" ht="12" customHeight="1">
      <c r="A61" s="60">
        <v>11591</v>
      </c>
      <c r="B61" s="60" t="s">
        <v>182</v>
      </c>
      <c r="C61" s="65" t="str">
        <f>Rollover!A61</f>
        <v xml:space="preserve">Mitsubishi </v>
      </c>
      <c r="D61" s="65" t="str">
        <f>Rollover!B61</f>
        <v>Eclipse Cross SUV AWD</v>
      </c>
      <c r="E61" s="61" t="s">
        <v>161</v>
      </c>
      <c r="F61" s="177">
        <f>Rollover!C61</f>
        <v>2022</v>
      </c>
      <c r="G61" s="18">
        <v>244.76300000000001</v>
      </c>
      <c r="H61" s="19">
        <v>0.38700000000000001</v>
      </c>
      <c r="I61" s="19">
        <v>1887.3040000000001</v>
      </c>
      <c r="J61" s="19">
        <v>146.84</v>
      </c>
      <c r="K61" s="19">
        <v>25.515999999999998</v>
      </c>
      <c r="L61" s="19">
        <v>38.767000000000003</v>
      </c>
      <c r="M61" s="19">
        <v>818.67</v>
      </c>
      <c r="N61" s="20">
        <v>1442.079</v>
      </c>
      <c r="O61" s="18">
        <v>215.107</v>
      </c>
      <c r="P61" s="19">
        <v>0.39700000000000002</v>
      </c>
      <c r="Q61" s="19">
        <v>810.95399999999995</v>
      </c>
      <c r="R61" s="19">
        <v>242.499</v>
      </c>
      <c r="S61" s="19">
        <v>18.186</v>
      </c>
      <c r="T61" s="19">
        <v>43.472999999999999</v>
      </c>
      <c r="U61" s="19">
        <v>1473.2270000000001</v>
      </c>
      <c r="V61" s="51">
        <v>882.15</v>
      </c>
      <c r="W61" s="52">
        <f t="shared" ref="W61:W69" si="122">NORMDIST(LN(G61),7.45231,0.73998,1)</f>
        <v>4.1706207191667772E-3</v>
      </c>
      <c r="X61" s="10">
        <f t="shared" ref="X61:X69" si="123">1/(1+EXP(3.2269-1.9688*H61))</f>
        <v>7.835037355987394E-2</v>
      </c>
      <c r="Y61" s="10">
        <f t="shared" ref="Y61:Y69" si="124">1/(1+EXP(10.9745-2.375*I61/1000))</f>
        <v>1.5129904801883148E-3</v>
      </c>
      <c r="Z61" s="10">
        <f t="shared" ref="Z61:Z69" si="125">1/(1+EXP(10.9745-2.375*J61/1000))</f>
        <v>2.4281901430972256E-5</v>
      </c>
      <c r="AA61" s="10">
        <f t="shared" ref="AA61:AA69" si="126">MAX(X61,Y61,Z61)</f>
        <v>7.835037355987394E-2</v>
      </c>
      <c r="AB61" s="10">
        <f t="shared" ref="AB61:AB69" si="127">1/(1+EXP(12.597-0.05861*35-1.568*(K61^0.4612)))</f>
        <v>2.7635649065957786E-2</v>
      </c>
      <c r="AC61" s="10">
        <f t="shared" ref="AC61:AC69" si="128">AB61</f>
        <v>2.7635649065957786E-2</v>
      </c>
      <c r="AD61" s="10">
        <f t="shared" ref="AD61:AD69" si="129">1/(1+EXP(5.7949-0.5196*M61/1000))</f>
        <v>4.6347888766228446E-3</v>
      </c>
      <c r="AE61" s="10">
        <f t="shared" ref="AE61:AE69" si="130">1/(1+EXP(5.7949-0.5196*N61/1000))</f>
        <v>6.3964460816202211E-3</v>
      </c>
      <c r="AF61" s="58">
        <f t="shared" ref="AF61:AF69" si="131">MAX(AD61,AE61)</f>
        <v>6.3964460816202211E-3</v>
      </c>
      <c r="AG61" s="52">
        <f t="shared" ref="AG61:AG69" si="132">NORMDIST(LN(O61),7.45231,0.73998,1)</f>
        <v>2.4581008122460833E-3</v>
      </c>
      <c r="AH61" s="10">
        <f t="shared" ref="AH61:AH69" si="133">1/(1+EXP(3.2269-1.9688*P61))</f>
        <v>7.9783929664732134E-2</v>
      </c>
      <c r="AI61" s="10">
        <f t="shared" ref="AI61:AI69" si="134">1/(1+EXP(10.958-3.77*Q61/1000))</f>
        <v>3.7034563703347708E-4</v>
      </c>
      <c r="AJ61" s="10">
        <f t="shared" ref="AJ61:AJ69" si="135">1/(1+EXP(10.958-3.77*R61/1000))</f>
        <v>4.345336672080946E-5</v>
      </c>
      <c r="AK61" s="10">
        <f t="shared" ref="AK61:AK69" si="136">MAX(AH61,AI61,AJ61)</f>
        <v>7.9783929664732134E-2</v>
      </c>
      <c r="AL61" s="10">
        <f t="shared" ref="AL61:AL69" si="137">1/(1+EXP(12.597-0.05861*35-1.568*((S61/0.817)^0.4612)))</f>
        <v>1.8218777225080283E-2</v>
      </c>
      <c r="AM61" s="10">
        <f t="shared" ref="AM61:AM69" si="138">AL61</f>
        <v>1.8218777225080283E-2</v>
      </c>
      <c r="AN61" s="10">
        <f t="shared" ref="AN61:AN69" si="139">1/(1+EXP(5.7949-0.7619*U61/1000))</f>
        <v>9.262750306857602E-3</v>
      </c>
      <c r="AO61" s="10">
        <f t="shared" ref="AO61:AO69" si="140">1/(1+EXP(5.7949-0.7619*V61/1000))</f>
        <v>5.9240697903116292E-3</v>
      </c>
      <c r="AP61" s="58">
        <f t="shared" ref="AP61:AP69" si="141">MAX(AN61,AO61)</f>
        <v>9.262750306857602E-3</v>
      </c>
      <c r="AQ61" s="63">
        <f t="shared" ref="AQ61:AQ69" si="142">ROUND(1-(1-W61)*(1-AA61)*(1-AC61)*(1-AF61),3)</f>
        <v>0.113</v>
      </c>
      <c r="AR61" s="10">
        <f t="shared" ref="AR61:AR69" si="143">ROUND(1-(1-AG61)*(1-AK61)*(1-AM61)*(1-AP61),3)</f>
        <v>0.107</v>
      </c>
      <c r="AS61" s="10">
        <f t="shared" ref="AS61:AS69" si="144">ROUND(AVERAGE(AR61,AQ61),3)</f>
        <v>0.11</v>
      </c>
      <c r="AT61" s="24">
        <f t="shared" ref="AT61:AT69" si="145">ROUND(AQ61/0.15,2)</f>
        <v>0.75</v>
      </c>
      <c r="AU61" s="24">
        <f t="shared" ref="AU61:AU69" si="146">ROUND(AR61/0.15,2)</f>
        <v>0.71</v>
      </c>
      <c r="AV61" s="24">
        <f t="shared" ref="AV61:AV69" si="147">ROUND(AS61/0.15,2)</f>
        <v>0.73</v>
      </c>
      <c r="AW61" s="25">
        <f t="shared" ref="AW61:AW69" si="148">IF(AT61&lt;0.67,5,IF(AT61&lt;1,4,IF(AT61&lt;1.33,3,IF(AT61&lt;2.67,2,1))))</f>
        <v>4</v>
      </c>
      <c r="AX61" s="25">
        <f t="shared" ref="AX61:AX69" si="149">IF(AU61&lt;0.67,5,IF(AU61&lt;1,4,IF(AU61&lt;1.33,3,IF(AU61&lt;2.67,2,1))))</f>
        <v>4</v>
      </c>
      <c r="AY61" s="25">
        <f t="shared" ref="AY61:AY69" si="150">IF(AV61&lt;0.67,5,IF(AV61&lt;1,4,IF(AV61&lt;1.33,3,IF(AV61&lt;2.67,2,1))))</f>
        <v>4</v>
      </c>
    </row>
    <row r="62" spans="1:51" ht="12" customHeight="1">
      <c r="A62" s="60">
        <v>11591</v>
      </c>
      <c r="B62" s="60" t="s">
        <v>182</v>
      </c>
      <c r="C62" s="65" t="str">
        <f>Rollover!A62</f>
        <v xml:space="preserve">Mitsubishi </v>
      </c>
      <c r="D62" s="65" t="str">
        <f>Rollover!B62</f>
        <v>Eclipse Cross SUV FWD</v>
      </c>
      <c r="E62" s="61" t="s">
        <v>161</v>
      </c>
      <c r="F62" s="177">
        <f>Rollover!C62</f>
        <v>2022</v>
      </c>
      <c r="G62" s="18">
        <v>244.76300000000001</v>
      </c>
      <c r="H62" s="19">
        <v>0.38700000000000001</v>
      </c>
      <c r="I62" s="19">
        <v>1887.3040000000001</v>
      </c>
      <c r="J62" s="19">
        <v>146.84</v>
      </c>
      <c r="K62" s="19">
        <v>25.515999999999998</v>
      </c>
      <c r="L62" s="19">
        <v>38.767000000000003</v>
      </c>
      <c r="M62" s="19">
        <v>818.67</v>
      </c>
      <c r="N62" s="20">
        <v>1442.079</v>
      </c>
      <c r="O62" s="18">
        <v>215.107</v>
      </c>
      <c r="P62" s="19">
        <v>0.39700000000000002</v>
      </c>
      <c r="Q62" s="19">
        <v>810.95399999999995</v>
      </c>
      <c r="R62" s="19">
        <v>242.499</v>
      </c>
      <c r="S62" s="19">
        <v>18.186</v>
      </c>
      <c r="T62" s="19">
        <v>43.472999999999999</v>
      </c>
      <c r="U62" s="19">
        <v>1473.2270000000001</v>
      </c>
      <c r="V62" s="51">
        <v>882.15</v>
      </c>
      <c r="W62" s="52">
        <f t="shared" si="122"/>
        <v>4.1706207191667772E-3</v>
      </c>
      <c r="X62" s="10">
        <f t="shared" si="123"/>
        <v>7.835037355987394E-2</v>
      </c>
      <c r="Y62" s="10">
        <f t="shared" si="124"/>
        <v>1.5129904801883148E-3</v>
      </c>
      <c r="Z62" s="10">
        <f t="shared" si="125"/>
        <v>2.4281901430972256E-5</v>
      </c>
      <c r="AA62" s="10">
        <f t="shared" si="126"/>
        <v>7.835037355987394E-2</v>
      </c>
      <c r="AB62" s="10">
        <f t="shared" si="127"/>
        <v>2.7635649065957786E-2</v>
      </c>
      <c r="AC62" s="10">
        <f t="shared" si="128"/>
        <v>2.7635649065957786E-2</v>
      </c>
      <c r="AD62" s="10">
        <f t="shared" si="129"/>
        <v>4.6347888766228446E-3</v>
      </c>
      <c r="AE62" s="10">
        <f t="shared" si="130"/>
        <v>6.3964460816202211E-3</v>
      </c>
      <c r="AF62" s="58">
        <f t="shared" si="131"/>
        <v>6.3964460816202211E-3</v>
      </c>
      <c r="AG62" s="52">
        <f t="shared" si="132"/>
        <v>2.4581008122460833E-3</v>
      </c>
      <c r="AH62" s="10">
        <f t="shared" si="133"/>
        <v>7.9783929664732134E-2</v>
      </c>
      <c r="AI62" s="10">
        <f t="shared" si="134"/>
        <v>3.7034563703347708E-4</v>
      </c>
      <c r="AJ62" s="10">
        <f t="shared" si="135"/>
        <v>4.345336672080946E-5</v>
      </c>
      <c r="AK62" s="10">
        <f t="shared" si="136"/>
        <v>7.9783929664732134E-2</v>
      </c>
      <c r="AL62" s="10">
        <f t="shared" si="137"/>
        <v>1.8218777225080283E-2</v>
      </c>
      <c r="AM62" s="10">
        <f t="shared" si="138"/>
        <v>1.8218777225080283E-2</v>
      </c>
      <c r="AN62" s="10">
        <f t="shared" si="139"/>
        <v>9.262750306857602E-3</v>
      </c>
      <c r="AO62" s="10">
        <f t="shared" si="140"/>
        <v>5.9240697903116292E-3</v>
      </c>
      <c r="AP62" s="58">
        <f t="shared" si="141"/>
        <v>9.262750306857602E-3</v>
      </c>
      <c r="AQ62" s="63">
        <f t="shared" si="142"/>
        <v>0.113</v>
      </c>
      <c r="AR62" s="10">
        <f t="shared" si="143"/>
        <v>0.107</v>
      </c>
      <c r="AS62" s="10">
        <f t="shared" si="144"/>
        <v>0.11</v>
      </c>
      <c r="AT62" s="24">
        <f t="shared" si="145"/>
        <v>0.75</v>
      </c>
      <c r="AU62" s="24">
        <f t="shared" si="146"/>
        <v>0.71</v>
      </c>
      <c r="AV62" s="24">
        <f t="shared" si="147"/>
        <v>0.73</v>
      </c>
      <c r="AW62" s="25">
        <f t="shared" si="148"/>
        <v>4</v>
      </c>
      <c r="AX62" s="25">
        <f t="shared" si="149"/>
        <v>4</v>
      </c>
      <c r="AY62" s="25">
        <f t="shared" si="150"/>
        <v>4</v>
      </c>
    </row>
    <row r="63" spans="1:51" ht="12" customHeight="1">
      <c r="A63" s="178">
        <v>10770</v>
      </c>
      <c r="B63" s="76" t="s">
        <v>183</v>
      </c>
      <c r="C63" s="65" t="str">
        <f>Rollover!A63</f>
        <v>Nissan</v>
      </c>
      <c r="D63" s="65" t="str">
        <f>Rollover!B63</f>
        <v>Altima 4DR FWD</v>
      </c>
      <c r="E63" s="61" t="s">
        <v>155</v>
      </c>
      <c r="F63" s="177">
        <f>Rollover!C63</f>
        <v>2022</v>
      </c>
      <c r="G63" s="18">
        <v>171.041</v>
      </c>
      <c r="H63" s="19">
        <v>0.29899999999999999</v>
      </c>
      <c r="I63" s="19">
        <v>1524.5609999999999</v>
      </c>
      <c r="J63" s="19">
        <v>345.88400000000001</v>
      </c>
      <c r="K63" s="19">
        <v>23.504000000000001</v>
      </c>
      <c r="L63" s="19">
        <v>39.618000000000002</v>
      </c>
      <c r="M63" s="19">
        <v>508.89600000000002</v>
      </c>
      <c r="N63" s="20">
        <v>1521.748</v>
      </c>
      <c r="O63" s="18">
        <v>239.053</v>
      </c>
      <c r="P63" s="19">
        <v>0.53600000000000003</v>
      </c>
      <c r="Q63" s="19">
        <v>1244.5940000000001</v>
      </c>
      <c r="R63" s="19">
        <v>489.15800000000002</v>
      </c>
      <c r="S63" s="19">
        <v>13.214</v>
      </c>
      <c r="T63" s="19">
        <v>40.308</v>
      </c>
      <c r="U63" s="19">
        <v>1157.279</v>
      </c>
      <c r="V63" s="51">
        <v>1246.1690000000001</v>
      </c>
      <c r="W63" s="52">
        <f t="shared" si="122"/>
        <v>8.9735521247258062E-4</v>
      </c>
      <c r="X63" s="10">
        <f t="shared" si="123"/>
        <v>6.671823813323266E-2</v>
      </c>
      <c r="Y63" s="10">
        <f t="shared" si="124"/>
        <v>6.3983024433325109E-4</v>
      </c>
      <c r="Z63" s="10">
        <f t="shared" si="125"/>
        <v>3.8956517985345749E-5</v>
      </c>
      <c r="AA63" s="10">
        <f t="shared" si="126"/>
        <v>6.671823813323266E-2</v>
      </c>
      <c r="AB63" s="10">
        <f t="shared" si="127"/>
        <v>2.1451562302771402E-2</v>
      </c>
      <c r="AC63" s="10">
        <f t="shared" si="128"/>
        <v>2.1451562302771402E-2</v>
      </c>
      <c r="AD63" s="10">
        <f t="shared" si="129"/>
        <v>3.9484432277575284E-3</v>
      </c>
      <c r="AE63" s="10">
        <f t="shared" si="130"/>
        <v>6.6649885851511924E-3</v>
      </c>
      <c r="AF63" s="58">
        <f t="shared" si="131"/>
        <v>6.6649885851511924E-3</v>
      </c>
      <c r="AG63" s="52">
        <f t="shared" si="132"/>
        <v>3.7944232076844537E-3</v>
      </c>
      <c r="AH63" s="10">
        <f t="shared" si="133"/>
        <v>0.10232783513136225</v>
      </c>
      <c r="AI63" s="10">
        <f t="shared" si="134"/>
        <v>1.8964361651846347E-3</v>
      </c>
      <c r="AJ63" s="10">
        <f t="shared" si="135"/>
        <v>1.1011509057840411E-4</v>
      </c>
      <c r="AK63" s="10">
        <f t="shared" si="136"/>
        <v>0.10232783513136225</v>
      </c>
      <c r="AL63" s="10">
        <f t="shared" si="137"/>
        <v>7.5008558424492586E-3</v>
      </c>
      <c r="AM63" s="10">
        <f t="shared" si="138"/>
        <v>7.5008558424492586E-3</v>
      </c>
      <c r="AN63" s="10">
        <f t="shared" si="139"/>
        <v>7.2955448084947678E-3</v>
      </c>
      <c r="AO63" s="10">
        <f t="shared" si="140"/>
        <v>7.8027643509765753E-3</v>
      </c>
      <c r="AP63" s="58">
        <f t="shared" si="141"/>
        <v>7.8027643509765753E-3</v>
      </c>
      <c r="AQ63" s="63">
        <f t="shared" si="142"/>
        <v>9.4E-2</v>
      </c>
      <c r="AR63" s="10">
        <f t="shared" si="143"/>
        <v>0.11899999999999999</v>
      </c>
      <c r="AS63" s="10">
        <f t="shared" si="144"/>
        <v>0.107</v>
      </c>
      <c r="AT63" s="24">
        <f t="shared" si="145"/>
        <v>0.63</v>
      </c>
      <c r="AU63" s="24">
        <f t="shared" si="146"/>
        <v>0.79</v>
      </c>
      <c r="AV63" s="24">
        <f t="shared" si="147"/>
        <v>0.71</v>
      </c>
      <c r="AW63" s="25">
        <f t="shared" si="148"/>
        <v>5</v>
      </c>
      <c r="AX63" s="25">
        <f t="shared" si="149"/>
        <v>4</v>
      </c>
      <c r="AY63" s="25">
        <f t="shared" si="150"/>
        <v>4</v>
      </c>
    </row>
    <row r="64" spans="1:51" ht="12" customHeight="1">
      <c r="A64" s="178">
        <v>10770</v>
      </c>
      <c r="B64" s="76" t="s">
        <v>183</v>
      </c>
      <c r="C64" s="65" t="str">
        <f>Rollover!A64</f>
        <v>Nissan</v>
      </c>
      <c r="D64" s="65" t="str">
        <f>Rollover!B64</f>
        <v>Altima 4DR AWD</v>
      </c>
      <c r="E64" s="61" t="s">
        <v>155</v>
      </c>
      <c r="F64" s="177">
        <f>Rollover!C64</f>
        <v>2022</v>
      </c>
      <c r="G64" s="18">
        <v>171.041</v>
      </c>
      <c r="H64" s="19">
        <v>0.29899999999999999</v>
      </c>
      <c r="I64" s="19">
        <v>1524.5609999999999</v>
      </c>
      <c r="J64" s="19">
        <v>345.88400000000001</v>
      </c>
      <c r="K64" s="19">
        <v>23.504000000000001</v>
      </c>
      <c r="L64" s="19">
        <v>39.618000000000002</v>
      </c>
      <c r="M64" s="19">
        <v>508.89600000000002</v>
      </c>
      <c r="N64" s="20">
        <v>1521.748</v>
      </c>
      <c r="O64" s="18">
        <v>239.053</v>
      </c>
      <c r="P64" s="19">
        <v>0.53600000000000003</v>
      </c>
      <c r="Q64" s="19">
        <v>1244.5940000000001</v>
      </c>
      <c r="R64" s="19">
        <v>489.15800000000002</v>
      </c>
      <c r="S64" s="19">
        <v>13.214</v>
      </c>
      <c r="T64" s="19">
        <v>40.308</v>
      </c>
      <c r="U64" s="19">
        <v>1157.279</v>
      </c>
      <c r="V64" s="51">
        <v>1246.1690000000001</v>
      </c>
      <c r="W64" s="52">
        <f t="shared" si="122"/>
        <v>8.9735521247258062E-4</v>
      </c>
      <c r="X64" s="10">
        <f t="shared" si="123"/>
        <v>6.671823813323266E-2</v>
      </c>
      <c r="Y64" s="10">
        <f t="shared" si="124"/>
        <v>6.3983024433325109E-4</v>
      </c>
      <c r="Z64" s="10">
        <f t="shared" si="125"/>
        <v>3.8956517985345749E-5</v>
      </c>
      <c r="AA64" s="10">
        <f t="shared" si="126"/>
        <v>6.671823813323266E-2</v>
      </c>
      <c r="AB64" s="10">
        <f t="shared" si="127"/>
        <v>2.1451562302771402E-2</v>
      </c>
      <c r="AC64" s="10">
        <f t="shared" si="128"/>
        <v>2.1451562302771402E-2</v>
      </c>
      <c r="AD64" s="10">
        <f t="shared" si="129"/>
        <v>3.9484432277575284E-3</v>
      </c>
      <c r="AE64" s="10">
        <f t="shared" si="130"/>
        <v>6.6649885851511924E-3</v>
      </c>
      <c r="AF64" s="58">
        <f t="shared" si="131"/>
        <v>6.6649885851511924E-3</v>
      </c>
      <c r="AG64" s="52">
        <f t="shared" si="132"/>
        <v>3.7944232076844537E-3</v>
      </c>
      <c r="AH64" s="10">
        <f t="shared" si="133"/>
        <v>0.10232783513136225</v>
      </c>
      <c r="AI64" s="10">
        <f t="shared" si="134"/>
        <v>1.8964361651846347E-3</v>
      </c>
      <c r="AJ64" s="10">
        <f t="shared" si="135"/>
        <v>1.1011509057840411E-4</v>
      </c>
      <c r="AK64" s="10">
        <f t="shared" si="136"/>
        <v>0.10232783513136225</v>
      </c>
      <c r="AL64" s="10">
        <f t="shared" si="137"/>
        <v>7.5008558424492586E-3</v>
      </c>
      <c r="AM64" s="10">
        <f t="shared" si="138"/>
        <v>7.5008558424492586E-3</v>
      </c>
      <c r="AN64" s="10">
        <f t="shared" si="139"/>
        <v>7.2955448084947678E-3</v>
      </c>
      <c r="AO64" s="10">
        <f t="shared" si="140"/>
        <v>7.8027643509765753E-3</v>
      </c>
      <c r="AP64" s="58">
        <f t="shared" si="141"/>
        <v>7.8027643509765753E-3</v>
      </c>
      <c r="AQ64" s="63">
        <f t="shared" si="142"/>
        <v>9.4E-2</v>
      </c>
      <c r="AR64" s="10">
        <f t="shared" si="143"/>
        <v>0.11899999999999999</v>
      </c>
      <c r="AS64" s="10">
        <f t="shared" si="144"/>
        <v>0.107</v>
      </c>
      <c r="AT64" s="24">
        <f t="shared" si="145"/>
        <v>0.63</v>
      </c>
      <c r="AU64" s="24">
        <f t="shared" si="146"/>
        <v>0.79</v>
      </c>
      <c r="AV64" s="24">
        <f t="shared" si="147"/>
        <v>0.71</v>
      </c>
      <c r="AW64" s="25">
        <f t="shared" si="148"/>
        <v>5</v>
      </c>
      <c r="AX64" s="25">
        <f t="shared" si="149"/>
        <v>4</v>
      </c>
      <c r="AY64" s="25">
        <f t="shared" si="150"/>
        <v>4</v>
      </c>
    </row>
    <row r="65" spans="1:51" ht="12" customHeight="1">
      <c r="A65" s="42">
        <v>14071</v>
      </c>
      <c r="B65" s="42" t="s">
        <v>184</v>
      </c>
      <c r="C65" s="65" t="str">
        <f>Rollover!A65</f>
        <v>Nissan</v>
      </c>
      <c r="D65" s="65" t="str">
        <f>Rollover!B65</f>
        <v>Frontier Crew Cab PU/CC RWD</v>
      </c>
      <c r="E65" s="61" t="s">
        <v>155</v>
      </c>
      <c r="F65" s="177">
        <f>Rollover!C65</f>
        <v>2022</v>
      </c>
      <c r="G65" s="27">
        <v>371.339</v>
      </c>
      <c r="H65" s="28">
        <v>0.28599999999999998</v>
      </c>
      <c r="I65" s="28">
        <v>1601.489</v>
      </c>
      <c r="J65" s="28">
        <v>657.77200000000005</v>
      </c>
      <c r="K65" s="28">
        <v>33.563000000000002</v>
      </c>
      <c r="L65" s="28">
        <v>42.268999999999998</v>
      </c>
      <c r="M65" s="28">
        <v>2573.1109999999999</v>
      </c>
      <c r="N65" s="29">
        <v>3519.74</v>
      </c>
      <c r="O65" s="27">
        <v>407.26299999999998</v>
      </c>
      <c r="P65" s="28">
        <v>0.32500000000000001</v>
      </c>
      <c r="Q65" s="28">
        <v>1149.2850000000001</v>
      </c>
      <c r="R65" s="28">
        <v>620.93799999999999</v>
      </c>
      <c r="S65" s="28">
        <v>17.488</v>
      </c>
      <c r="T65" s="28">
        <v>46.43</v>
      </c>
      <c r="U65" s="28">
        <v>1705.048</v>
      </c>
      <c r="V65" s="56">
        <v>1156.2909999999999</v>
      </c>
      <c r="W65" s="52">
        <f t="shared" si="122"/>
        <v>1.9009799273522244E-2</v>
      </c>
      <c r="X65" s="10">
        <f t="shared" si="123"/>
        <v>6.5142118363650386E-2</v>
      </c>
      <c r="Y65" s="10">
        <f t="shared" si="124"/>
        <v>7.6799148544210859E-4</v>
      </c>
      <c r="Z65" s="10">
        <f t="shared" si="125"/>
        <v>8.1706809647929016E-5</v>
      </c>
      <c r="AA65" s="10">
        <f t="shared" si="126"/>
        <v>6.5142118363650386E-2</v>
      </c>
      <c r="AB65" s="10">
        <f t="shared" si="127"/>
        <v>6.790635753463993E-2</v>
      </c>
      <c r="AC65" s="10">
        <f t="shared" si="128"/>
        <v>6.790635753463993E-2</v>
      </c>
      <c r="AD65" s="10">
        <f t="shared" si="129"/>
        <v>1.1453826063877721E-2</v>
      </c>
      <c r="AE65" s="10">
        <f t="shared" si="130"/>
        <v>1.8595901442470086E-2</v>
      </c>
      <c r="AF65" s="58">
        <f t="shared" si="131"/>
        <v>1.8595901442470086E-2</v>
      </c>
      <c r="AG65" s="52">
        <f t="shared" si="132"/>
        <v>2.5596933283533095E-2</v>
      </c>
      <c r="AH65" s="10">
        <f t="shared" si="133"/>
        <v>6.9977175742497996E-2</v>
      </c>
      <c r="AI65" s="10">
        <f t="shared" si="134"/>
        <v>1.3247636776356059E-3</v>
      </c>
      <c r="AJ65" s="10">
        <f t="shared" si="135"/>
        <v>1.8095815983828537E-4</v>
      </c>
      <c r="AK65" s="10">
        <f t="shared" si="136"/>
        <v>6.9977175742497996E-2</v>
      </c>
      <c r="AL65" s="10">
        <f t="shared" si="137"/>
        <v>1.6234656509502218E-2</v>
      </c>
      <c r="AM65" s="10">
        <f t="shared" si="138"/>
        <v>1.6234656509502218E-2</v>
      </c>
      <c r="AN65" s="10">
        <f t="shared" si="139"/>
        <v>1.1032413572141355E-2</v>
      </c>
      <c r="AO65" s="10">
        <f t="shared" si="140"/>
        <v>7.2900951215691123E-3</v>
      </c>
      <c r="AP65" s="58">
        <f t="shared" si="141"/>
        <v>1.1032413572141355E-2</v>
      </c>
      <c r="AQ65" s="63">
        <f t="shared" si="142"/>
        <v>0.161</v>
      </c>
      <c r="AR65" s="10">
        <f t="shared" si="143"/>
        <v>0.11799999999999999</v>
      </c>
      <c r="AS65" s="10">
        <f t="shared" si="144"/>
        <v>0.14000000000000001</v>
      </c>
      <c r="AT65" s="24">
        <f t="shared" si="145"/>
        <v>1.07</v>
      </c>
      <c r="AU65" s="24">
        <f t="shared" si="146"/>
        <v>0.79</v>
      </c>
      <c r="AV65" s="24">
        <f t="shared" si="147"/>
        <v>0.93</v>
      </c>
      <c r="AW65" s="25">
        <f t="shared" si="148"/>
        <v>3</v>
      </c>
      <c r="AX65" s="25">
        <f t="shared" si="149"/>
        <v>4</v>
      </c>
      <c r="AY65" s="25">
        <f t="shared" si="150"/>
        <v>4</v>
      </c>
    </row>
    <row r="66" spans="1:51" ht="12" customHeight="1">
      <c r="A66" s="60">
        <v>14071</v>
      </c>
      <c r="B66" s="60" t="s">
        <v>184</v>
      </c>
      <c r="C66" s="65" t="str">
        <f>Rollover!A66</f>
        <v>Nissan</v>
      </c>
      <c r="D66" s="65" t="str">
        <f>Rollover!B66</f>
        <v>Frontier Crew Cab PU/CC 4WD</v>
      </c>
      <c r="E66" s="61" t="s">
        <v>155</v>
      </c>
      <c r="F66" s="177">
        <f>Rollover!C66</f>
        <v>2022</v>
      </c>
      <c r="G66" s="18">
        <v>371.339</v>
      </c>
      <c r="H66" s="19">
        <v>0.28599999999999998</v>
      </c>
      <c r="I66" s="19">
        <v>1601.489</v>
      </c>
      <c r="J66" s="19">
        <v>657.77200000000005</v>
      </c>
      <c r="K66" s="19">
        <v>33.563000000000002</v>
      </c>
      <c r="L66" s="19">
        <v>42.268999999999998</v>
      </c>
      <c r="M66" s="19">
        <v>2573.1109999999999</v>
      </c>
      <c r="N66" s="20">
        <v>3519.74</v>
      </c>
      <c r="O66" s="18">
        <v>407.26299999999998</v>
      </c>
      <c r="P66" s="19">
        <v>0.32500000000000001</v>
      </c>
      <c r="Q66" s="19">
        <v>1149.2850000000001</v>
      </c>
      <c r="R66" s="19">
        <v>620.93799999999999</v>
      </c>
      <c r="S66" s="19">
        <v>17.488</v>
      </c>
      <c r="T66" s="19">
        <v>46.43</v>
      </c>
      <c r="U66" s="19">
        <v>1705.048</v>
      </c>
      <c r="V66" s="51">
        <v>1156.2909999999999</v>
      </c>
      <c r="W66" s="52">
        <f t="shared" si="122"/>
        <v>1.9009799273522244E-2</v>
      </c>
      <c r="X66" s="10">
        <f t="shared" si="123"/>
        <v>6.5142118363650386E-2</v>
      </c>
      <c r="Y66" s="10">
        <f t="shared" si="124"/>
        <v>7.6799148544210859E-4</v>
      </c>
      <c r="Z66" s="10">
        <f t="shared" si="125"/>
        <v>8.1706809647929016E-5</v>
      </c>
      <c r="AA66" s="10">
        <f t="shared" si="126"/>
        <v>6.5142118363650386E-2</v>
      </c>
      <c r="AB66" s="10">
        <f t="shared" si="127"/>
        <v>6.790635753463993E-2</v>
      </c>
      <c r="AC66" s="10">
        <f t="shared" si="128"/>
        <v>6.790635753463993E-2</v>
      </c>
      <c r="AD66" s="10">
        <f t="shared" si="129"/>
        <v>1.1453826063877721E-2</v>
      </c>
      <c r="AE66" s="10">
        <f t="shared" si="130"/>
        <v>1.8595901442470086E-2</v>
      </c>
      <c r="AF66" s="58">
        <f t="shared" si="131"/>
        <v>1.8595901442470086E-2</v>
      </c>
      <c r="AG66" s="52">
        <f t="shared" si="132"/>
        <v>2.5596933283533095E-2</v>
      </c>
      <c r="AH66" s="10">
        <f t="shared" si="133"/>
        <v>6.9977175742497996E-2</v>
      </c>
      <c r="AI66" s="10">
        <f t="shared" si="134"/>
        <v>1.3247636776356059E-3</v>
      </c>
      <c r="AJ66" s="10">
        <f t="shared" si="135"/>
        <v>1.8095815983828537E-4</v>
      </c>
      <c r="AK66" s="10">
        <f t="shared" si="136"/>
        <v>6.9977175742497996E-2</v>
      </c>
      <c r="AL66" s="10">
        <f t="shared" si="137"/>
        <v>1.6234656509502218E-2</v>
      </c>
      <c r="AM66" s="10">
        <f t="shared" si="138"/>
        <v>1.6234656509502218E-2</v>
      </c>
      <c r="AN66" s="10">
        <f t="shared" si="139"/>
        <v>1.1032413572141355E-2</v>
      </c>
      <c r="AO66" s="10">
        <f t="shared" si="140"/>
        <v>7.2900951215691123E-3</v>
      </c>
      <c r="AP66" s="58">
        <f t="shared" si="141"/>
        <v>1.1032413572141355E-2</v>
      </c>
      <c r="AQ66" s="63">
        <f t="shared" si="142"/>
        <v>0.161</v>
      </c>
      <c r="AR66" s="10">
        <f t="shared" si="143"/>
        <v>0.11799999999999999</v>
      </c>
      <c r="AS66" s="10">
        <f t="shared" si="144"/>
        <v>0.14000000000000001</v>
      </c>
      <c r="AT66" s="24">
        <f t="shared" si="145"/>
        <v>1.07</v>
      </c>
      <c r="AU66" s="24">
        <f t="shared" si="146"/>
        <v>0.79</v>
      </c>
      <c r="AV66" s="24">
        <f t="shared" si="147"/>
        <v>0.93</v>
      </c>
      <c r="AW66" s="25">
        <f t="shared" si="148"/>
        <v>3</v>
      </c>
      <c r="AX66" s="25">
        <f t="shared" si="149"/>
        <v>4</v>
      </c>
      <c r="AY66" s="25">
        <f t="shared" si="150"/>
        <v>4</v>
      </c>
    </row>
    <row r="67" spans="1:51" ht="12" customHeight="1">
      <c r="A67" s="60"/>
      <c r="B67" s="60"/>
      <c r="C67" s="62" t="str">
        <f>Rollover!A67</f>
        <v>Nissan</v>
      </c>
      <c r="D67" s="62" t="str">
        <f>Rollover!B67</f>
        <v>Frontier King Cab PU/EC RWD</v>
      </c>
      <c r="E67" s="61"/>
      <c r="F67" s="177">
        <f>Rollover!C67</f>
        <v>2022</v>
      </c>
      <c r="G67" s="18"/>
      <c r="H67" s="19"/>
      <c r="I67" s="19"/>
      <c r="J67" s="19"/>
      <c r="K67" s="19"/>
      <c r="L67" s="19"/>
      <c r="M67" s="19"/>
      <c r="N67" s="20"/>
      <c r="O67" s="18"/>
      <c r="P67" s="19"/>
      <c r="Q67" s="19"/>
      <c r="R67" s="19"/>
      <c r="S67" s="19"/>
      <c r="T67" s="19"/>
      <c r="U67" s="19"/>
      <c r="V67" s="51"/>
      <c r="W67" s="52" t="e">
        <f t="shared" si="122"/>
        <v>#NUM!</v>
      </c>
      <c r="X67" s="10">
        <f t="shared" si="123"/>
        <v>3.8165882958950202E-2</v>
      </c>
      <c r="Y67" s="10">
        <f t="shared" si="124"/>
        <v>1.713277721572889E-5</v>
      </c>
      <c r="Z67" s="10">
        <f t="shared" si="125"/>
        <v>1.713277721572889E-5</v>
      </c>
      <c r="AA67" s="10">
        <f t="shared" si="126"/>
        <v>3.8165882958950202E-2</v>
      </c>
      <c r="AB67" s="10">
        <f t="shared" si="127"/>
        <v>2.6306978617002889E-5</v>
      </c>
      <c r="AC67" s="10">
        <f t="shared" si="128"/>
        <v>2.6306978617002889E-5</v>
      </c>
      <c r="AD67" s="10">
        <f t="shared" si="129"/>
        <v>3.033802747866758E-3</v>
      </c>
      <c r="AE67" s="10">
        <f t="shared" si="130"/>
        <v>3.033802747866758E-3</v>
      </c>
      <c r="AF67" s="58">
        <f t="shared" si="131"/>
        <v>3.033802747866758E-3</v>
      </c>
      <c r="AG67" s="52" t="e">
        <f t="shared" si="132"/>
        <v>#NUM!</v>
      </c>
      <c r="AH67" s="10">
        <f t="shared" si="133"/>
        <v>3.8165882958950202E-2</v>
      </c>
      <c r="AI67" s="10">
        <f t="shared" si="134"/>
        <v>1.7417808154569238E-5</v>
      </c>
      <c r="AJ67" s="10">
        <f t="shared" si="135"/>
        <v>1.7417808154569238E-5</v>
      </c>
      <c r="AK67" s="10">
        <f t="shared" si="136"/>
        <v>3.8165882958950202E-2</v>
      </c>
      <c r="AL67" s="10">
        <f t="shared" si="137"/>
        <v>2.6306978617002889E-5</v>
      </c>
      <c r="AM67" s="10">
        <f t="shared" si="138"/>
        <v>2.6306978617002889E-5</v>
      </c>
      <c r="AN67" s="10">
        <f t="shared" si="139"/>
        <v>3.033802747866758E-3</v>
      </c>
      <c r="AO67" s="10">
        <f t="shared" si="140"/>
        <v>3.033802747866758E-3</v>
      </c>
      <c r="AP67" s="58">
        <f t="shared" si="141"/>
        <v>3.033802747866758E-3</v>
      </c>
      <c r="AQ67" s="63" t="e">
        <f t="shared" si="142"/>
        <v>#NUM!</v>
      </c>
      <c r="AR67" s="10" t="e">
        <f t="shared" si="143"/>
        <v>#NUM!</v>
      </c>
      <c r="AS67" s="10" t="e">
        <f t="shared" si="144"/>
        <v>#NUM!</v>
      </c>
      <c r="AT67" s="24" t="e">
        <f t="shared" si="145"/>
        <v>#NUM!</v>
      </c>
      <c r="AU67" s="24" t="e">
        <f t="shared" si="146"/>
        <v>#NUM!</v>
      </c>
      <c r="AV67" s="24" t="e">
        <f t="shared" si="147"/>
        <v>#NUM!</v>
      </c>
      <c r="AW67" s="25" t="e">
        <f t="shared" si="148"/>
        <v>#NUM!</v>
      </c>
      <c r="AX67" s="25" t="e">
        <f t="shared" si="149"/>
        <v>#NUM!</v>
      </c>
      <c r="AY67" s="25" t="e">
        <f t="shared" si="150"/>
        <v>#NUM!</v>
      </c>
    </row>
    <row r="68" spans="1:51" ht="12" customHeight="1">
      <c r="A68" s="60"/>
      <c r="B68" s="60"/>
      <c r="C68" s="62" t="str">
        <f>Rollover!A68</f>
        <v>Nissan</v>
      </c>
      <c r="D68" s="62" t="str">
        <f>Rollover!B68</f>
        <v>Frontier King Cab PU/EC 4WD</v>
      </c>
      <c r="E68" s="61"/>
      <c r="F68" s="177">
        <f>Rollover!C68</f>
        <v>2022</v>
      </c>
      <c r="G68" s="18"/>
      <c r="H68" s="19"/>
      <c r="I68" s="19"/>
      <c r="J68" s="19"/>
      <c r="K68" s="19"/>
      <c r="L68" s="19"/>
      <c r="M68" s="19"/>
      <c r="N68" s="20"/>
      <c r="O68" s="18"/>
      <c r="P68" s="19"/>
      <c r="Q68" s="19"/>
      <c r="R68" s="19"/>
      <c r="S68" s="19"/>
      <c r="T68" s="19"/>
      <c r="U68" s="19"/>
      <c r="V68" s="51"/>
      <c r="W68" s="52" t="e">
        <f t="shared" si="122"/>
        <v>#NUM!</v>
      </c>
      <c r="X68" s="10">
        <f t="shared" si="123"/>
        <v>3.8165882958950202E-2</v>
      </c>
      <c r="Y68" s="10">
        <f t="shared" si="124"/>
        <v>1.713277721572889E-5</v>
      </c>
      <c r="Z68" s="10">
        <f t="shared" si="125"/>
        <v>1.713277721572889E-5</v>
      </c>
      <c r="AA68" s="10">
        <f t="shared" si="126"/>
        <v>3.8165882958950202E-2</v>
      </c>
      <c r="AB68" s="10">
        <f t="shared" si="127"/>
        <v>2.6306978617002889E-5</v>
      </c>
      <c r="AC68" s="10">
        <f t="shared" si="128"/>
        <v>2.6306978617002889E-5</v>
      </c>
      <c r="AD68" s="10">
        <f t="shared" si="129"/>
        <v>3.033802747866758E-3</v>
      </c>
      <c r="AE68" s="10">
        <f t="shared" si="130"/>
        <v>3.033802747866758E-3</v>
      </c>
      <c r="AF68" s="58">
        <f t="shared" si="131"/>
        <v>3.033802747866758E-3</v>
      </c>
      <c r="AG68" s="52" t="e">
        <f t="shared" si="132"/>
        <v>#NUM!</v>
      </c>
      <c r="AH68" s="10">
        <f t="shared" si="133"/>
        <v>3.8165882958950202E-2</v>
      </c>
      <c r="AI68" s="10">
        <f t="shared" si="134"/>
        <v>1.7417808154569238E-5</v>
      </c>
      <c r="AJ68" s="10">
        <f t="shared" si="135"/>
        <v>1.7417808154569238E-5</v>
      </c>
      <c r="AK68" s="10">
        <f t="shared" si="136"/>
        <v>3.8165882958950202E-2</v>
      </c>
      <c r="AL68" s="10">
        <f t="shared" si="137"/>
        <v>2.6306978617002889E-5</v>
      </c>
      <c r="AM68" s="10">
        <f t="shared" si="138"/>
        <v>2.6306978617002889E-5</v>
      </c>
      <c r="AN68" s="10">
        <f t="shared" si="139"/>
        <v>3.033802747866758E-3</v>
      </c>
      <c r="AO68" s="10">
        <f t="shared" si="140"/>
        <v>3.033802747866758E-3</v>
      </c>
      <c r="AP68" s="58">
        <f t="shared" si="141"/>
        <v>3.033802747866758E-3</v>
      </c>
      <c r="AQ68" s="63" t="e">
        <f t="shared" si="142"/>
        <v>#NUM!</v>
      </c>
      <c r="AR68" s="10" t="e">
        <f t="shared" si="143"/>
        <v>#NUM!</v>
      </c>
      <c r="AS68" s="10" t="e">
        <f t="shared" si="144"/>
        <v>#NUM!</v>
      </c>
      <c r="AT68" s="24" t="e">
        <f t="shared" si="145"/>
        <v>#NUM!</v>
      </c>
      <c r="AU68" s="24" t="e">
        <f t="shared" si="146"/>
        <v>#NUM!</v>
      </c>
      <c r="AV68" s="24" t="e">
        <f t="shared" si="147"/>
        <v>#NUM!</v>
      </c>
      <c r="AW68" s="25" t="e">
        <f t="shared" si="148"/>
        <v>#NUM!</v>
      </c>
      <c r="AX68" s="25" t="e">
        <f t="shared" si="149"/>
        <v>#NUM!</v>
      </c>
      <c r="AY68" s="25" t="e">
        <f t="shared" si="150"/>
        <v>#NUM!</v>
      </c>
    </row>
    <row r="69" spans="1:51" ht="12" customHeight="1">
      <c r="A69" s="60">
        <v>14086</v>
      </c>
      <c r="B69" s="60" t="s">
        <v>185</v>
      </c>
      <c r="C69" s="65" t="str">
        <f>Rollover!A69</f>
        <v>Nissan</v>
      </c>
      <c r="D69" s="65" t="str">
        <f>Rollover!B69</f>
        <v>Pathfinder SUV FWD</v>
      </c>
      <c r="E69" s="61" t="s">
        <v>161</v>
      </c>
      <c r="F69" s="177">
        <f>Rollover!C69</f>
        <v>2022</v>
      </c>
      <c r="G69" s="18">
        <v>150.03399999999999</v>
      </c>
      <c r="H69" s="19">
        <v>0.31</v>
      </c>
      <c r="I69" s="19">
        <v>1548.799</v>
      </c>
      <c r="J69" s="19">
        <v>240.298</v>
      </c>
      <c r="K69" s="19">
        <v>27.225999999999999</v>
      </c>
      <c r="L69" s="19">
        <v>37.24</v>
      </c>
      <c r="M69" s="19">
        <v>691.99599999999998</v>
      </c>
      <c r="N69" s="20">
        <v>602.822</v>
      </c>
      <c r="O69" s="18">
        <v>311.68099999999998</v>
      </c>
      <c r="P69" s="19">
        <v>0.45100000000000001</v>
      </c>
      <c r="Q69" s="19">
        <v>959.01499999999999</v>
      </c>
      <c r="R69" s="19">
        <v>411.6</v>
      </c>
      <c r="S69" s="19">
        <v>15.897</v>
      </c>
      <c r="T69" s="19">
        <v>42.055999999999997</v>
      </c>
      <c r="U69" s="19">
        <v>1051.759</v>
      </c>
      <c r="V69" s="51">
        <v>1376.0930000000001</v>
      </c>
      <c r="W69" s="52">
        <f t="shared" si="122"/>
        <v>4.8455655710517734E-4</v>
      </c>
      <c r="X69" s="10">
        <f t="shared" si="123"/>
        <v>6.8079460073053988E-2</v>
      </c>
      <c r="Y69" s="10">
        <f t="shared" si="124"/>
        <v>6.7771729767991445E-4</v>
      </c>
      <c r="Z69" s="10">
        <f t="shared" si="125"/>
        <v>3.0316374865116798E-5</v>
      </c>
      <c r="AA69" s="10">
        <f t="shared" si="126"/>
        <v>6.8079460073053988E-2</v>
      </c>
      <c r="AB69" s="10">
        <f t="shared" si="127"/>
        <v>3.3944345803137307E-2</v>
      </c>
      <c r="AC69" s="10">
        <f t="shared" si="128"/>
        <v>3.3944345803137307E-2</v>
      </c>
      <c r="AD69" s="10">
        <f t="shared" si="129"/>
        <v>4.3408323674078205E-3</v>
      </c>
      <c r="AE69" s="10">
        <f t="shared" si="130"/>
        <v>4.1451039697890648E-3</v>
      </c>
      <c r="AF69" s="58">
        <f t="shared" si="131"/>
        <v>4.3408323674078205E-3</v>
      </c>
      <c r="AG69" s="52">
        <f t="shared" si="132"/>
        <v>1.0407622983467009E-2</v>
      </c>
      <c r="AH69" s="10">
        <f t="shared" si="133"/>
        <v>8.794640178706048E-2</v>
      </c>
      <c r="AI69" s="10">
        <f t="shared" si="134"/>
        <v>6.4700233032784985E-4</v>
      </c>
      <c r="AJ69" s="10">
        <f t="shared" si="135"/>
        <v>8.2200415284344353E-5</v>
      </c>
      <c r="AK69" s="10">
        <f t="shared" si="136"/>
        <v>8.794640178706048E-2</v>
      </c>
      <c r="AL69" s="10">
        <f t="shared" si="137"/>
        <v>1.2352553274731148E-2</v>
      </c>
      <c r="AM69" s="10">
        <f t="shared" si="138"/>
        <v>1.2352553274731148E-2</v>
      </c>
      <c r="AN69" s="10">
        <f t="shared" si="139"/>
        <v>6.7357684741433822E-3</v>
      </c>
      <c r="AO69" s="10">
        <f t="shared" si="140"/>
        <v>8.6076865506258832E-3</v>
      </c>
      <c r="AP69" s="58">
        <f t="shared" si="141"/>
        <v>8.6076865506258832E-3</v>
      </c>
      <c r="AQ69" s="63">
        <f t="shared" si="142"/>
        <v>0.104</v>
      </c>
      <c r="AR69" s="10">
        <f t="shared" si="143"/>
        <v>0.11600000000000001</v>
      </c>
      <c r="AS69" s="10">
        <f t="shared" si="144"/>
        <v>0.11</v>
      </c>
      <c r="AT69" s="24">
        <f t="shared" si="145"/>
        <v>0.69</v>
      </c>
      <c r="AU69" s="24">
        <f t="shared" si="146"/>
        <v>0.77</v>
      </c>
      <c r="AV69" s="24">
        <f t="shared" si="147"/>
        <v>0.73</v>
      </c>
      <c r="AW69" s="25">
        <f t="shared" si="148"/>
        <v>4</v>
      </c>
      <c r="AX69" s="25">
        <f t="shared" si="149"/>
        <v>4</v>
      </c>
      <c r="AY69" s="25">
        <f t="shared" si="150"/>
        <v>4</v>
      </c>
    </row>
    <row r="70" spans="1:51" ht="12" customHeight="1">
      <c r="A70" s="60">
        <v>14086</v>
      </c>
      <c r="B70" s="60" t="s">
        <v>185</v>
      </c>
      <c r="C70" s="65" t="str">
        <f>Rollover!A70</f>
        <v>Nissan</v>
      </c>
      <c r="D70" s="65" t="str">
        <f>Rollover!B70</f>
        <v>Pathfinder SUV AWD</v>
      </c>
      <c r="E70" s="61" t="s">
        <v>161</v>
      </c>
      <c r="F70" s="177">
        <f>Rollover!C70</f>
        <v>2022</v>
      </c>
      <c r="G70" s="18">
        <v>150.03399999999999</v>
      </c>
      <c r="H70" s="19">
        <v>0.31</v>
      </c>
      <c r="I70" s="19">
        <v>1548.799</v>
      </c>
      <c r="J70" s="19">
        <v>240.298</v>
      </c>
      <c r="K70" s="19">
        <v>27.225999999999999</v>
      </c>
      <c r="L70" s="19">
        <v>37.24</v>
      </c>
      <c r="M70" s="19">
        <v>691.99599999999998</v>
      </c>
      <c r="N70" s="20">
        <v>602.822</v>
      </c>
      <c r="O70" s="18">
        <v>311.68099999999998</v>
      </c>
      <c r="P70" s="19">
        <v>0.45100000000000001</v>
      </c>
      <c r="Q70" s="19">
        <v>959.01499999999999</v>
      </c>
      <c r="R70" s="19">
        <v>411.6</v>
      </c>
      <c r="S70" s="19">
        <v>15.897</v>
      </c>
      <c r="T70" s="19">
        <v>42.055999999999997</v>
      </c>
      <c r="U70" s="19">
        <v>1051.759</v>
      </c>
      <c r="V70" s="51">
        <v>1376.0930000000001</v>
      </c>
      <c r="W70" s="52">
        <f t="shared" si="64"/>
        <v>4.8455655710517734E-4</v>
      </c>
      <c r="X70" s="10">
        <f t="shared" si="65"/>
        <v>6.8079460073053988E-2</v>
      </c>
      <c r="Y70" s="10">
        <f t="shared" si="66"/>
        <v>6.7771729767991445E-4</v>
      </c>
      <c r="Z70" s="10">
        <f t="shared" si="67"/>
        <v>3.0316374865116798E-5</v>
      </c>
      <c r="AA70" s="10">
        <f t="shared" si="68"/>
        <v>6.8079460073053988E-2</v>
      </c>
      <c r="AB70" s="10">
        <f t="shared" si="69"/>
        <v>3.3944345803137307E-2</v>
      </c>
      <c r="AC70" s="10">
        <f t="shared" si="70"/>
        <v>3.3944345803137307E-2</v>
      </c>
      <c r="AD70" s="10">
        <f t="shared" si="71"/>
        <v>4.3408323674078205E-3</v>
      </c>
      <c r="AE70" s="10">
        <f t="shared" si="72"/>
        <v>4.1451039697890648E-3</v>
      </c>
      <c r="AF70" s="58">
        <f t="shared" si="73"/>
        <v>4.3408323674078205E-3</v>
      </c>
      <c r="AG70" s="52">
        <f t="shared" si="74"/>
        <v>1.0407622983467009E-2</v>
      </c>
      <c r="AH70" s="10">
        <f t="shared" si="75"/>
        <v>8.794640178706048E-2</v>
      </c>
      <c r="AI70" s="10">
        <f t="shared" si="76"/>
        <v>6.4700233032784985E-4</v>
      </c>
      <c r="AJ70" s="10">
        <f t="shared" si="77"/>
        <v>8.2200415284344353E-5</v>
      </c>
      <c r="AK70" s="10">
        <f t="shared" si="78"/>
        <v>8.794640178706048E-2</v>
      </c>
      <c r="AL70" s="10">
        <f t="shared" si="79"/>
        <v>1.2352553274731148E-2</v>
      </c>
      <c r="AM70" s="10">
        <f t="shared" si="80"/>
        <v>1.2352553274731148E-2</v>
      </c>
      <c r="AN70" s="10">
        <f t="shared" si="81"/>
        <v>6.7357684741433822E-3</v>
      </c>
      <c r="AO70" s="10">
        <f t="shared" si="82"/>
        <v>8.6076865506258832E-3</v>
      </c>
      <c r="AP70" s="58">
        <f t="shared" si="83"/>
        <v>8.6076865506258832E-3</v>
      </c>
      <c r="AQ70" s="63">
        <f t="shared" si="84"/>
        <v>0.104</v>
      </c>
      <c r="AR70" s="10">
        <f t="shared" si="85"/>
        <v>0.11600000000000001</v>
      </c>
      <c r="AS70" s="10">
        <f t="shared" si="86"/>
        <v>0.11</v>
      </c>
      <c r="AT70" s="24">
        <f t="shared" si="87"/>
        <v>0.69</v>
      </c>
      <c r="AU70" s="24">
        <f t="shared" si="88"/>
        <v>0.77</v>
      </c>
      <c r="AV70" s="24">
        <f t="shared" si="89"/>
        <v>0.73</v>
      </c>
      <c r="AW70" s="25">
        <f t="shared" si="90"/>
        <v>4</v>
      </c>
      <c r="AX70" s="25">
        <f t="shared" si="91"/>
        <v>4</v>
      </c>
      <c r="AY70" s="25">
        <f t="shared" si="92"/>
        <v>4</v>
      </c>
    </row>
    <row r="71" spans="1:51" ht="12" customHeight="1">
      <c r="A71" s="60">
        <v>14086</v>
      </c>
      <c r="B71" s="60" t="s">
        <v>185</v>
      </c>
      <c r="C71" s="62" t="str">
        <f>Rollover!A71</f>
        <v xml:space="preserve">Infiniti </v>
      </c>
      <c r="D71" s="62" t="str">
        <f>Rollover!B71</f>
        <v>QX60 SUV FWD</v>
      </c>
      <c r="E71" s="61" t="s">
        <v>161</v>
      </c>
      <c r="F71" s="177">
        <f>Rollover!C71</f>
        <v>2022</v>
      </c>
      <c r="G71" s="18">
        <v>150.03399999999999</v>
      </c>
      <c r="H71" s="19">
        <v>0.31</v>
      </c>
      <c r="I71" s="19">
        <v>1548.799</v>
      </c>
      <c r="J71" s="19">
        <v>240.298</v>
      </c>
      <c r="K71" s="19">
        <v>27.225999999999999</v>
      </c>
      <c r="L71" s="19">
        <v>37.24</v>
      </c>
      <c r="M71" s="19">
        <v>691.99599999999998</v>
      </c>
      <c r="N71" s="20">
        <v>602.822</v>
      </c>
      <c r="O71" s="18">
        <v>311.68099999999998</v>
      </c>
      <c r="P71" s="19">
        <v>0.45100000000000001</v>
      </c>
      <c r="Q71" s="19">
        <v>959.01499999999999</v>
      </c>
      <c r="R71" s="19">
        <v>411.6</v>
      </c>
      <c r="S71" s="19">
        <v>15.897</v>
      </c>
      <c r="T71" s="19">
        <v>42.055999999999997</v>
      </c>
      <c r="U71" s="19">
        <v>1051.759</v>
      </c>
      <c r="V71" s="51">
        <v>1376.0930000000001</v>
      </c>
      <c r="W71" s="52">
        <f t="shared" si="64"/>
        <v>4.8455655710517734E-4</v>
      </c>
      <c r="X71" s="10">
        <f t="shared" si="65"/>
        <v>6.8079460073053988E-2</v>
      </c>
      <c r="Y71" s="10">
        <f t="shared" si="66"/>
        <v>6.7771729767991445E-4</v>
      </c>
      <c r="Z71" s="10">
        <f t="shared" si="67"/>
        <v>3.0316374865116798E-5</v>
      </c>
      <c r="AA71" s="10">
        <f t="shared" si="68"/>
        <v>6.8079460073053988E-2</v>
      </c>
      <c r="AB71" s="10">
        <f t="shared" si="69"/>
        <v>3.3944345803137307E-2</v>
      </c>
      <c r="AC71" s="10">
        <f t="shared" si="70"/>
        <v>3.3944345803137307E-2</v>
      </c>
      <c r="AD71" s="10">
        <f t="shared" si="71"/>
        <v>4.3408323674078205E-3</v>
      </c>
      <c r="AE71" s="10">
        <f t="shared" si="72"/>
        <v>4.1451039697890648E-3</v>
      </c>
      <c r="AF71" s="58">
        <f t="shared" si="73"/>
        <v>4.3408323674078205E-3</v>
      </c>
      <c r="AG71" s="52">
        <f t="shared" si="74"/>
        <v>1.0407622983467009E-2</v>
      </c>
      <c r="AH71" s="10">
        <f t="shared" si="75"/>
        <v>8.794640178706048E-2</v>
      </c>
      <c r="AI71" s="10">
        <f t="shared" si="76"/>
        <v>6.4700233032784985E-4</v>
      </c>
      <c r="AJ71" s="10">
        <f t="shared" si="77"/>
        <v>8.2200415284344353E-5</v>
      </c>
      <c r="AK71" s="10">
        <f t="shared" si="78"/>
        <v>8.794640178706048E-2</v>
      </c>
      <c r="AL71" s="10">
        <f t="shared" si="79"/>
        <v>1.2352553274731148E-2</v>
      </c>
      <c r="AM71" s="10">
        <f t="shared" si="80"/>
        <v>1.2352553274731148E-2</v>
      </c>
      <c r="AN71" s="10">
        <f t="shared" si="81"/>
        <v>6.7357684741433822E-3</v>
      </c>
      <c r="AO71" s="10">
        <f t="shared" si="82"/>
        <v>8.6076865506258832E-3</v>
      </c>
      <c r="AP71" s="58">
        <f t="shared" si="83"/>
        <v>8.6076865506258832E-3</v>
      </c>
      <c r="AQ71" s="63">
        <f t="shared" si="84"/>
        <v>0.104</v>
      </c>
      <c r="AR71" s="10">
        <f t="shared" si="85"/>
        <v>0.11600000000000001</v>
      </c>
      <c r="AS71" s="10">
        <f t="shared" si="86"/>
        <v>0.11</v>
      </c>
      <c r="AT71" s="24">
        <f t="shared" si="87"/>
        <v>0.69</v>
      </c>
      <c r="AU71" s="24">
        <f t="shared" si="88"/>
        <v>0.77</v>
      </c>
      <c r="AV71" s="24">
        <f t="shared" si="89"/>
        <v>0.73</v>
      </c>
      <c r="AW71" s="25">
        <f t="shared" si="90"/>
        <v>4</v>
      </c>
      <c r="AX71" s="25">
        <f t="shared" si="91"/>
        <v>4</v>
      </c>
      <c r="AY71" s="25">
        <f t="shared" si="92"/>
        <v>4</v>
      </c>
    </row>
    <row r="72" spans="1:51" ht="12" customHeight="1">
      <c r="A72" s="60">
        <v>14086</v>
      </c>
      <c r="B72" s="60" t="s">
        <v>185</v>
      </c>
      <c r="C72" s="62" t="str">
        <f>Rollover!A72</f>
        <v xml:space="preserve">Infiniti </v>
      </c>
      <c r="D72" s="62" t="str">
        <f>Rollover!B72</f>
        <v>QX60 SUV AWD</v>
      </c>
      <c r="E72" s="61" t="s">
        <v>161</v>
      </c>
      <c r="F72" s="177">
        <f>Rollover!C72</f>
        <v>2022</v>
      </c>
      <c r="G72" s="18">
        <v>150.03399999999999</v>
      </c>
      <c r="H72" s="19">
        <v>0.31</v>
      </c>
      <c r="I72" s="19">
        <v>1548.799</v>
      </c>
      <c r="J72" s="19">
        <v>240.298</v>
      </c>
      <c r="K72" s="19">
        <v>27.225999999999999</v>
      </c>
      <c r="L72" s="19">
        <v>37.24</v>
      </c>
      <c r="M72" s="19">
        <v>691.99599999999998</v>
      </c>
      <c r="N72" s="20">
        <v>602.822</v>
      </c>
      <c r="O72" s="18">
        <v>311.68099999999998</v>
      </c>
      <c r="P72" s="19">
        <v>0.45100000000000001</v>
      </c>
      <c r="Q72" s="19">
        <v>959.01499999999999</v>
      </c>
      <c r="R72" s="19">
        <v>411.6</v>
      </c>
      <c r="S72" s="19">
        <v>15.897</v>
      </c>
      <c r="T72" s="19">
        <v>42.055999999999997</v>
      </c>
      <c r="U72" s="19">
        <v>1051.759</v>
      </c>
      <c r="V72" s="51">
        <v>1376.0930000000001</v>
      </c>
      <c r="W72" s="52">
        <f t="shared" si="64"/>
        <v>4.8455655710517734E-4</v>
      </c>
      <c r="X72" s="10">
        <f t="shared" si="65"/>
        <v>6.8079460073053988E-2</v>
      </c>
      <c r="Y72" s="10">
        <f t="shared" si="66"/>
        <v>6.7771729767991445E-4</v>
      </c>
      <c r="Z72" s="10">
        <f t="shared" si="67"/>
        <v>3.0316374865116798E-5</v>
      </c>
      <c r="AA72" s="10">
        <f t="shared" si="68"/>
        <v>6.8079460073053988E-2</v>
      </c>
      <c r="AB72" s="10">
        <f t="shared" si="69"/>
        <v>3.3944345803137307E-2</v>
      </c>
      <c r="AC72" s="10">
        <f t="shared" si="70"/>
        <v>3.3944345803137307E-2</v>
      </c>
      <c r="AD72" s="10">
        <f t="shared" si="71"/>
        <v>4.3408323674078205E-3</v>
      </c>
      <c r="AE72" s="10">
        <f t="shared" si="72"/>
        <v>4.1451039697890648E-3</v>
      </c>
      <c r="AF72" s="58">
        <f t="shared" si="73"/>
        <v>4.3408323674078205E-3</v>
      </c>
      <c r="AG72" s="52">
        <f t="shared" si="74"/>
        <v>1.0407622983467009E-2</v>
      </c>
      <c r="AH72" s="10">
        <f t="shared" si="75"/>
        <v>8.794640178706048E-2</v>
      </c>
      <c r="AI72" s="10">
        <f t="shared" si="76"/>
        <v>6.4700233032784985E-4</v>
      </c>
      <c r="AJ72" s="10">
        <f t="shared" si="77"/>
        <v>8.2200415284344353E-5</v>
      </c>
      <c r="AK72" s="10">
        <f t="shared" si="78"/>
        <v>8.794640178706048E-2</v>
      </c>
      <c r="AL72" s="10">
        <f t="shared" si="79"/>
        <v>1.2352553274731148E-2</v>
      </c>
      <c r="AM72" s="10">
        <f t="shared" si="80"/>
        <v>1.2352553274731148E-2</v>
      </c>
      <c r="AN72" s="10">
        <f t="shared" si="81"/>
        <v>6.7357684741433822E-3</v>
      </c>
      <c r="AO72" s="10">
        <f t="shared" si="82"/>
        <v>8.6076865506258832E-3</v>
      </c>
      <c r="AP72" s="58">
        <f t="shared" si="83"/>
        <v>8.6076865506258832E-3</v>
      </c>
      <c r="AQ72" s="63">
        <f t="shared" si="84"/>
        <v>0.104</v>
      </c>
      <c r="AR72" s="10">
        <f t="shared" si="85"/>
        <v>0.11600000000000001</v>
      </c>
      <c r="AS72" s="10">
        <f t="shared" si="86"/>
        <v>0.11</v>
      </c>
      <c r="AT72" s="24">
        <f t="shared" si="87"/>
        <v>0.69</v>
      </c>
      <c r="AU72" s="24">
        <f t="shared" si="88"/>
        <v>0.77</v>
      </c>
      <c r="AV72" s="24">
        <f t="shared" si="89"/>
        <v>0.73</v>
      </c>
      <c r="AW72" s="25">
        <f t="shared" si="90"/>
        <v>4</v>
      </c>
      <c r="AX72" s="25">
        <f t="shared" si="91"/>
        <v>4</v>
      </c>
      <c r="AY72" s="25">
        <f t="shared" si="92"/>
        <v>4</v>
      </c>
    </row>
    <row r="73" spans="1:51" ht="12" customHeight="1">
      <c r="A73" s="69">
        <v>14081</v>
      </c>
      <c r="B73" s="61" t="s">
        <v>186</v>
      </c>
      <c r="C73" s="65" t="str">
        <f>Rollover!A73</f>
        <v>Nissan</v>
      </c>
      <c r="D73" s="65" t="str">
        <f>Rollover!B73</f>
        <v>Rogue AWD (Later Release)</v>
      </c>
      <c r="E73" s="61" t="s">
        <v>155</v>
      </c>
      <c r="F73" s="177">
        <f>Rollover!C73</f>
        <v>2022</v>
      </c>
      <c r="G73" s="18">
        <v>261.46699999999998</v>
      </c>
      <c r="H73" s="19">
        <v>0.33</v>
      </c>
      <c r="I73" s="19">
        <v>1793.4770000000001</v>
      </c>
      <c r="J73" s="19">
        <v>239.64099999999999</v>
      </c>
      <c r="K73" s="19">
        <v>30.548999999999999</v>
      </c>
      <c r="L73" s="19">
        <v>49.070999999999998</v>
      </c>
      <c r="M73" s="19">
        <v>311.67599999999999</v>
      </c>
      <c r="N73" s="20">
        <v>1041.32</v>
      </c>
      <c r="O73" s="18">
        <v>318.584</v>
      </c>
      <c r="P73" s="19">
        <v>0.373</v>
      </c>
      <c r="Q73" s="19">
        <v>858.29399999999998</v>
      </c>
      <c r="R73" s="19">
        <v>458.87900000000002</v>
      </c>
      <c r="S73" s="19">
        <v>14.691000000000001</v>
      </c>
      <c r="T73" s="19">
        <v>44.387</v>
      </c>
      <c r="U73" s="19">
        <v>2139.0320000000002</v>
      </c>
      <c r="V73" s="51">
        <v>1389.5060000000001</v>
      </c>
      <c r="W73" s="52">
        <f t="shared" ref="W73:W74" si="151">NORMDIST(LN(G73),7.45231,0.73998,1)</f>
        <v>5.4059514546112106E-3</v>
      </c>
      <c r="X73" s="10">
        <f t="shared" ref="X73:X74" si="152">1/(1+EXP(3.2269-1.9688*H73))</f>
        <v>7.0620545191386414E-2</v>
      </c>
      <c r="Y73" s="10">
        <f t="shared" ref="Y73:Y74" si="153">1/(1+EXP(10.9745-2.375*I73/1000))</f>
        <v>1.2111269539074054E-3</v>
      </c>
      <c r="Z73" s="10">
        <f t="shared" ref="Z73:Z74" si="154">1/(1+EXP(10.9745-2.375*J73/1000))</f>
        <v>3.0269108269961157E-5</v>
      </c>
      <c r="AA73" s="10">
        <f t="shared" ref="AA73:AA74" si="155">MAX(X73,Y73,Z73)</f>
        <v>7.0620545191386414E-2</v>
      </c>
      <c r="AB73" s="10">
        <f t="shared" ref="AB73:AB74" si="156">1/(1+EXP(12.597-0.05861*35-1.568*(K73^0.4612)))</f>
        <v>4.9457746091050719E-2</v>
      </c>
      <c r="AC73" s="10">
        <f t="shared" ref="AC73:AC74" si="157">AB73</f>
        <v>4.9457746091050719E-2</v>
      </c>
      <c r="AD73" s="10">
        <f t="shared" ref="AD73:AD74" si="158">1/(1+EXP(5.7949-0.5196*M73/1000))</f>
        <v>3.5652369632612302E-3</v>
      </c>
      <c r="AE73" s="10">
        <f t="shared" ref="AE73:AE74" si="159">1/(1+EXP(5.7949-0.5196*N73/1000))</f>
        <v>5.2002739585628342E-3</v>
      </c>
      <c r="AF73" s="58">
        <f t="shared" ref="AF73:AF74" si="160">MAX(AD73,AE73)</f>
        <v>5.2002739585628342E-3</v>
      </c>
      <c r="AG73" s="52">
        <f t="shared" ref="AG73:AG74" si="161">NORMDIST(LN(O73),7.45231,0.73998,1)</f>
        <v>1.1253071669996666E-2</v>
      </c>
      <c r="AH73" s="10">
        <f t="shared" ref="AH73:AH74" si="162">1/(1+EXP(3.2269-1.9688*P73))</f>
        <v>7.6382980614905518E-2</v>
      </c>
      <c r="AI73" s="10">
        <f t="shared" ref="AI73:AI74" si="163">1/(1+EXP(10.958-3.77*Q73/1000))</f>
        <v>4.4267513206341539E-4</v>
      </c>
      <c r="AJ73" s="10">
        <f t="shared" ref="AJ73:AJ74" si="164">1/(1+EXP(10.958-3.77*R73/1000))</f>
        <v>9.8237316259710763E-5</v>
      </c>
      <c r="AK73" s="10">
        <f t="shared" ref="AK73:AK74" si="165">MAX(AH73,AI73,AJ73)</f>
        <v>7.6382980614905518E-2</v>
      </c>
      <c r="AL73" s="10">
        <f t="shared" ref="AL73:AL74" si="166">1/(1+EXP(12.597-0.05861*35-1.568*((S73/0.817)^0.4612)))</f>
        <v>9.9348217753650672E-3</v>
      </c>
      <c r="AM73" s="10">
        <f t="shared" ref="AM73:AM74" si="167">AL73</f>
        <v>9.9348217753650672E-3</v>
      </c>
      <c r="AN73" s="10">
        <f t="shared" ref="AN73:AN74" si="168">1/(1+EXP(5.7949-0.7619*U73/1000))</f>
        <v>1.5289648327492564E-2</v>
      </c>
      <c r="AO73" s="10">
        <f t="shared" ref="AO73:AO74" si="169">1/(1+EXP(5.7949-0.7619*V73/1000))</f>
        <v>8.6953338399212467E-3</v>
      </c>
      <c r="AP73" s="58">
        <f t="shared" ref="AP73:AP74" si="170">MAX(AN73,AO73)</f>
        <v>1.5289648327492564E-2</v>
      </c>
      <c r="AQ73" s="63">
        <f t="shared" ref="AQ73:AQ74" si="171">ROUND(1-(1-W73)*(1-AA73)*(1-AC73)*(1-AF73),3)</f>
        <v>0.126</v>
      </c>
      <c r="AR73" s="10">
        <f t="shared" ref="AR73:AR74" si="172">ROUND(1-(1-AG73)*(1-AK73)*(1-AM73)*(1-AP73),3)</f>
        <v>0.11</v>
      </c>
      <c r="AS73" s="10">
        <f t="shared" ref="AS73:AS74" si="173">ROUND(AVERAGE(AR73,AQ73),3)</f>
        <v>0.11799999999999999</v>
      </c>
      <c r="AT73" s="24">
        <f t="shared" ref="AT73:AT74" si="174">ROUND(AQ73/0.15,2)</f>
        <v>0.84</v>
      </c>
      <c r="AU73" s="24">
        <f t="shared" ref="AU73:AU74" si="175">ROUND(AR73/0.15,2)</f>
        <v>0.73</v>
      </c>
      <c r="AV73" s="24">
        <f t="shared" ref="AV73:AV74" si="176">ROUND(AS73/0.15,2)</f>
        <v>0.79</v>
      </c>
      <c r="AW73" s="25">
        <f t="shared" ref="AW73:AW74" si="177">IF(AT73&lt;0.67,5,IF(AT73&lt;1,4,IF(AT73&lt;1.33,3,IF(AT73&lt;2.67,2,1))))</f>
        <v>4</v>
      </c>
      <c r="AX73" s="25">
        <f t="shared" ref="AX73:AX74" si="178">IF(AU73&lt;0.67,5,IF(AU73&lt;1,4,IF(AU73&lt;1.33,3,IF(AU73&lt;2.67,2,1))))</f>
        <v>4</v>
      </c>
      <c r="AY73" s="25">
        <f t="shared" ref="AY73:AY74" si="179">IF(AV73&lt;0.67,5,IF(AV73&lt;1,4,IF(AV73&lt;1.33,3,IF(AV73&lt;2.67,2,1))))</f>
        <v>4</v>
      </c>
    </row>
    <row r="74" spans="1:51" ht="12" customHeight="1">
      <c r="A74" s="69">
        <v>14081</v>
      </c>
      <c r="B74" s="61" t="s">
        <v>186</v>
      </c>
      <c r="C74" s="62" t="str">
        <f>Rollover!A74</f>
        <v>Nissan</v>
      </c>
      <c r="D74" s="62" t="str">
        <f>Rollover!B74</f>
        <v>Rogue FWD (Later Release)</v>
      </c>
      <c r="E74" s="61" t="s">
        <v>155</v>
      </c>
      <c r="F74" s="177">
        <f>Rollover!C74</f>
        <v>2022</v>
      </c>
      <c r="G74" s="18">
        <v>261.46699999999998</v>
      </c>
      <c r="H74" s="19">
        <v>0.33</v>
      </c>
      <c r="I74" s="19">
        <v>1793.4770000000001</v>
      </c>
      <c r="J74" s="19">
        <v>239.64099999999999</v>
      </c>
      <c r="K74" s="19">
        <v>30.548999999999999</v>
      </c>
      <c r="L74" s="19">
        <v>49.070999999999998</v>
      </c>
      <c r="M74" s="19">
        <v>311.67599999999999</v>
      </c>
      <c r="N74" s="20">
        <v>1041.32</v>
      </c>
      <c r="O74" s="18">
        <v>318.584</v>
      </c>
      <c r="P74" s="19">
        <v>0.373</v>
      </c>
      <c r="Q74" s="19">
        <v>858.29399999999998</v>
      </c>
      <c r="R74" s="19">
        <v>458.87900000000002</v>
      </c>
      <c r="S74" s="19">
        <v>14.691000000000001</v>
      </c>
      <c r="T74" s="19">
        <v>44.387</v>
      </c>
      <c r="U74" s="19">
        <v>2139.0320000000002</v>
      </c>
      <c r="V74" s="51">
        <v>1389.5060000000001</v>
      </c>
      <c r="W74" s="52">
        <f t="shared" si="151"/>
        <v>5.4059514546112106E-3</v>
      </c>
      <c r="X74" s="10">
        <f t="shared" si="152"/>
        <v>7.0620545191386414E-2</v>
      </c>
      <c r="Y74" s="10">
        <f t="shared" si="153"/>
        <v>1.2111269539074054E-3</v>
      </c>
      <c r="Z74" s="10">
        <f t="shared" si="154"/>
        <v>3.0269108269961157E-5</v>
      </c>
      <c r="AA74" s="10">
        <f t="shared" si="155"/>
        <v>7.0620545191386414E-2</v>
      </c>
      <c r="AB74" s="10">
        <f t="shared" si="156"/>
        <v>4.9457746091050719E-2</v>
      </c>
      <c r="AC74" s="10">
        <f t="shared" si="157"/>
        <v>4.9457746091050719E-2</v>
      </c>
      <c r="AD74" s="10">
        <f t="shared" si="158"/>
        <v>3.5652369632612302E-3</v>
      </c>
      <c r="AE74" s="10">
        <f t="shared" si="159"/>
        <v>5.2002739585628342E-3</v>
      </c>
      <c r="AF74" s="58">
        <f t="shared" si="160"/>
        <v>5.2002739585628342E-3</v>
      </c>
      <c r="AG74" s="52">
        <f t="shared" si="161"/>
        <v>1.1253071669996666E-2</v>
      </c>
      <c r="AH74" s="10">
        <f t="shared" si="162"/>
        <v>7.6382980614905518E-2</v>
      </c>
      <c r="AI74" s="10">
        <f t="shared" si="163"/>
        <v>4.4267513206341539E-4</v>
      </c>
      <c r="AJ74" s="10">
        <f t="shared" si="164"/>
        <v>9.8237316259710763E-5</v>
      </c>
      <c r="AK74" s="10">
        <f t="shared" si="165"/>
        <v>7.6382980614905518E-2</v>
      </c>
      <c r="AL74" s="10">
        <f t="shared" si="166"/>
        <v>9.9348217753650672E-3</v>
      </c>
      <c r="AM74" s="10">
        <f t="shared" si="167"/>
        <v>9.9348217753650672E-3</v>
      </c>
      <c r="AN74" s="10">
        <f t="shared" si="168"/>
        <v>1.5289648327492564E-2</v>
      </c>
      <c r="AO74" s="10">
        <f t="shared" si="169"/>
        <v>8.6953338399212467E-3</v>
      </c>
      <c r="AP74" s="58">
        <f t="shared" si="170"/>
        <v>1.5289648327492564E-2</v>
      </c>
      <c r="AQ74" s="63">
        <f t="shared" si="171"/>
        <v>0.126</v>
      </c>
      <c r="AR74" s="10">
        <f t="shared" si="172"/>
        <v>0.11</v>
      </c>
      <c r="AS74" s="10">
        <f t="shared" si="173"/>
        <v>0.11799999999999999</v>
      </c>
      <c r="AT74" s="24">
        <f t="shared" si="174"/>
        <v>0.84</v>
      </c>
      <c r="AU74" s="24">
        <f t="shared" si="175"/>
        <v>0.73</v>
      </c>
      <c r="AV74" s="24">
        <f t="shared" si="176"/>
        <v>0.79</v>
      </c>
      <c r="AW74" s="25">
        <f t="shared" si="177"/>
        <v>4</v>
      </c>
      <c r="AX74" s="25">
        <f t="shared" si="178"/>
        <v>4</v>
      </c>
      <c r="AY74" s="25">
        <f t="shared" si="179"/>
        <v>4</v>
      </c>
    </row>
    <row r="75" spans="1:51" ht="12" customHeight="1">
      <c r="A75" s="178">
        <v>11496</v>
      </c>
      <c r="B75" s="60" t="s">
        <v>187</v>
      </c>
      <c r="C75" s="179" t="str">
        <f>Rollover!A75</f>
        <v>Nissan</v>
      </c>
      <c r="D75" s="65" t="str">
        <f>Rollover!B75</f>
        <v>Rogue Sport SUV FWD</v>
      </c>
      <c r="E75" s="61" t="s">
        <v>161</v>
      </c>
      <c r="F75" s="177">
        <f>Rollover!C75</f>
        <v>2022</v>
      </c>
      <c r="G75" s="18">
        <v>398.79899999999998</v>
      </c>
      <c r="H75" s="19">
        <v>0.33700000000000002</v>
      </c>
      <c r="I75" s="19">
        <v>1552.7539999999999</v>
      </c>
      <c r="J75" s="19">
        <v>471.71199999999999</v>
      </c>
      <c r="K75" s="19">
        <v>23.443999999999999</v>
      </c>
      <c r="L75" s="19">
        <v>42.69</v>
      </c>
      <c r="M75" s="19">
        <v>1182.4090000000001</v>
      </c>
      <c r="N75" s="20">
        <v>1238.298</v>
      </c>
      <c r="O75" s="18">
        <v>131.98400000000001</v>
      </c>
      <c r="P75" s="19">
        <v>0.35299999999999998</v>
      </c>
      <c r="Q75" s="19">
        <v>839.64</v>
      </c>
      <c r="R75" s="19">
        <v>152.44900000000001</v>
      </c>
      <c r="S75" s="19">
        <v>12.686</v>
      </c>
      <c r="T75" s="19">
        <v>36.25</v>
      </c>
      <c r="U75" s="19">
        <v>1454.876</v>
      </c>
      <c r="V75" s="51">
        <v>2534.701</v>
      </c>
      <c r="W75" s="52">
        <f t="shared" si="64"/>
        <v>2.3951243172320748E-2</v>
      </c>
      <c r="X75" s="10">
        <f t="shared" si="65"/>
        <v>7.1530446829232944E-2</v>
      </c>
      <c r="Y75" s="10">
        <f t="shared" si="66"/>
        <v>6.8410879709755084E-4</v>
      </c>
      <c r="Z75" s="10">
        <f t="shared" si="67"/>
        <v>5.252420087249734E-5</v>
      </c>
      <c r="AA75" s="10">
        <f t="shared" si="68"/>
        <v>7.1530446829232944E-2</v>
      </c>
      <c r="AB75" s="10">
        <f t="shared" si="69"/>
        <v>2.1285867173192946E-2</v>
      </c>
      <c r="AC75" s="10">
        <f t="shared" si="70"/>
        <v>2.1285867173192946E-2</v>
      </c>
      <c r="AD75" s="10">
        <f t="shared" si="71"/>
        <v>5.5936144930588431E-3</v>
      </c>
      <c r="AE75" s="10">
        <f t="shared" si="72"/>
        <v>5.7574852814080181E-3</v>
      </c>
      <c r="AF75" s="58">
        <f t="shared" si="73"/>
        <v>5.7574852814080181E-3</v>
      </c>
      <c r="AG75" s="52">
        <f t="shared" si="74"/>
        <v>2.577542401376222E-4</v>
      </c>
      <c r="AH75" s="10">
        <f t="shared" si="75"/>
        <v>7.3650981779484356E-2</v>
      </c>
      <c r="AI75" s="10">
        <f t="shared" si="76"/>
        <v>4.1262560121005674E-4</v>
      </c>
      <c r="AJ75" s="10">
        <f t="shared" si="77"/>
        <v>3.0945028075361137E-5</v>
      </c>
      <c r="AK75" s="10">
        <f t="shared" si="78"/>
        <v>7.3650981779484356E-2</v>
      </c>
      <c r="AL75" s="10">
        <f t="shared" si="79"/>
        <v>6.755172316460889E-3</v>
      </c>
      <c r="AM75" s="10">
        <f t="shared" si="80"/>
        <v>6.755172316460889E-3</v>
      </c>
      <c r="AN75" s="10">
        <f t="shared" si="81"/>
        <v>9.1353180189580989E-3</v>
      </c>
      <c r="AO75" s="10">
        <f t="shared" si="82"/>
        <v>2.0558434003348478E-2</v>
      </c>
      <c r="AP75" s="58">
        <f t="shared" si="83"/>
        <v>2.0558434003348478E-2</v>
      </c>
      <c r="AQ75" s="63">
        <f t="shared" si="84"/>
        <v>0.11799999999999999</v>
      </c>
      <c r="AR75" s="10">
        <f t="shared" si="85"/>
        <v>9.9000000000000005E-2</v>
      </c>
      <c r="AS75" s="10">
        <f t="shared" si="86"/>
        <v>0.109</v>
      </c>
      <c r="AT75" s="24">
        <f t="shared" si="87"/>
        <v>0.79</v>
      </c>
      <c r="AU75" s="24">
        <f t="shared" si="88"/>
        <v>0.66</v>
      </c>
      <c r="AV75" s="24">
        <f t="shared" si="89"/>
        <v>0.73</v>
      </c>
      <c r="AW75" s="25">
        <f t="shared" si="90"/>
        <v>4</v>
      </c>
      <c r="AX75" s="25">
        <f t="shared" si="91"/>
        <v>5</v>
      </c>
      <c r="AY75" s="25">
        <f t="shared" si="92"/>
        <v>4</v>
      </c>
    </row>
    <row r="76" spans="1:51" ht="12" customHeight="1">
      <c r="A76" s="178">
        <v>11496</v>
      </c>
      <c r="B76" s="60" t="s">
        <v>187</v>
      </c>
      <c r="C76" s="179" t="str">
        <f>Rollover!A76</f>
        <v>Nissan</v>
      </c>
      <c r="D76" s="65" t="str">
        <f>Rollover!B76</f>
        <v>Rogue Sport SUV AWD</v>
      </c>
      <c r="E76" s="61" t="s">
        <v>161</v>
      </c>
      <c r="F76" s="177">
        <f>Rollover!C76</f>
        <v>2022</v>
      </c>
      <c r="G76" s="18">
        <v>398.79899999999998</v>
      </c>
      <c r="H76" s="19">
        <v>0.33700000000000002</v>
      </c>
      <c r="I76" s="19">
        <v>1552.7539999999999</v>
      </c>
      <c r="J76" s="19">
        <v>471.71199999999999</v>
      </c>
      <c r="K76" s="19">
        <v>23.443999999999999</v>
      </c>
      <c r="L76" s="19">
        <v>42.69</v>
      </c>
      <c r="M76" s="19">
        <v>1182.4090000000001</v>
      </c>
      <c r="N76" s="20">
        <v>1238.298</v>
      </c>
      <c r="O76" s="18">
        <v>131.98400000000001</v>
      </c>
      <c r="P76" s="19">
        <v>0.35299999999999998</v>
      </c>
      <c r="Q76" s="19">
        <v>839.64</v>
      </c>
      <c r="R76" s="19">
        <v>152.44900000000001</v>
      </c>
      <c r="S76" s="19">
        <v>12.686</v>
      </c>
      <c r="T76" s="19">
        <v>36.25</v>
      </c>
      <c r="U76" s="19">
        <v>1454.876</v>
      </c>
      <c r="V76" s="51">
        <v>2534.701</v>
      </c>
      <c r="W76" s="52">
        <f t="shared" si="64"/>
        <v>2.3951243172320748E-2</v>
      </c>
      <c r="X76" s="10">
        <f t="shared" si="65"/>
        <v>7.1530446829232944E-2</v>
      </c>
      <c r="Y76" s="10">
        <f t="shared" si="66"/>
        <v>6.8410879709755084E-4</v>
      </c>
      <c r="Z76" s="10">
        <f t="shared" si="67"/>
        <v>5.252420087249734E-5</v>
      </c>
      <c r="AA76" s="10">
        <f t="shared" si="68"/>
        <v>7.1530446829232944E-2</v>
      </c>
      <c r="AB76" s="10">
        <f t="shared" si="69"/>
        <v>2.1285867173192946E-2</v>
      </c>
      <c r="AC76" s="10">
        <f t="shared" si="70"/>
        <v>2.1285867173192946E-2</v>
      </c>
      <c r="AD76" s="10">
        <f t="shared" si="71"/>
        <v>5.5936144930588431E-3</v>
      </c>
      <c r="AE76" s="10">
        <f t="shared" si="72"/>
        <v>5.7574852814080181E-3</v>
      </c>
      <c r="AF76" s="58">
        <f t="shared" si="73"/>
        <v>5.7574852814080181E-3</v>
      </c>
      <c r="AG76" s="52">
        <f t="shared" si="74"/>
        <v>2.577542401376222E-4</v>
      </c>
      <c r="AH76" s="10">
        <f t="shared" si="75"/>
        <v>7.3650981779484356E-2</v>
      </c>
      <c r="AI76" s="10">
        <f t="shared" si="76"/>
        <v>4.1262560121005674E-4</v>
      </c>
      <c r="AJ76" s="10">
        <f t="shared" si="77"/>
        <v>3.0945028075361137E-5</v>
      </c>
      <c r="AK76" s="10">
        <f t="shared" si="78"/>
        <v>7.3650981779484356E-2</v>
      </c>
      <c r="AL76" s="10">
        <f t="shared" si="79"/>
        <v>6.755172316460889E-3</v>
      </c>
      <c r="AM76" s="10">
        <f t="shared" si="80"/>
        <v>6.755172316460889E-3</v>
      </c>
      <c r="AN76" s="10">
        <f t="shared" si="81"/>
        <v>9.1353180189580989E-3</v>
      </c>
      <c r="AO76" s="10">
        <f t="shared" si="82"/>
        <v>2.0558434003348478E-2</v>
      </c>
      <c r="AP76" s="58">
        <f t="shared" si="83"/>
        <v>2.0558434003348478E-2</v>
      </c>
      <c r="AQ76" s="63">
        <f t="shared" si="84"/>
        <v>0.11799999999999999</v>
      </c>
      <c r="AR76" s="10">
        <f t="shared" si="85"/>
        <v>9.9000000000000005E-2</v>
      </c>
      <c r="AS76" s="10">
        <f t="shared" si="86"/>
        <v>0.109</v>
      </c>
      <c r="AT76" s="24">
        <f t="shared" si="87"/>
        <v>0.79</v>
      </c>
      <c r="AU76" s="24">
        <f t="shared" si="88"/>
        <v>0.66</v>
      </c>
      <c r="AV76" s="24">
        <f t="shared" si="89"/>
        <v>0.73</v>
      </c>
      <c r="AW76" s="25">
        <f t="shared" si="90"/>
        <v>4</v>
      </c>
      <c r="AX76" s="25">
        <f t="shared" si="91"/>
        <v>5</v>
      </c>
      <c r="AY76" s="25">
        <f t="shared" si="92"/>
        <v>4</v>
      </c>
    </row>
    <row r="77" spans="1:51" ht="12" customHeight="1">
      <c r="A77" s="60">
        <v>14214</v>
      </c>
      <c r="B77" s="60" t="s">
        <v>188</v>
      </c>
      <c r="C77" s="65" t="str">
        <f>Rollover!A77</f>
        <v>Polestar</v>
      </c>
      <c r="D77" s="65" t="str">
        <f>Rollover!B77</f>
        <v>Polestar 2 5HB FWD</v>
      </c>
      <c r="E77" s="61" t="s">
        <v>155</v>
      </c>
      <c r="F77" s="177">
        <f>Rollover!C77</f>
        <v>2022</v>
      </c>
      <c r="G77" s="18">
        <v>256.49</v>
      </c>
      <c r="H77" s="19">
        <v>0.20799999999999999</v>
      </c>
      <c r="I77" s="19">
        <v>710.91399999999999</v>
      </c>
      <c r="J77" s="19">
        <v>131.67699999999999</v>
      </c>
      <c r="K77" s="19">
        <v>19.57</v>
      </c>
      <c r="L77" s="19">
        <v>39.093000000000004</v>
      </c>
      <c r="M77" s="19">
        <v>1703.0309999999999</v>
      </c>
      <c r="N77" s="20">
        <v>2162.3069999999998</v>
      </c>
      <c r="O77" s="18">
        <v>331.58</v>
      </c>
      <c r="P77" s="19">
        <v>0.27600000000000002</v>
      </c>
      <c r="Q77" s="19">
        <v>826.48</v>
      </c>
      <c r="R77" s="19">
        <v>220.858</v>
      </c>
      <c r="S77" s="19">
        <v>9.0459999999999994</v>
      </c>
      <c r="T77" s="19">
        <v>44.488999999999997</v>
      </c>
      <c r="U77" s="19">
        <v>1200.98</v>
      </c>
      <c r="V77" s="51">
        <v>1350.2139999999999</v>
      </c>
      <c r="W77" s="52">
        <f t="shared" si="64"/>
        <v>5.0164743921741776E-3</v>
      </c>
      <c r="X77" s="10">
        <f t="shared" si="65"/>
        <v>5.6391676535836294E-2</v>
      </c>
      <c r="Y77" s="10">
        <f t="shared" si="66"/>
        <v>9.2697231450569306E-5</v>
      </c>
      <c r="Z77" s="10">
        <f t="shared" si="67"/>
        <v>2.3423036634597119E-5</v>
      </c>
      <c r="AA77" s="10">
        <f t="shared" si="68"/>
        <v>5.6391676535836294E-2</v>
      </c>
      <c r="AB77" s="10">
        <f t="shared" si="69"/>
        <v>1.2553892616368474E-2</v>
      </c>
      <c r="AC77" s="10">
        <f t="shared" si="70"/>
        <v>1.2553892616368474E-2</v>
      </c>
      <c r="AD77" s="10">
        <f t="shared" si="71"/>
        <v>7.3184955395975771E-3</v>
      </c>
      <c r="AE77" s="10">
        <f t="shared" si="72"/>
        <v>9.2726948349310442E-3</v>
      </c>
      <c r="AF77" s="58">
        <f t="shared" si="73"/>
        <v>9.2726948349310442E-3</v>
      </c>
      <c r="AG77" s="52">
        <f t="shared" si="74"/>
        <v>1.2950829555102723E-2</v>
      </c>
      <c r="AH77" s="10">
        <f t="shared" si="75"/>
        <v>6.3953362191218263E-2</v>
      </c>
      <c r="AI77" s="10">
        <f t="shared" si="76"/>
        <v>3.9266130444915121E-4</v>
      </c>
      <c r="AJ77" s="10">
        <f t="shared" si="77"/>
        <v>4.0049058619365332E-5</v>
      </c>
      <c r="AK77" s="10">
        <f t="shared" si="78"/>
        <v>6.3953362191218263E-2</v>
      </c>
      <c r="AL77" s="10">
        <f t="shared" si="79"/>
        <v>3.0399260068812634E-3</v>
      </c>
      <c r="AM77" s="10">
        <f t="shared" si="80"/>
        <v>3.0399260068812634E-3</v>
      </c>
      <c r="AN77" s="10">
        <f t="shared" si="81"/>
        <v>7.5406824149238999E-3</v>
      </c>
      <c r="AO77" s="10">
        <f t="shared" si="82"/>
        <v>8.4410478214277038E-3</v>
      </c>
      <c r="AP77" s="58">
        <f t="shared" si="83"/>
        <v>8.4410478214277038E-3</v>
      </c>
      <c r="AQ77" s="63">
        <f t="shared" si="84"/>
        <v>8.2000000000000003E-2</v>
      </c>
      <c r="AR77" s="10">
        <f t="shared" si="85"/>
        <v>8.6999999999999994E-2</v>
      </c>
      <c r="AS77" s="10">
        <f t="shared" si="86"/>
        <v>8.5000000000000006E-2</v>
      </c>
      <c r="AT77" s="24">
        <f t="shared" si="87"/>
        <v>0.55000000000000004</v>
      </c>
      <c r="AU77" s="24">
        <f t="shared" si="88"/>
        <v>0.57999999999999996</v>
      </c>
      <c r="AV77" s="24">
        <f t="shared" si="89"/>
        <v>0.56999999999999995</v>
      </c>
      <c r="AW77" s="25">
        <f t="shared" si="90"/>
        <v>5</v>
      </c>
      <c r="AX77" s="25">
        <f t="shared" si="91"/>
        <v>5</v>
      </c>
      <c r="AY77" s="25">
        <f t="shared" si="92"/>
        <v>5</v>
      </c>
    </row>
    <row r="78" spans="1:51" ht="12" customHeight="1">
      <c r="A78" s="60">
        <v>14214</v>
      </c>
      <c r="B78" s="60" t="s">
        <v>188</v>
      </c>
      <c r="C78" s="65" t="str">
        <f>Rollover!A78</f>
        <v>Polestar</v>
      </c>
      <c r="D78" s="65" t="str">
        <f>Rollover!B78</f>
        <v>Polestar 2 5HB AWD</v>
      </c>
      <c r="E78" s="61" t="s">
        <v>155</v>
      </c>
      <c r="F78" s="177">
        <f>Rollover!C78</f>
        <v>2022</v>
      </c>
      <c r="G78" s="18">
        <v>256.49</v>
      </c>
      <c r="H78" s="19">
        <v>0.20799999999999999</v>
      </c>
      <c r="I78" s="19">
        <v>710.91399999999999</v>
      </c>
      <c r="J78" s="19">
        <v>131.67699999999999</v>
      </c>
      <c r="K78" s="19">
        <v>19.57</v>
      </c>
      <c r="L78" s="19">
        <v>39.093000000000004</v>
      </c>
      <c r="M78" s="19">
        <v>1703.0309999999999</v>
      </c>
      <c r="N78" s="20">
        <v>2162.3069999999998</v>
      </c>
      <c r="O78" s="18">
        <v>331.58</v>
      </c>
      <c r="P78" s="19">
        <v>0.27600000000000002</v>
      </c>
      <c r="Q78" s="19">
        <v>826.48</v>
      </c>
      <c r="R78" s="19">
        <v>220.858</v>
      </c>
      <c r="S78" s="19">
        <v>9.0459999999999994</v>
      </c>
      <c r="T78" s="19">
        <v>44.488999999999997</v>
      </c>
      <c r="U78" s="19">
        <v>1200.98</v>
      </c>
      <c r="V78" s="51">
        <v>1350.2139999999999</v>
      </c>
      <c r="W78" s="52">
        <f t="shared" ref="W78:W81" si="180">NORMDIST(LN(G78),7.45231,0.73998,1)</f>
        <v>5.0164743921741776E-3</v>
      </c>
      <c r="X78" s="10">
        <f t="shared" ref="X78:X81" si="181">1/(1+EXP(3.2269-1.9688*H78))</f>
        <v>5.6391676535836294E-2</v>
      </c>
      <c r="Y78" s="10">
        <f t="shared" ref="Y78:Y81" si="182">1/(1+EXP(10.9745-2.375*I78/1000))</f>
        <v>9.2697231450569306E-5</v>
      </c>
      <c r="Z78" s="10">
        <f t="shared" ref="Z78:Z81" si="183">1/(1+EXP(10.9745-2.375*J78/1000))</f>
        <v>2.3423036634597119E-5</v>
      </c>
      <c r="AA78" s="10">
        <f t="shared" ref="AA78:AA81" si="184">MAX(X78,Y78,Z78)</f>
        <v>5.6391676535836294E-2</v>
      </c>
      <c r="AB78" s="10">
        <f t="shared" ref="AB78:AB81" si="185">1/(1+EXP(12.597-0.05861*35-1.568*(K78^0.4612)))</f>
        <v>1.2553892616368474E-2</v>
      </c>
      <c r="AC78" s="10">
        <f t="shared" ref="AC78:AC81" si="186">AB78</f>
        <v>1.2553892616368474E-2</v>
      </c>
      <c r="AD78" s="10">
        <f t="shared" ref="AD78:AD81" si="187">1/(1+EXP(5.7949-0.5196*M78/1000))</f>
        <v>7.3184955395975771E-3</v>
      </c>
      <c r="AE78" s="10">
        <f t="shared" ref="AE78:AE81" si="188">1/(1+EXP(5.7949-0.5196*N78/1000))</f>
        <v>9.2726948349310442E-3</v>
      </c>
      <c r="AF78" s="58">
        <f t="shared" ref="AF78:AF81" si="189">MAX(AD78,AE78)</f>
        <v>9.2726948349310442E-3</v>
      </c>
      <c r="AG78" s="52">
        <f t="shared" ref="AG78:AG81" si="190">NORMDIST(LN(O78),7.45231,0.73998,1)</f>
        <v>1.2950829555102723E-2</v>
      </c>
      <c r="AH78" s="10">
        <f t="shared" ref="AH78:AH81" si="191">1/(1+EXP(3.2269-1.9688*P78))</f>
        <v>6.3953362191218263E-2</v>
      </c>
      <c r="AI78" s="10">
        <f t="shared" ref="AI78:AI81" si="192">1/(1+EXP(10.958-3.77*Q78/1000))</f>
        <v>3.9266130444915121E-4</v>
      </c>
      <c r="AJ78" s="10">
        <f t="shared" ref="AJ78:AJ81" si="193">1/(1+EXP(10.958-3.77*R78/1000))</f>
        <v>4.0049058619365332E-5</v>
      </c>
      <c r="AK78" s="10">
        <f t="shared" ref="AK78:AK81" si="194">MAX(AH78,AI78,AJ78)</f>
        <v>6.3953362191218263E-2</v>
      </c>
      <c r="AL78" s="10">
        <f t="shared" ref="AL78:AL81" si="195">1/(1+EXP(12.597-0.05861*35-1.568*((S78/0.817)^0.4612)))</f>
        <v>3.0399260068812634E-3</v>
      </c>
      <c r="AM78" s="10">
        <f t="shared" ref="AM78:AM81" si="196">AL78</f>
        <v>3.0399260068812634E-3</v>
      </c>
      <c r="AN78" s="10">
        <f t="shared" ref="AN78:AN81" si="197">1/(1+EXP(5.7949-0.7619*U78/1000))</f>
        <v>7.5406824149238999E-3</v>
      </c>
      <c r="AO78" s="10">
        <f t="shared" ref="AO78:AO81" si="198">1/(1+EXP(5.7949-0.7619*V78/1000))</f>
        <v>8.4410478214277038E-3</v>
      </c>
      <c r="AP78" s="58">
        <f t="shared" ref="AP78:AP81" si="199">MAX(AN78,AO78)</f>
        <v>8.4410478214277038E-3</v>
      </c>
      <c r="AQ78" s="63">
        <f t="shared" ref="AQ78:AQ81" si="200">ROUND(1-(1-W78)*(1-AA78)*(1-AC78)*(1-AF78),3)</f>
        <v>8.2000000000000003E-2</v>
      </c>
      <c r="AR78" s="10">
        <f t="shared" ref="AR78:AR81" si="201">ROUND(1-(1-AG78)*(1-AK78)*(1-AM78)*(1-AP78),3)</f>
        <v>8.6999999999999994E-2</v>
      </c>
      <c r="AS78" s="10">
        <f t="shared" ref="AS78:AS81" si="202">ROUND(AVERAGE(AR78,AQ78),3)</f>
        <v>8.5000000000000006E-2</v>
      </c>
      <c r="AT78" s="24">
        <f t="shared" ref="AT78:AT81" si="203">ROUND(AQ78/0.15,2)</f>
        <v>0.55000000000000004</v>
      </c>
      <c r="AU78" s="24">
        <f t="shared" ref="AU78:AU81" si="204">ROUND(AR78/0.15,2)</f>
        <v>0.57999999999999996</v>
      </c>
      <c r="AV78" s="24">
        <f t="shared" ref="AV78:AV81" si="205">ROUND(AS78/0.15,2)</f>
        <v>0.56999999999999995</v>
      </c>
      <c r="AW78" s="25">
        <f t="shared" ref="AW78:AW81" si="206">IF(AT78&lt;0.67,5,IF(AT78&lt;1,4,IF(AT78&lt;1.33,3,IF(AT78&lt;2.67,2,1))))</f>
        <v>5</v>
      </c>
      <c r="AX78" s="25">
        <f t="shared" ref="AX78:AX81" si="207">IF(AU78&lt;0.67,5,IF(AU78&lt;1,4,IF(AU78&lt;1.33,3,IF(AU78&lt;2.67,2,1))))</f>
        <v>5</v>
      </c>
      <c r="AY78" s="25">
        <f t="shared" ref="AY78:AY81" si="208">IF(AV78&lt;0.67,5,IF(AV78&lt;1,4,IF(AV78&lt;1.33,3,IF(AV78&lt;2.67,2,1))))</f>
        <v>5</v>
      </c>
    </row>
    <row r="79" spans="1:51" ht="12" customHeight="1">
      <c r="A79" s="60">
        <v>14266</v>
      </c>
      <c r="B79" s="60" t="s">
        <v>189</v>
      </c>
      <c r="C79" s="17" t="str">
        <f>Rollover!A79</f>
        <v>Subaru</v>
      </c>
      <c r="D79" s="17" t="str">
        <f>Rollover!B79</f>
        <v>WRX 4DR AWD</v>
      </c>
      <c r="E79" s="61" t="s">
        <v>190</v>
      </c>
      <c r="F79" s="37">
        <f>Rollover!C79</f>
        <v>2022</v>
      </c>
      <c r="G79" s="18">
        <v>249.95400000000001</v>
      </c>
      <c r="H79" s="19">
        <v>0.245</v>
      </c>
      <c r="I79" s="19">
        <v>1549.508</v>
      </c>
      <c r="J79" s="19">
        <v>288.39100000000002</v>
      </c>
      <c r="K79" s="19">
        <v>19.113</v>
      </c>
      <c r="L79" s="19">
        <v>49.597999999999999</v>
      </c>
      <c r="M79" s="19">
        <v>1265.269</v>
      </c>
      <c r="N79" s="20">
        <v>2329.1149999999998</v>
      </c>
      <c r="O79" s="18">
        <v>155.88800000000001</v>
      </c>
      <c r="P79" s="19">
        <v>0.34399999999999997</v>
      </c>
      <c r="Q79" s="19">
        <v>1010.4690000000001</v>
      </c>
      <c r="R79" s="19">
        <v>672.67600000000004</v>
      </c>
      <c r="S79" s="19">
        <v>12.188000000000001</v>
      </c>
      <c r="T79" s="19">
        <v>48.058999999999997</v>
      </c>
      <c r="U79" s="19">
        <v>901.22799999999995</v>
      </c>
      <c r="V79" s="51">
        <v>1265.6959999999999</v>
      </c>
      <c r="W79" s="52">
        <f>NORMDIST(LN(G79),7.45231,0.73998,1)</f>
        <v>4.5327423262400005E-3</v>
      </c>
      <c r="X79" s="10">
        <f>1/(1+EXP(3.2269-1.9688*H79))</f>
        <v>6.0395525150174233E-2</v>
      </c>
      <c r="Y79" s="10">
        <f>1/(1+EXP(10.9745-2.375*I79/1000))</f>
        <v>6.788586748855685E-4</v>
      </c>
      <c r="Z79" s="10">
        <f>1/(1+EXP(10.9745-2.375*J79/1000))</f>
        <v>3.3984522414385939E-5</v>
      </c>
      <c r="AA79" s="10">
        <f>MAX(X79,Y79,Z79)</f>
        <v>6.0395525150174233E-2</v>
      </c>
      <c r="AB79" s="10">
        <f>1/(1+EXP(12.597-0.05861*35-1.568*(K79^0.4612)))</f>
        <v>1.1750035003463112E-2</v>
      </c>
      <c r="AC79" s="10">
        <f>AB79</f>
        <v>1.1750035003463112E-2</v>
      </c>
      <c r="AD79" s="10">
        <f>1/(1+EXP(5.7949-0.5196*M79/1000))</f>
        <v>5.8382650779431038E-3</v>
      </c>
      <c r="AE79" s="10">
        <f>1/(1+EXP(5.7949-0.5196*N79/1000))</f>
        <v>1.0103766518674288E-2</v>
      </c>
      <c r="AF79" s="58">
        <f>MAX(AD79,AE79)</f>
        <v>1.0103766518674288E-2</v>
      </c>
      <c r="AG79" s="52">
        <f>NORMDIST(LN(O79),7.45231,0.73998,1)</f>
        <v>5.8187745184827078E-4</v>
      </c>
      <c r="AH79" s="10">
        <f>1/(1+EXP(3.2269-1.9688*P79))</f>
        <v>7.2451158057630652E-2</v>
      </c>
      <c r="AI79" s="10">
        <f>1/(1+EXP(10.958-3.77*Q79/1000))</f>
        <v>7.8539987226258258E-4</v>
      </c>
      <c r="AJ79" s="10">
        <f>1/(1+EXP(10.958-3.77*R79/1000))</f>
        <v>2.1992336184569559E-4</v>
      </c>
      <c r="AK79" s="10">
        <f>MAX(AH79,AI79,AJ79)</f>
        <v>7.2451158057630652E-2</v>
      </c>
      <c r="AL79" s="10">
        <f>1/(1+EXP(12.597-0.05861*35-1.568*((S79/0.817)^0.4612)))</f>
        <v>6.1061973679213399E-3</v>
      </c>
      <c r="AM79" s="10">
        <f>AL79</f>
        <v>6.1061973679213399E-3</v>
      </c>
      <c r="AN79" s="10">
        <f>1/(1+EXP(5.7949-0.7619*U79/1000))</f>
        <v>6.010286818133031E-3</v>
      </c>
      <c r="AO79" s="10">
        <f>1/(1+EXP(5.7949-0.7619*V79/1000))</f>
        <v>7.9187926308189899E-3</v>
      </c>
      <c r="AP79" s="58">
        <f>MAX(AN79,AO79)</f>
        <v>7.9187926308189899E-3</v>
      </c>
      <c r="AQ79" s="63">
        <f>ROUND(1-(1-W79)*(1-AA79)*(1-AC79)*(1-AF79),3)</f>
        <v>8.5000000000000006E-2</v>
      </c>
      <c r="AR79" s="10">
        <f>ROUND(1-(1-AG79)*(1-AK79)*(1-AM79)*(1-AP79),3)</f>
        <v>8.5999999999999993E-2</v>
      </c>
      <c r="AS79" s="10">
        <f>ROUND(AVERAGE(AR79,AQ79),3)</f>
        <v>8.5999999999999993E-2</v>
      </c>
      <c r="AT79" s="24">
        <f>ROUND(AQ79/0.15,2)</f>
        <v>0.56999999999999995</v>
      </c>
      <c r="AU79" s="24">
        <f>ROUND(AR79/0.15,2)</f>
        <v>0.56999999999999995</v>
      </c>
      <c r="AV79" s="24">
        <f>ROUND(AS79/0.15,2)</f>
        <v>0.56999999999999995</v>
      </c>
      <c r="AW79" s="25">
        <f>IF(AT79&lt;0.67,5,IF(AT79&lt;1,4,IF(AT79&lt;1.33,3,IF(AT79&lt;2.67,2,1))))</f>
        <v>5</v>
      </c>
      <c r="AX79" s="25">
        <f>IF(AU79&lt;0.67,5,IF(AU79&lt;1,4,IF(AU79&lt;1.33,3,IF(AU79&lt;2.67,2,1))))</f>
        <v>5</v>
      </c>
      <c r="AY79" s="25">
        <f>IF(AV79&lt;0.67,5,IF(AV79&lt;1,4,IF(AV79&lt;1.33,3,IF(AV79&lt;2.67,2,1))))</f>
        <v>5</v>
      </c>
    </row>
    <row r="80" spans="1:51" ht="12" customHeight="1">
      <c r="A80" s="60">
        <v>14257</v>
      </c>
      <c r="B80" s="60" t="s">
        <v>191</v>
      </c>
      <c r="C80" s="65" t="str">
        <f>Rollover!A80</f>
        <v>Toyota</v>
      </c>
      <c r="D80" s="65" t="str">
        <f>Rollover!B80</f>
        <v>Corolla Cross SUV FWD</v>
      </c>
      <c r="E80" s="61" t="s">
        <v>155</v>
      </c>
      <c r="F80" s="177">
        <f>Rollover!C80</f>
        <v>2022</v>
      </c>
      <c r="G80" s="18">
        <v>190.56100000000001</v>
      </c>
      <c r="H80" s="19">
        <v>0.33600000000000002</v>
      </c>
      <c r="I80" s="19">
        <v>1323.078</v>
      </c>
      <c r="J80" s="19">
        <v>271.517</v>
      </c>
      <c r="K80" s="19">
        <v>26.975000000000001</v>
      </c>
      <c r="L80" s="19">
        <v>41.795999999999999</v>
      </c>
      <c r="M80" s="19">
        <v>1439.768</v>
      </c>
      <c r="N80" s="20">
        <v>1242.1579999999999</v>
      </c>
      <c r="O80" s="18">
        <v>329.88099999999997</v>
      </c>
      <c r="P80" s="19">
        <v>0.32900000000000001</v>
      </c>
      <c r="Q80" s="19">
        <v>689.59500000000003</v>
      </c>
      <c r="R80" s="19">
        <v>160.334</v>
      </c>
      <c r="S80" s="19">
        <v>9.7479999999999993</v>
      </c>
      <c r="T80" s="19">
        <v>37.643000000000001</v>
      </c>
      <c r="U80" s="19">
        <v>2631.36</v>
      </c>
      <c r="V80" s="51">
        <v>1653.095</v>
      </c>
      <c r="W80" s="52">
        <f t="shared" si="180"/>
        <v>1.4591633537373483E-3</v>
      </c>
      <c r="X80" s="10">
        <f t="shared" si="181"/>
        <v>7.1399801507878169E-2</v>
      </c>
      <c r="Y80" s="10">
        <f t="shared" si="182"/>
        <v>3.9659837982600335E-4</v>
      </c>
      <c r="Z80" s="10">
        <f t="shared" si="183"/>
        <v>3.2649540525278052E-5</v>
      </c>
      <c r="AA80" s="10">
        <f t="shared" si="184"/>
        <v>7.1399801507878169E-2</v>
      </c>
      <c r="AB80" s="10">
        <f t="shared" si="185"/>
        <v>3.2952617169478372E-2</v>
      </c>
      <c r="AC80" s="10">
        <f t="shared" si="186"/>
        <v>3.2952617169478372E-2</v>
      </c>
      <c r="AD80" s="10">
        <f t="shared" si="187"/>
        <v>6.3888189089595258E-3</v>
      </c>
      <c r="AE80" s="10">
        <f t="shared" si="188"/>
        <v>5.7689777199226543E-3</v>
      </c>
      <c r="AF80" s="58">
        <f t="shared" si="189"/>
        <v>6.3888189089595258E-3</v>
      </c>
      <c r="AG80" s="52">
        <f t="shared" si="190"/>
        <v>1.2720979792206849E-2</v>
      </c>
      <c r="AH80" s="10">
        <f t="shared" si="191"/>
        <v>7.0491435568372424E-2</v>
      </c>
      <c r="AI80" s="10">
        <f t="shared" si="192"/>
        <v>2.344047391576966E-4</v>
      </c>
      <c r="AJ80" s="10">
        <f t="shared" si="193"/>
        <v>3.1878693101120261E-5</v>
      </c>
      <c r="AK80" s="10">
        <f t="shared" si="194"/>
        <v>7.0491435568372424E-2</v>
      </c>
      <c r="AL80" s="10">
        <f t="shared" si="195"/>
        <v>3.589329909046006E-3</v>
      </c>
      <c r="AM80" s="10">
        <f t="shared" si="196"/>
        <v>3.589329909046006E-3</v>
      </c>
      <c r="AN80" s="10">
        <f t="shared" si="197"/>
        <v>2.2094878434351799E-2</v>
      </c>
      <c r="AO80" s="10">
        <f t="shared" si="198"/>
        <v>1.060878991933416E-2</v>
      </c>
      <c r="AP80" s="58">
        <f t="shared" si="199"/>
        <v>2.2094878434351799E-2</v>
      </c>
      <c r="AQ80" s="63">
        <f t="shared" si="200"/>
        <v>0.109</v>
      </c>
      <c r="AR80" s="10">
        <f t="shared" si="201"/>
        <v>0.106</v>
      </c>
      <c r="AS80" s="10">
        <f t="shared" si="202"/>
        <v>0.108</v>
      </c>
      <c r="AT80" s="24">
        <f t="shared" si="203"/>
        <v>0.73</v>
      </c>
      <c r="AU80" s="24">
        <f t="shared" si="204"/>
        <v>0.71</v>
      </c>
      <c r="AV80" s="24">
        <f t="shared" si="205"/>
        <v>0.72</v>
      </c>
      <c r="AW80" s="25">
        <f t="shared" si="206"/>
        <v>4</v>
      </c>
      <c r="AX80" s="25">
        <f t="shared" si="207"/>
        <v>4</v>
      </c>
      <c r="AY80" s="25">
        <f t="shared" si="208"/>
        <v>4</v>
      </c>
    </row>
    <row r="81" spans="1:51" ht="12" customHeight="1">
      <c r="A81" s="60">
        <v>14257</v>
      </c>
      <c r="B81" s="60" t="s">
        <v>191</v>
      </c>
      <c r="C81" s="65" t="str">
        <f>Rollover!A81</f>
        <v>Toyota</v>
      </c>
      <c r="D81" s="65" t="str">
        <f>Rollover!B81</f>
        <v>Corolla Cross SUV AWD</v>
      </c>
      <c r="E81" s="61" t="s">
        <v>155</v>
      </c>
      <c r="F81" s="177">
        <f>Rollover!C81</f>
        <v>2022</v>
      </c>
      <c r="G81" s="18">
        <v>190.56100000000001</v>
      </c>
      <c r="H81" s="19">
        <v>0.33600000000000002</v>
      </c>
      <c r="I81" s="19">
        <v>1323.078</v>
      </c>
      <c r="J81" s="19">
        <v>271.517</v>
      </c>
      <c r="K81" s="19">
        <v>26.975000000000001</v>
      </c>
      <c r="L81" s="19">
        <v>41.795999999999999</v>
      </c>
      <c r="M81" s="19">
        <v>1439.768</v>
      </c>
      <c r="N81" s="20">
        <v>1242.1579999999999</v>
      </c>
      <c r="O81" s="18">
        <v>329.88099999999997</v>
      </c>
      <c r="P81" s="19">
        <v>0.32900000000000001</v>
      </c>
      <c r="Q81" s="19">
        <v>689.59500000000003</v>
      </c>
      <c r="R81" s="19">
        <v>160.334</v>
      </c>
      <c r="S81" s="19">
        <v>9.7479999999999993</v>
      </c>
      <c r="T81" s="19">
        <v>37.643000000000001</v>
      </c>
      <c r="U81" s="19">
        <v>2631.36</v>
      </c>
      <c r="V81" s="51">
        <v>1653.095</v>
      </c>
      <c r="W81" s="52">
        <f t="shared" si="180"/>
        <v>1.4591633537373483E-3</v>
      </c>
      <c r="X81" s="10">
        <f t="shared" si="181"/>
        <v>7.1399801507878169E-2</v>
      </c>
      <c r="Y81" s="10">
        <f t="shared" si="182"/>
        <v>3.9659837982600335E-4</v>
      </c>
      <c r="Z81" s="10">
        <f t="shared" si="183"/>
        <v>3.2649540525278052E-5</v>
      </c>
      <c r="AA81" s="10">
        <f t="shared" si="184"/>
        <v>7.1399801507878169E-2</v>
      </c>
      <c r="AB81" s="10">
        <f t="shared" si="185"/>
        <v>3.2952617169478372E-2</v>
      </c>
      <c r="AC81" s="10">
        <f t="shared" si="186"/>
        <v>3.2952617169478372E-2</v>
      </c>
      <c r="AD81" s="10">
        <f t="shared" si="187"/>
        <v>6.3888189089595258E-3</v>
      </c>
      <c r="AE81" s="10">
        <f t="shared" si="188"/>
        <v>5.7689777199226543E-3</v>
      </c>
      <c r="AF81" s="58">
        <f t="shared" si="189"/>
        <v>6.3888189089595258E-3</v>
      </c>
      <c r="AG81" s="52">
        <f t="shared" si="190"/>
        <v>1.2720979792206849E-2</v>
      </c>
      <c r="AH81" s="10">
        <f t="shared" si="191"/>
        <v>7.0491435568372424E-2</v>
      </c>
      <c r="AI81" s="10">
        <f t="shared" si="192"/>
        <v>2.344047391576966E-4</v>
      </c>
      <c r="AJ81" s="10">
        <f t="shared" si="193"/>
        <v>3.1878693101120261E-5</v>
      </c>
      <c r="AK81" s="10">
        <f t="shared" si="194"/>
        <v>7.0491435568372424E-2</v>
      </c>
      <c r="AL81" s="10">
        <f t="shared" si="195"/>
        <v>3.589329909046006E-3</v>
      </c>
      <c r="AM81" s="10">
        <f t="shared" si="196"/>
        <v>3.589329909046006E-3</v>
      </c>
      <c r="AN81" s="10">
        <f t="shared" si="197"/>
        <v>2.2094878434351799E-2</v>
      </c>
      <c r="AO81" s="10">
        <f t="shared" si="198"/>
        <v>1.060878991933416E-2</v>
      </c>
      <c r="AP81" s="58">
        <f t="shared" si="199"/>
        <v>2.2094878434351799E-2</v>
      </c>
      <c r="AQ81" s="63">
        <f t="shared" si="200"/>
        <v>0.109</v>
      </c>
      <c r="AR81" s="10">
        <f t="shared" si="201"/>
        <v>0.106</v>
      </c>
      <c r="AS81" s="10">
        <f t="shared" si="202"/>
        <v>0.108</v>
      </c>
      <c r="AT81" s="24">
        <f t="shared" si="203"/>
        <v>0.73</v>
      </c>
      <c r="AU81" s="24">
        <f t="shared" si="204"/>
        <v>0.71</v>
      </c>
      <c r="AV81" s="24">
        <f t="shared" si="205"/>
        <v>0.72</v>
      </c>
      <c r="AW81" s="25">
        <f t="shared" si="206"/>
        <v>4</v>
      </c>
      <c r="AX81" s="25">
        <f t="shared" si="207"/>
        <v>4</v>
      </c>
      <c r="AY81" s="25">
        <f t="shared" si="208"/>
        <v>4</v>
      </c>
    </row>
    <row r="82" spans="1:51" ht="12" customHeight="1">
      <c r="A82" s="60"/>
      <c r="B82" s="60"/>
      <c r="C82" s="65" t="str">
        <f>Rollover!A82</f>
        <v>Toyota</v>
      </c>
      <c r="D82" s="65" t="str">
        <f>Rollover!B82</f>
        <v>RAV4 Prime SUV AWD</v>
      </c>
      <c r="E82" s="61"/>
      <c r="F82" s="177">
        <f>Rollover!C82</f>
        <v>2022</v>
      </c>
      <c r="G82" s="18"/>
      <c r="H82" s="19"/>
      <c r="I82" s="19"/>
      <c r="J82" s="19"/>
      <c r="K82" s="19"/>
      <c r="L82" s="19"/>
      <c r="M82" s="19"/>
      <c r="N82" s="20"/>
      <c r="O82" s="18"/>
      <c r="P82" s="19"/>
      <c r="Q82" s="19"/>
      <c r="R82" s="19"/>
      <c r="S82" s="19"/>
      <c r="T82" s="19"/>
      <c r="U82" s="19"/>
      <c r="V82" s="51"/>
      <c r="W82" s="52" t="e">
        <f t="shared" si="64"/>
        <v>#NUM!</v>
      </c>
      <c r="X82" s="10">
        <f t="shared" si="65"/>
        <v>3.8165882958950202E-2</v>
      </c>
      <c r="Y82" s="10">
        <f t="shared" si="66"/>
        <v>1.713277721572889E-5</v>
      </c>
      <c r="Z82" s="10">
        <f t="shared" si="67"/>
        <v>1.713277721572889E-5</v>
      </c>
      <c r="AA82" s="10">
        <f t="shared" si="68"/>
        <v>3.8165882958950202E-2</v>
      </c>
      <c r="AB82" s="10">
        <f t="shared" si="69"/>
        <v>2.6306978617002889E-5</v>
      </c>
      <c r="AC82" s="10">
        <f t="shared" si="70"/>
        <v>2.6306978617002889E-5</v>
      </c>
      <c r="AD82" s="10">
        <f t="shared" si="71"/>
        <v>3.033802747866758E-3</v>
      </c>
      <c r="AE82" s="10">
        <f t="shared" si="72"/>
        <v>3.033802747866758E-3</v>
      </c>
      <c r="AF82" s="58">
        <f t="shared" si="73"/>
        <v>3.033802747866758E-3</v>
      </c>
      <c r="AG82" s="52" t="e">
        <f t="shared" si="74"/>
        <v>#NUM!</v>
      </c>
      <c r="AH82" s="10">
        <f t="shared" si="75"/>
        <v>3.8165882958950202E-2</v>
      </c>
      <c r="AI82" s="10">
        <f t="shared" si="76"/>
        <v>1.7417808154569238E-5</v>
      </c>
      <c r="AJ82" s="10">
        <f t="shared" si="77"/>
        <v>1.7417808154569238E-5</v>
      </c>
      <c r="AK82" s="10">
        <f t="shared" si="78"/>
        <v>3.8165882958950202E-2</v>
      </c>
      <c r="AL82" s="10">
        <f t="shared" si="79"/>
        <v>2.6306978617002889E-5</v>
      </c>
      <c r="AM82" s="10">
        <f t="shared" si="80"/>
        <v>2.6306978617002889E-5</v>
      </c>
      <c r="AN82" s="10">
        <f t="shared" si="81"/>
        <v>3.033802747866758E-3</v>
      </c>
      <c r="AO82" s="10">
        <f t="shared" si="82"/>
        <v>3.033802747866758E-3</v>
      </c>
      <c r="AP82" s="58">
        <f t="shared" si="83"/>
        <v>3.033802747866758E-3</v>
      </c>
      <c r="AQ82" s="63" t="e">
        <f t="shared" si="84"/>
        <v>#NUM!</v>
      </c>
      <c r="AR82" s="10" t="e">
        <f t="shared" si="85"/>
        <v>#NUM!</v>
      </c>
      <c r="AS82" s="10" t="e">
        <f t="shared" si="86"/>
        <v>#NUM!</v>
      </c>
      <c r="AT82" s="24" t="e">
        <f t="shared" si="87"/>
        <v>#NUM!</v>
      </c>
      <c r="AU82" s="24" t="e">
        <f t="shared" si="88"/>
        <v>#NUM!</v>
      </c>
      <c r="AV82" s="24" t="e">
        <f t="shared" si="89"/>
        <v>#NUM!</v>
      </c>
      <c r="AW82" s="25" t="e">
        <f t="shared" si="90"/>
        <v>#NUM!</v>
      </c>
      <c r="AX82" s="25" t="e">
        <f t="shared" si="91"/>
        <v>#NUM!</v>
      </c>
      <c r="AY82" s="25" t="e">
        <f t="shared" si="92"/>
        <v>#NUM!</v>
      </c>
    </row>
    <row r="83" spans="1:51" ht="12" customHeight="1">
      <c r="A83" s="42">
        <v>14248</v>
      </c>
      <c r="B83" s="42" t="s">
        <v>192</v>
      </c>
      <c r="C83" s="65" t="str">
        <f>Rollover!A83</f>
        <v>Toyota</v>
      </c>
      <c r="D83" s="65" t="str">
        <f>Rollover!B83</f>
        <v>Tundra PU/CC 2WD</v>
      </c>
      <c r="E83" s="61" t="s">
        <v>159</v>
      </c>
      <c r="F83" s="177">
        <f>Rollover!C83</f>
        <v>2022</v>
      </c>
      <c r="G83" s="27">
        <v>172.28200000000001</v>
      </c>
      <c r="H83" s="28">
        <v>0.29799999999999999</v>
      </c>
      <c r="I83" s="28">
        <v>1733.4949999999999</v>
      </c>
      <c r="J83" s="28">
        <v>251.67400000000001</v>
      </c>
      <c r="K83" s="28">
        <v>24.123000000000001</v>
      </c>
      <c r="L83" s="28">
        <v>51.56</v>
      </c>
      <c r="M83" s="28">
        <v>868.077</v>
      </c>
      <c r="N83" s="29">
        <v>1406.3009999999999</v>
      </c>
      <c r="O83" s="27">
        <v>225.185</v>
      </c>
      <c r="P83" s="28">
        <v>0.374</v>
      </c>
      <c r="Q83" s="28">
        <v>1011.591</v>
      </c>
      <c r="R83" s="28">
        <v>380.71600000000001</v>
      </c>
      <c r="S83" s="28">
        <v>12.561999999999999</v>
      </c>
      <c r="T83" s="28">
        <v>44.52</v>
      </c>
      <c r="U83" s="28">
        <v>1937.9580000000001</v>
      </c>
      <c r="V83" s="56">
        <v>1780.587</v>
      </c>
      <c r="W83" s="52">
        <f t="shared" si="64"/>
        <v>9.2759431643942556E-4</v>
      </c>
      <c r="X83" s="10">
        <f t="shared" si="65"/>
        <v>6.6595751557450455E-2</v>
      </c>
      <c r="Y83" s="10">
        <f t="shared" si="66"/>
        <v>1.0504880479852762E-3</v>
      </c>
      <c r="Z83" s="10">
        <f t="shared" si="67"/>
        <v>3.1146602207622585E-5</v>
      </c>
      <c r="AA83" s="10">
        <f t="shared" si="68"/>
        <v>6.6595751557450455E-2</v>
      </c>
      <c r="AB83" s="10">
        <f t="shared" si="69"/>
        <v>2.322204475094054E-2</v>
      </c>
      <c r="AC83" s="10">
        <f t="shared" si="70"/>
        <v>2.322204475094054E-2</v>
      </c>
      <c r="AD83" s="10">
        <f t="shared" si="71"/>
        <v>4.7547399679597003E-3</v>
      </c>
      <c r="AE83" s="10">
        <f t="shared" si="72"/>
        <v>6.2793728294280463E-3</v>
      </c>
      <c r="AF83" s="58">
        <f t="shared" si="73"/>
        <v>6.2793728294280463E-3</v>
      </c>
      <c r="AG83" s="52">
        <f t="shared" si="74"/>
        <v>2.9743272342424611E-3</v>
      </c>
      <c r="AH83" s="10">
        <f t="shared" si="75"/>
        <v>7.6521992633218086E-2</v>
      </c>
      <c r="AI83" s="10">
        <f t="shared" si="76"/>
        <v>7.8872647700478269E-4</v>
      </c>
      <c r="AJ83" s="10">
        <f t="shared" si="77"/>
        <v>7.3166429973643086E-5</v>
      </c>
      <c r="AK83" s="10">
        <f t="shared" si="78"/>
        <v>7.6521992633218086E-2</v>
      </c>
      <c r="AL83" s="10">
        <f t="shared" si="79"/>
        <v>6.5887768643144717E-3</v>
      </c>
      <c r="AM83" s="10">
        <f t="shared" si="80"/>
        <v>6.5887768643144717E-3</v>
      </c>
      <c r="AN83" s="10">
        <f t="shared" si="81"/>
        <v>1.3146451161111976E-2</v>
      </c>
      <c r="AO83" s="10">
        <f t="shared" si="82"/>
        <v>1.1678358500064386E-2</v>
      </c>
      <c r="AP83" s="58">
        <f t="shared" si="83"/>
        <v>1.3146451161111976E-2</v>
      </c>
      <c r="AQ83" s="63">
        <f t="shared" si="84"/>
        <v>9.5000000000000001E-2</v>
      </c>
      <c r="AR83" s="10">
        <f t="shared" si="85"/>
        <v>9.7000000000000003E-2</v>
      </c>
      <c r="AS83" s="10">
        <f t="shared" si="86"/>
        <v>9.6000000000000002E-2</v>
      </c>
      <c r="AT83" s="24">
        <f t="shared" si="87"/>
        <v>0.63</v>
      </c>
      <c r="AU83" s="24">
        <f t="shared" si="88"/>
        <v>0.65</v>
      </c>
      <c r="AV83" s="24">
        <f t="shared" si="89"/>
        <v>0.64</v>
      </c>
      <c r="AW83" s="25">
        <f t="shared" si="90"/>
        <v>5</v>
      </c>
      <c r="AX83" s="25">
        <f t="shared" si="91"/>
        <v>5</v>
      </c>
      <c r="AY83" s="25">
        <f t="shared" si="92"/>
        <v>5</v>
      </c>
    </row>
    <row r="84" spans="1:51" ht="12" customHeight="1">
      <c r="A84" s="42">
        <v>14248</v>
      </c>
      <c r="B84" s="42" t="s">
        <v>192</v>
      </c>
      <c r="C84" s="65" t="str">
        <f>Rollover!A84</f>
        <v>Toyota</v>
      </c>
      <c r="D84" s="65" t="str">
        <f>Rollover!B84</f>
        <v>Tundra PU/CC 4WD</v>
      </c>
      <c r="E84" s="61" t="s">
        <v>159</v>
      </c>
      <c r="F84" s="177">
        <f>Rollover!C84</f>
        <v>2022</v>
      </c>
      <c r="G84" s="27">
        <v>172.28200000000001</v>
      </c>
      <c r="H84" s="28">
        <v>0.29799999999999999</v>
      </c>
      <c r="I84" s="28">
        <v>1733.4949999999999</v>
      </c>
      <c r="J84" s="28">
        <v>251.67400000000001</v>
      </c>
      <c r="K84" s="28">
        <v>24.123000000000001</v>
      </c>
      <c r="L84" s="28">
        <v>51.56</v>
      </c>
      <c r="M84" s="28">
        <v>868.077</v>
      </c>
      <c r="N84" s="29">
        <v>1406.3009999999999</v>
      </c>
      <c r="O84" s="27">
        <v>225.185</v>
      </c>
      <c r="P84" s="28">
        <v>0.374</v>
      </c>
      <c r="Q84" s="28">
        <v>1011.591</v>
      </c>
      <c r="R84" s="28">
        <v>380.71600000000001</v>
      </c>
      <c r="S84" s="28">
        <v>12.561999999999999</v>
      </c>
      <c r="T84" s="28">
        <v>44.52</v>
      </c>
      <c r="U84" s="28">
        <v>1937.9580000000001</v>
      </c>
      <c r="V84" s="56">
        <v>1780.587</v>
      </c>
      <c r="W84" s="52">
        <f t="shared" si="64"/>
        <v>9.2759431643942556E-4</v>
      </c>
      <c r="X84" s="10">
        <f t="shared" si="65"/>
        <v>6.6595751557450455E-2</v>
      </c>
      <c r="Y84" s="10">
        <f t="shared" si="66"/>
        <v>1.0504880479852762E-3</v>
      </c>
      <c r="Z84" s="10">
        <f t="shared" si="67"/>
        <v>3.1146602207622585E-5</v>
      </c>
      <c r="AA84" s="10">
        <f t="shared" si="68"/>
        <v>6.6595751557450455E-2</v>
      </c>
      <c r="AB84" s="10">
        <f t="shared" si="69"/>
        <v>2.322204475094054E-2</v>
      </c>
      <c r="AC84" s="10">
        <f t="shared" si="70"/>
        <v>2.322204475094054E-2</v>
      </c>
      <c r="AD84" s="10">
        <f t="shared" si="71"/>
        <v>4.7547399679597003E-3</v>
      </c>
      <c r="AE84" s="10">
        <f t="shared" si="72"/>
        <v>6.2793728294280463E-3</v>
      </c>
      <c r="AF84" s="58">
        <f t="shared" si="73"/>
        <v>6.2793728294280463E-3</v>
      </c>
      <c r="AG84" s="52">
        <f t="shared" si="74"/>
        <v>2.9743272342424611E-3</v>
      </c>
      <c r="AH84" s="10">
        <f t="shared" si="75"/>
        <v>7.6521992633218086E-2</v>
      </c>
      <c r="AI84" s="10">
        <f t="shared" si="76"/>
        <v>7.8872647700478269E-4</v>
      </c>
      <c r="AJ84" s="10">
        <f t="shared" si="77"/>
        <v>7.3166429973643086E-5</v>
      </c>
      <c r="AK84" s="10">
        <f t="shared" si="78"/>
        <v>7.6521992633218086E-2</v>
      </c>
      <c r="AL84" s="10">
        <f t="shared" si="79"/>
        <v>6.5887768643144717E-3</v>
      </c>
      <c r="AM84" s="10">
        <f t="shared" si="80"/>
        <v>6.5887768643144717E-3</v>
      </c>
      <c r="AN84" s="10">
        <f t="shared" si="81"/>
        <v>1.3146451161111976E-2</v>
      </c>
      <c r="AO84" s="10">
        <f t="shared" si="82"/>
        <v>1.1678358500064386E-2</v>
      </c>
      <c r="AP84" s="58">
        <f t="shared" si="83"/>
        <v>1.3146451161111976E-2</v>
      </c>
      <c r="AQ84" s="63">
        <f t="shared" si="84"/>
        <v>9.5000000000000001E-2</v>
      </c>
      <c r="AR84" s="10">
        <f t="shared" si="85"/>
        <v>9.7000000000000003E-2</v>
      </c>
      <c r="AS84" s="10">
        <f t="shared" si="86"/>
        <v>9.6000000000000002E-2</v>
      </c>
      <c r="AT84" s="24">
        <f t="shared" si="87"/>
        <v>0.63</v>
      </c>
      <c r="AU84" s="24">
        <f t="shared" si="88"/>
        <v>0.65</v>
      </c>
      <c r="AV84" s="24">
        <f t="shared" si="89"/>
        <v>0.64</v>
      </c>
      <c r="AW84" s="25">
        <f t="shared" si="90"/>
        <v>5</v>
      </c>
      <c r="AX84" s="25">
        <f t="shared" si="91"/>
        <v>5</v>
      </c>
      <c r="AY84" s="25">
        <f t="shared" si="92"/>
        <v>5</v>
      </c>
    </row>
    <row r="85" spans="1:51" ht="12" customHeight="1">
      <c r="A85" s="60"/>
      <c r="B85" s="60"/>
      <c r="C85" s="62" t="str">
        <f>Rollover!A85</f>
        <v>Toyota</v>
      </c>
      <c r="D85" s="62" t="str">
        <f>Rollover!B85</f>
        <v>Tundra HEV PU/CC 2WD</v>
      </c>
      <c r="E85" s="61"/>
      <c r="F85" s="177">
        <f>Rollover!C85</f>
        <v>2022</v>
      </c>
      <c r="G85" s="27">
        <v>172.28200000000001</v>
      </c>
      <c r="H85" s="28">
        <v>0.29799999999999999</v>
      </c>
      <c r="I85" s="28">
        <v>1733.4949999999999</v>
      </c>
      <c r="J85" s="28">
        <v>251.67400000000001</v>
      </c>
      <c r="K85" s="28">
        <v>24.123000000000001</v>
      </c>
      <c r="L85" s="28">
        <v>51.56</v>
      </c>
      <c r="M85" s="28">
        <v>868.077</v>
      </c>
      <c r="N85" s="29">
        <v>1406.3009999999999</v>
      </c>
      <c r="O85" s="27">
        <v>225.185</v>
      </c>
      <c r="P85" s="28">
        <v>0.374</v>
      </c>
      <c r="Q85" s="28">
        <v>1011.591</v>
      </c>
      <c r="R85" s="28">
        <v>380.71600000000001</v>
      </c>
      <c r="S85" s="28">
        <v>12.561999999999999</v>
      </c>
      <c r="T85" s="28">
        <v>44.52</v>
      </c>
      <c r="U85" s="28">
        <v>1937.9580000000001</v>
      </c>
      <c r="V85" s="56">
        <v>1780.587</v>
      </c>
      <c r="W85" s="52">
        <f t="shared" si="64"/>
        <v>9.2759431643942556E-4</v>
      </c>
      <c r="X85" s="10">
        <f t="shared" si="65"/>
        <v>6.6595751557450455E-2</v>
      </c>
      <c r="Y85" s="10">
        <f t="shared" si="66"/>
        <v>1.0504880479852762E-3</v>
      </c>
      <c r="Z85" s="10">
        <f t="shared" si="67"/>
        <v>3.1146602207622585E-5</v>
      </c>
      <c r="AA85" s="10">
        <f t="shared" si="68"/>
        <v>6.6595751557450455E-2</v>
      </c>
      <c r="AB85" s="10">
        <f t="shared" si="69"/>
        <v>2.322204475094054E-2</v>
      </c>
      <c r="AC85" s="10">
        <f t="shared" si="70"/>
        <v>2.322204475094054E-2</v>
      </c>
      <c r="AD85" s="10">
        <f t="shared" si="71"/>
        <v>4.7547399679597003E-3</v>
      </c>
      <c r="AE85" s="10">
        <f t="shared" si="72"/>
        <v>6.2793728294280463E-3</v>
      </c>
      <c r="AF85" s="58">
        <f t="shared" si="73"/>
        <v>6.2793728294280463E-3</v>
      </c>
      <c r="AG85" s="52">
        <f t="shared" si="74"/>
        <v>2.9743272342424611E-3</v>
      </c>
      <c r="AH85" s="10">
        <f t="shared" si="75"/>
        <v>7.6521992633218086E-2</v>
      </c>
      <c r="AI85" s="10">
        <f t="shared" si="76"/>
        <v>7.8872647700478269E-4</v>
      </c>
      <c r="AJ85" s="10">
        <f t="shared" si="77"/>
        <v>7.3166429973643086E-5</v>
      </c>
      <c r="AK85" s="10">
        <f t="shared" si="78"/>
        <v>7.6521992633218086E-2</v>
      </c>
      <c r="AL85" s="10">
        <f t="shared" si="79"/>
        <v>6.5887768643144717E-3</v>
      </c>
      <c r="AM85" s="10">
        <f t="shared" si="80"/>
        <v>6.5887768643144717E-3</v>
      </c>
      <c r="AN85" s="10">
        <f t="shared" si="81"/>
        <v>1.3146451161111976E-2</v>
      </c>
      <c r="AO85" s="10">
        <f t="shared" si="82"/>
        <v>1.1678358500064386E-2</v>
      </c>
      <c r="AP85" s="58">
        <f t="shared" si="83"/>
        <v>1.3146451161111976E-2</v>
      </c>
      <c r="AQ85" s="63">
        <f t="shared" si="84"/>
        <v>9.5000000000000001E-2</v>
      </c>
      <c r="AR85" s="10">
        <f t="shared" si="85"/>
        <v>9.7000000000000003E-2</v>
      </c>
      <c r="AS85" s="10">
        <f t="shared" si="86"/>
        <v>9.6000000000000002E-2</v>
      </c>
      <c r="AT85" s="24">
        <f t="shared" si="87"/>
        <v>0.63</v>
      </c>
      <c r="AU85" s="24">
        <f t="shared" si="88"/>
        <v>0.65</v>
      </c>
      <c r="AV85" s="24">
        <f t="shared" si="89"/>
        <v>0.64</v>
      </c>
      <c r="AW85" s="25">
        <f t="shared" si="90"/>
        <v>5</v>
      </c>
      <c r="AX85" s="25">
        <f t="shared" si="91"/>
        <v>5</v>
      </c>
      <c r="AY85" s="25">
        <f t="shared" si="92"/>
        <v>5</v>
      </c>
    </row>
    <row r="86" spans="1:51" ht="12" customHeight="1">
      <c r="A86" s="60"/>
      <c r="B86" s="60"/>
      <c r="C86" s="62" t="str">
        <f>Rollover!A86</f>
        <v>Toyota</v>
      </c>
      <c r="D86" s="62" t="str">
        <f>Rollover!B86</f>
        <v>Tundra HEV PU/CC 4WD</v>
      </c>
      <c r="E86" s="61"/>
      <c r="F86" s="177">
        <f>Rollover!C86</f>
        <v>2022</v>
      </c>
      <c r="G86" s="27">
        <v>172.28200000000001</v>
      </c>
      <c r="H86" s="28">
        <v>0.29799999999999999</v>
      </c>
      <c r="I86" s="28">
        <v>1733.4949999999999</v>
      </c>
      <c r="J86" s="28">
        <v>251.67400000000001</v>
      </c>
      <c r="K86" s="28">
        <v>24.123000000000001</v>
      </c>
      <c r="L86" s="28">
        <v>51.56</v>
      </c>
      <c r="M86" s="28">
        <v>868.077</v>
      </c>
      <c r="N86" s="29">
        <v>1406.3009999999999</v>
      </c>
      <c r="O86" s="27">
        <v>225.185</v>
      </c>
      <c r="P86" s="28">
        <v>0.374</v>
      </c>
      <c r="Q86" s="28">
        <v>1011.591</v>
      </c>
      <c r="R86" s="28">
        <v>380.71600000000001</v>
      </c>
      <c r="S86" s="28">
        <v>12.561999999999999</v>
      </c>
      <c r="T86" s="28">
        <v>44.52</v>
      </c>
      <c r="U86" s="28">
        <v>1937.9580000000001</v>
      </c>
      <c r="V86" s="56">
        <v>1780.587</v>
      </c>
      <c r="W86" s="52">
        <f t="shared" si="64"/>
        <v>9.2759431643942556E-4</v>
      </c>
      <c r="X86" s="10">
        <f t="shared" si="65"/>
        <v>6.6595751557450455E-2</v>
      </c>
      <c r="Y86" s="10">
        <f t="shared" si="66"/>
        <v>1.0504880479852762E-3</v>
      </c>
      <c r="Z86" s="10">
        <f t="shared" si="67"/>
        <v>3.1146602207622585E-5</v>
      </c>
      <c r="AA86" s="10">
        <f t="shared" si="68"/>
        <v>6.6595751557450455E-2</v>
      </c>
      <c r="AB86" s="10">
        <f t="shared" si="69"/>
        <v>2.322204475094054E-2</v>
      </c>
      <c r="AC86" s="10">
        <f t="shared" si="70"/>
        <v>2.322204475094054E-2</v>
      </c>
      <c r="AD86" s="10">
        <f t="shared" si="71"/>
        <v>4.7547399679597003E-3</v>
      </c>
      <c r="AE86" s="10">
        <f t="shared" si="72"/>
        <v>6.2793728294280463E-3</v>
      </c>
      <c r="AF86" s="58">
        <f t="shared" si="73"/>
        <v>6.2793728294280463E-3</v>
      </c>
      <c r="AG86" s="52">
        <f t="shared" si="74"/>
        <v>2.9743272342424611E-3</v>
      </c>
      <c r="AH86" s="10">
        <f t="shared" si="75"/>
        <v>7.6521992633218086E-2</v>
      </c>
      <c r="AI86" s="10">
        <f t="shared" si="76"/>
        <v>7.8872647700478269E-4</v>
      </c>
      <c r="AJ86" s="10">
        <f t="shared" si="77"/>
        <v>7.3166429973643086E-5</v>
      </c>
      <c r="AK86" s="10">
        <f t="shared" si="78"/>
        <v>7.6521992633218086E-2</v>
      </c>
      <c r="AL86" s="10">
        <f t="shared" si="79"/>
        <v>6.5887768643144717E-3</v>
      </c>
      <c r="AM86" s="10">
        <f t="shared" si="80"/>
        <v>6.5887768643144717E-3</v>
      </c>
      <c r="AN86" s="10">
        <f t="shared" si="81"/>
        <v>1.3146451161111976E-2</v>
      </c>
      <c r="AO86" s="10">
        <f t="shared" si="82"/>
        <v>1.1678358500064386E-2</v>
      </c>
      <c r="AP86" s="58">
        <f t="shared" si="83"/>
        <v>1.3146451161111976E-2</v>
      </c>
      <c r="AQ86" s="63">
        <f t="shared" si="84"/>
        <v>9.5000000000000001E-2</v>
      </c>
      <c r="AR86" s="10">
        <f t="shared" si="85"/>
        <v>9.7000000000000003E-2</v>
      </c>
      <c r="AS86" s="10">
        <f t="shared" si="86"/>
        <v>9.6000000000000002E-2</v>
      </c>
      <c r="AT86" s="24">
        <f t="shared" si="87"/>
        <v>0.63</v>
      </c>
      <c r="AU86" s="24">
        <f t="shared" si="88"/>
        <v>0.65</v>
      </c>
      <c r="AV86" s="24">
        <f t="shared" si="89"/>
        <v>0.64</v>
      </c>
      <c r="AW86" s="25">
        <f t="shared" si="90"/>
        <v>5</v>
      </c>
      <c r="AX86" s="25">
        <f t="shared" si="91"/>
        <v>5</v>
      </c>
      <c r="AY86" s="25">
        <f t="shared" si="92"/>
        <v>5</v>
      </c>
    </row>
    <row r="87" spans="1:51" ht="12" customHeight="1">
      <c r="A87" s="42"/>
      <c r="B87" s="42"/>
      <c r="C87" s="62" t="str">
        <f>Rollover!A87</f>
        <v>Toyota</v>
      </c>
      <c r="D87" s="62" t="str">
        <f>Rollover!B87</f>
        <v>Tundra PU/EC 2WD</v>
      </c>
      <c r="E87" s="61"/>
      <c r="F87" s="177">
        <f>Rollover!C87</f>
        <v>2022</v>
      </c>
      <c r="G87" s="27"/>
      <c r="H87" s="28"/>
      <c r="I87" s="28"/>
      <c r="J87" s="28"/>
      <c r="K87" s="28"/>
      <c r="L87" s="28"/>
      <c r="M87" s="28"/>
      <c r="N87" s="29"/>
      <c r="O87" s="27"/>
      <c r="P87" s="28"/>
      <c r="Q87" s="28"/>
      <c r="R87" s="28"/>
      <c r="S87" s="28"/>
      <c r="T87" s="28"/>
      <c r="U87" s="28"/>
      <c r="V87" s="56"/>
      <c r="W87" s="52" t="e">
        <f t="shared" si="64"/>
        <v>#NUM!</v>
      </c>
      <c r="X87" s="10">
        <f t="shared" si="65"/>
        <v>3.8165882958950202E-2</v>
      </c>
      <c r="Y87" s="10">
        <f t="shared" si="66"/>
        <v>1.713277721572889E-5</v>
      </c>
      <c r="Z87" s="10">
        <f t="shared" si="67"/>
        <v>1.713277721572889E-5</v>
      </c>
      <c r="AA87" s="10">
        <f t="shared" si="68"/>
        <v>3.8165882958950202E-2</v>
      </c>
      <c r="AB87" s="10">
        <f t="shared" si="69"/>
        <v>2.6306978617002889E-5</v>
      </c>
      <c r="AC87" s="10">
        <f t="shared" si="70"/>
        <v>2.6306978617002889E-5</v>
      </c>
      <c r="AD87" s="10">
        <f t="shared" si="71"/>
        <v>3.033802747866758E-3</v>
      </c>
      <c r="AE87" s="10">
        <f t="shared" si="72"/>
        <v>3.033802747866758E-3</v>
      </c>
      <c r="AF87" s="58">
        <f t="shared" si="73"/>
        <v>3.033802747866758E-3</v>
      </c>
      <c r="AG87" s="52" t="e">
        <f t="shared" si="74"/>
        <v>#NUM!</v>
      </c>
      <c r="AH87" s="10">
        <f t="shared" si="75"/>
        <v>3.8165882958950202E-2</v>
      </c>
      <c r="AI87" s="10">
        <f t="shared" si="76"/>
        <v>1.7417808154569238E-5</v>
      </c>
      <c r="AJ87" s="10">
        <f t="shared" si="77"/>
        <v>1.7417808154569238E-5</v>
      </c>
      <c r="AK87" s="10">
        <f t="shared" si="78"/>
        <v>3.8165882958950202E-2</v>
      </c>
      <c r="AL87" s="10">
        <f t="shared" si="79"/>
        <v>2.6306978617002889E-5</v>
      </c>
      <c r="AM87" s="10">
        <f t="shared" si="80"/>
        <v>2.6306978617002889E-5</v>
      </c>
      <c r="AN87" s="10">
        <f t="shared" si="81"/>
        <v>3.033802747866758E-3</v>
      </c>
      <c r="AO87" s="10">
        <f t="shared" si="82"/>
        <v>3.033802747866758E-3</v>
      </c>
      <c r="AP87" s="58">
        <f t="shared" si="83"/>
        <v>3.033802747866758E-3</v>
      </c>
      <c r="AQ87" s="63" t="e">
        <f t="shared" si="84"/>
        <v>#NUM!</v>
      </c>
      <c r="AR87" s="10" t="e">
        <f t="shared" si="85"/>
        <v>#NUM!</v>
      </c>
      <c r="AS87" s="10" t="e">
        <f t="shared" si="86"/>
        <v>#NUM!</v>
      </c>
      <c r="AT87" s="24" t="e">
        <f t="shared" si="87"/>
        <v>#NUM!</v>
      </c>
      <c r="AU87" s="24" t="e">
        <f t="shared" si="88"/>
        <v>#NUM!</v>
      </c>
      <c r="AV87" s="24" t="e">
        <f t="shared" si="89"/>
        <v>#NUM!</v>
      </c>
      <c r="AW87" s="25" t="e">
        <f t="shared" si="90"/>
        <v>#NUM!</v>
      </c>
      <c r="AX87" s="25" t="e">
        <f t="shared" si="91"/>
        <v>#NUM!</v>
      </c>
      <c r="AY87" s="25" t="e">
        <f t="shared" si="92"/>
        <v>#NUM!</v>
      </c>
    </row>
    <row r="88" spans="1:51" ht="12" customHeight="1">
      <c r="A88" s="42"/>
      <c r="B88" s="42"/>
      <c r="C88" s="62" t="str">
        <f>Rollover!A88</f>
        <v>Toyota</v>
      </c>
      <c r="D88" s="62" t="str">
        <f>Rollover!B88</f>
        <v>Tundra PU/EC 4WD</v>
      </c>
      <c r="E88" s="61"/>
      <c r="F88" s="177">
        <f>Rollover!C88</f>
        <v>2022</v>
      </c>
      <c r="G88" s="27"/>
      <c r="H88" s="28"/>
      <c r="I88" s="28"/>
      <c r="J88" s="28"/>
      <c r="K88" s="28"/>
      <c r="L88" s="28"/>
      <c r="M88" s="28"/>
      <c r="N88" s="29"/>
      <c r="O88" s="27"/>
      <c r="P88" s="28"/>
      <c r="Q88" s="28"/>
      <c r="R88" s="28"/>
      <c r="S88" s="28"/>
      <c r="T88" s="28"/>
      <c r="U88" s="28"/>
      <c r="V88" s="56"/>
      <c r="W88" s="52" t="e">
        <f t="shared" ref="W88:W92" si="209">NORMDIST(LN(G88),7.45231,0.73998,1)</f>
        <v>#NUM!</v>
      </c>
      <c r="X88" s="10">
        <f t="shared" ref="X88:X92" si="210">1/(1+EXP(3.2269-1.9688*H88))</f>
        <v>3.8165882958950202E-2</v>
      </c>
      <c r="Y88" s="10">
        <f t="shared" ref="Y88:Y92" si="211">1/(1+EXP(10.9745-2.375*I88/1000))</f>
        <v>1.713277721572889E-5</v>
      </c>
      <c r="Z88" s="10">
        <f t="shared" ref="Z88:Z92" si="212">1/(1+EXP(10.9745-2.375*J88/1000))</f>
        <v>1.713277721572889E-5</v>
      </c>
      <c r="AA88" s="10">
        <f t="shared" ref="AA88:AA92" si="213">MAX(X88,Y88,Z88)</f>
        <v>3.8165882958950202E-2</v>
      </c>
      <c r="AB88" s="10">
        <f t="shared" ref="AB88:AB92" si="214">1/(1+EXP(12.597-0.05861*35-1.568*(K88^0.4612)))</f>
        <v>2.6306978617002889E-5</v>
      </c>
      <c r="AC88" s="10">
        <f t="shared" ref="AC88:AC92" si="215">AB88</f>
        <v>2.6306978617002889E-5</v>
      </c>
      <c r="AD88" s="10">
        <f t="shared" ref="AD88:AD92" si="216">1/(1+EXP(5.7949-0.5196*M88/1000))</f>
        <v>3.033802747866758E-3</v>
      </c>
      <c r="AE88" s="10">
        <f t="shared" ref="AE88:AE92" si="217">1/(1+EXP(5.7949-0.5196*N88/1000))</f>
        <v>3.033802747866758E-3</v>
      </c>
      <c r="AF88" s="58">
        <f t="shared" ref="AF88:AF92" si="218">MAX(AD88,AE88)</f>
        <v>3.033802747866758E-3</v>
      </c>
      <c r="AG88" s="52" t="e">
        <f t="shared" ref="AG88:AG92" si="219">NORMDIST(LN(O88),7.45231,0.73998,1)</f>
        <v>#NUM!</v>
      </c>
      <c r="AH88" s="10">
        <f t="shared" ref="AH88:AH92" si="220">1/(1+EXP(3.2269-1.9688*P88))</f>
        <v>3.8165882958950202E-2</v>
      </c>
      <c r="AI88" s="10">
        <f t="shared" ref="AI88:AI92" si="221">1/(1+EXP(10.958-3.77*Q88/1000))</f>
        <v>1.7417808154569238E-5</v>
      </c>
      <c r="AJ88" s="10">
        <f t="shared" ref="AJ88:AJ92" si="222">1/(1+EXP(10.958-3.77*R88/1000))</f>
        <v>1.7417808154569238E-5</v>
      </c>
      <c r="AK88" s="10">
        <f t="shared" ref="AK88:AK92" si="223">MAX(AH88,AI88,AJ88)</f>
        <v>3.8165882958950202E-2</v>
      </c>
      <c r="AL88" s="10">
        <f t="shared" ref="AL88:AL92" si="224">1/(1+EXP(12.597-0.05861*35-1.568*((S88/0.817)^0.4612)))</f>
        <v>2.6306978617002889E-5</v>
      </c>
      <c r="AM88" s="10">
        <f t="shared" ref="AM88:AM92" si="225">AL88</f>
        <v>2.6306978617002889E-5</v>
      </c>
      <c r="AN88" s="10">
        <f t="shared" ref="AN88:AN92" si="226">1/(1+EXP(5.7949-0.7619*U88/1000))</f>
        <v>3.033802747866758E-3</v>
      </c>
      <c r="AO88" s="10">
        <f t="shared" ref="AO88:AO92" si="227">1/(1+EXP(5.7949-0.7619*V88/1000))</f>
        <v>3.033802747866758E-3</v>
      </c>
      <c r="AP88" s="58">
        <f t="shared" ref="AP88:AP92" si="228">MAX(AN88,AO88)</f>
        <v>3.033802747866758E-3</v>
      </c>
      <c r="AQ88" s="63" t="e">
        <f t="shared" ref="AQ88:AQ92" si="229">ROUND(1-(1-W88)*(1-AA88)*(1-AC88)*(1-AF88),3)</f>
        <v>#NUM!</v>
      </c>
      <c r="AR88" s="10" t="e">
        <f t="shared" ref="AR88:AR92" si="230">ROUND(1-(1-AG88)*(1-AK88)*(1-AM88)*(1-AP88),3)</f>
        <v>#NUM!</v>
      </c>
      <c r="AS88" s="10" t="e">
        <f t="shared" ref="AS88:AS92" si="231">ROUND(AVERAGE(AR88,AQ88),3)</f>
        <v>#NUM!</v>
      </c>
      <c r="AT88" s="24" t="e">
        <f t="shared" ref="AT88:AT92" si="232">ROUND(AQ88/0.15,2)</f>
        <v>#NUM!</v>
      </c>
      <c r="AU88" s="24" t="e">
        <f t="shared" ref="AU88:AU92" si="233">ROUND(AR88/0.15,2)</f>
        <v>#NUM!</v>
      </c>
      <c r="AV88" s="24" t="e">
        <f t="shared" ref="AV88:AV92" si="234">ROUND(AS88/0.15,2)</f>
        <v>#NUM!</v>
      </c>
      <c r="AW88" s="25" t="e">
        <f t="shared" ref="AW88:AW92" si="235">IF(AT88&lt;0.67,5,IF(AT88&lt;1,4,IF(AT88&lt;1.33,3,IF(AT88&lt;2.67,2,1))))</f>
        <v>#NUM!</v>
      </c>
      <c r="AX88" s="25" t="e">
        <f t="shared" ref="AX88:AX92" si="236">IF(AU88&lt;0.67,5,IF(AU88&lt;1,4,IF(AU88&lt;1.33,3,IF(AU88&lt;2.67,2,1))))</f>
        <v>#NUM!</v>
      </c>
      <c r="AY88" s="25" t="e">
        <f t="shared" ref="AY88:AY92" si="237">IF(AV88&lt;0.67,5,IF(AV88&lt;1,4,IF(AV88&lt;1.33,3,IF(AV88&lt;2.67,2,1))))</f>
        <v>#NUM!</v>
      </c>
    </row>
    <row r="89" spans="1:51" ht="12" customHeight="1">
      <c r="A89" s="42">
        <v>14084</v>
      </c>
      <c r="B89" s="42" t="s">
        <v>193</v>
      </c>
      <c r="C89" s="65" t="str">
        <f>Rollover!A89</f>
        <v>Volkswagen</v>
      </c>
      <c r="D89" s="65" t="str">
        <f>Rollover!B89</f>
        <v>Jetta 4DR FWD</v>
      </c>
      <c r="E89" s="61" t="s">
        <v>161</v>
      </c>
      <c r="F89" s="177">
        <f>Rollover!C89</f>
        <v>2022</v>
      </c>
      <c r="G89" s="18">
        <v>277.79300000000001</v>
      </c>
      <c r="H89" s="19">
        <v>0.29799999999999999</v>
      </c>
      <c r="I89" s="19">
        <v>1208.7180000000001</v>
      </c>
      <c r="J89" s="19">
        <v>253.67599999999999</v>
      </c>
      <c r="K89" s="19">
        <v>31.189</v>
      </c>
      <c r="L89" s="19">
        <v>46.527000000000001</v>
      </c>
      <c r="M89" s="19">
        <v>526.82799999999997</v>
      </c>
      <c r="N89" s="20">
        <v>449.30500000000001</v>
      </c>
      <c r="O89" s="18">
        <v>231.76900000000001</v>
      </c>
      <c r="P89" s="19">
        <v>0.41799999999999998</v>
      </c>
      <c r="Q89" s="19">
        <v>589.48400000000004</v>
      </c>
      <c r="R89" s="19">
        <v>603.65700000000004</v>
      </c>
      <c r="S89" s="19">
        <v>17.715</v>
      </c>
      <c r="T89" s="19">
        <v>53.201999999999998</v>
      </c>
      <c r="U89" s="19">
        <v>1914.144</v>
      </c>
      <c r="V89" s="51">
        <v>664.49400000000003</v>
      </c>
      <c r="W89" s="52">
        <f t="shared" si="209"/>
        <v>6.8150094358959265E-3</v>
      </c>
      <c r="X89" s="10">
        <f t="shared" si="210"/>
        <v>6.6595751557450455E-2</v>
      </c>
      <c r="Y89" s="10">
        <f t="shared" si="211"/>
        <v>3.0229805392693854E-4</v>
      </c>
      <c r="Z89" s="10">
        <f t="shared" si="212"/>
        <v>3.1295044503192971E-5</v>
      </c>
      <c r="AA89" s="10">
        <f t="shared" si="213"/>
        <v>6.6595751557450455E-2</v>
      </c>
      <c r="AB89" s="10">
        <f t="shared" si="214"/>
        <v>5.3000836910669612E-2</v>
      </c>
      <c r="AC89" s="10">
        <f t="shared" si="215"/>
        <v>5.3000836910669612E-2</v>
      </c>
      <c r="AD89" s="10">
        <f t="shared" si="216"/>
        <v>3.9852573432588257E-3</v>
      </c>
      <c r="AE89" s="10">
        <f t="shared" si="217"/>
        <v>3.8285199386140409E-3</v>
      </c>
      <c r="AF89" s="58">
        <f t="shared" si="218"/>
        <v>3.9852573432588257E-3</v>
      </c>
      <c r="AG89" s="52">
        <f t="shared" si="219"/>
        <v>3.3474341779956883E-3</v>
      </c>
      <c r="AH89" s="10">
        <f t="shared" si="220"/>
        <v>8.2872623188547781E-2</v>
      </c>
      <c r="AI89" s="10">
        <f t="shared" si="221"/>
        <v>1.6072655397149404E-4</v>
      </c>
      <c r="AJ89" s="10">
        <f t="shared" si="222"/>
        <v>1.6954661215455433E-4</v>
      </c>
      <c r="AK89" s="10">
        <f t="shared" si="223"/>
        <v>8.2872623188547781E-2</v>
      </c>
      <c r="AL89" s="10">
        <f t="shared" si="224"/>
        <v>1.6859936347127784E-2</v>
      </c>
      <c r="AM89" s="10">
        <f t="shared" si="225"/>
        <v>1.6859936347127784E-2</v>
      </c>
      <c r="AN89" s="10">
        <f t="shared" si="226"/>
        <v>1.2913126687943217E-2</v>
      </c>
      <c r="AO89" s="10">
        <f t="shared" si="227"/>
        <v>5.0233510312699845E-3</v>
      </c>
      <c r="AP89" s="58">
        <f t="shared" si="228"/>
        <v>1.2913126687943217E-2</v>
      </c>
      <c r="AQ89" s="63">
        <f t="shared" si="229"/>
        <v>0.126</v>
      </c>
      <c r="AR89" s="10">
        <f t="shared" si="230"/>
        <v>0.113</v>
      </c>
      <c r="AS89" s="10">
        <f t="shared" si="231"/>
        <v>0.12</v>
      </c>
      <c r="AT89" s="24">
        <f t="shared" si="232"/>
        <v>0.84</v>
      </c>
      <c r="AU89" s="24">
        <f t="shared" si="233"/>
        <v>0.75</v>
      </c>
      <c r="AV89" s="24">
        <f t="shared" si="234"/>
        <v>0.8</v>
      </c>
      <c r="AW89" s="25">
        <f t="shared" si="235"/>
        <v>4</v>
      </c>
      <c r="AX89" s="25">
        <f t="shared" si="236"/>
        <v>4</v>
      </c>
      <c r="AY89" s="25">
        <f t="shared" si="237"/>
        <v>4</v>
      </c>
    </row>
    <row r="90" spans="1:51" ht="12" customHeight="1">
      <c r="A90" s="42">
        <v>14084</v>
      </c>
      <c r="B90" s="42" t="s">
        <v>193</v>
      </c>
      <c r="C90" s="62" t="str">
        <f>Rollover!A90</f>
        <v>Volkswagen</v>
      </c>
      <c r="D90" s="62" t="str">
        <f>Rollover!B90</f>
        <v>Jetta GLI 4DR FWD</v>
      </c>
      <c r="E90" s="61" t="s">
        <v>161</v>
      </c>
      <c r="F90" s="177">
        <f>Rollover!C90</f>
        <v>2022</v>
      </c>
      <c r="G90" s="18">
        <v>277.79300000000001</v>
      </c>
      <c r="H90" s="19">
        <v>0.29799999999999999</v>
      </c>
      <c r="I90" s="19">
        <v>1208.7180000000001</v>
      </c>
      <c r="J90" s="19">
        <v>253.67599999999999</v>
      </c>
      <c r="K90" s="19">
        <v>31.189</v>
      </c>
      <c r="L90" s="19">
        <v>46.527000000000001</v>
      </c>
      <c r="M90" s="19">
        <v>526.82799999999997</v>
      </c>
      <c r="N90" s="20">
        <v>449.30500000000001</v>
      </c>
      <c r="O90" s="18">
        <v>231.76900000000001</v>
      </c>
      <c r="P90" s="19">
        <v>0.41799999999999998</v>
      </c>
      <c r="Q90" s="19">
        <v>589.48400000000004</v>
      </c>
      <c r="R90" s="19">
        <v>603.65700000000004</v>
      </c>
      <c r="S90" s="19">
        <v>17.715</v>
      </c>
      <c r="T90" s="19">
        <v>53.201999999999998</v>
      </c>
      <c r="U90" s="19">
        <v>1914.144</v>
      </c>
      <c r="V90" s="51">
        <v>664.49400000000003</v>
      </c>
      <c r="W90" s="52">
        <f t="shared" si="209"/>
        <v>6.8150094358959265E-3</v>
      </c>
      <c r="X90" s="10">
        <f t="shared" si="210"/>
        <v>6.6595751557450455E-2</v>
      </c>
      <c r="Y90" s="10">
        <f t="shared" si="211"/>
        <v>3.0229805392693854E-4</v>
      </c>
      <c r="Z90" s="10">
        <f t="shared" si="212"/>
        <v>3.1295044503192971E-5</v>
      </c>
      <c r="AA90" s="10">
        <f t="shared" si="213"/>
        <v>6.6595751557450455E-2</v>
      </c>
      <c r="AB90" s="10">
        <f t="shared" si="214"/>
        <v>5.3000836910669612E-2</v>
      </c>
      <c r="AC90" s="10">
        <f t="shared" si="215"/>
        <v>5.3000836910669612E-2</v>
      </c>
      <c r="AD90" s="10">
        <f t="shared" si="216"/>
        <v>3.9852573432588257E-3</v>
      </c>
      <c r="AE90" s="10">
        <f t="shared" si="217"/>
        <v>3.8285199386140409E-3</v>
      </c>
      <c r="AF90" s="58">
        <f t="shared" si="218"/>
        <v>3.9852573432588257E-3</v>
      </c>
      <c r="AG90" s="52">
        <f t="shared" si="219"/>
        <v>3.3474341779956883E-3</v>
      </c>
      <c r="AH90" s="10">
        <f t="shared" si="220"/>
        <v>8.2872623188547781E-2</v>
      </c>
      <c r="AI90" s="10">
        <f t="shared" si="221"/>
        <v>1.6072655397149404E-4</v>
      </c>
      <c r="AJ90" s="10">
        <f t="shared" si="222"/>
        <v>1.6954661215455433E-4</v>
      </c>
      <c r="AK90" s="10">
        <f t="shared" si="223"/>
        <v>8.2872623188547781E-2</v>
      </c>
      <c r="AL90" s="10">
        <f t="shared" si="224"/>
        <v>1.6859936347127784E-2</v>
      </c>
      <c r="AM90" s="10">
        <f t="shared" si="225"/>
        <v>1.6859936347127784E-2</v>
      </c>
      <c r="AN90" s="10">
        <f t="shared" si="226"/>
        <v>1.2913126687943217E-2</v>
      </c>
      <c r="AO90" s="10">
        <f t="shared" si="227"/>
        <v>5.0233510312699845E-3</v>
      </c>
      <c r="AP90" s="58">
        <f t="shared" si="228"/>
        <v>1.2913126687943217E-2</v>
      </c>
      <c r="AQ90" s="63">
        <f t="shared" si="229"/>
        <v>0.126</v>
      </c>
      <c r="AR90" s="10">
        <f t="shared" si="230"/>
        <v>0.113</v>
      </c>
      <c r="AS90" s="10">
        <f t="shared" si="231"/>
        <v>0.12</v>
      </c>
      <c r="AT90" s="24">
        <f t="shared" si="232"/>
        <v>0.84</v>
      </c>
      <c r="AU90" s="24">
        <f t="shared" si="233"/>
        <v>0.75</v>
      </c>
      <c r="AV90" s="24">
        <f t="shared" si="234"/>
        <v>0.8</v>
      </c>
      <c r="AW90" s="25">
        <f t="shared" si="235"/>
        <v>4</v>
      </c>
      <c r="AX90" s="25">
        <f t="shared" si="236"/>
        <v>4</v>
      </c>
      <c r="AY90" s="25">
        <f t="shared" si="237"/>
        <v>4</v>
      </c>
    </row>
    <row r="91" spans="1:51" ht="12" customHeight="1">
      <c r="A91" s="42">
        <v>14080</v>
      </c>
      <c r="B91" s="42" t="s">
        <v>194</v>
      </c>
      <c r="C91" s="65" t="str">
        <f>Rollover!A91</f>
        <v>Volkswagen</v>
      </c>
      <c r="D91" s="65" t="str">
        <f>Rollover!B91</f>
        <v>Taos SUV FWD</v>
      </c>
      <c r="E91" s="61" t="s">
        <v>159</v>
      </c>
      <c r="F91" s="177">
        <f>Rollover!C91</f>
        <v>2022</v>
      </c>
      <c r="G91" s="18">
        <v>284.51400000000001</v>
      </c>
      <c r="H91" s="19">
        <v>0.316</v>
      </c>
      <c r="I91" s="19">
        <v>1838.5650000000001</v>
      </c>
      <c r="J91" s="19">
        <v>125.533</v>
      </c>
      <c r="K91" s="19">
        <v>30.853000000000002</v>
      </c>
      <c r="L91" s="19">
        <v>41.908999999999999</v>
      </c>
      <c r="M91" s="19">
        <v>458.37299999999999</v>
      </c>
      <c r="N91" s="20">
        <v>329.13299999999998</v>
      </c>
      <c r="O91" s="18">
        <v>224.17099999999999</v>
      </c>
      <c r="P91" s="19">
        <v>0.45200000000000001</v>
      </c>
      <c r="Q91" s="19">
        <v>601.19600000000003</v>
      </c>
      <c r="R91" s="19">
        <v>919.54200000000003</v>
      </c>
      <c r="S91" s="19">
        <v>19.393999999999998</v>
      </c>
      <c r="T91" s="19">
        <v>42.505000000000003</v>
      </c>
      <c r="U91" s="19">
        <v>2860.0909999999999</v>
      </c>
      <c r="V91" s="51">
        <v>1920.4179999999999</v>
      </c>
      <c r="W91" s="52">
        <f t="shared" si="209"/>
        <v>7.4549029211895251E-3</v>
      </c>
      <c r="X91" s="10">
        <f t="shared" si="210"/>
        <v>6.8832753689576961E-2</v>
      </c>
      <c r="Y91" s="10">
        <f t="shared" si="211"/>
        <v>1.3478333960830404E-3</v>
      </c>
      <c r="Z91" s="10">
        <f t="shared" si="212"/>
        <v>2.3083737123490121E-5</v>
      </c>
      <c r="AA91" s="10">
        <f t="shared" si="213"/>
        <v>6.8832753689576961E-2</v>
      </c>
      <c r="AB91" s="10">
        <f t="shared" si="214"/>
        <v>5.111674202198864E-2</v>
      </c>
      <c r="AC91" s="10">
        <f t="shared" si="215"/>
        <v>5.111674202198864E-2</v>
      </c>
      <c r="AD91" s="10">
        <f t="shared" si="216"/>
        <v>3.8465319146237858E-3</v>
      </c>
      <c r="AE91" s="10">
        <f t="shared" si="217"/>
        <v>3.5976062458476423E-3</v>
      </c>
      <c r="AF91" s="58">
        <f t="shared" si="218"/>
        <v>3.8465319146237858E-3</v>
      </c>
      <c r="AG91" s="52">
        <f t="shared" si="219"/>
        <v>2.9194190368977725E-3</v>
      </c>
      <c r="AH91" s="10">
        <f t="shared" si="220"/>
        <v>8.8104451008852031E-2</v>
      </c>
      <c r="AI91" s="10">
        <f t="shared" si="221"/>
        <v>1.6798110162565108E-4</v>
      </c>
      <c r="AJ91" s="10">
        <f t="shared" si="222"/>
        <v>5.5759124115695483E-4</v>
      </c>
      <c r="AK91" s="10">
        <f t="shared" si="223"/>
        <v>8.8104451008852031E-2</v>
      </c>
      <c r="AL91" s="10">
        <f t="shared" si="224"/>
        <v>2.2107856398340054E-2</v>
      </c>
      <c r="AM91" s="10">
        <f t="shared" si="225"/>
        <v>2.2107856398340054E-2</v>
      </c>
      <c r="AN91" s="10">
        <f t="shared" si="226"/>
        <v>2.6191068313961167E-2</v>
      </c>
      <c r="AO91" s="10">
        <f t="shared" si="227"/>
        <v>1.2974198501599919E-2</v>
      </c>
      <c r="AP91" s="58">
        <f t="shared" si="228"/>
        <v>2.6191068313961167E-2</v>
      </c>
      <c r="AQ91" s="63">
        <f t="shared" si="229"/>
        <v>0.126</v>
      </c>
      <c r="AR91" s="10">
        <f t="shared" si="230"/>
        <v>0.13400000000000001</v>
      </c>
      <c r="AS91" s="10">
        <f t="shared" si="231"/>
        <v>0.13</v>
      </c>
      <c r="AT91" s="24">
        <f t="shared" si="232"/>
        <v>0.84</v>
      </c>
      <c r="AU91" s="24">
        <f t="shared" si="233"/>
        <v>0.89</v>
      </c>
      <c r="AV91" s="24">
        <f t="shared" si="234"/>
        <v>0.87</v>
      </c>
      <c r="AW91" s="25">
        <f t="shared" si="235"/>
        <v>4</v>
      </c>
      <c r="AX91" s="25">
        <f t="shared" si="236"/>
        <v>4</v>
      </c>
      <c r="AY91" s="25">
        <f t="shared" si="237"/>
        <v>4</v>
      </c>
    </row>
    <row r="92" spans="1:51" ht="12" customHeight="1">
      <c r="A92" s="60">
        <v>14080</v>
      </c>
      <c r="B92" s="60" t="s">
        <v>194</v>
      </c>
      <c r="C92" s="65" t="str">
        <f>Rollover!A92</f>
        <v>Volkswagen</v>
      </c>
      <c r="D92" s="65" t="str">
        <f>Rollover!B92</f>
        <v>Taos SUV AWD</v>
      </c>
      <c r="E92" s="61" t="s">
        <v>159</v>
      </c>
      <c r="F92" s="177">
        <f>Rollover!C92</f>
        <v>2022</v>
      </c>
      <c r="G92" s="18">
        <v>284.51400000000001</v>
      </c>
      <c r="H92" s="19">
        <v>0.316</v>
      </c>
      <c r="I92" s="19">
        <v>1838.5650000000001</v>
      </c>
      <c r="J92" s="19">
        <v>125.533</v>
      </c>
      <c r="K92" s="19">
        <v>30.853000000000002</v>
      </c>
      <c r="L92" s="19">
        <v>41.908999999999999</v>
      </c>
      <c r="M92" s="19">
        <v>458.37299999999999</v>
      </c>
      <c r="N92" s="20">
        <v>329.13299999999998</v>
      </c>
      <c r="O92" s="18">
        <v>224.17099999999999</v>
      </c>
      <c r="P92" s="19">
        <v>0.45200000000000001</v>
      </c>
      <c r="Q92" s="19">
        <v>601.19600000000003</v>
      </c>
      <c r="R92" s="19">
        <v>919.54200000000003</v>
      </c>
      <c r="S92" s="19">
        <v>19.393999999999998</v>
      </c>
      <c r="T92" s="19">
        <v>42.505000000000003</v>
      </c>
      <c r="U92" s="19">
        <v>2860.0909999999999</v>
      </c>
      <c r="V92" s="51">
        <v>1920.4179999999999</v>
      </c>
      <c r="W92" s="52">
        <f t="shared" si="209"/>
        <v>7.4549029211895251E-3</v>
      </c>
      <c r="X92" s="10">
        <f t="shared" si="210"/>
        <v>6.8832753689576961E-2</v>
      </c>
      <c r="Y92" s="10">
        <f t="shared" si="211"/>
        <v>1.3478333960830404E-3</v>
      </c>
      <c r="Z92" s="10">
        <f t="shared" si="212"/>
        <v>2.3083737123490121E-5</v>
      </c>
      <c r="AA92" s="10">
        <f t="shared" si="213"/>
        <v>6.8832753689576961E-2</v>
      </c>
      <c r="AB92" s="10">
        <f t="shared" si="214"/>
        <v>5.111674202198864E-2</v>
      </c>
      <c r="AC92" s="10">
        <f t="shared" si="215"/>
        <v>5.111674202198864E-2</v>
      </c>
      <c r="AD92" s="10">
        <f t="shared" si="216"/>
        <v>3.8465319146237858E-3</v>
      </c>
      <c r="AE92" s="10">
        <f t="shared" si="217"/>
        <v>3.5976062458476423E-3</v>
      </c>
      <c r="AF92" s="58">
        <f t="shared" si="218"/>
        <v>3.8465319146237858E-3</v>
      </c>
      <c r="AG92" s="52">
        <f t="shared" si="219"/>
        <v>2.9194190368977725E-3</v>
      </c>
      <c r="AH92" s="10">
        <f t="shared" si="220"/>
        <v>8.8104451008852031E-2</v>
      </c>
      <c r="AI92" s="10">
        <f t="shared" si="221"/>
        <v>1.6798110162565108E-4</v>
      </c>
      <c r="AJ92" s="10">
        <f t="shared" si="222"/>
        <v>5.5759124115695483E-4</v>
      </c>
      <c r="AK92" s="10">
        <f t="shared" si="223"/>
        <v>8.8104451008852031E-2</v>
      </c>
      <c r="AL92" s="10">
        <f t="shared" si="224"/>
        <v>2.2107856398340054E-2</v>
      </c>
      <c r="AM92" s="10">
        <f t="shared" si="225"/>
        <v>2.2107856398340054E-2</v>
      </c>
      <c r="AN92" s="10">
        <f t="shared" si="226"/>
        <v>2.6191068313961167E-2</v>
      </c>
      <c r="AO92" s="10">
        <f t="shared" si="227"/>
        <v>1.2974198501599919E-2</v>
      </c>
      <c r="AP92" s="58">
        <f t="shared" si="228"/>
        <v>2.6191068313961167E-2</v>
      </c>
      <c r="AQ92" s="63">
        <f t="shared" si="229"/>
        <v>0.126</v>
      </c>
      <c r="AR92" s="10">
        <f t="shared" si="230"/>
        <v>0.13400000000000001</v>
      </c>
      <c r="AS92" s="10">
        <f t="shared" si="231"/>
        <v>0.13</v>
      </c>
      <c r="AT92" s="24">
        <f t="shared" si="232"/>
        <v>0.84</v>
      </c>
      <c r="AU92" s="24">
        <f t="shared" si="233"/>
        <v>0.89</v>
      </c>
      <c r="AV92" s="24">
        <f t="shared" si="234"/>
        <v>0.87</v>
      </c>
      <c r="AW92" s="25">
        <f t="shared" si="235"/>
        <v>4</v>
      </c>
      <c r="AX92" s="25">
        <f t="shared" si="236"/>
        <v>4</v>
      </c>
      <c r="AY92" s="25">
        <f t="shared" si="237"/>
        <v>4</v>
      </c>
    </row>
    <row r="93" spans="1:51" ht="12" customHeight="1">
      <c r="A93" s="114"/>
      <c r="B93" s="114"/>
      <c r="C93" s="114"/>
    </row>
    <row r="94" spans="1:51" ht="12" customHeight="1">
      <c r="A94" s="114"/>
      <c r="B94" s="114"/>
      <c r="C94" s="114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</row>
    <row r="95" spans="1:51" ht="12" customHeight="1">
      <c r="A95" s="114"/>
      <c r="B95" s="114"/>
      <c r="C95" s="114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</row>
    <row r="96" spans="1:51" ht="12" customHeight="1">
      <c r="A96" s="114"/>
      <c r="B96" s="114"/>
      <c r="C96" s="114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</row>
    <row r="97" spans="1:26" ht="12" customHeight="1">
      <c r="A97" s="114"/>
      <c r="B97" s="114"/>
      <c r="C97" s="114"/>
      <c r="D97" s="114"/>
      <c r="E97" s="114"/>
      <c r="F97" s="114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</row>
    <row r="98" spans="1:26" ht="12" customHeight="1">
      <c r="A98" s="114"/>
      <c r="B98" s="114"/>
      <c r="C98" s="114"/>
      <c r="D98" s="114"/>
      <c r="E98" s="114"/>
      <c r="F98" s="114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</row>
    <row r="99" spans="1:26" ht="12" customHeight="1">
      <c r="A99" s="114"/>
      <c r="B99" s="114"/>
      <c r="C99" s="114"/>
      <c r="D99" s="114"/>
      <c r="E99" s="114"/>
      <c r="F99" s="114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</row>
    <row r="100" spans="1:26" ht="12" customHeight="1">
      <c r="A100" s="114"/>
      <c r="B100" s="114"/>
      <c r="C100" s="114"/>
      <c r="D100" s="114"/>
      <c r="E100" s="114"/>
      <c r="F100" s="114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</row>
    <row r="101" spans="1:26" ht="12" customHeight="1">
      <c r="A101" s="114"/>
      <c r="B101" s="114"/>
      <c r="C101" s="114"/>
      <c r="D101" s="114"/>
      <c r="E101" s="114"/>
      <c r="F101" s="114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</row>
    <row r="102" spans="1:26" ht="12" customHeight="1">
      <c r="A102" s="114"/>
      <c r="B102" s="114"/>
      <c r="C102" s="114"/>
      <c r="D102" s="114"/>
      <c r="E102" s="114"/>
      <c r="F102" s="114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</row>
    <row r="103" spans="1:26" ht="12" customHeight="1">
      <c r="A103" s="184"/>
      <c r="B103" s="184"/>
      <c r="C103" s="114"/>
      <c r="D103" s="114"/>
      <c r="E103" s="114"/>
      <c r="F103" s="114"/>
      <c r="G103" s="183"/>
      <c r="H103" s="183"/>
      <c r="I103" s="183"/>
      <c r="J103" s="183"/>
      <c r="K103" s="183"/>
      <c r="L103" s="185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64"/>
      <c r="X103" s="64"/>
      <c r="Y103" s="64"/>
      <c r="Z103" s="64"/>
    </row>
    <row r="104" spans="1:26" ht="12" customHeight="1">
      <c r="L104" s="185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64"/>
      <c r="X104" s="64"/>
      <c r="Y104" s="64"/>
      <c r="Z104" s="64"/>
    </row>
    <row r="105" spans="1:26" ht="12" customHeight="1">
      <c r="L105" s="185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64"/>
      <c r="X105" s="64"/>
      <c r="Y105" s="64"/>
      <c r="Z105" s="64"/>
    </row>
    <row r="106" spans="1:26" ht="12" customHeight="1">
      <c r="C106" s="115"/>
      <c r="D106" s="115"/>
      <c r="E106" s="115"/>
      <c r="F106" s="115"/>
      <c r="G106" s="136"/>
      <c r="H106" s="136"/>
      <c r="K106" s="136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64"/>
      <c r="X106" s="64"/>
      <c r="Y106" s="64"/>
      <c r="Z106" s="64"/>
    </row>
    <row r="107" spans="1:26" ht="12" customHeight="1">
      <c r="C107" s="115"/>
      <c r="D107" s="115"/>
      <c r="E107" s="115"/>
      <c r="F107" s="115"/>
      <c r="G107" s="136"/>
      <c r="H107" s="136"/>
      <c r="K107" s="186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64"/>
      <c r="X107" s="64"/>
      <c r="Y107" s="64"/>
      <c r="Z107" s="64"/>
    </row>
    <row r="108" spans="1:26" ht="12" customHeight="1">
      <c r="C108" s="115"/>
      <c r="D108" s="115"/>
      <c r="E108" s="115"/>
      <c r="F108" s="115"/>
      <c r="G108" s="136"/>
      <c r="H108" s="136"/>
      <c r="K108" s="136"/>
      <c r="L108" s="185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64"/>
      <c r="X108" s="64"/>
      <c r="Y108" s="64"/>
      <c r="Z108" s="64"/>
    </row>
    <row r="109" spans="1:26" ht="12" customHeight="1">
      <c r="C109" s="115"/>
      <c r="D109" s="115"/>
      <c r="E109" s="115"/>
      <c r="F109" s="115"/>
      <c r="G109" s="136"/>
      <c r="H109" s="136"/>
      <c r="K109" s="136"/>
      <c r="L109" s="185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64"/>
      <c r="X109" s="64"/>
      <c r="Y109" s="64"/>
      <c r="Z109" s="64"/>
    </row>
    <row r="110" spans="1:26" ht="12" customHeight="1">
      <c r="C110" s="115"/>
      <c r="D110" s="115"/>
      <c r="E110" s="115"/>
      <c r="F110" s="115"/>
      <c r="G110" s="136"/>
      <c r="H110" s="136"/>
      <c r="K110" s="186"/>
      <c r="L110" s="185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64"/>
      <c r="X110" s="64"/>
      <c r="Y110" s="64"/>
      <c r="Z110" s="64"/>
    </row>
    <row r="111" spans="1:26" ht="12" customHeight="1">
      <c r="C111" s="115"/>
      <c r="D111" s="115"/>
      <c r="E111" s="115"/>
      <c r="F111" s="115"/>
      <c r="G111" s="136"/>
      <c r="H111" s="136"/>
      <c r="K111" s="136"/>
      <c r="L111" s="185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64"/>
      <c r="X111" s="64"/>
      <c r="Y111" s="64"/>
      <c r="Z111" s="64"/>
    </row>
    <row r="112" spans="1:26" ht="12" customHeight="1">
      <c r="C112" s="115"/>
      <c r="D112" s="115"/>
      <c r="E112" s="115"/>
      <c r="F112" s="115"/>
      <c r="G112" s="136"/>
      <c r="H112" s="136"/>
      <c r="K112" s="136"/>
    </row>
    <row r="113" spans="1:31" ht="12" customHeight="1">
      <c r="C113" s="115"/>
      <c r="D113" s="115"/>
      <c r="E113" s="115"/>
      <c r="F113" s="115"/>
      <c r="G113" s="136"/>
      <c r="H113" s="136"/>
      <c r="K113" s="136"/>
    </row>
    <row r="114" spans="1:31" ht="12" customHeight="1">
      <c r="C114" s="115"/>
      <c r="D114" s="115"/>
      <c r="E114" s="115"/>
      <c r="F114" s="115"/>
      <c r="G114" s="136"/>
      <c r="H114" s="136"/>
      <c r="K114" s="186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1:31" ht="12" customHeight="1">
      <c r="C115" s="115"/>
      <c r="D115" s="115"/>
      <c r="E115" s="115"/>
      <c r="F115" s="115"/>
      <c r="G115" s="136"/>
      <c r="H115" s="136"/>
      <c r="K115" s="136"/>
    </row>
    <row r="116" spans="1:31" ht="12" customHeight="1">
      <c r="G116" s="136"/>
      <c r="H116" s="136"/>
      <c r="K116" s="136"/>
    </row>
    <row r="117" spans="1:31" ht="12" customHeight="1">
      <c r="G117" s="136"/>
      <c r="H117" s="136"/>
      <c r="K117" s="136"/>
    </row>
    <row r="118" spans="1:31" ht="12" customHeight="1">
      <c r="C118" s="115"/>
      <c r="D118" s="115"/>
      <c r="E118" s="115"/>
      <c r="F118" s="115"/>
      <c r="G118" s="136"/>
      <c r="H118" s="136"/>
      <c r="K118" s="136"/>
    </row>
    <row r="119" spans="1:31" ht="12" customHeight="1">
      <c r="A119" s="114"/>
      <c r="B119" s="114"/>
      <c r="C119" s="115"/>
      <c r="D119" s="115"/>
      <c r="E119" s="115"/>
      <c r="F119" s="115"/>
      <c r="G119" s="136"/>
      <c r="H119" s="136"/>
      <c r="K119" s="136"/>
    </row>
    <row r="120" spans="1:31" ht="12" customHeight="1">
      <c r="A120" s="114"/>
      <c r="B120" s="114"/>
      <c r="C120" s="115"/>
      <c r="D120" s="115"/>
      <c r="E120" s="115"/>
      <c r="F120" s="115"/>
      <c r="G120" s="136"/>
      <c r="H120" s="136"/>
      <c r="K120" s="136"/>
    </row>
    <row r="121" spans="1:31" ht="12" customHeight="1">
      <c r="A121" s="114"/>
      <c r="B121" s="114"/>
      <c r="C121" s="115"/>
      <c r="D121" s="115"/>
      <c r="E121" s="115"/>
      <c r="F121" s="115"/>
      <c r="G121" s="136"/>
      <c r="H121" s="136"/>
      <c r="K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80"/>
      <c r="X121" s="181"/>
      <c r="Y121" s="180"/>
      <c r="Z121" s="180"/>
      <c r="AA121" s="115"/>
      <c r="AB121" s="115"/>
      <c r="AC121" s="115"/>
      <c r="AD121" s="115"/>
      <c r="AE121" s="115"/>
    </row>
    <row r="122" spans="1:31" ht="12" customHeight="1">
      <c r="C122" s="115"/>
      <c r="D122" s="115"/>
      <c r="E122" s="115"/>
      <c r="F122" s="115"/>
      <c r="H122" s="133"/>
      <c r="I122" s="133"/>
      <c r="J122" s="133"/>
      <c r="K122" s="133"/>
      <c r="L122" s="133"/>
      <c r="M122" s="133"/>
      <c r="N122" s="136"/>
      <c r="O122" s="136"/>
      <c r="P122" s="136"/>
      <c r="Q122" s="136"/>
      <c r="R122" s="136"/>
      <c r="S122" s="136"/>
      <c r="T122" s="136"/>
      <c r="U122" s="136"/>
      <c r="V122" s="136"/>
      <c r="W122" s="180"/>
      <c r="X122" s="181"/>
      <c r="Y122" s="180"/>
      <c r="Z122" s="180"/>
      <c r="AA122" s="78"/>
      <c r="AB122" s="78"/>
      <c r="AC122" s="78"/>
      <c r="AD122" s="78"/>
      <c r="AE122" s="78"/>
    </row>
    <row r="123" spans="1:31" ht="12" customHeight="1">
      <c r="C123" s="115"/>
      <c r="D123" s="115"/>
      <c r="E123" s="115"/>
      <c r="F123" s="115"/>
      <c r="H123" s="133"/>
      <c r="I123" s="133"/>
      <c r="J123" s="133"/>
      <c r="K123" s="133"/>
      <c r="L123" s="133"/>
      <c r="M123" s="133"/>
      <c r="N123" s="136"/>
      <c r="O123" s="136"/>
      <c r="P123" s="136"/>
      <c r="Q123" s="136"/>
      <c r="R123" s="136"/>
      <c r="S123" s="136"/>
      <c r="T123" s="136"/>
      <c r="U123" s="136"/>
      <c r="V123" s="136"/>
      <c r="W123" s="180"/>
      <c r="X123" s="181"/>
      <c r="Y123" s="180"/>
      <c r="Z123" s="180"/>
      <c r="AA123" s="57"/>
      <c r="AB123" s="180"/>
      <c r="AC123" s="180"/>
      <c r="AD123" s="57"/>
      <c r="AE123" s="57"/>
    </row>
    <row r="124" spans="1:31" ht="12" customHeight="1">
      <c r="A124" s="187"/>
      <c r="B124" s="187"/>
      <c r="C124" s="117"/>
      <c r="D124" s="117"/>
      <c r="E124" s="117"/>
      <c r="F124" s="117"/>
      <c r="G124" s="188"/>
      <c r="H124" s="133"/>
      <c r="I124" s="133"/>
      <c r="J124" s="133"/>
      <c r="K124" s="133"/>
      <c r="L124" s="133"/>
      <c r="M124" s="133"/>
      <c r="N124" s="136"/>
      <c r="O124" s="136"/>
      <c r="P124" s="136"/>
      <c r="Q124" s="136"/>
      <c r="R124" s="136"/>
      <c r="S124" s="136"/>
      <c r="T124" s="136"/>
      <c r="U124" s="136"/>
      <c r="V124" s="136"/>
      <c r="W124" s="180"/>
      <c r="X124" s="181"/>
      <c r="Y124" s="180"/>
      <c r="Z124" s="180"/>
      <c r="AA124" s="57"/>
      <c r="AB124" s="180"/>
      <c r="AC124" s="180"/>
      <c r="AD124" s="57"/>
      <c r="AE124" s="57"/>
    </row>
    <row r="125" spans="1:31" ht="12" customHeight="1">
      <c r="A125" s="114"/>
      <c r="B125" s="114"/>
      <c r="C125" s="114"/>
      <c r="D125" s="114"/>
      <c r="E125" s="114"/>
      <c r="F125" s="114"/>
      <c r="G125" s="183"/>
      <c r="H125" s="133"/>
      <c r="I125" s="133"/>
      <c r="J125" s="133"/>
      <c r="K125" s="133"/>
      <c r="L125" s="133"/>
      <c r="M125" s="133"/>
      <c r="N125" s="136"/>
      <c r="O125" s="136"/>
      <c r="P125" s="136"/>
      <c r="Q125" s="136"/>
      <c r="R125" s="136"/>
      <c r="S125" s="136"/>
      <c r="T125" s="136"/>
      <c r="U125" s="136"/>
      <c r="V125" s="136"/>
      <c r="W125" s="180"/>
      <c r="X125" s="181"/>
      <c r="Y125" s="180"/>
      <c r="Z125" s="180"/>
      <c r="AA125" s="57"/>
      <c r="AB125" s="180"/>
      <c r="AC125" s="180"/>
      <c r="AD125" s="57"/>
      <c r="AE125" s="57"/>
    </row>
    <row r="126" spans="1:31" ht="12" customHeight="1">
      <c r="C126" s="115"/>
      <c r="D126" s="115"/>
      <c r="E126" s="115"/>
      <c r="F126" s="115"/>
      <c r="H126" s="133"/>
      <c r="I126" s="133"/>
      <c r="J126" s="133"/>
      <c r="K126" s="133"/>
      <c r="L126" s="133"/>
      <c r="M126" s="133"/>
      <c r="N126" s="136"/>
      <c r="O126" s="136"/>
      <c r="P126" s="136"/>
      <c r="Q126" s="136"/>
      <c r="R126" s="136"/>
      <c r="S126" s="136"/>
      <c r="T126" s="136"/>
      <c r="U126" s="136"/>
      <c r="V126" s="136"/>
      <c r="W126" s="180"/>
      <c r="X126" s="181"/>
      <c r="Y126" s="180"/>
      <c r="Z126" s="180"/>
      <c r="AA126" s="57"/>
      <c r="AB126" s="180"/>
      <c r="AC126" s="180"/>
      <c r="AD126" s="57"/>
      <c r="AE126" s="57"/>
    </row>
    <row r="127" spans="1:31" ht="12" customHeight="1">
      <c r="A127" s="114"/>
      <c r="B127" s="114"/>
      <c r="C127" s="115"/>
      <c r="D127" s="115"/>
      <c r="E127" s="115"/>
      <c r="F127" s="115"/>
      <c r="H127" s="133"/>
      <c r="I127" s="133"/>
      <c r="J127" s="133"/>
      <c r="K127" s="133"/>
      <c r="L127" s="133"/>
      <c r="M127" s="133"/>
      <c r="N127" s="136"/>
      <c r="O127" s="136"/>
      <c r="P127" s="136"/>
      <c r="Q127" s="136"/>
      <c r="R127" s="136"/>
      <c r="S127" s="136"/>
      <c r="T127" s="136"/>
      <c r="U127" s="136"/>
      <c r="V127" s="136"/>
      <c r="W127" s="180"/>
      <c r="X127" s="181"/>
      <c r="Y127" s="180"/>
      <c r="Z127" s="180"/>
      <c r="AA127" s="57"/>
      <c r="AB127" s="180"/>
      <c r="AC127" s="180"/>
      <c r="AD127" s="57"/>
      <c r="AE127" s="57"/>
    </row>
    <row r="128" spans="1:31" ht="12" customHeight="1">
      <c r="C128" s="115"/>
      <c r="D128" s="115"/>
      <c r="E128" s="115"/>
      <c r="F128" s="115"/>
      <c r="H128" s="133"/>
      <c r="I128" s="133"/>
      <c r="J128" s="133"/>
      <c r="K128" s="133"/>
      <c r="L128" s="133"/>
      <c r="M128" s="133"/>
      <c r="N128" s="136"/>
      <c r="O128" s="136"/>
      <c r="P128" s="136"/>
      <c r="Q128" s="136"/>
      <c r="R128" s="136"/>
      <c r="S128" s="136"/>
      <c r="T128" s="136"/>
      <c r="U128" s="136"/>
      <c r="V128" s="136"/>
      <c r="W128" s="180"/>
      <c r="X128" s="181"/>
      <c r="Y128" s="180"/>
      <c r="Z128" s="180"/>
      <c r="AA128" s="57"/>
      <c r="AB128" s="180"/>
      <c r="AC128" s="180"/>
      <c r="AD128" s="57"/>
      <c r="AE128" s="57"/>
    </row>
    <row r="129" spans="1:31" ht="12" customHeight="1">
      <c r="C129" s="115"/>
      <c r="D129" s="115"/>
      <c r="E129" s="115"/>
      <c r="F129" s="115"/>
      <c r="H129" s="133"/>
      <c r="I129" s="133"/>
      <c r="J129" s="133"/>
      <c r="K129" s="133"/>
      <c r="L129" s="133"/>
      <c r="M129" s="133"/>
      <c r="N129" s="136"/>
      <c r="O129" s="136"/>
      <c r="P129" s="136"/>
      <c r="Q129" s="136"/>
      <c r="R129" s="136"/>
      <c r="S129" s="136"/>
      <c r="T129" s="136"/>
      <c r="U129" s="136"/>
      <c r="V129" s="136"/>
      <c r="W129" s="180"/>
      <c r="X129" s="181"/>
      <c r="Y129" s="180"/>
      <c r="Z129" s="180"/>
      <c r="AA129" s="57"/>
      <c r="AB129" s="180"/>
      <c r="AC129" s="180"/>
      <c r="AD129" s="57"/>
      <c r="AE129" s="57"/>
    </row>
    <row r="130" spans="1:31" ht="12" customHeight="1">
      <c r="A130" s="114"/>
      <c r="B130" s="114"/>
      <c r="C130" s="114"/>
      <c r="D130" s="114"/>
      <c r="E130" s="114"/>
      <c r="F130" s="114"/>
      <c r="G130" s="183"/>
      <c r="H130" s="133"/>
      <c r="I130" s="133"/>
      <c r="J130" s="133"/>
      <c r="K130" s="133"/>
      <c r="L130" s="133"/>
      <c r="M130" s="133"/>
      <c r="N130" s="136"/>
      <c r="O130" s="136"/>
      <c r="P130" s="136"/>
      <c r="Q130" s="136"/>
      <c r="R130" s="136"/>
      <c r="S130" s="136"/>
      <c r="T130" s="136"/>
      <c r="U130" s="136"/>
      <c r="V130" s="136"/>
      <c r="W130" s="180"/>
      <c r="X130" s="181"/>
      <c r="Y130" s="180"/>
      <c r="Z130" s="180"/>
      <c r="AA130" s="57"/>
      <c r="AB130" s="180"/>
      <c r="AC130" s="180"/>
      <c r="AD130" s="57"/>
      <c r="AE130" s="57"/>
    </row>
    <row r="131" spans="1:31" ht="12" customHeight="1">
      <c r="H131" s="133"/>
      <c r="I131" s="133"/>
      <c r="J131" s="133"/>
      <c r="K131" s="133"/>
      <c r="L131" s="133"/>
      <c r="M131" s="133"/>
      <c r="N131" s="136"/>
      <c r="O131" s="136"/>
      <c r="P131" s="136"/>
      <c r="Q131" s="136"/>
      <c r="R131" s="136"/>
      <c r="S131" s="136"/>
      <c r="T131" s="136"/>
      <c r="U131" s="136"/>
      <c r="V131" s="136"/>
      <c r="W131" s="180"/>
      <c r="X131" s="181"/>
      <c r="Y131" s="180"/>
      <c r="Z131" s="180"/>
      <c r="AA131" s="57"/>
      <c r="AB131" s="180"/>
      <c r="AC131" s="180"/>
      <c r="AD131" s="57"/>
      <c r="AE131" s="57"/>
    </row>
    <row r="132" spans="1:31" ht="12" customHeight="1">
      <c r="H132" s="133"/>
      <c r="I132" s="133"/>
      <c r="J132" s="133"/>
      <c r="K132" s="133"/>
      <c r="L132" s="133"/>
      <c r="M132" s="133"/>
      <c r="N132" s="136"/>
      <c r="O132" s="136"/>
      <c r="P132" s="136"/>
      <c r="Q132" s="136"/>
      <c r="R132" s="136"/>
      <c r="S132" s="136"/>
      <c r="T132" s="136"/>
      <c r="U132" s="136"/>
      <c r="V132" s="136"/>
      <c r="W132" s="180"/>
      <c r="X132" s="181"/>
      <c r="Y132" s="180"/>
      <c r="Z132" s="180"/>
      <c r="AA132" s="57"/>
      <c r="AB132" s="180"/>
      <c r="AC132" s="180"/>
      <c r="AD132" s="57"/>
      <c r="AE132" s="57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50"/>
  <sheetViews>
    <sheetView zoomScale="115" zoomScaleNormal="115" workbookViewId="0">
      <pane xSplit="6" ySplit="2" topLeftCell="G3" activePane="bottomRight" state="frozen"/>
      <selection pane="topRight"/>
      <selection pane="bottomLeft"/>
      <selection pane="bottomRight" activeCell="A2" sqref="A2"/>
    </sheetView>
  </sheetViews>
  <sheetFormatPr defaultRowHeight="12.75"/>
  <cols>
    <col min="1" max="1" width="7.42578125" style="158" customWidth="1"/>
    <col min="2" max="2" width="9" style="158" bestFit="1" customWidth="1"/>
    <col min="3" max="3" width="13.5703125" style="64" bestFit="1" customWidth="1"/>
    <col min="4" max="4" width="28" style="64" bestFit="1" customWidth="1"/>
    <col min="5" max="5" width="6.5703125" style="64" bestFit="1" customWidth="1"/>
    <col min="6" max="6" width="5.5703125" style="64" customWidth="1"/>
    <col min="7" max="16" width="8.5703125" style="133" customWidth="1"/>
    <col min="17" max="20" width="9.140625" style="64" customWidth="1"/>
    <col min="21" max="21" width="10.5703125" style="64" customWidth="1"/>
    <col min="22" max="22" width="8.140625" style="64" customWidth="1"/>
    <col min="23" max="23" width="8" style="57" customWidth="1"/>
    <col min="24" max="24" width="10.140625" style="57" customWidth="1"/>
    <col min="25" max="25" width="9.140625" style="57" customWidth="1"/>
    <col min="26" max="26" width="8" style="57" customWidth="1"/>
    <col min="27" max="27" width="9.5703125" style="57" customWidth="1"/>
    <col min="28" max="28" width="6.140625" style="57" customWidth="1"/>
    <col min="29" max="29" width="5.5703125" style="2" customWidth="1"/>
    <col min="30" max="30" width="9" style="2" customWidth="1"/>
    <col min="31" max="31" width="8" style="1" customWidth="1"/>
    <col min="32" max="16384" width="9.140625" style="64"/>
  </cols>
  <sheetData>
    <row r="1" spans="1:50" s="67" customFormat="1">
      <c r="A1" s="14"/>
      <c r="B1" s="14"/>
      <c r="C1" s="17"/>
      <c r="D1" s="17"/>
      <c r="E1" s="37"/>
      <c r="F1" s="37"/>
      <c r="G1" s="147" t="s">
        <v>195</v>
      </c>
      <c r="H1" s="148"/>
      <c r="I1" s="148"/>
      <c r="J1" s="148"/>
      <c r="K1" s="149"/>
      <c r="L1" s="150" t="s">
        <v>196</v>
      </c>
      <c r="M1" s="151"/>
      <c r="N1" s="151"/>
      <c r="O1" s="151"/>
      <c r="P1" s="152"/>
      <c r="Q1" s="153" t="s">
        <v>197</v>
      </c>
      <c r="R1" s="154"/>
      <c r="S1" s="154"/>
      <c r="T1" s="154"/>
      <c r="U1" s="38" t="s">
        <v>196</v>
      </c>
      <c r="V1" s="39"/>
      <c r="W1" s="5" t="s">
        <v>126</v>
      </c>
      <c r="X1" s="5" t="s">
        <v>198</v>
      </c>
      <c r="Y1" s="5" t="s">
        <v>199</v>
      </c>
      <c r="Z1" s="5" t="s">
        <v>126</v>
      </c>
      <c r="AA1" s="5" t="s">
        <v>127</v>
      </c>
      <c r="AB1" s="5" t="s">
        <v>200</v>
      </c>
      <c r="AC1" s="25" t="s">
        <v>126</v>
      </c>
      <c r="AD1" s="25" t="s">
        <v>127</v>
      </c>
      <c r="AE1" s="25" t="s">
        <v>201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3.75">
      <c r="A2" s="14" t="s">
        <v>130</v>
      </c>
      <c r="B2" s="14" t="s">
        <v>131</v>
      </c>
      <c r="C2" s="17" t="s">
        <v>1</v>
      </c>
      <c r="D2" s="17" t="s">
        <v>2</v>
      </c>
      <c r="E2" s="37" t="s">
        <v>132</v>
      </c>
      <c r="F2" s="37" t="s">
        <v>3</v>
      </c>
      <c r="G2" s="128" t="s">
        <v>202</v>
      </c>
      <c r="H2" s="48" t="s">
        <v>203</v>
      </c>
      <c r="I2" s="48" t="s">
        <v>204</v>
      </c>
      <c r="J2" s="48" t="s">
        <v>205</v>
      </c>
      <c r="K2" s="155" t="s">
        <v>206</v>
      </c>
      <c r="L2" s="128" t="s">
        <v>202</v>
      </c>
      <c r="M2" s="48" t="s">
        <v>203</v>
      </c>
      <c r="N2" s="48" t="s">
        <v>204</v>
      </c>
      <c r="O2" s="48" t="s">
        <v>207</v>
      </c>
      <c r="P2" s="155" t="s">
        <v>208</v>
      </c>
      <c r="Q2" s="6" t="s">
        <v>209</v>
      </c>
      <c r="R2" s="25" t="s">
        <v>146</v>
      </c>
      <c r="S2" s="25" t="s">
        <v>210</v>
      </c>
      <c r="T2" s="25" t="s">
        <v>211</v>
      </c>
      <c r="U2" s="25" t="s">
        <v>209</v>
      </c>
      <c r="V2" s="25" t="s">
        <v>211</v>
      </c>
      <c r="W2" s="5" t="s">
        <v>212</v>
      </c>
      <c r="X2" s="5" t="s">
        <v>212</v>
      </c>
      <c r="Y2" s="5" t="s">
        <v>212</v>
      </c>
      <c r="Z2" s="7" t="s">
        <v>213</v>
      </c>
      <c r="AA2" s="7" t="s">
        <v>213</v>
      </c>
      <c r="AB2" s="7" t="s">
        <v>213</v>
      </c>
      <c r="AC2" s="9" t="s">
        <v>10</v>
      </c>
      <c r="AD2" s="9" t="s">
        <v>10</v>
      </c>
      <c r="AE2" s="25" t="s">
        <v>10</v>
      </c>
      <c r="AF2" s="34"/>
      <c r="AG2" s="35"/>
      <c r="AH2" s="35"/>
      <c r="AI2" s="35"/>
      <c r="AJ2" s="35"/>
      <c r="AK2" s="22"/>
      <c r="AL2" s="22"/>
      <c r="AM2" s="2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>
      <c r="A3" s="60">
        <v>11661</v>
      </c>
      <c r="B3" s="60" t="s">
        <v>214</v>
      </c>
      <c r="C3" s="16" t="str">
        <f>Rollover!A3</f>
        <v>Acura</v>
      </c>
      <c r="D3" s="16" t="str">
        <f>Rollover!B3</f>
        <v>MDX SUV AWD</v>
      </c>
      <c r="E3" s="16" t="s">
        <v>155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63">
        <f t="shared" ref="Q3:Q16" si="0">NORMDIST(LN(G3),7.45231,0.73998,1)</f>
        <v>8.4530954894727707E-5</v>
      </c>
      <c r="R3" s="10">
        <f t="shared" ref="R3:R16" si="1">1/(1+EXP(5.3895-0.0919*H3))</f>
        <v>1.7523542828259398E-2</v>
      </c>
      <c r="S3" s="10">
        <f t="shared" ref="S3:S16" si="2">1/(1+EXP(6.04044-0.002133*J3))</f>
        <v>6.4013537580985443E-3</v>
      </c>
      <c r="T3" s="10">
        <f t="shared" ref="T3:T16" si="3">1/(1+EXP(7.5969-0.0011*K3))</f>
        <v>1.5157807432252381E-3</v>
      </c>
      <c r="U3" s="10">
        <f t="shared" ref="U3:U16" si="4">NORMDIST(LN(L3),7.45231,0.73998,1)</f>
        <v>3.7657816696650136E-4</v>
      </c>
      <c r="V3" s="10">
        <f t="shared" ref="V3:V16" si="5">1/(1+EXP(6.3055-0.00094*P3))</f>
        <v>3.6708182980086891E-3</v>
      </c>
      <c r="W3" s="10">
        <f t="shared" ref="W3:W16" si="6">ROUND(1-(1-Q3)*(1-R3)*(1-S3)*(1-T3),3)</f>
        <v>2.5000000000000001E-2</v>
      </c>
      <c r="X3" s="10">
        <f t="shared" ref="X3:X16" si="7">IF(L3="N/A",L3,ROUND(1-(1-U3)*(1-V3),3))</f>
        <v>4.0000000000000001E-3</v>
      </c>
      <c r="Y3" s="10">
        <f t="shared" ref="Y3:Y16" si="8">ROUND(AVERAGE(W3:X3),3)</f>
        <v>1.4999999999999999E-2</v>
      </c>
      <c r="Z3" s="24">
        <f t="shared" ref="Z3:Z16" si="9">ROUND(W3/0.15,2)</f>
        <v>0.17</v>
      </c>
      <c r="AA3" s="24">
        <f t="shared" ref="AA3:AA16" si="10">IF(L3="N/A", L3, ROUND(X3/0.15,2))</f>
        <v>0.03</v>
      </c>
      <c r="AB3" s="24">
        <f t="shared" ref="AB3:AB16" si="11">ROUND(Y3/0.15,2)</f>
        <v>0.1</v>
      </c>
      <c r="AC3" s="25">
        <f t="shared" ref="AC3:AC16" si="12">IF(Z3&lt;0.67,5,IF(Z3&lt;1,4,IF(Z3&lt;1.33,3,IF(Z3&lt;2.67,2,1))))</f>
        <v>5</v>
      </c>
      <c r="AD3" s="25">
        <f t="shared" ref="AD3:AD16" si="13">IF(L3="N/A",L3,IF(AA3&lt;0.67,5,IF(AA3&lt;1,4,IF(AA3&lt;1.33,3,IF(AA3&lt;2.67,2,1)))))</f>
        <v>5</v>
      </c>
      <c r="AE3" s="25">
        <f t="shared" ref="AE3:AE16" si="14">IF(AB3&lt;0.67,5,IF(AB3&lt;1,4,IF(AB3&lt;1.33,3,IF(AB3&lt;2.67,2,1))))</f>
        <v>5</v>
      </c>
      <c r="AF3" s="21"/>
      <c r="AG3" s="23"/>
      <c r="AH3" s="23"/>
      <c r="AI3" s="23"/>
      <c r="AJ3" s="23"/>
      <c r="AK3" s="22"/>
      <c r="AL3" s="22"/>
      <c r="AM3" s="2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s="67" customFormat="1">
      <c r="A4" s="60">
        <v>11661</v>
      </c>
      <c r="B4" s="60" t="s">
        <v>214</v>
      </c>
      <c r="C4" s="17" t="str">
        <f>Rollover!A4</f>
        <v>Acura</v>
      </c>
      <c r="D4" s="17" t="str">
        <f>Rollover!B4</f>
        <v>MDX SUV FWD</v>
      </c>
      <c r="E4" s="16" t="s">
        <v>155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63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4">
        <f t="shared" si="9"/>
        <v>0.17</v>
      </c>
      <c r="AA4" s="24">
        <f t="shared" si="10"/>
        <v>0.03</v>
      </c>
      <c r="AB4" s="24">
        <f t="shared" si="11"/>
        <v>0.1</v>
      </c>
      <c r="AC4" s="25">
        <f t="shared" si="12"/>
        <v>5</v>
      </c>
      <c r="AD4" s="25">
        <f t="shared" si="13"/>
        <v>5</v>
      </c>
      <c r="AE4" s="25">
        <f t="shared" si="14"/>
        <v>5</v>
      </c>
      <c r="AF4" s="30"/>
      <c r="AG4" s="3"/>
      <c r="AH4" s="3"/>
      <c r="AI4" s="3"/>
      <c r="AJ4" s="3"/>
      <c r="AK4" s="31"/>
      <c r="AL4" s="31"/>
      <c r="AM4" s="3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>
      <c r="A5" s="60">
        <v>14251</v>
      </c>
      <c r="B5" s="60" t="s">
        <v>215</v>
      </c>
      <c r="C5" s="17" t="str">
        <f>Rollover!A5</f>
        <v xml:space="preserve">Audi </v>
      </c>
      <c r="D5" s="17" t="str">
        <f>Rollover!B5</f>
        <v>Q4 e-tron SUV AWD</v>
      </c>
      <c r="E5" s="16" t="s">
        <v>157</v>
      </c>
      <c r="F5" s="17">
        <f>Rollover!C5</f>
        <v>2022</v>
      </c>
      <c r="G5" s="18">
        <v>57.261000000000003</v>
      </c>
      <c r="H5" s="19">
        <v>14.664999999999999</v>
      </c>
      <c r="I5" s="19">
        <v>17.533000000000001</v>
      </c>
      <c r="J5" s="19">
        <v>496.983</v>
      </c>
      <c r="K5" s="20">
        <v>1120.289</v>
      </c>
      <c r="L5" s="18">
        <v>121.611</v>
      </c>
      <c r="M5" s="19">
        <v>15.368</v>
      </c>
      <c r="N5" s="19">
        <v>35.137999999999998</v>
      </c>
      <c r="O5" s="19">
        <v>8.6839999999999993</v>
      </c>
      <c r="P5" s="20">
        <v>2952.85</v>
      </c>
      <c r="Q5" s="63">
        <f t="shared" si="0"/>
        <v>2.101760784455716E-6</v>
      </c>
      <c r="R5" s="10">
        <f t="shared" si="1"/>
        <v>1.7262822770944156E-2</v>
      </c>
      <c r="S5" s="10">
        <f t="shared" si="2"/>
        <v>6.824588427258132E-3</v>
      </c>
      <c r="T5" s="10">
        <f t="shared" si="3"/>
        <v>1.7185023732193038E-3</v>
      </c>
      <c r="U5" s="10">
        <f t="shared" si="4"/>
        <v>1.6971735349335143E-4</v>
      </c>
      <c r="V5" s="10">
        <f t="shared" si="5"/>
        <v>2.847553925039982E-2</v>
      </c>
      <c r="W5" s="10">
        <f t="shared" si="6"/>
        <v>2.5999999999999999E-2</v>
      </c>
      <c r="X5" s="10">
        <f t="shared" si="7"/>
        <v>2.9000000000000001E-2</v>
      </c>
      <c r="Y5" s="10">
        <f t="shared" si="8"/>
        <v>2.8000000000000001E-2</v>
      </c>
      <c r="Z5" s="24">
        <f t="shared" si="9"/>
        <v>0.17</v>
      </c>
      <c r="AA5" s="24">
        <f t="shared" si="10"/>
        <v>0.19</v>
      </c>
      <c r="AB5" s="24">
        <f t="shared" si="11"/>
        <v>0.19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3"/>
      <c r="AH5" s="23"/>
      <c r="AI5" s="23"/>
      <c r="AJ5" s="23"/>
      <c r="AK5" s="22"/>
      <c r="AL5" s="22"/>
      <c r="AM5" s="2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>
      <c r="A6" s="60">
        <v>14251</v>
      </c>
      <c r="B6" s="60" t="s">
        <v>215</v>
      </c>
      <c r="C6" s="17" t="str">
        <f>Rollover!A6</f>
        <v xml:space="preserve">Audi </v>
      </c>
      <c r="D6" s="17" t="str">
        <f>Rollover!B6</f>
        <v>Q4 e-tronSportback SUV AWD</v>
      </c>
      <c r="E6" s="16" t="s">
        <v>157</v>
      </c>
      <c r="F6" s="17">
        <f>Rollover!C6</f>
        <v>2022</v>
      </c>
      <c r="G6" s="18">
        <v>57.261000000000003</v>
      </c>
      <c r="H6" s="19">
        <v>14.664999999999999</v>
      </c>
      <c r="I6" s="19">
        <v>17.533000000000001</v>
      </c>
      <c r="J6" s="19">
        <v>496.983</v>
      </c>
      <c r="K6" s="20">
        <v>1120.289</v>
      </c>
      <c r="L6" s="18">
        <v>121.611</v>
      </c>
      <c r="M6" s="19">
        <v>15.368</v>
      </c>
      <c r="N6" s="19">
        <v>35.137999999999998</v>
      </c>
      <c r="O6" s="19">
        <v>8.6839999999999993</v>
      </c>
      <c r="P6" s="20">
        <v>2952.85</v>
      </c>
      <c r="Q6" s="63">
        <f t="shared" si="0"/>
        <v>2.101760784455716E-6</v>
      </c>
      <c r="R6" s="10">
        <f t="shared" si="1"/>
        <v>1.7262822770944156E-2</v>
      </c>
      <c r="S6" s="10">
        <f t="shared" si="2"/>
        <v>6.824588427258132E-3</v>
      </c>
      <c r="T6" s="10">
        <f t="shared" si="3"/>
        <v>1.7185023732193038E-3</v>
      </c>
      <c r="U6" s="10">
        <f t="shared" si="4"/>
        <v>1.6971735349335143E-4</v>
      </c>
      <c r="V6" s="10">
        <f t="shared" si="5"/>
        <v>2.847553925039982E-2</v>
      </c>
      <c r="W6" s="10">
        <f t="shared" si="6"/>
        <v>2.5999999999999999E-2</v>
      </c>
      <c r="X6" s="10">
        <f t="shared" si="7"/>
        <v>2.9000000000000001E-2</v>
      </c>
      <c r="Y6" s="10">
        <f t="shared" si="8"/>
        <v>2.8000000000000001E-2</v>
      </c>
      <c r="Z6" s="24">
        <f t="shared" si="9"/>
        <v>0.17</v>
      </c>
      <c r="AA6" s="24">
        <f t="shared" si="10"/>
        <v>0.19</v>
      </c>
      <c r="AB6" s="24">
        <f t="shared" si="11"/>
        <v>0.19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3"/>
      <c r="AH6" s="23"/>
      <c r="AI6" s="23"/>
      <c r="AJ6" s="23"/>
      <c r="AK6" s="22"/>
      <c r="AL6" s="22"/>
      <c r="AM6" s="2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>
      <c r="A7" s="60">
        <v>14097</v>
      </c>
      <c r="B7" s="60" t="s">
        <v>216</v>
      </c>
      <c r="C7" s="17" t="str">
        <f>Rollover!A7</f>
        <v>Chevrolet</v>
      </c>
      <c r="D7" s="17" t="str">
        <f>Rollover!B7</f>
        <v>Bolt EUV SUV FWD</v>
      </c>
      <c r="E7" s="16" t="s">
        <v>190</v>
      </c>
      <c r="F7" s="17">
        <f>Rollover!C7</f>
        <v>2022</v>
      </c>
      <c r="G7" s="18">
        <v>74.981999999999999</v>
      </c>
      <c r="H7" s="19">
        <v>26.219000000000001</v>
      </c>
      <c r="I7" s="19">
        <v>30.986000000000001</v>
      </c>
      <c r="J7" s="19">
        <v>704.096</v>
      </c>
      <c r="K7" s="20">
        <v>1714.796</v>
      </c>
      <c r="L7" s="18">
        <v>221.45699999999999</v>
      </c>
      <c r="M7" s="19">
        <v>23.904</v>
      </c>
      <c r="N7" s="19">
        <v>30.731000000000002</v>
      </c>
      <c r="O7" s="19">
        <v>25.948</v>
      </c>
      <c r="P7" s="20">
        <v>1895.425</v>
      </c>
      <c r="Q7" s="63">
        <f t="shared" si="0"/>
        <v>1.1342218421347257E-5</v>
      </c>
      <c r="R7" s="10">
        <f t="shared" si="1"/>
        <v>4.8338829362830633E-2</v>
      </c>
      <c r="S7" s="10">
        <f t="shared" si="2"/>
        <v>1.0575293070916442E-2</v>
      </c>
      <c r="T7" s="10">
        <f t="shared" si="3"/>
        <v>3.2996808187753385E-3</v>
      </c>
      <c r="U7" s="10">
        <f t="shared" si="4"/>
        <v>2.7757567755209707E-3</v>
      </c>
      <c r="V7" s="10">
        <f t="shared" si="5"/>
        <v>1.0731308263118829E-2</v>
      </c>
      <c r="W7" s="10">
        <f t="shared" si="6"/>
        <v>6.2E-2</v>
      </c>
      <c r="X7" s="10">
        <f t="shared" si="7"/>
        <v>1.2999999999999999E-2</v>
      </c>
      <c r="Y7" s="10">
        <f t="shared" si="8"/>
        <v>3.7999999999999999E-2</v>
      </c>
      <c r="Z7" s="24">
        <f t="shared" si="9"/>
        <v>0.41</v>
      </c>
      <c r="AA7" s="24">
        <f t="shared" si="10"/>
        <v>0.09</v>
      </c>
      <c r="AB7" s="24">
        <f t="shared" si="11"/>
        <v>0.25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3"/>
      <c r="AH7" s="23"/>
      <c r="AI7" s="23"/>
      <c r="AJ7" s="23"/>
      <c r="AK7" s="22"/>
      <c r="AL7" s="22"/>
      <c r="AM7" s="22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>
      <c r="A8" s="60">
        <v>14211</v>
      </c>
      <c r="B8" s="60" t="s">
        <v>217</v>
      </c>
      <c r="C8" s="17" t="str">
        <f>Rollover!A8</f>
        <v>Chevrolet</v>
      </c>
      <c r="D8" s="17" t="str">
        <f>Rollover!B8</f>
        <v>Bolt EV 5HB FWD</v>
      </c>
      <c r="E8" s="16" t="s">
        <v>157</v>
      </c>
      <c r="F8" s="17">
        <f>Rollover!C8</f>
        <v>2022</v>
      </c>
      <c r="G8" s="18">
        <v>76.28</v>
      </c>
      <c r="H8" s="19">
        <v>23.370999999999999</v>
      </c>
      <c r="I8" s="19">
        <v>28.23</v>
      </c>
      <c r="J8" s="19">
        <v>806.69500000000005</v>
      </c>
      <c r="K8" s="20">
        <v>1350.0239999999999</v>
      </c>
      <c r="L8" s="18">
        <v>157.477</v>
      </c>
      <c r="M8" s="19">
        <v>19.407</v>
      </c>
      <c r="N8" s="19">
        <v>65.802000000000007</v>
      </c>
      <c r="O8" s="19">
        <v>18.895</v>
      </c>
      <c r="P8" s="20">
        <v>3957.1289999999999</v>
      </c>
      <c r="Q8" s="63">
        <f t="shared" si="0"/>
        <v>1.2572669351881448E-5</v>
      </c>
      <c r="R8" s="10">
        <f t="shared" si="1"/>
        <v>3.7626099495585708E-2</v>
      </c>
      <c r="S8" s="10">
        <f t="shared" si="2"/>
        <v>1.3128433066923061E-2</v>
      </c>
      <c r="T8" s="10">
        <f t="shared" si="3"/>
        <v>2.2114927439711636E-3</v>
      </c>
      <c r="U8" s="10">
        <f t="shared" si="4"/>
        <v>6.1053426285871031E-4</v>
      </c>
      <c r="V8" s="10">
        <f t="shared" si="5"/>
        <v>7.0058000534813328E-2</v>
      </c>
      <c r="W8" s="10">
        <f t="shared" si="6"/>
        <v>5.1999999999999998E-2</v>
      </c>
      <c r="X8" s="10">
        <f t="shared" si="7"/>
        <v>7.0999999999999994E-2</v>
      </c>
      <c r="Y8" s="10">
        <f t="shared" si="8"/>
        <v>6.2E-2</v>
      </c>
      <c r="Z8" s="24">
        <f t="shared" si="9"/>
        <v>0.35</v>
      </c>
      <c r="AA8" s="24">
        <f t="shared" si="10"/>
        <v>0.47</v>
      </c>
      <c r="AB8" s="24">
        <f t="shared" si="11"/>
        <v>0.41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3"/>
      <c r="AH8" s="23"/>
      <c r="AI8" s="23"/>
      <c r="AJ8" s="23"/>
      <c r="AK8" s="22"/>
      <c r="AL8" s="22"/>
      <c r="AM8" s="22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>
      <c r="A9" s="42">
        <v>10700</v>
      </c>
      <c r="B9" s="156" t="s">
        <v>218</v>
      </c>
      <c r="C9" s="17" t="str">
        <f>Rollover!A9</f>
        <v>Chevrolet</v>
      </c>
      <c r="D9" s="17" t="str">
        <f>Rollover!B9</f>
        <v>Silverado 1500 PU/CC 2WD</v>
      </c>
      <c r="E9" s="16" t="s">
        <v>155</v>
      </c>
      <c r="F9" s="17">
        <f>Rollover!C9</f>
        <v>2022</v>
      </c>
      <c r="G9" s="27">
        <v>74.131</v>
      </c>
      <c r="H9" s="28">
        <v>17.524000000000001</v>
      </c>
      <c r="I9" s="28">
        <v>20.529</v>
      </c>
      <c r="J9" s="28">
        <v>486.45</v>
      </c>
      <c r="K9" s="29">
        <v>839.65099999999995</v>
      </c>
      <c r="L9" s="27">
        <v>72.497</v>
      </c>
      <c r="M9" s="28">
        <v>24.978999999999999</v>
      </c>
      <c r="N9" s="28">
        <v>29.516999999999999</v>
      </c>
      <c r="O9" s="28">
        <v>27.436</v>
      </c>
      <c r="P9" s="29">
        <v>1197.683</v>
      </c>
      <c r="Q9" s="63">
        <f t="shared" si="0"/>
        <v>1.0588299614271538E-5</v>
      </c>
      <c r="R9" s="10">
        <f t="shared" si="1"/>
        <v>2.2334295156714225E-2</v>
      </c>
      <c r="S9" s="10">
        <f t="shared" si="2"/>
        <v>6.6739826170842806E-3</v>
      </c>
      <c r="T9" s="10">
        <f t="shared" si="3"/>
        <v>1.2626440026564376E-3</v>
      </c>
      <c r="U9" s="10">
        <f t="shared" si="4"/>
        <v>9.2514642528775539E-6</v>
      </c>
      <c r="V9" s="10">
        <f t="shared" si="5"/>
        <v>5.598301611875663E-3</v>
      </c>
      <c r="W9" s="10">
        <f t="shared" si="6"/>
        <v>0.03</v>
      </c>
      <c r="X9" s="10">
        <f t="shared" si="7"/>
        <v>6.0000000000000001E-3</v>
      </c>
      <c r="Y9" s="10">
        <f t="shared" si="8"/>
        <v>1.7999999999999999E-2</v>
      </c>
      <c r="Z9" s="24">
        <f t="shared" si="9"/>
        <v>0.2</v>
      </c>
      <c r="AA9" s="24">
        <f t="shared" si="10"/>
        <v>0.04</v>
      </c>
      <c r="AB9" s="24">
        <f t="shared" si="11"/>
        <v>0.12</v>
      </c>
      <c r="AC9" s="25">
        <f t="shared" si="12"/>
        <v>5</v>
      </c>
      <c r="AD9" s="25">
        <f t="shared" si="13"/>
        <v>5</v>
      </c>
      <c r="AE9" s="25">
        <f t="shared" si="14"/>
        <v>5</v>
      </c>
      <c r="AF9" s="21"/>
      <c r="AG9" s="23"/>
      <c r="AH9" s="23"/>
      <c r="AI9" s="23"/>
      <c r="AJ9" s="23"/>
      <c r="AK9" s="22"/>
      <c r="AL9" s="22"/>
      <c r="AM9" s="22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>
      <c r="A10" s="42">
        <v>10700</v>
      </c>
      <c r="B10" s="156" t="s">
        <v>218</v>
      </c>
      <c r="C10" s="17" t="str">
        <f>Rollover!A10</f>
        <v>Chevrolet</v>
      </c>
      <c r="D10" s="17" t="str">
        <f>Rollover!B10</f>
        <v>Silverado 1500 PU/CC 4WD</v>
      </c>
      <c r="E10" s="16" t="s">
        <v>155</v>
      </c>
      <c r="F10" s="17">
        <f>Rollover!C10</f>
        <v>2022</v>
      </c>
      <c r="G10" s="27">
        <v>74.131</v>
      </c>
      <c r="H10" s="28">
        <v>17.524000000000001</v>
      </c>
      <c r="I10" s="28">
        <v>20.529</v>
      </c>
      <c r="J10" s="28">
        <v>486.45</v>
      </c>
      <c r="K10" s="29">
        <v>839.65099999999995</v>
      </c>
      <c r="L10" s="27">
        <v>72.497</v>
      </c>
      <c r="M10" s="28">
        <v>24.978999999999999</v>
      </c>
      <c r="N10" s="28">
        <v>29.516999999999999</v>
      </c>
      <c r="O10" s="28">
        <v>27.436</v>
      </c>
      <c r="P10" s="29">
        <v>1197.683</v>
      </c>
      <c r="Q10" s="63">
        <f t="shared" si="0"/>
        <v>1.0588299614271538E-5</v>
      </c>
      <c r="R10" s="10">
        <f t="shared" si="1"/>
        <v>2.2334295156714225E-2</v>
      </c>
      <c r="S10" s="10">
        <f t="shared" si="2"/>
        <v>6.6739826170842806E-3</v>
      </c>
      <c r="T10" s="10">
        <f t="shared" si="3"/>
        <v>1.2626440026564376E-3</v>
      </c>
      <c r="U10" s="10">
        <f t="shared" si="4"/>
        <v>9.2514642528775539E-6</v>
      </c>
      <c r="V10" s="10">
        <f t="shared" si="5"/>
        <v>5.598301611875663E-3</v>
      </c>
      <c r="W10" s="10">
        <f t="shared" si="6"/>
        <v>0.03</v>
      </c>
      <c r="X10" s="10">
        <f t="shared" si="7"/>
        <v>6.0000000000000001E-3</v>
      </c>
      <c r="Y10" s="10">
        <f t="shared" si="8"/>
        <v>1.7999999999999999E-2</v>
      </c>
      <c r="Z10" s="24">
        <f t="shared" si="9"/>
        <v>0.2</v>
      </c>
      <c r="AA10" s="24">
        <f t="shared" si="10"/>
        <v>0.04</v>
      </c>
      <c r="AB10" s="24">
        <f t="shared" si="11"/>
        <v>0.12</v>
      </c>
      <c r="AC10" s="25">
        <f t="shared" si="12"/>
        <v>5</v>
      </c>
      <c r="AD10" s="25">
        <f t="shared" si="13"/>
        <v>5</v>
      </c>
      <c r="AE10" s="25">
        <f t="shared" si="14"/>
        <v>5</v>
      </c>
      <c r="AF10" s="21"/>
      <c r="AG10" s="23"/>
      <c r="AH10" s="23"/>
      <c r="AI10" s="23"/>
      <c r="AJ10" s="23"/>
      <c r="AK10" s="22"/>
      <c r="AL10" s="22"/>
      <c r="AM10" s="22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>
      <c r="A11" s="42">
        <v>10700</v>
      </c>
      <c r="B11" s="156" t="s">
        <v>218</v>
      </c>
      <c r="C11" s="17" t="str">
        <f>Rollover!A11</f>
        <v>GMC</v>
      </c>
      <c r="D11" s="17" t="str">
        <f>Rollover!B11</f>
        <v>Sierra 1500 PU/CC 2WD</v>
      </c>
      <c r="E11" s="16" t="s">
        <v>155</v>
      </c>
      <c r="F11" s="17">
        <f>Rollover!C11</f>
        <v>2022</v>
      </c>
      <c r="G11" s="27">
        <v>74.131</v>
      </c>
      <c r="H11" s="28">
        <v>17.524000000000001</v>
      </c>
      <c r="I11" s="28">
        <v>20.529</v>
      </c>
      <c r="J11" s="28">
        <v>486.45</v>
      </c>
      <c r="K11" s="29">
        <v>839.65099999999995</v>
      </c>
      <c r="L11" s="27">
        <v>72.497</v>
      </c>
      <c r="M11" s="28">
        <v>24.978999999999999</v>
      </c>
      <c r="N11" s="28">
        <v>29.516999999999999</v>
      </c>
      <c r="O11" s="28">
        <v>27.436</v>
      </c>
      <c r="P11" s="29">
        <v>1197.683</v>
      </c>
      <c r="Q11" s="63">
        <f t="shared" si="0"/>
        <v>1.0588299614271538E-5</v>
      </c>
      <c r="R11" s="10">
        <f t="shared" si="1"/>
        <v>2.2334295156714225E-2</v>
      </c>
      <c r="S11" s="10">
        <f t="shared" si="2"/>
        <v>6.6739826170842806E-3</v>
      </c>
      <c r="T11" s="10">
        <f t="shared" si="3"/>
        <v>1.2626440026564376E-3</v>
      </c>
      <c r="U11" s="10">
        <f t="shared" si="4"/>
        <v>9.2514642528775539E-6</v>
      </c>
      <c r="V11" s="10">
        <f t="shared" si="5"/>
        <v>5.598301611875663E-3</v>
      </c>
      <c r="W11" s="10">
        <f t="shared" si="6"/>
        <v>0.03</v>
      </c>
      <c r="X11" s="10">
        <f t="shared" si="7"/>
        <v>6.0000000000000001E-3</v>
      </c>
      <c r="Y11" s="10">
        <f t="shared" si="8"/>
        <v>1.7999999999999999E-2</v>
      </c>
      <c r="Z11" s="24">
        <f t="shared" si="9"/>
        <v>0.2</v>
      </c>
      <c r="AA11" s="24">
        <f t="shared" si="10"/>
        <v>0.04</v>
      </c>
      <c r="AB11" s="24">
        <f t="shared" si="11"/>
        <v>0.12</v>
      </c>
      <c r="AC11" s="25">
        <f t="shared" si="12"/>
        <v>5</v>
      </c>
      <c r="AD11" s="25">
        <f t="shared" si="13"/>
        <v>5</v>
      </c>
      <c r="AE11" s="25">
        <f t="shared" si="14"/>
        <v>5</v>
      </c>
      <c r="AF11" s="21"/>
      <c r="AG11" s="23"/>
      <c r="AH11" s="23"/>
      <c r="AI11" s="23"/>
      <c r="AJ11" s="23"/>
      <c r="AK11" s="22"/>
      <c r="AL11" s="22"/>
      <c r="AM11" s="22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>
      <c r="A12" s="42">
        <v>10700</v>
      </c>
      <c r="B12" s="156" t="s">
        <v>218</v>
      </c>
      <c r="C12" s="17" t="str">
        <f>Rollover!A12</f>
        <v>GMC</v>
      </c>
      <c r="D12" s="17" t="str">
        <f>Rollover!B12</f>
        <v>Sierra 1500 PU/CC 4WD</v>
      </c>
      <c r="E12" s="16" t="s">
        <v>155</v>
      </c>
      <c r="F12" s="17">
        <f>Rollover!C12</f>
        <v>2022</v>
      </c>
      <c r="G12" s="27">
        <v>74.131</v>
      </c>
      <c r="H12" s="28">
        <v>17.524000000000001</v>
      </c>
      <c r="I12" s="28">
        <v>20.529</v>
      </c>
      <c r="J12" s="28">
        <v>486.45</v>
      </c>
      <c r="K12" s="29">
        <v>839.65099999999995</v>
      </c>
      <c r="L12" s="27">
        <v>72.497</v>
      </c>
      <c r="M12" s="28">
        <v>24.978999999999999</v>
      </c>
      <c r="N12" s="28">
        <v>29.516999999999999</v>
      </c>
      <c r="O12" s="28">
        <v>27.436</v>
      </c>
      <c r="P12" s="29">
        <v>1197.683</v>
      </c>
      <c r="Q12" s="63">
        <f t="shared" si="0"/>
        <v>1.0588299614271538E-5</v>
      </c>
      <c r="R12" s="10">
        <f t="shared" si="1"/>
        <v>2.2334295156714225E-2</v>
      </c>
      <c r="S12" s="10">
        <f t="shared" si="2"/>
        <v>6.6739826170842806E-3</v>
      </c>
      <c r="T12" s="10">
        <f t="shared" si="3"/>
        <v>1.2626440026564376E-3</v>
      </c>
      <c r="U12" s="10">
        <f t="shared" si="4"/>
        <v>9.2514642528775539E-6</v>
      </c>
      <c r="V12" s="10">
        <f t="shared" si="5"/>
        <v>5.598301611875663E-3</v>
      </c>
      <c r="W12" s="10">
        <f t="shared" si="6"/>
        <v>0.03</v>
      </c>
      <c r="X12" s="10">
        <f t="shared" si="7"/>
        <v>6.0000000000000001E-3</v>
      </c>
      <c r="Y12" s="10">
        <f t="shared" si="8"/>
        <v>1.7999999999999999E-2</v>
      </c>
      <c r="Z12" s="24">
        <f t="shared" si="9"/>
        <v>0.2</v>
      </c>
      <c r="AA12" s="24">
        <f t="shared" si="10"/>
        <v>0.04</v>
      </c>
      <c r="AB12" s="24">
        <f t="shared" si="11"/>
        <v>0.12</v>
      </c>
      <c r="AC12" s="25">
        <f t="shared" si="12"/>
        <v>5</v>
      </c>
      <c r="AD12" s="25">
        <f t="shared" si="13"/>
        <v>5</v>
      </c>
      <c r="AE12" s="25">
        <f t="shared" si="14"/>
        <v>5</v>
      </c>
      <c r="AF12" s="21"/>
      <c r="AG12" s="23"/>
      <c r="AH12" s="23"/>
      <c r="AI12" s="23"/>
      <c r="AJ12" s="23"/>
      <c r="AK12" s="22"/>
      <c r="AL12" s="22"/>
      <c r="AM12" s="22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>
      <c r="A13" s="60">
        <v>14259</v>
      </c>
      <c r="B13" s="60" t="s">
        <v>219</v>
      </c>
      <c r="C13" s="17" t="str">
        <f>Rollover!A13</f>
        <v>Chevrolet</v>
      </c>
      <c r="D13" s="17" t="str">
        <f>Rollover!B13</f>
        <v>Traverse SUV AWD</v>
      </c>
      <c r="E13" s="16" t="s">
        <v>163</v>
      </c>
      <c r="F13" s="17">
        <f>Rollover!C13</f>
        <v>2022</v>
      </c>
      <c r="G13" s="18">
        <v>134.768</v>
      </c>
      <c r="H13" s="19">
        <v>23.940999999999999</v>
      </c>
      <c r="I13" s="19">
        <v>25.225000000000001</v>
      </c>
      <c r="J13" s="19">
        <v>802.21799999999996</v>
      </c>
      <c r="K13" s="20">
        <v>1006.177</v>
      </c>
      <c r="L13" s="18">
        <v>228.642</v>
      </c>
      <c r="M13" s="19">
        <v>10.397</v>
      </c>
      <c r="N13" s="19">
        <v>52.581000000000003</v>
      </c>
      <c r="O13" s="19">
        <v>28.780999999999999</v>
      </c>
      <c r="P13" s="20">
        <v>4346.0379999999996</v>
      </c>
      <c r="Q13" s="63">
        <f t="shared" si="0"/>
        <v>2.8620977776357934E-4</v>
      </c>
      <c r="R13" s="10">
        <f t="shared" si="1"/>
        <v>3.9569534277940251E-2</v>
      </c>
      <c r="S13" s="10">
        <f t="shared" si="2"/>
        <v>1.3005283273544825E-2</v>
      </c>
      <c r="T13" s="10">
        <f t="shared" si="3"/>
        <v>1.516087103123782E-3</v>
      </c>
      <c r="U13" s="10">
        <f t="shared" si="4"/>
        <v>3.1666236128345265E-3</v>
      </c>
      <c r="V13" s="10">
        <f t="shared" si="5"/>
        <v>9.7948986255163642E-2</v>
      </c>
      <c r="W13" s="10">
        <f t="shared" si="6"/>
        <v>5.3999999999999999E-2</v>
      </c>
      <c r="X13" s="10">
        <f t="shared" si="7"/>
        <v>0.10100000000000001</v>
      </c>
      <c r="Y13" s="10">
        <f t="shared" si="8"/>
        <v>7.8E-2</v>
      </c>
      <c r="Z13" s="24">
        <f t="shared" si="9"/>
        <v>0.36</v>
      </c>
      <c r="AA13" s="24">
        <f t="shared" si="10"/>
        <v>0.67</v>
      </c>
      <c r="AB13" s="24">
        <f t="shared" si="11"/>
        <v>0.52</v>
      </c>
      <c r="AC13" s="25">
        <f t="shared" si="12"/>
        <v>5</v>
      </c>
      <c r="AD13" s="25">
        <f t="shared" si="13"/>
        <v>4</v>
      </c>
      <c r="AE13" s="25">
        <f t="shared" si="14"/>
        <v>5</v>
      </c>
      <c r="AF13" s="21"/>
      <c r="AG13" s="23"/>
      <c r="AH13" s="23"/>
      <c r="AI13" s="23"/>
      <c r="AJ13" s="23"/>
      <c r="AK13" s="22"/>
      <c r="AL13" s="22"/>
      <c r="AM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ht="13.5" customHeight="1">
      <c r="A14" s="60">
        <v>14259</v>
      </c>
      <c r="B14" s="60" t="s">
        <v>219</v>
      </c>
      <c r="C14" s="17" t="str">
        <f>Rollover!A14</f>
        <v>Chevrolet</v>
      </c>
      <c r="D14" s="17" t="str">
        <f>Rollover!B14</f>
        <v>Traverse SUV FWD</v>
      </c>
      <c r="E14" s="16" t="s">
        <v>163</v>
      </c>
      <c r="F14" s="17">
        <f>Rollover!C14</f>
        <v>2022</v>
      </c>
      <c r="G14" s="18">
        <v>134.768</v>
      </c>
      <c r="H14" s="19">
        <v>23.940999999999999</v>
      </c>
      <c r="I14" s="19">
        <v>25.225000000000001</v>
      </c>
      <c r="J14" s="19">
        <v>802.21799999999996</v>
      </c>
      <c r="K14" s="20">
        <v>1006.177</v>
      </c>
      <c r="L14" s="18">
        <v>228.642</v>
      </c>
      <c r="M14" s="19">
        <v>10.397</v>
      </c>
      <c r="N14" s="19">
        <v>52.581000000000003</v>
      </c>
      <c r="O14" s="19">
        <v>28.780999999999999</v>
      </c>
      <c r="P14" s="20">
        <v>4346.0379999999996</v>
      </c>
      <c r="Q14" s="63">
        <f t="shared" si="0"/>
        <v>2.8620977776357934E-4</v>
      </c>
      <c r="R14" s="10">
        <f t="shared" si="1"/>
        <v>3.9569534277940251E-2</v>
      </c>
      <c r="S14" s="10">
        <f t="shared" si="2"/>
        <v>1.3005283273544825E-2</v>
      </c>
      <c r="T14" s="10">
        <f t="shared" si="3"/>
        <v>1.516087103123782E-3</v>
      </c>
      <c r="U14" s="10">
        <f t="shared" si="4"/>
        <v>3.1666236128345265E-3</v>
      </c>
      <c r="V14" s="10">
        <f t="shared" si="5"/>
        <v>9.7948986255163642E-2</v>
      </c>
      <c r="W14" s="10">
        <f t="shared" si="6"/>
        <v>5.3999999999999999E-2</v>
      </c>
      <c r="X14" s="10">
        <f t="shared" si="7"/>
        <v>0.10100000000000001</v>
      </c>
      <c r="Y14" s="10">
        <f t="shared" si="8"/>
        <v>7.8E-2</v>
      </c>
      <c r="Z14" s="24">
        <f t="shared" si="9"/>
        <v>0.36</v>
      </c>
      <c r="AA14" s="24">
        <f t="shared" si="10"/>
        <v>0.67</v>
      </c>
      <c r="AB14" s="24">
        <f t="shared" si="11"/>
        <v>0.52</v>
      </c>
      <c r="AC14" s="25">
        <f t="shared" si="12"/>
        <v>5</v>
      </c>
      <c r="AD14" s="25">
        <f t="shared" si="13"/>
        <v>4</v>
      </c>
      <c r="AE14" s="25">
        <f t="shared" si="14"/>
        <v>5</v>
      </c>
      <c r="AF14" s="21"/>
      <c r="AG14" s="23"/>
      <c r="AH14" s="23"/>
      <c r="AI14" s="23"/>
      <c r="AJ14" s="23"/>
      <c r="AK14" s="22"/>
      <c r="AL14" s="22"/>
      <c r="AM14" s="22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>
      <c r="A15" s="60">
        <v>14259</v>
      </c>
      <c r="B15" s="60" t="s">
        <v>219</v>
      </c>
      <c r="C15" s="16" t="str">
        <f>Rollover!A15</f>
        <v>Buick</v>
      </c>
      <c r="D15" s="16" t="str">
        <f>Rollover!B15</f>
        <v>Enclave SUV AWD</v>
      </c>
      <c r="E15" s="16" t="s">
        <v>163</v>
      </c>
      <c r="F15" s="17">
        <f>Rollover!C15</f>
        <v>2022</v>
      </c>
      <c r="G15" s="18">
        <v>134.768</v>
      </c>
      <c r="H15" s="19">
        <v>23.940999999999999</v>
      </c>
      <c r="I15" s="19">
        <v>25.225000000000001</v>
      </c>
      <c r="J15" s="19">
        <v>802.21799999999996</v>
      </c>
      <c r="K15" s="20">
        <v>1006.177</v>
      </c>
      <c r="L15" s="18">
        <v>228.642</v>
      </c>
      <c r="M15" s="19">
        <v>10.397</v>
      </c>
      <c r="N15" s="19">
        <v>52.581000000000003</v>
      </c>
      <c r="O15" s="19">
        <v>28.780999999999999</v>
      </c>
      <c r="P15" s="20">
        <v>4346.0379999999996</v>
      </c>
      <c r="Q15" s="63">
        <f t="shared" si="0"/>
        <v>2.8620977776357934E-4</v>
      </c>
      <c r="R15" s="10">
        <f t="shared" si="1"/>
        <v>3.9569534277940251E-2</v>
      </c>
      <c r="S15" s="10">
        <f t="shared" si="2"/>
        <v>1.3005283273544825E-2</v>
      </c>
      <c r="T15" s="10">
        <f t="shared" si="3"/>
        <v>1.516087103123782E-3</v>
      </c>
      <c r="U15" s="10">
        <f t="shared" si="4"/>
        <v>3.1666236128345265E-3</v>
      </c>
      <c r="V15" s="10">
        <f t="shared" si="5"/>
        <v>9.7948986255163642E-2</v>
      </c>
      <c r="W15" s="10">
        <f t="shared" si="6"/>
        <v>5.3999999999999999E-2</v>
      </c>
      <c r="X15" s="10">
        <f t="shared" si="7"/>
        <v>0.10100000000000001</v>
      </c>
      <c r="Y15" s="10">
        <f t="shared" si="8"/>
        <v>7.8E-2</v>
      </c>
      <c r="Z15" s="24">
        <f t="shared" si="9"/>
        <v>0.36</v>
      </c>
      <c r="AA15" s="24">
        <f t="shared" si="10"/>
        <v>0.67</v>
      </c>
      <c r="AB15" s="24">
        <f t="shared" si="11"/>
        <v>0.52</v>
      </c>
      <c r="AC15" s="25">
        <f t="shared" si="12"/>
        <v>5</v>
      </c>
      <c r="AD15" s="25">
        <f t="shared" si="13"/>
        <v>4</v>
      </c>
      <c r="AE15" s="25">
        <f t="shared" si="14"/>
        <v>5</v>
      </c>
      <c r="AF15" s="21"/>
      <c r="AG15" s="23"/>
      <c r="AH15" s="23"/>
      <c r="AI15" s="23"/>
      <c r="AJ15" s="23"/>
      <c r="AK15" s="22"/>
      <c r="AL15" s="22"/>
      <c r="AM15" s="2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>
      <c r="A16" s="60">
        <v>14259</v>
      </c>
      <c r="B16" s="60" t="s">
        <v>219</v>
      </c>
      <c r="C16" s="16" t="str">
        <f>Rollover!A16</f>
        <v>Buick</v>
      </c>
      <c r="D16" s="16" t="str">
        <f>Rollover!B16</f>
        <v>Enclave SUV FWD</v>
      </c>
      <c r="E16" s="16" t="s">
        <v>163</v>
      </c>
      <c r="F16" s="17">
        <f>Rollover!C16</f>
        <v>2022</v>
      </c>
      <c r="G16" s="18">
        <v>134.768</v>
      </c>
      <c r="H16" s="19">
        <v>23.940999999999999</v>
      </c>
      <c r="I16" s="19">
        <v>25.225000000000001</v>
      </c>
      <c r="J16" s="19">
        <v>802.21799999999996</v>
      </c>
      <c r="K16" s="20">
        <v>1006.177</v>
      </c>
      <c r="L16" s="18">
        <v>228.642</v>
      </c>
      <c r="M16" s="19">
        <v>10.397</v>
      </c>
      <c r="N16" s="19">
        <v>52.581000000000003</v>
      </c>
      <c r="O16" s="19">
        <v>28.780999999999999</v>
      </c>
      <c r="P16" s="20">
        <v>4346.0379999999996</v>
      </c>
      <c r="Q16" s="63">
        <f t="shared" si="0"/>
        <v>2.8620977776357934E-4</v>
      </c>
      <c r="R16" s="10">
        <f t="shared" si="1"/>
        <v>3.9569534277940251E-2</v>
      </c>
      <c r="S16" s="10">
        <f t="shared" si="2"/>
        <v>1.3005283273544825E-2</v>
      </c>
      <c r="T16" s="10">
        <f t="shared" si="3"/>
        <v>1.516087103123782E-3</v>
      </c>
      <c r="U16" s="10">
        <f t="shared" si="4"/>
        <v>3.1666236128345265E-3</v>
      </c>
      <c r="V16" s="10">
        <f t="shared" si="5"/>
        <v>9.7948986255163642E-2</v>
      </c>
      <c r="W16" s="10">
        <f t="shared" si="6"/>
        <v>5.3999999999999999E-2</v>
      </c>
      <c r="X16" s="10">
        <f t="shared" si="7"/>
        <v>0.10100000000000001</v>
      </c>
      <c r="Y16" s="10">
        <f t="shared" si="8"/>
        <v>7.8E-2</v>
      </c>
      <c r="Z16" s="24">
        <f t="shared" si="9"/>
        <v>0.36</v>
      </c>
      <c r="AA16" s="24">
        <f t="shared" si="10"/>
        <v>0.67</v>
      </c>
      <c r="AB16" s="24">
        <f t="shared" si="11"/>
        <v>0.52</v>
      </c>
      <c r="AC16" s="25">
        <f t="shared" si="12"/>
        <v>5</v>
      </c>
      <c r="AD16" s="25">
        <f t="shared" si="13"/>
        <v>4</v>
      </c>
      <c r="AE16" s="25">
        <f t="shared" si="14"/>
        <v>5</v>
      </c>
      <c r="AF16" s="21"/>
      <c r="AG16" s="23"/>
      <c r="AH16" s="23"/>
      <c r="AI16" s="23"/>
      <c r="AJ16" s="23"/>
      <c r="AK16" s="22"/>
      <c r="AL16" s="22"/>
      <c r="AM16" s="2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>
      <c r="A17" s="60"/>
      <c r="B17" s="60"/>
      <c r="C17" s="17" t="str">
        <f>Rollover!A17</f>
        <v>Ford</v>
      </c>
      <c r="D17" s="17" t="str">
        <f>Rollover!B17</f>
        <v>Bronco 4 DR SUV 4WD</v>
      </c>
      <c r="E17" s="16"/>
      <c r="F17" s="17">
        <f>Rollover!C17</f>
        <v>2022</v>
      </c>
      <c r="G17" s="18"/>
      <c r="H17" s="19"/>
      <c r="I17" s="19"/>
      <c r="J17" s="19"/>
      <c r="K17" s="20"/>
      <c r="L17" s="18"/>
      <c r="M17" s="19"/>
      <c r="N17" s="19"/>
      <c r="O17" s="19"/>
      <c r="P17" s="20"/>
      <c r="Q17" s="63" t="e">
        <f t="shared" ref="Q17:Q55" si="15">NORMDIST(LN(G17),7.45231,0.73998,1)</f>
        <v>#NUM!</v>
      </c>
      <c r="R17" s="10">
        <f t="shared" ref="R17:R55" si="16">1/(1+EXP(5.3895-0.0919*H17))</f>
        <v>4.5435171224880964E-3</v>
      </c>
      <c r="S17" s="10">
        <f t="shared" ref="S17:S55" si="17">1/(1+EXP(6.04044-0.002133*J17))</f>
        <v>2.3748578822706131E-3</v>
      </c>
      <c r="T17" s="10">
        <f t="shared" ref="T17:T55" si="18">1/(1+EXP(7.5969-0.0011*K17))</f>
        <v>5.0175335722563109E-4</v>
      </c>
      <c r="U17" s="10" t="e">
        <f t="shared" ref="U17:U55" si="19">NORMDIST(LN(L17),7.45231,0.73998,1)</f>
        <v>#NUM!</v>
      </c>
      <c r="V17" s="10">
        <f t="shared" ref="V17:V55" si="20">1/(1+EXP(6.3055-0.00094*P17))</f>
        <v>1.8229037773026034E-3</v>
      </c>
      <c r="W17" s="10" t="e">
        <f t="shared" ref="W17:W55" si="21">ROUND(1-(1-Q17)*(1-R17)*(1-S17)*(1-T17),3)</f>
        <v>#NUM!</v>
      </c>
      <c r="X17" s="10" t="e">
        <f t="shared" ref="X17:X55" si="22">IF(L17="N/A",L17,ROUND(1-(1-U17)*(1-V17),3))</f>
        <v>#NUM!</v>
      </c>
      <c r="Y17" s="10" t="e">
        <f t="shared" ref="Y17:Y55" si="23">ROUND(AVERAGE(W17:X17),3)</f>
        <v>#NUM!</v>
      </c>
      <c r="Z17" s="24" t="e">
        <f t="shared" ref="Z17:Z55" si="24">ROUND(W17/0.15,2)</f>
        <v>#NUM!</v>
      </c>
      <c r="AA17" s="24" t="e">
        <f t="shared" ref="AA17:AA55" si="25">IF(L17="N/A", L17, ROUND(X17/0.15,2))</f>
        <v>#NUM!</v>
      </c>
      <c r="AB17" s="24" t="e">
        <f t="shared" ref="AB17:AB55" si="26">ROUND(Y17/0.15,2)</f>
        <v>#NUM!</v>
      </c>
      <c r="AC17" s="25" t="e">
        <f t="shared" ref="AC17:AC55" si="27">IF(Z17&lt;0.67,5,IF(Z17&lt;1,4,IF(Z17&lt;1.33,3,IF(Z17&lt;2.67,2,1))))</f>
        <v>#NUM!</v>
      </c>
      <c r="AD17" s="25" t="e">
        <f t="shared" ref="AD17:AD55" si="28">IF(L17="N/A",L17,IF(AA17&lt;0.67,5,IF(AA17&lt;1,4,IF(AA17&lt;1.33,3,IF(AA17&lt;2.67,2,1)))))</f>
        <v>#NUM!</v>
      </c>
      <c r="AE17" s="25" t="e">
        <f t="shared" ref="AE17:AE55" si="29">IF(AB17&lt;0.67,5,IF(AB17&lt;1,4,IF(AB17&lt;1.33,3,IF(AB17&lt;2.67,2,1))))</f>
        <v>#NUM!</v>
      </c>
      <c r="AF17" s="21"/>
      <c r="AG17" s="23"/>
      <c r="AH17" s="23"/>
      <c r="AI17" s="23"/>
      <c r="AJ17" s="23"/>
      <c r="AK17" s="22"/>
      <c r="AL17" s="22"/>
      <c r="AM17" s="2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>
      <c r="A18" s="60">
        <v>14066</v>
      </c>
      <c r="B18" s="60" t="s">
        <v>220</v>
      </c>
      <c r="C18" s="17" t="str">
        <f>Rollover!A18</f>
        <v>Ford</v>
      </c>
      <c r="D18" s="17" t="str">
        <f>Rollover!B18</f>
        <v>Escape PHEV SUV FWD</v>
      </c>
      <c r="E18" s="15" t="s">
        <v>155</v>
      </c>
      <c r="F18" s="17">
        <f>Rollover!C18</f>
        <v>2022</v>
      </c>
      <c r="G18" s="18">
        <v>173.75800000000001</v>
      </c>
      <c r="H18" s="19">
        <v>18.585999999999999</v>
      </c>
      <c r="I18" s="19">
        <v>21.504999999999999</v>
      </c>
      <c r="J18" s="19">
        <v>700.41399999999999</v>
      </c>
      <c r="K18" s="20">
        <v>855.70799999999997</v>
      </c>
      <c r="L18" s="18">
        <v>105.499</v>
      </c>
      <c r="M18" s="19">
        <v>18.545999999999999</v>
      </c>
      <c r="N18" s="19">
        <v>41.930999999999997</v>
      </c>
      <c r="O18" s="19">
        <v>18.007000000000001</v>
      </c>
      <c r="P18" s="20">
        <v>3131.2139999999999</v>
      </c>
      <c r="Q18" s="63">
        <f t="shared" si="15"/>
        <v>9.6448012482810552E-4</v>
      </c>
      <c r="R18" s="10">
        <f t="shared" si="16"/>
        <v>2.4567737990110246E-2</v>
      </c>
      <c r="S18" s="10">
        <f t="shared" si="17"/>
        <v>1.0493431242890747E-2</v>
      </c>
      <c r="T18" s="10">
        <f t="shared" si="18"/>
        <v>1.2851149088836773E-3</v>
      </c>
      <c r="U18" s="10">
        <f t="shared" si="19"/>
        <v>7.9924054135074667E-5</v>
      </c>
      <c r="V18" s="10">
        <f t="shared" si="20"/>
        <v>3.3499255961367977E-2</v>
      </c>
      <c r="W18" s="10">
        <f t="shared" si="21"/>
        <v>3.6999999999999998E-2</v>
      </c>
      <c r="X18" s="10">
        <f t="shared" si="22"/>
        <v>3.4000000000000002E-2</v>
      </c>
      <c r="Y18" s="10">
        <f t="shared" si="23"/>
        <v>3.5999999999999997E-2</v>
      </c>
      <c r="Z18" s="24">
        <f t="shared" si="24"/>
        <v>0.25</v>
      </c>
      <c r="AA18" s="24">
        <f t="shared" si="25"/>
        <v>0.23</v>
      </c>
      <c r="AB18" s="24">
        <f t="shared" si="26"/>
        <v>0.24</v>
      </c>
      <c r="AC18" s="25">
        <f t="shared" si="27"/>
        <v>5</v>
      </c>
      <c r="AD18" s="25">
        <f t="shared" si="28"/>
        <v>5</v>
      </c>
      <c r="AE18" s="25">
        <f t="shared" si="29"/>
        <v>5</v>
      </c>
      <c r="AF18" s="21"/>
      <c r="AG18" s="23"/>
      <c r="AH18" s="23"/>
      <c r="AI18" s="23"/>
      <c r="AJ18" s="23"/>
      <c r="AK18" s="22"/>
      <c r="AL18" s="22"/>
      <c r="AM18" s="2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>
      <c r="A19" s="60">
        <v>14066</v>
      </c>
      <c r="B19" s="60" t="s">
        <v>220</v>
      </c>
      <c r="C19" s="16" t="str">
        <f>Rollover!A19</f>
        <v>Lincoln</v>
      </c>
      <c r="D19" s="16" t="str">
        <f>Rollover!B19</f>
        <v>Corsair PHEV SUV AWD</v>
      </c>
      <c r="E19" s="16" t="s">
        <v>155</v>
      </c>
      <c r="F19" s="17">
        <f>Rollover!C19</f>
        <v>2022</v>
      </c>
      <c r="G19" s="18">
        <v>173.75800000000001</v>
      </c>
      <c r="H19" s="19">
        <v>18.585999999999999</v>
      </c>
      <c r="I19" s="19">
        <v>21.504999999999999</v>
      </c>
      <c r="J19" s="19">
        <v>700.41399999999999</v>
      </c>
      <c r="K19" s="20">
        <v>855.70799999999997</v>
      </c>
      <c r="L19" s="18">
        <v>105.499</v>
      </c>
      <c r="M19" s="19">
        <v>18.545999999999999</v>
      </c>
      <c r="N19" s="19">
        <v>41.930999999999997</v>
      </c>
      <c r="O19" s="19">
        <v>18.007000000000001</v>
      </c>
      <c r="P19" s="20">
        <v>3131.2139999999999</v>
      </c>
      <c r="Q19" s="63">
        <f t="shared" si="15"/>
        <v>9.6448012482810552E-4</v>
      </c>
      <c r="R19" s="10">
        <f t="shared" si="16"/>
        <v>2.4567737990110246E-2</v>
      </c>
      <c r="S19" s="10">
        <f t="shared" si="17"/>
        <v>1.0493431242890747E-2</v>
      </c>
      <c r="T19" s="10">
        <f t="shared" si="18"/>
        <v>1.2851149088836773E-3</v>
      </c>
      <c r="U19" s="10">
        <f t="shared" si="19"/>
        <v>7.9924054135074667E-5</v>
      </c>
      <c r="V19" s="10">
        <f t="shared" si="20"/>
        <v>3.3499255961367977E-2</v>
      </c>
      <c r="W19" s="10">
        <f t="shared" si="21"/>
        <v>3.6999999999999998E-2</v>
      </c>
      <c r="X19" s="10">
        <f t="shared" si="22"/>
        <v>3.4000000000000002E-2</v>
      </c>
      <c r="Y19" s="10">
        <f t="shared" si="23"/>
        <v>3.5999999999999997E-2</v>
      </c>
      <c r="Z19" s="24">
        <f t="shared" si="24"/>
        <v>0.25</v>
      </c>
      <c r="AA19" s="24">
        <f t="shared" si="25"/>
        <v>0.23</v>
      </c>
      <c r="AB19" s="24">
        <f t="shared" si="26"/>
        <v>0.24</v>
      </c>
      <c r="AC19" s="25">
        <f t="shared" si="27"/>
        <v>5</v>
      </c>
      <c r="AD19" s="25">
        <f t="shared" si="28"/>
        <v>5</v>
      </c>
      <c r="AE19" s="25">
        <f t="shared" si="29"/>
        <v>5</v>
      </c>
      <c r="AF19" s="21"/>
      <c r="AG19" s="23"/>
      <c r="AH19" s="23"/>
      <c r="AI19" s="23"/>
      <c r="AJ19" s="23"/>
      <c r="AK19" s="22"/>
      <c r="AL19" s="22"/>
      <c r="AM19" s="2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>
      <c r="A20" s="42">
        <v>10344</v>
      </c>
      <c r="B20" s="60" t="s">
        <v>221</v>
      </c>
      <c r="C20" s="17" t="str">
        <f>Rollover!A20</f>
        <v>Ford</v>
      </c>
      <c r="D20" s="17" t="str">
        <f>Rollover!B20</f>
        <v>Expedition SUV 2WD</v>
      </c>
      <c r="E20" s="16" t="s">
        <v>157</v>
      </c>
      <c r="F20" s="17">
        <f>Rollover!C20</f>
        <v>2022</v>
      </c>
      <c r="G20" s="27">
        <v>23.286999999999999</v>
      </c>
      <c r="H20" s="28">
        <v>13.577</v>
      </c>
      <c r="I20" s="28">
        <v>14.423999999999999</v>
      </c>
      <c r="J20" s="28">
        <v>479.57900000000001</v>
      </c>
      <c r="K20" s="29">
        <v>801.78099999999995</v>
      </c>
      <c r="L20" s="27">
        <v>60.768000000000001</v>
      </c>
      <c r="M20" s="28">
        <v>7.6050000000000004</v>
      </c>
      <c r="N20" s="28">
        <v>27.248000000000001</v>
      </c>
      <c r="O20" s="28">
        <v>18.898</v>
      </c>
      <c r="P20" s="29">
        <v>1929.778</v>
      </c>
      <c r="Q20" s="63">
        <f t="shared" si="15"/>
        <v>2.9968417367533604E-9</v>
      </c>
      <c r="R20" s="10">
        <f t="shared" si="16"/>
        <v>1.5645947561920909E-2</v>
      </c>
      <c r="S20" s="10">
        <f t="shared" si="17"/>
        <v>6.5775217261828537E-3</v>
      </c>
      <c r="T20" s="10">
        <f t="shared" si="18"/>
        <v>1.2111889203305869E-3</v>
      </c>
      <c r="U20" s="10">
        <f t="shared" si="19"/>
        <v>3.081398782363297E-6</v>
      </c>
      <c r="V20" s="10">
        <f t="shared" si="20"/>
        <v>1.1079595436042384E-2</v>
      </c>
      <c r="W20" s="10">
        <f t="shared" si="21"/>
        <v>2.3E-2</v>
      </c>
      <c r="X20" s="10">
        <f t="shared" si="22"/>
        <v>1.0999999999999999E-2</v>
      </c>
      <c r="Y20" s="10">
        <f t="shared" si="23"/>
        <v>1.7000000000000001E-2</v>
      </c>
      <c r="Z20" s="24">
        <f t="shared" si="24"/>
        <v>0.15</v>
      </c>
      <c r="AA20" s="24">
        <f t="shared" si="25"/>
        <v>7.0000000000000007E-2</v>
      </c>
      <c r="AB20" s="24">
        <f t="shared" si="26"/>
        <v>0.11</v>
      </c>
      <c r="AC20" s="25">
        <f t="shared" si="27"/>
        <v>5</v>
      </c>
      <c r="AD20" s="25">
        <f t="shared" si="28"/>
        <v>5</v>
      </c>
      <c r="AE20" s="25">
        <f t="shared" si="29"/>
        <v>5</v>
      </c>
      <c r="AF20" s="21"/>
      <c r="AG20" s="23"/>
      <c r="AH20" s="23"/>
      <c r="AI20" s="23"/>
      <c r="AJ20" s="23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>
      <c r="A21" s="42">
        <v>10344</v>
      </c>
      <c r="B21" s="60" t="s">
        <v>221</v>
      </c>
      <c r="C21" s="17" t="str">
        <f>Rollover!A21</f>
        <v>Ford</v>
      </c>
      <c r="D21" s="17" t="str">
        <f>Rollover!B21</f>
        <v>Expedition SUV 4WD</v>
      </c>
      <c r="E21" s="16" t="s">
        <v>157</v>
      </c>
      <c r="F21" s="17">
        <f>Rollover!C21</f>
        <v>2022</v>
      </c>
      <c r="G21" s="27">
        <v>23.286999999999999</v>
      </c>
      <c r="H21" s="28">
        <v>13.577</v>
      </c>
      <c r="I21" s="28">
        <v>14.423999999999999</v>
      </c>
      <c r="J21" s="28">
        <v>479.57900000000001</v>
      </c>
      <c r="K21" s="29">
        <v>801.78099999999995</v>
      </c>
      <c r="L21" s="27">
        <v>60.768000000000001</v>
      </c>
      <c r="M21" s="28">
        <v>7.6050000000000004</v>
      </c>
      <c r="N21" s="28">
        <v>27.248000000000001</v>
      </c>
      <c r="O21" s="28">
        <v>18.898</v>
      </c>
      <c r="P21" s="29">
        <v>1929.778</v>
      </c>
      <c r="Q21" s="63">
        <f t="shared" si="15"/>
        <v>2.9968417367533604E-9</v>
      </c>
      <c r="R21" s="10">
        <f t="shared" si="16"/>
        <v>1.5645947561920909E-2</v>
      </c>
      <c r="S21" s="10">
        <f t="shared" si="17"/>
        <v>6.5775217261828537E-3</v>
      </c>
      <c r="T21" s="10">
        <f t="shared" si="18"/>
        <v>1.2111889203305869E-3</v>
      </c>
      <c r="U21" s="10">
        <f t="shared" si="19"/>
        <v>3.081398782363297E-6</v>
      </c>
      <c r="V21" s="10">
        <f t="shared" si="20"/>
        <v>1.1079595436042384E-2</v>
      </c>
      <c r="W21" s="10">
        <f t="shared" si="21"/>
        <v>2.3E-2</v>
      </c>
      <c r="X21" s="10">
        <f t="shared" si="22"/>
        <v>1.0999999999999999E-2</v>
      </c>
      <c r="Y21" s="10">
        <f t="shared" si="23"/>
        <v>1.7000000000000001E-2</v>
      </c>
      <c r="Z21" s="24">
        <f t="shared" si="24"/>
        <v>0.15</v>
      </c>
      <c r="AA21" s="24">
        <f t="shared" si="25"/>
        <v>7.0000000000000007E-2</v>
      </c>
      <c r="AB21" s="24">
        <f t="shared" si="26"/>
        <v>0.11</v>
      </c>
      <c r="AC21" s="25">
        <f t="shared" si="27"/>
        <v>5</v>
      </c>
      <c r="AD21" s="25">
        <f t="shared" si="28"/>
        <v>5</v>
      </c>
      <c r="AE21" s="25">
        <f t="shared" si="29"/>
        <v>5</v>
      </c>
      <c r="AF21" s="21"/>
      <c r="AG21" s="23"/>
      <c r="AH21" s="23"/>
      <c r="AI21" s="23"/>
      <c r="AJ21" s="23"/>
      <c r="AK21" s="22"/>
      <c r="AL21" s="22"/>
      <c r="AM21" s="2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>
      <c r="A22" s="42">
        <v>10344</v>
      </c>
      <c r="B22" s="60" t="s">
        <v>221</v>
      </c>
      <c r="C22" s="16" t="str">
        <f>Rollover!A22</f>
        <v>Ford</v>
      </c>
      <c r="D22" s="16" t="str">
        <f>Rollover!B22</f>
        <v>Expedition EL SUV 2WD</v>
      </c>
      <c r="E22" s="16" t="s">
        <v>157</v>
      </c>
      <c r="F22" s="17">
        <f>Rollover!C22</f>
        <v>2022</v>
      </c>
      <c r="G22" s="27">
        <v>23.286999999999999</v>
      </c>
      <c r="H22" s="28">
        <v>13.577</v>
      </c>
      <c r="I22" s="28">
        <v>14.423999999999999</v>
      </c>
      <c r="J22" s="28">
        <v>479.57900000000001</v>
      </c>
      <c r="K22" s="29">
        <v>801.78099999999995</v>
      </c>
      <c r="L22" s="27">
        <v>60.768000000000001</v>
      </c>
      <c r="M22" s="28">
        <v>7.6050000000000004</v>
      </c>
      <c r="N22" s="28">
        <v>27.248000000000001</v>
      </c>
      <c r="O22" s="28">
        <v>18.898</v>
      </c>
      <c r="P22" s="29">
        <v>1929.778</v>
      </c>
      <c r="Q22" s="63">
        <f t="shared" si="15"/>
        <v>2.9968417367533604E-9</v>
      </c>
      <c r="R22" s="10">
        <f t="shared" si="16"/>
        <v>1.5645947561920909E-2</v>
      </c>
      <c r="S22" s="10">
        <f t="shared" si="17"/>
        <v>6.5775217261828537E-3</v>
      </c>
      <c r="T22" s="10">
        <f t="shared" si="18"/>
        <v>1.2111889203305869E-3</v>
      </c>
      <c r="U22" s="10">
        <f t="shared" si="19"/>
        <v>3.081398782363297E-6</v>
      </c>
      <c r="V22" s="10">
        <f t="shared" si="20"/>
        <v>1.1079595436042384E-2</v>
      </c>
      <c r="W22" s="10">
        <f t="shared" si="21"/>
        <v>2.3E-2</v>
      </c>
      <c r="X22" s="10">
        <f t="shared" si="22"/>
        <v>1.0999999999999999E-2</v>
      </c>
      <c r="Y22" s="10">
        <f t="shared" si="23"/>
        <v>1.7000000000000001E-2</v>
      </c>
      <c r="Z22" s="24">
        <f t="shared" si="24"/>
        <v>0.15</v>
      </c>
      <c r="AA22" s="24">
        <f t="shared" si="25"/>
        <v>7.0000000000000007E-2</v>
      </c>
      <c r="AB22" s="24">
        <f t="shared" si="26"/>
        <v>0.11</v>
      </c>
      <c r="AC22" s="25">
        <f t="shared" si="27"/>
        <v>5</v>
      </c>
      <c r="AD22" s="25">
        <f t="shared" si="28"/>
        <v>5</v>
      </c>
      <c r="AE22" s="25">
        <f t="shared" si="29"/>
        <v>5</v>
      </c>
      <c r="AF22" s="21"/>
      <c r="AG22" s="23"/>
      <c r="AH22" s="23"/>
      <c r="AI22" s="23"/>
      <c r="AJ22" s="23"/>
      <c r="AK22" s="22"/>
      <c r="AL22" s="22"/>
      <c r="AM22" s="2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>
      <c r="A23" s="42">
        <v>10344</v>
      </c>
      <c r="B23" s="60" t="s">
        <v>221</v>
      </c>
      <c r="C23" s="16" t="str">
        <f>Rollover!A23</f>
        <v>Ford</v>
      </c>
      <c r="D23" s="16" t="str">
        <f>Rollover!B23</f>
        <v>Expedition EL SUV 4WD</v>
      </c>
      <c r="E23" s="16" t="s">
        <v>157</v>
      </c>
      <c r="F23" s="17">
        <f>Rollover!C23</f>
        <v>2022</v>
      </c>
      <c r="G23" s="27">
        <v>23.286999999999999</v>
      </c>
      <c r="H23" s="28">
        <v>13.577</v>
      </c>
      <c r="I23" s="28">
        <v>14.423999999999999</v>
      </c>
      <c r="J23" s="28">
        <v>479.57900000000001</v>
      </c>
      <c r="K23" s="29">
        <v>801.78099999999995</v>
      </c>
      <c r="L23" s="27">
        <v>60.768000000000001</v>
      </c>
      <c r="M23" s="28">
        <v>7.6050000000000004</v>
      </c>
      <c r="N23" s="28">
        <v>27.248000000000001</v>
      </c>
      <c r="O23" s="28">
        <v>18.898</v>
      </c>
      <c r="P23" s="29">
        <v>1929.778</v>
      </c>
      <c r="Q23" s="63">
        <f t="shared" si="15"/>
        <v>2.9968417367533604E-9</v>
      </c>
      <c r="R23" s="10">
        <f t="shared" si="16"/>
        <v>1.5645947561920909E-2</v>
      </c>
      <c r="S23" s="10">
        <f t="shared" si="17"/>
        <v>6.5775217261828537E-3</v>
      </c>
      <c r="T23" s="10">
        <f t="shared" si="18"/>
        <v>1.2111889203305869E-3</v>
      </c>
      <c r="U23" s="10">
        <f t="shared" si="19"/>
        <v>3.081398782363297E-6</v>
      </c>
      <c r="V23" s="10">
        <f t="shared" si="20"/>
        <v>1.1079595436042384E-2</v>
      </c>
      <c r="W23" s="10">
        <f t="shared" si="21"/>
        <v>2.3E-2</v>
      </c>
      <c r="X23" s="10">
        <f t="shared" si="22"/>
        <v>1.0999999999999999E-2</v>
      </c>
      <c r="Y23" s="10">
        <f t="shared" si="23"/>
        <v>1.7000000000000001E-2</v>
      </c>
      <c r="Z23" s="24">
        <f t="shared" si="24"/>
        <v>0.15</v>
      </c>
      <c r="AA23" s="24">
        <f t="shared" si="25"/>
        <v>7.0000000000000007E-2</v>
      </c>
      <c r="AB23" s="24">
        <f t="shared" si="26"/>
        <v>0.11</v>
      </c>
      <c r="AC23" s="25">
        <f t="shared" si="27"/>
        <v>5</v>
      </c>
      <c r="AD23" s="25">
        <f t="shared" si="28"/>
        <v>5</v>
      </c>
      <c r="AE23" s="25">
        <f t="shared" si="29"/>
        <v>5</v>
      </c>
      <c r="AF23" s="21"/>
      <c r="AG23" s="23"/>
      <c r="AH23" s="23"/>
      <c r="AI23" s="23"/>
      <c r="AJ23" s="23"/>
      <c r="AK23" s="22"/>
      <c r="AL23" s="22"/>
      <c r="AM23" s="22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>
      <c r="A24" s="42">
        <v>10344</v>
      </c>
      <c r="B24" s="60" t="s">
        <v>221</v>
      </c>
      <c r="C24" s="16" t="str">
        <f>Rollover!A24</f>
        <v>Lincoln</v>
      </c>
      <c r="D24" s="16" t="str">
        <f>Rollover!B24</f>
        <v>Navigator SUV 2WD</v>
      </c>
      <c r="E24" s="16" t="s">
        <v>157</v>
      </c>
      <c r="F24" s="17">
        <f>Rollover!C24</f>
        <v>2022</v>
      </c>
      <c r="G24" s="27">
        <v>23.286999999999999</v>
      </c>
      <c r="H24" s="28">
        <v>13.577</v>
      </c>
      <c r="I24" s="28">
        <v>14.423999999999999</v>
      </c>
      <c r="J24" s="28">
        <v>479.57900000000001</v>
      </c>
      <c r="K24" s="29">
        <v>801.78099999999995</v>
      </c>
      <c r="L24" s="27">
        <v>60.768000000000001</v>
      </c>
      <c r="M24" s="28">
        <v>7.6050000000000004</v>
      </c>
      <c r="N24" s="28">
        <v>27.248000000000001</v>
      </c>
      <c r="O24" s="28">
        <v>18.898</v>
      </c>
      <c r="P24" s="29">
        <v>1929.778</v>
      </c>
      <c r="Q24" s="63">
        <f>NORMDIST(LN(G24),7.45231,0.73998,1)</f>
        <v>2.9968417367533604E-9</v>
      </c>
      <c r="R24" s="10">
        <f>1/(1+EXP(5.3895-0.0919*H24))</f>
        <v>1.5645947561920909E-2</v>
      </c>
      <c r="S24" s="10">
        <f>1/(1+EXP(6.04044-0.002133*J24))</f>
        <v>6.5775217261828537E-3</v>
      </c>
      <c r="T24" s="10">
        <f>1/(1+EXP(7.5969-0.0011*K24))</f>
        <v>1.2111889203305869E-3</v>
      </c>
      <c r="U24" s="10">
        <f>NORMDIST(LN(L24),7.45231,0.73998,1)</f>
        <v>3.081398782363297E-6</v>
      </c>
      <c r="V24" s="10">
        <f>1/(1+EXP(6.3055-0.00094*P24))</f>
        <v>1.1079595436042384E-2</v>
      </c>
      <c r="W24" s="10">
        <f>ROUND(1-(1-Q24)*(1-R24)*(1-S24)*(1-T24),3)</f>
        <v>2.3E-2</v>
      </c>
      <c r="X24" s="10">
        <f>IF(L24="N/A",L24,ROUND(1-(1-U24)*(1-V24),3))</f>
        <v>1.0999999999999999E-2</v>
      </c>
      <c r="Y24" s="10">
        <f>ROUND(AVERAGE(W24:X24),3)</f>
        <v>1.7000000000000001E-2</v>
      </c>
      <c r="Z24" s="24">
        <f>ROUND(W24/0.15,2)</f>
        <v>0.15</v>
      </c>
      <c r="AA24" s="24">
        <f>IF(L24="N/A", L24, ROUND(X24/0.15,2))</f>
        <v>7.0000000000000007E-2</v>
      </c>
      <c r="AB24" s="24">
        <f>ROUND(Y24/0.15,2)</f>
        <v>0.11</v>
      </c>
      <c r="AC24" s="25">
        <f>IF(Z24&lt;0.67,5,IF(Z24&lt;1,4,IF(Z24&lt;1.33,3,IF(Z24&lt;2.67,2,1))))</f>
        <v>5</v>
      </c>
      <c r="AD24" s="25">
        <f>IF(L24="N/A",L24,IF(AA24&lt;0.67,5,IF(AA24&lt;1,4,IF(AA24&lt;1.33,3,IF(AA24&lt;2.67,2,1)))))</f>
        <v>5</v>
      </c>
      <c r="AE24" s="25">
        <f>IF(AB24&lt;0.67,5,IF(AB24&lt;1,4,IF(AB24&lt;1.33,3,IF(AB24&lt;2.67,2,1))))</f>
        <v>5</v>
      </c>
      <c r="AF24" s="1"/>
      <c r="AG24" s="136"/>
      <c r="AH24" s="136"/>
      <c r="AI24" s="136"/>
      <c r="AJ24" s="136"/>
      <c r="AK24" s="108"/>
      <c r="AL24" s="108"/>
      <c r="AM24" s="108"/>
    </row>
    <row r="25" spans="1:50">
      <c r="A25" s="42">
        <v>10344</v>
      </c>
      <c r="B25" s="60" t="s">
        <v>221</v>
      </c>
      <c r="C25" s="16" t="str">
        <f>Rollover!A25</f>
        <v>Lincoln</v>
      </c>
      <c r="D25" s="16" t="str">
        <f>Rollover!B25</f>
        <v>Navigator SUV 4WD</v>
      </c>
      <c r="E25" s="16" t="s">
        <v>157</v>
      </c>
      <c r="F25" s="17">
        <f>Rollover!C25</f>
        <v>2022</v>
      </c>
      <c r="G25" s="27">
        <v>23.286999999999999</v>
      </c>
      <c r="H25" s="28">
        <v>13.577</v>
      </c>
      <c r="I25" s="28">
        <v>14.423999999999999</v>
      </c>
      <c r="J25" s="28">
        <v>479.57900000000001</v>
      </c>
      <c r="K25" s="29">
        <v>801.78099999999995</v>
      </c>
      <c r="L25" s="27">
        <v>60.768000000000001</v>
      </c>
      <c r="M25" s="28">
        <v>7.6050000000000004</v>
      </c>
      <c r="N25" s="28">
        <v>27.248000000000001</v>
      </c>
      <c r="O25" s="28">
        <v>18.898</v>
      </c>
      <c r="P25" s="29">
        <v>1929.778</v>
      </c>
      <c r="Q25" s="63">
        <f>NORMDIST(LN(G25),7.45231,0.73998,1)</f>
        <v>2.9968417367533604E-9</v>
      </c>
      <c r="R25" s="10">
        <f>1/(1+EXP(5.3895-0.0919*H25))</f>
        <v>1.5645947561920909E-2</v>
      </c>
      <c r="S25" s="10">
        <f>1/(1+EXP(6.04044-0.002133*J25))</f>
        <v>6.5775217261828537E-3</v>
      </c>
      <c r="T25" s="10">
        <f>1/(1+EXP(7.5969-0.0011*K25))</f>
        <v>1.2111889203305869E-3</v>
      </c>
      <c r="U25" s="10">
        <f>NORMDIST(LN(L25),7.45231,0.73998,1)</f>
        <v>3.081398782363297E-6</v>
      </c>
      <c r="V25" s="10">
        <f>1/(1+EXP(6.3055-0.00094*P25))</f>
        <v>1.1079595436042384E-2</v>
      </c>
      <c r="W25" s="10">
        <f>ROUND(1-(1-Q25)*(1-R25)*(1-S25)*(1-T25),3)</f>
        <v>2.3E-2</v>
      </c>
      <c r="X25" s="10">
        <f>IF(L25="N/A",L25,ROUND(1-(1-U25)*(1-V25),3))</f>
        <v>1.0999999999999999E-2</v>
      </c>
      <c r="Y25" s="10">
        <f>ROUND(AVERAGE(W25:X25),3)</f>
        <v>1.7000000000000001E-2</v>
      </c>
      <c r="Z25" s="24">
        <f>ROUND(W25/0.15,2)</f>
        <v>0.15</v>
      </c>
      <c r="AA25" s="24">
        <f>IF(L25="N/A", L25, ROUND(X25/0.15,2))</f>
        <v>7.0000000000000007E-2</v>
      </c>
      <c r="AB25" s="24">
        <f>ROUND(Y25/0.15,2)</f>
        <v>0.11</v>
      </c>
      <c r="AC25" s="25">
        <f>IF(Z25&lt;0.67,5,IF(Z25&lt;1,4,IF(Z25&lt;1.33,3,IF(Z25&lt;2.67,2,1))))</f>
        <v>5</v>
      </c>
      <c r="AD25" s="25">
        <f>IF(L25="N/A",L25,IF(AA25&lt;0.67,5,IF(AA25&lt;1,4,IF(AA25&lt;1.33,3,IF(AA25&lt;2.67,2,1)))))</f>
        <v>5</v>
      </c>
      <c r="AE25" s="25">
        <f>IF(AB25&lt;0.67,5,IF(AB25&lt;1,4,IF(AB25&lt;1.33,3,IF(AB25&lt;2.67,2,1))))</f>
        <v>5</v>
      </c>
      <c r="AF25" s="1"/>
      <c r="AG25" s="136"/>
      <c r="AH25" s="136"/>
      <c r="AI25" s="136"/>
      <c r="AJ25" s="136"/>
      <c r="AK25" s="108"/>
      <c r="AL25" s="108"/>
      <c r="AM25" s="108"/>
    </row>
    <row r="26" spans="1:50">
      <c r="A26" s="42">
        <v>10344</v>
      </c>
      <c r="B26" s="60" t="s">
        <v>221</v>
      </c>
      <c r="C26" s="16" t="str">
        <f>Rollover!A26</f>
        <v>Lincoln</v>
      </c>
      <c r="D26" s="16" t="str">
        <f>Rollover!B26</f>
        <v>Navigator EL 2WD</v>
      </c>
      <c r="E26" s="16" t="s">
        <v>157</v>
      </c>
      <c r="F26" s="17">
        <f>Rollover!C26</f>
        <v>2022</v>
      </c>
      <c r="G26" s="27">
        <v>23.286999999999999</v>
      </c>
      <c r="H26" s="28">
        <v>13.577</v>
      </c>
      <c r="I26" s="28">
        <v>14.423999999999999</v>
      </c>
      <c r="J26" s="28">
        <v>479.57900000000001</v>
      </c>
      <c r="K26" s="29">
        <v>801.78099999999995</v>
      </c>
      <c r="L26" s="27">
        <v>60.768000000000001</v>
      </c>
      <c r="M26" s="28">
        <v>7.6050000000000004</v>
      </c>
      <c r="N26" s="28">
        <v>27.248000000000001</v>
      </c>
      <c r="O26" s="28">
        <v>18.898</v>
      </c>
      <c r="P26" s="29">
        <v>1929.778</v>
      </c>
      <c r="Q26" s="63">
        <f>NORMDIST(LN(G26),7.45231,0.73998,1)</f>
        <v>2.9968417367533604E-9</v>
      </c>
      <c r="R26" s="10">
        <f>1/(1+EXP(5.3895-0.0919*H26))</f>
        <v>1.5645947561920909E-2</v>
      </c>
      <c r="S26" s="10">
        <f>1/(1+EXP(6.04044-0.002133*J26))</f>
        <v>6.5775217261828537E-3</v>
      </c>
      <c r="T26" s="10">
        <f>1/(1+EXP(7.5969-0.0011*K26))</f>
        <v>1.2111889203305869E-3</v>
      </c>
      <c r="U26" s="10">
        <f>NORMDIST(LN(L26),7.45231,0.73998,1)</f>
        <v>3.081398782363297E-6</v>
      </c>
      <c r="V26" s="10">
        <f>1/(1+EXP(6.3055-0.00094*P26))</f>
        <v>1.1079595436042384E-2</v>
      </c>
      <c r="W26" s="10">
        <f>ROUND(1-(1-Q26)*(1-R26)*(1-S26)*(1-T26),3)</f>
        <v>2.3E-2</v>
      </c>
      <c r="X26" s="10">
        <f>IF(L26="N/A",L26,ROUND(1-(1-U26)*(1-V26),3))</f>
        <v>1.0999999999999999E-2</v>
      </c>
      <c r="Y26" s="10">
        <f>ROUND(AVERAGE(W26:X26),3)</f>
        <v>1.7000000000000001E-2</v>
      </c>
      <c r="Z26" s="24">
        <f>ROUND(W26/0.15,2)</f>
        <v>0.15</v>
      </c>
      <c r="AA26" s="24">
        <f>IF(L26="N/A", L26, ROUND(X26/0.15,2))</f>
        <v>7.0000000000000007E-2</v>
      </c>
      <c r="AB26" s="24">
        <f>ROUND(Y26/0.15,2)</f>
        <v>0.11</v>
      </c>
      <c r="AC26" s="25">
        <f>IF(Z26&lt;0.67,5,IF(Z26&lt;1,4,IF(Z26&lt;1.33,3,IF(Z26&lt;2.67,2,1))))</f>
        <v>5</v>
      </c>
      <c r="AD26" s="25">
        <f>IF(L26="N/A",L26,IF(AA26&lt;0.67,5,IF(AA26&lt;1,4,IF(AA26&lt;1.33,3,IF(AA26&lt;2.67,2,1)))))</f>
        <v>5</v>
      </c>
      <c r="AE26" s="25">
        <f>IF(AB26&lt;0.67,5,IF(AB26&lt;1,4,IF(AB26&lt;1.33,3,IF(AB26&lt;2.67,2,1))))</f>
        <v>5</v>
      </c>
      <c r="AF26" s="1"/>
      <c r="AG26" s="136"/>
      <c r="AH26" s="136"/>
      <c r="AI26" s="136"/>
      <c r="AJ26" s="136"/>
      <c r="AK26" s="108"/>
      <c r="AL26" s="108"/>
      <c r="AM26" s="108"/>
    </row>
    <row r="27" spans="1:50">
      <c r="A27" s="42">
        <v>10344</v>
      </c>
      <c r="B27" s="60" t="s">
        <v>221</v>
      </c>
      <c r="C27" s="16" t="str">
        <f>Rollover!A27</f>
        <v>Lincoln</v>
      </c>
      <c r="D27" s="16" t="str">
        <f>Rollover!B27</f>
        <v>Navigator EL 4WD</v>
      </c>
      <c r="E27" s="16" t="s">
        <v>157</v>
      </c>
      <c r="F27" s="17">
        <f>Rollover!C27</f>
        <v>2022</v>
      </c>
      <c r="G27" s="27">
        <v>23.286999999999999</v>
      </c>
      <c r="H27" s="28">
        <v>13.577</v>
      </c>
      <c r="I27" s="28">
        <v>14.423999999999999</v>
      </c>
      <c r="J27" s="28">
        <v>479.57900000000001</v>
      </c>
      <c r="K27" s="29">
        <v>801.78099999999995</v>
      </c>
      <c r="L27" s="27">
        <v>60.768000000000001</v>
      </c>
      <c r="M27" s="28">
        <v>7.6050000000000004</v>
      </c>
      <c r="N27" s="28">
        <v>27.248000000000001</v>
      </c>
      <c r="O27" s="28">
        <v>18.898</v>
      </c>
      <c r="P27" s="29">
        <v>1929.778</v>
      </c>
      <c r="Q27" s="63">
        <f>NORMDIST(LN(G27),7.45231,0.73998,1)</f>
        <v>2.9968417367533604E-9</v>
      </c>
      <c r="R27" s="10">
        <f>1/(1+EXP(5.3895-0.0919*H27))</f>
        <v>1.5645947561920909E-2</v>
      </c>
      <c r="S27" s="10">
        <f>1/(1+EXP(6.04044-0.002133*J27))</f>
        <v>6.5775217261828537E-3</v>
      </c>
      <c r="T27" s="10">
        <f>1/(1+EXP(7.5969-0.0011*K27))</f>
        <v>1.2111889203305869E-3</v>
      </c>
      <c r="U27" s="10">
        <f>NORMDIST(LN(L27),7.45231,0.73998,1)</f>
        <v>3.081398782363297E-6</v>
      </c>
      <c r="V27" s="10">
        <f>1/(1+EXP(6.3055-0.00094*P27))</f>
        <v>1.1079595436042384E-2</v>
      </c>
      <c r="W27" s="10">
        <f>ROUND(1-(1-Q27)*(1-R27)*(1-S27)*(1-T27),3)</f>
        <v>2.3E-2</v>
      </c>
      <c r="X27" s="10">
        <f>IF(L27="N/A",L27,ROUND(1-(1-U27)*(1-V27),3))</f>
        <v>1.0999999999999999E-2</v>
      </c>
      <c r="Y27" s="10">
        <f>ROUND(AVERAGE(W27:X27),3)</f>
        <v>1.7000000000000001E-2</v>
      </c>
      <c r="Z27" s="24">
        <f>ROUND(W27/0.15,2)</f>
        <v>0.15</v>
      </c>
      <c r="AA27" s="24">
        <f>IF(L27="N/A", L27, ROUND(X27/0.15,2))</f>
        <v>7.0000000000000007E-2</v>
      </c>
      <c r="AB27" s="24">
        <f>ROUND(Y27/0.15,2)</f>
        <v>0.11</v>
      </c>
      <c r="AC27" s="25">
        <f>IF(Z27&lt;0.67,5,IF(Z27&lt;1,4,IF(Z27&lt;1.33,3,IF(Z27&lt;2.67,2,1))))</f>
        <v>5</v>
      </c>
      <c r="AD27" s="25">
        <f>IF(L27="N/A",L27,IF(AA27&lt;0.67,5,IF(AA27&lt;1,4,IF(AA27&lt;1.33,3,IF(AA27&lt;2.67,2,1)))))</f>
        <v>5</v>
      </c>
      <c r="AE27" s="25">
        <f>IF(AB27&lt;0.67,5,IF(AB27&lt;1,4,IF(AB27&lt;1.33,3,IF(AB27&lt;2.67,2,1))))</f>
        <v>5</v>
      </c>
      <c r="AF27" s="1"/>
      <c r="AG27" s="136"/>
      <c r="AH27" s="136"/>
      <c r="AI27" s="136"/>
      <c r="AJ27" s="136"/>
      <c r="AK27" s="108"/>
      <c r="AL27" s="108"/>
      <c r="AM27" s="108"/>
    </row>
    <row r="28" spans="1:50">
      <c r="A28" s="60">
        <v>14315</v>
      </c>
      <c r="B28" s="60" t="s">
        <v>222</v>
      </c>
      <c r="C28" s="17" t="str">
        <f>Rollover!A28</f>
        <v>Ford</v>
      </c>
      <c r="D28" s="17" t="str">
        <f>Rollover!B28</f>
        <v>F-150 Lightning BEV PU/CC 4WD</v>
      </c>
      <c r="E28" s="16" t="s">
        <v>155</v>
      </c>
      <c r="F28" s="17">
        <f>Rollover!C28</f>
        <v>2022</v>
      </c>
      <c r="G28" s="18">
        <v>13.401</v>
      </c>
      <c r="H28" s="19">
        <v>13.448</v>
      </c>
      <c r="I28" s="19">
        <v>16.079999999999998</v>
      </c>
      <c r="J28" s="19">
        <v>521.06100000000004</v>
      </c>
      <c r="K28" s="20">
        <v>497.05399999999997</v>
      </c>
      <c r="L28" s="18">
        <v>50.311</v>
      </c>
      <c r="M28" s="19">
        <v>5.2489999999999997</v>
      </c>
      <c r="N28" s="19">
        <v>10.898999999999999</v>
      </c>
      <c r="O28" s="19">
        <v>0.26700000000000002</v>
      </c>
      <c r="P28" s="20">
        <v>395.26</v>
      </c>
      <c r="Q28" s="63">
        <f t="shared" si="15"/>
        <v>2.625057760406718E-11</v>
      </c>
      <c r="R28" s="10">
        <f t="shared" si="16"/>
        <v>1.5464409893566265E-2</v>
      </c>
      <c r="S28" s="10">
        <f t="shared" si="17"/>
        <v>7.1816618938630034E-3</v>
      </c>
      <c r="T28" s="10">
        <f t="shared" si="18"/>
        <v>8.6653547322277584E-4</v>
      </c>
      <c r="U28" s="10">
        <f t="shared" si="19"/>
        <v>8.9443165009548666E-7</v>
      </c>
      <c r="V28" s="10">
        <f t="shared" si="20"/>
        <v>2.640993552109892E-3</v>
      </c>
      <c r="W28" s="10">
        <f t="shared" si="21"/>
        <v>2.3E-2</v>
      </c>
      <c r="X28" s="10">
        <f t="shared" si="22"/>
        <v>3.0000000000000001E-3</v>
      </c>
      <c r="Y28" s="10">
        <f t="shared" si="23"/>
        <v>1.2999999999999999E-2</v>
      </c>
      <c r="Z28" s="24">
        <f t="shared" si="24"/>
        <v>0.15</v>
      </c>
      <c r="AA28" s="24">
        <f t="shared" si="25"/>
        <v>0.02</v>
      </c>
      <c r="AB28" s="24">
        <f t="shared" si="26"/>
        <v>0.09</v>
      </c>
      <c r="AC28" s="25">
        <f t="shared" si="27"/>
        <v>5</v>
      </c>
      <c r="AD28" s="25">
        <f t="shared" si="28"/>
        <v>5</v>
      </c>
      <c r="AE28" s="25">
        <f t="shared" si="29"/>
        <v>5</v>
      </c>
      <c r="AF28" s="21"/>
      <c r="AG28" s="23"/>
      <c r="AH28" s="23"/>
      <c r="AI28" s="23"/>
      <c r="AJ28" s="23"/>
      <c r="AK28" s="22"/>
      <c r="AL28" s="22"/>
      <c r="AM28" s="2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13.5" customHeight="1">
      <c r="A29" s="60">
        <v>14246</v>
      </c>
      <c r="B29" s="60" t="s">
        <v>223</v>
      </c>
      <c r="C29" s="17" t="str">
        <f>Rollover!A29</f>
        <v>Ford</v>
      </c>
      <c r="D29" s="17" t="str">
        <f>Rollover!B29</f>
        <v>F-150 Super Crew HEV PU/CC 2WD</v>
      </c>
      <c r="E29" s="16" t="s">
        <v>155</v>
      </c>
      <c r="F29" s="17">
        <f>Rollover!C29</f>
        <v>2022</v>
      </c>
      <c r="G29" s="18">
        <v>18.696000000000002</v>
      </c>
      <c r="H29" s="19">
        <v>14.814</v>
      </c>
      <c r="I29" s="19">
        <v>19.100999999999999</v>
      </c>
      <c r="J29" s="19">
        <v>438.63900000000001</v>
      </c>
      <c r="K29" s="20">
        <v>584.81200000000001</v>
      </c>
      <c r="L29" s="18">
        <v>29.073</v>
      </c>
      <c r="M29" s="19">
        <v>3.891</v>
      </c>
      <c r="N29" s="19">
        <v>14.037000000000001</v>
      </c>
      <c r="O29" s="19">
        <v>0.78500000000000003</v>
      </c>
      <c r="P29" s="20">
        <v>548.78700000000003</v>
      </c>
      <c r="Q29" s="63">
        <f t="shared" si="15"/>
        <v>4.8679935880932878E-10</v>
      </c>
      <c r="R29" s="10">
        <f t="shared" si="16"/>
        <v>1.7496665804514092E-2</v>
      </c>
      <c r="S29" s="10">
        <f t="shared" si="17"/>
        <v>6.0308211923735177E-3</v>
      </c>
      <c r="T29" s="10">
        <f t="shared" si="18"/>
        <v>9.5427227098562005E-4</v>
      </c>
      <c r="U29" s="10">
        <f t="shared" si="19"/>
        <v>1.723773905704822E-8</v>
      </c>
      <c r="V29" s="10">
        <f t="shared" si="20"/>
        <v>3.0497531285354706E-3</v>
      </c>
      <c r="W29" s="10">
        <f t="shared" si="21"/>
        <v>2.4E-2</v>
      </c>
      <c r="X29" s="10">
        <f t="shared" si="22"/>
        <v>3.0000000000000001E-3</v>
      </c>
      <c r="Y29" s="10">
        <f t="shared" si="23"/>
        <v>1.4E-2</v>
      </c>
      <c r="Z29" s="24">
        <f t="shared" si="24"/>
        <v>0.16</v>
      </c>
      <c r="AA29" s="24">
        <f t="shared" si="25"/>
        <v>0.02</v>
      </c>
      <c r="AB29" s="24">
        <f t="shared" si="26"/>
        <v>0.09</v>
      </c>
      <c r="AC29" s="25">
        <f t="shared" si="27"/>
        <v>5</v>
      </c>
      <c r="AD29" s="25">
        <f t="shared" si="28"/>
        <v>5</v>
      </c>
      <c r="AE29" s="25">
        <f t="shared" si="29"/>
        <v>5</v>
      </c>
      <c r="AF29" s="21"/>
      <c r="AG29" s="23"/>
      <c r="AH29" s="23"/>
      <c r="AI29" s="23"/>
      <c r="AJ29" s="23"/>
      <c r="AK29" s="22"/>
      <c r="AL29" s="22"/>
      <c r="AM29" s="2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>
      <c r="A30" s="60">
        <v>14246</v>
      </c>
      <c r="B30" s="60" t="s">
        <v>223</v>
      </c>
      <c r="C30" s="17" t="str">
        <f>Rollover!A30</f>
        <v>Ford</v>
      </c>
      <c r="D30" s="17" t="str">
        <f>Rollover!B30</f>
        <v>F-150 Super Crew HEV PU/CC 4WD</v>
      </c>
      <c r="E30" s="16" t="s">
        <v>155</v>
      </c>
      <c r="F30" s="17">
        <f>Rollover!C30</f>
        <v>2022</v>
      </c>
      <c r="G30" s="18">
        <v>18.696000000000002</v>
      </c>
      <c r="H30" s="19">
        <v>14.814</v>
      </c>
      <c r="I30" s="19">
        <v>19.100999999999999</v>
      </c>
      <c r="J30" s="19">
        <v>438.63900000000001</v>
      </c>
      <c r="K30" s="20">
        <v>584.81200000000001</v>
      </c>
      <c r="L30" s="18">
        <v>29.073</v>
      </c>
      <c r="M30" s="19">
        <v>3.891</v>
      </c>
      <c r="N30" s="19">
        <v>14.037000000000001</v>
      </c>
      <c r="O30" s="19">
        <v>0.78500000000000003</v>
      </c>
      <c r="P30" s="20">
        <v>548.78700000000003</v>
      </c>
      <c r="Q30" s="63">
        <f t="shared" si="15"/>
        <v>4.8679935880932878E-10</v>
      </c>
      <c r="R30" s="10">
        <f t="shared" si="16"/>
        <v>1.7496665804514092E-2</v>
      </c>
      <c r="S30" s="10">
        <f t="shared" si="17"/>
        <v>6.0308211923735177E-3</v>
      </c>
      <c r="T30" s="10">
        <f t="shared" si="18"/>
        <v>9.5427227098562005E-4</v>
      </c>
      <c r="U30" s="10">
        <f t="shared" si="19"/>
        <v>1.723773905704822E-8</v>
      </c>
      <c r="V30" s="10">
        <f t="shared" si="20"/>
        <v>3.0497531285354706E-3</v>
      </c>
      <c r="W30" s="10">
        <f t="shared" si="21"/>
        <v>2.4E-2</v>
      </c>
      <c r="X30" s="10">
        <f t="shared" si="22"/>
        <v>3.0000000000000001E-3</v>
      </c>
      <c r="Y30" s="10">
        <f t="shared" si="23"/>
        <v>1.4E-2</v>
      </c>
      <c r="Z30" s="24">
        <f t="shared" si="24"/>
        <v>0.16</v>
      </c>
      <c r="AA30" s="24">
        <f t="shared" si="25"/>
        <v>0.02</v>
      </c>
      <c r="AB30" s="24">
        <f t="shared" si="26"/>
        <v>0.09</v>
      </c>
      <c r="AC30" s="25">
        <f t="shared" si="27"/>
        <v>5</v>
      </c>
      <c r="AD30" s="25">
        <f t="shared" si="28"/>
        <v>5</v>
      </c>
      <c r="AE30" s="25">
        <f t="shared" si="29"/>
        <v>5</v>
      </c>
      <c r="AF30" s="21"/>
      <c r="AG30" s="23"/>
      <c r="AH30" s="23"/>
      <c r="AI30" s="23"/>
      <c r="AJ30" s="23"/>
      <c r="AK30" s="22"/>
      <c r="AL30" s="22"/>
      <c r="AM30" s="22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>
      <c r="A31" s="60">
        <v>14129</v>
      </c>
      <c r="B31" s="60" t="s">
        <v>224</v>
      </c>
      <c r="C31" s="17" t="str">
        <f>Rollover!A31</f>
        <v>Ford</v>
      </c>
      <c r="D31" s="17" t="str">
        <f>Rollover!B31</f>
        <v>F-250 Super Cab PU/EC 2WD</v>
      </c>
      <c r="E31" s="16" t="s">
        <v>163</v>
      </c>
      <c r="F31" s="17">
        <f>Rollover!C31</f>
        <v>2022</v>
      </c>
      <c r="G31" s="18">
        <v>14.23</v>
      </c>
      <c r="H31" s="19">
        <v>17.981999999999999</v>
      </c>
      <c r="I31" s="19">
        <v>23.079000000000001</v>
      </c>
      <c r="J31" s="19">
        <v>636.803</v>
      </c>
      <c r="K31" s="20">
        <v>670.55499999999995</v>
      </c>
      <c r="L31" s="18">
        <v>61.317</v>
      </c>
      <c r="M31" s="19">
        <v>0.53400000000000003</v>
      </c>
      <c r="N31" s="19">
        <v>16.693999999999999</v>
      </c>
      <c r="O31" s="19">
        <v>5.7000000000000002E-2</v>
      </c>
      <c r="P31" s="20">
        <v>506.72500000000002</v>
      </c>
      <c r="Q31" s="63">
        <f t="shared" si="15"/>
        <v>4.5092494618703389E-11</v>
      </c>
      <c r="R31" s="10">
        <f t="shared" si="16"/>
        <v>2.3272070210105408E-2</v>
      </c>
      <c r="S31" s="10">
        <f t="shared" si="17"/>
        <v>9.1742394432106876E-3</v>
      </c>
      <c r="T31" s="10">
        <f t="shared" si="18"/>
        <v>1.0485588211145928E-3</v>
      </c>
      <c r="U31" s="10">
        <f t="shared" si="19"/>
        <v>3.2632759753890489E-6</v>
      </c>
      <c r="V31" s="10">
        <f t="shared" si="20"/>
        <v>2.9318704616618989E-3</v>
      </c>
      <c r="W31" s="10">
        <f t="shared" si="21"/>
        <v>3.3000000000000002E-2</v>
      </c>
      <c r="X31" s="10">
        <f t="shared" si="22"/>
        <v>3.0000000000000001E-3</v>
      </c>
      <c r="Y31" s="10">
        <f t="shared" si="23"/>
        <v>1.7999999999999999E-2</v>
      </c>
      <c r="Z31" s="24">
        <f t="shared" si="24"/>
        <v>0.22</v>
      </c>
      <c r="AA31" s="24">
        <f t="shared" si="25"/>
        <v>0.02</v>
      </c>
      <c r="AB31" s="24">
        <f t="shared" si="26"/>
        <v>0.12</v>
      </c>
      <c r="AC31" s="25">
        <f t="shared" si="27"/>
        <v>5</v>
      </c>
      <c r="AD31" s="25">
        <f t="shared" si="28"/>
        <v>5</v>
      </c>
      <c r="AE31" s="25">
        <f t="shared" si="29"/>
        <v>5</v>
      </c>
      <c r="AF31" s="21"/>
      <c r="AG31" s="23"/>
      <c r="AH31" s="23"/>
      <c r="AI31" s="23"/>
      <c r="AJ31" s="23"/>
      <c r="AK31" s="22"/>
      <c r="AL31" s="22"/>
      <c r="AM31" s="2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>
      <c r="A32" s="60">
        <v>14129</v>
      </c>
      <c r="B32" s="60" t="s">
        <v>224</v>
      </c>
      <c r="C32" s="16" t="str">
        <f>Rollover!A32</f>
        <v>Ford</v>
      </c>
      <c r="D32" s="16" t="str">
        <f>Rollover!B32</f>
        <v>F-250 Super Cab PU/EC 4WD</v>
      </c>
      <c r="E32" s="16" t="s">
        <v>163</v>
      </c>
      <c r="F32" s="17">
        <f>Rollover!C32</f>
        <v>2022</v>
      </c>
      <c r="G32" s="18">
        <v>14.23</v>
      </c>
      <c r="H32" s="19">
        <v>17.981999999999999</v>
      </c>
      <c r="I32" s="19">
        <v>23.079000000000001</v>
      </c>
      <c r="J32" s="19">
        <v>636.803</v>
      </c>
      <c r="K32" s="20">
        <v>670.55499999999995</v>
      </c>
      <c r="L32" s="18">
        <v>61.317</v>
      </c>
      <c r="M32" s="19">
        <v>0.53400000000000003</v>
      </c>
      <c r="N32" s="19">
        <v>16.693999999999999</v>
      </c>
      <c r="O32" s="19">
        <v>5.7000000000000002E-2</v>
      </c>
      <c r="P32" s="20">
        <v>506.72500000000002</v>
      </c>
      <c r="Q32" s="63">
        <f t="shared" si="15"/>
        <v>4.5092494618703389E-11</v>
      </c>
      <c r="R32" s="10">
        <f t="shared" si="16"/>
        <v>2.3272070210105408E-2</v>
      </c>
      <c r="S32" s="10">
        <f t="shared" si="17"/>
        <v>9.1742394432106876E-3</v>
      </c>
      <c r="T32" s="10">
        <f t="shared" si="18"/>
        <v>1.0485588211145928E-3</v>
      </c>
      <c r="U32" s="10">
        <f t="shared" si="19"/>
        <v>3.2632759753890489E-6</v>
      </c>
      <c r="V32" s="10">
        <f t="shared" si="20"/>
        <v>2.9318704616618989E-3</v>
      </c>
      <c r="W32" s="10">
        <f t="shared" si="21"/>
        <v>3.3000000000000002E-2</v>
      </c>
      <c r="X32" s="10">
        <f t="shared" si="22"/>
        <v>3.0000000000000001E-3</v>
      </c>
      <c r="Y32" s="10">
        <f t="shared" si="23"/>
        <v>1.7999999999999999E-2</v>
      </c>
      <c r="Z32" s="24">
        <f t="shared" si="24"/>
        <v>0.22</v>
      </c>
      <c r="AA32" s="24">
        <f t="shared" si="25"/>
        <v>0.02</v>
      </c>
      <c r="AB32" s="24">
        <f t="shared" si="26"/>
        <v>0.12</v>
      </c>
      <c r="AC32" s="25">
        <f t="shared" si="27"/>
        <v>5</v>
      </c>
      <c r="AD32" s="25">
        <f t="shared" si="28"/>
        <v>5</v>
      </c>
      <c r="AE32" s="25">
        <f t="shared" si="29"/>
        <v>5</v>
      </c>
      <c r="AF32" s="21"/>
      <c r="AG32" s="23"/>
      <c r="AH32" s="23"/>
      <c r="AI32" s="23"/>
      <c r="AJ32" s="23"/>
      <c r="AK32" s="22"/>
      <c r="AL32" s="22"/>
      <c r="AM32" s="2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>
      <c r="A33" s="60">
        <v>14212</v>
      </c>
      <c r="B33" s="60" t="s">
        <v>225</v>
      </c>
      <c r="C33" s="17" t="str">
        <f>Rollover!A33</f>
        <v>Ford</v>
      </c>
      <c r="D33" s="17" t="str">
        <f>Rollover!B33</f>
        <v>Maverick PU/CC FWD</v>
      </c>
      <c r="E33" s="16" t="s">
        <v>157</v>
      </c>
      <c r="F33" s="17">
        <f>Rollover!C33</f>
        <v>2022</v>
      </c>
      <c r="G33" s="18">
        <v>87.206999999999994</v>
      </c>
      <c r="H33" s="19">
        <v>17.68</v>
      </c>
      <c r="I33" s="19">
        <v>23.405999999999999</v>
      </c>
      <c r="J33" s="19">
        <v>667.23900000000003</v>
      </c>
      <c r="K33" s="20">
        <v>887.43700000000001</v>
      </c>
      <c r="L33" s="18">
        <v>174.10599999999999</v>
      </c>
      <c r="M33" s="19">
        <v>15.169</v>
      </c>
      <c r="N33" s="19">
        <v>57.381999999999998</v>
      </c>
      <c r="O33" s="19">
        <v>29.943999999999999</v>
      </c>
      <c r="P33" s="20">
        <v>4317.8180000000002</v>
      </c>
      <c r="Q33" s="63">
        <f t="shared" si="15"/>
        <v>2.7584412765311699E-5</v>
      </c>
      <c r="R33" s="10">
        <f t="shared" si="16"/>
        <v>2.2649490312099049E-2</v>
      </c>
      <c r="S33" s="10">
        <f t="shared" si="17"/>
        <v>9.7835687820737333E-3</v>
      </c>
      <c r="T33" s="10">
        <f t="shared" si="18"/>
        <v>1.3306990341971688E-3</v>
      </c>
      <c r="U33" s="10">
        <f t="shared" si="19"/>
        <v>9.7332389023855269E-4</v>
      </c>
      <c r="V33" s="10">
        <f t="shared" si="20"/>
        <v>9.563007872974312E-2</v>
      </c>
      <c r="W33" s="10">
        <f t="shared" si="21"/>
        <v>3.4000000000000002E-2</v>
      </c>
      <c r="X33" s="10">
        <f t="shared" si="22"/>
        <v>9.7000000000000003E-2</v>
      </c>
      <c r="Y33" s="10">
        <f t="shared" si="23"/>
        <v>6.6000000000000003E-2</v>
      </c>
      <c r="Z33" s="24">
        <f t="shared" si="24"/>
        <v>0.23</v>
      </c>
      <c r="AA33" s="24">
        <f t="shared" si="25"/>
        <v>0.65</v>
      </c>
      <c r="AB33" s="24">
        <f t="shared" si="26"/>
        <v>0.44</v>
      </c>
      <c r="AC33" s="25">
        <f t="shared" si="27"/>
        <v>5</v>
      </c>
      <c r="AD33" s="25">
        <f t="shared" si="28"/>
        <v>5</v>
      </c>
      <c r="AE33" s="25">
        <f t="shared" si="29"/>
        <v>5</v>
      </c>
      <c r="AF33" s="21"/>
      <c r="AG33" s="23"/>
      <c r="AH33" s="23"/>
      <c r="AI33" s="23"/>
      <c r="AJ33" s="23"/>
      <c r="AK33" s="22"/>
      <c r="AL33" s="22"/>
      <c r="AM33" s="2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>
      <c r="A34" s="60">
        <v>14212</v>
      </c>
      <c r="B34" s="60" t="s">
        <v>225</v>
      </c>
      <c r="C34" s="16" t="str">
        <f>Rollover!A34</f>
        <v>Ford</v>
      </c>
      <c r="D34" s="16" t="str">
        <f>Rollover!B34</f>
        <v>Maverick PU/CC 4WD</v>
      </c>
      <c r="E34" s="16" t="s">
        <v>157</v>
      </c>
      <c r="F34" s="17">
        <f>Rollover!C34</f>
        <v>2022</v>
      </c>
      <c r="G34" s="18">
        <v>87.206999999999994</v>
      </c>
      <c r="H34" s="19">
        <v>17.68</v>
      </c>
      <c r="I34" s="19">
        <v>23.405999999999999</v>
      </c>
      <c r="J34" s="19">
        <v>667.23900000000003</v>
      </c>
      <c r="K34" s="20">
        <v>887.43700000000001</v>
      </c>
      <c r="L34" s="18">
        <v>174.10599999999999</v>
      </c>
      <c r="M34" s="19">
        <v>15.169</v>
      </c>
      <c r="N34" s="19">
        <v>57.381999999999998</v>
      </c>
      <c r="O34" s="19">
        <v>29.943999999999999</v>
      </c>
      <c r="P34" s="20">
        <v>4317.8180000000002</v>
      </c>
      <c r="Q34" s="63">
        <f t="shared" si="15"/>
        <v>2.7584412765311699E-5</v>
      </c>
      <c r="R34" s="10">
        <f t="shared" si="16"/>
        <v>2.2649490312099049E-2</v>
      </c>
      <c r="S34" s="10">
        <f t="shared" si="17"/>
        <v>9.7835687820737333E-3</v>
      </c>
      <c r="T34" s="10">
        <f t="shared" si="18"/>
        <v>1.3306990341971688E-3</v>
      </c>
      <c r="U34" s="10">
        <f t="shared" si="19"/>
        <v>9.7332389023855269E-4</v>
      </c>
      <c r="V34" s="10">
        <f t="shared" si="20"/>
        <v>9.563007872974312E-2</v>
      </c>
      <c r="W34" s="10">
        <f t="shared" si="21"/>
        <v>3.4000000000000002E-2</v>
      </c>
      <c r="X34" s="10">
        <f t="shared" si="22"/>
        <v>9.7000000000000003E-2</v>
      </c>
      <c r="Y34" s="10">
        <f t="shared" si="23"/>
        <v>6.6000000000000003E-2</v>
      </c>
      <c r="Z34" s="24">
        <f t="shared" si="24"/>
        <v>0.23</v>
      </c>
      <c r="AA34" s="24">
        <f t="shared" si="25"/>
        <v>0.65</v>
      </c>
      <c r="AB34" s="24">
        <f t="shared" si="26"/>
        <v>0.44</v>
      </c>
      <c r="AC34" s="25">
        <f t="shared" si="27"/>
        <v>5</v>
      </c>
      <c r="AD34" s="25">
        <f t="shared" si="28"/>
        <v>5</v>
      </c>
      <c r="AE34" s="25">
        <f t="shared" si="29"/>
        <v>5</v>
      </c>
      <c r="AF34" s="21"/>
      <c r="AG34" s="23"/>
      <c r="AH34" s="23"/>
      <c r="AI34" s="23"/>
      <c r="AJ34" s="23"/>
      <c r="AK34" s="22"/>
      <c r="AL34" s="22"/>
      <c r="AM34" s="2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>
      <c r="A35" s="60">
        <v>14212</v>
      </c>
      <c r="B35" s="60" t="s">
        <v>225</v>
      </c>
      <c r="C35" s="16" t="str">
        <f>Rollover!A35</f>
        <v>Ford</v>
      </c>
      <c r="D35" s="16" t="str">
        <f>Rollover!B35</f>
        <v>Maverick HEV PU/CC FWD</v>
      </c>
      <c r="E35" s="16" t="s">
        <v>157</v>
      </c>
      <c r="F35" s="17">
        <f>Rollover!C35</f>
        <v>2022</v>
      </c>
      <c r="G35" s="18">
        <v>87.206999999999994</v>
      </c>
      <c r="H35" s="19">
        <v>17.68</v>
      </c>
      <c r="I35" s="19">
        <v>23.405999999999999</v>
      </c>
      <c r="J35" s="19">
        <v>667.23900000000003</v>
      </c>
      <c r="K35" s="20">
        <v>887.43700000000001</v>
      </c>
      <c r="L35" s="18">
        <v>174.10599999999999</v>
      </c>
      <c r="M35" s="19">
        <v>15.169</v>
      </c>
      <c r="N35" s="19">
        <v>57.381999999999998</v>
      </c>
      <c r="O35" s="19">
        <v>29.943999999999999</v>
      </c>
      <c r="P35" s="20">
        <v>4317.8180000000002</v>
      </c>
      <c r="Q35" s="63">
        <f t="shared" si="15"/>
        <v>2.7584412765311699E-5</v>
      </c>
      <c r="R35" s="10">
        <f t="shared" si="16"/>
        <v>2.2649490312099049E-2</v>
      </c>
      <c r="S35" s="10">
        <f t="shared" si="17"/>
        <v>9.7835687820737333E-3</v>
      </c>
      <c r="T35" s="10">
        <f t="shared" si="18"/>
        <v>1.3306990341971688E-3</v>
      </c>
      <c r="U35" s="10">
        <f t="shared" si="19"/>
        <v>9.7332389023855269E-4</v>
      </c>
      <c r="V35" s="10">
        <f t="shared" si="20"/>
        <v>9.563007872974312E-2</v>
      </c>
      <c r="W35" s="10">
        <f t="shared" si="21"/>
        <v>3.4000000000000002E-2</v>
      </c>
      <c r="X35" s="10">
        <f t="shared" si="22"/>
        <v>9.7000000000000003E-2</v>
      </c>
      <c r="Y35" s="10">
        <f t="shared" si="23"/>
        <v>6.6000000000000003E-2</v>
      </c>
      <c r="Z35" s="24">
        <f t="shared" si="24"/>
        <v>0.23</v>
      </c>
      <c r="AA35" s="24">
        <f t="shared" si="25"/>
        <v>0.65</v>
      </c>
      <c r="AB35" s="24">
        <f t="shared" si="26"/>
        <v>0.44</v>
      </c>
      <c r="AC35" s="25">
        <f t="shared" si="27"/>
        <v>5</v>
      </c>
      <c r="AD35" s="25">
        <f t="shared" si="28"/>
        <v>5</v>
      </c>
      <c r="AE35" s="25">
        <f t="shared" si="29"/>
        <v>5</v>
      </c>
      <c r="AF35" s="21"/>
      <c r="AG35" s="23"/>
      <c r="AH35" s="23"/>
      <c r="AI35" s="23"/>
      <c r="AJ35" s="23"/>
      <c r="AK35" s="22"/>
      <c r="AL35" s="22"/>
      <c r="AM35" s="2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>
      <c r="A36" s="60">
        <v>14391</v>
      </c>
      <c r="B36" s="60" t="s">
        <v>226</v>
      </c>
      <c r="C36" s="17" t="str">
        <f>Rollover!A36</f>
        <v>Ford</v>
      </c>
      <c r="D36" s="17" t="str">
        <f>Rollover!B36</f>
        <v>Ranger Super Cab PU/EC 2WD</v>
      </c>
      <c r="E36" s="16" t="s">
        <v>155</v>
      </c>
      <c r="F36" s="17">
        <f>Rollover!C36</f>
        <v>2022</v>
      </c>
      <c r="G36" s="18">
        <v>25.858000000000001</v>
      </c>
      <c r="H36" s="19">
        <v>17.504999999999999</v>
      </c>
      <c r="I36" s="19">
        <v>24.358000000000001</v>
      </c>
      <c r="J36" s="19">
        <v>495.49400000000003</v>
      </c>
      <c r="K36" s="20">
        <v>1076.615</v>
      </c>
      <c r="L36" s="18">
        <v>67.296999999999997</v>
      </c>
      <c r="M36" s="19">
        <v>16.835999999999999</v>
      </c>
      <c r="N36" s="19">
        <v>33.642000000000003</v>
      </c>
      <c r="O36" s="19">
        <v>0.111</v>
      </c>
      <c r="P36" s="20">
        <v>2565.9749999999999</v>
      </c>
      <c r="Q36" s="63">
        <f t="shared" si="15"/>
        <v>6.9178393328213243E-9</v>
      </c>
      <c r="R36" s="10">
        <f t="shared" si="16"/>
        <v>2.2296200017844454E-2</v>
      </c>
      <c r="S36" s="10">
        <f t="shared" si="17"/>
        <v>6.8030948901760015E-3</v>
      </c>
      <c r="T36" s="10">
        <f t="shared" si="18"/>
        <v>1.6380269021043696E-3</v>
      </c>
      <c r="U36" s="10">
        <f t="shared" si="19"/>
        <v>5.8578197815585002E-6</v>
      </c>
      <c r="V36" s="10">
        <f t="shared" si="20"/>
        <v>1.9967427254501836E-2</v>
      </c>
      <c r="W36" s="10">
        <f t="shared" si="21"/>
        <v>3.1E-2</v>
      </c>
      <c r="X36" s="10">
        <f t="shared" si="22"/>
        <v>0.02</v>
      </c>
      <c r="Y36" s="10">
        <f t="shared" si="23"/>
        <v>2.5999999999999999E-2</v>
      </c>
      <c r="Z36" s="24">
        <f t="shared" si="24"/>
        <v>0.21</v>
      </c>
      <c r="AA36" s="24">
        <f t="shared" si="25"/>
        <v>0.13</v>
      </c>
      <c r="AB36" s="24">
        <f t="shared" si="26"/>
        <v>0.17</v>
      </c>
      <c r="AC36" s="25">
        <f t="shared" si="27"/>
        <v>5</v>
      </c>
      <c r="AD36" s="25">
        <f t="shared" si="28"/>
        <v>5</v>
      </c>
      <c r="AE36" s="25">
        <f t="shared" si="29"/>
        <v>5</v>
      </c>
      <c r="AF36" s="21"/>
      <c r="AG36" s="23"/>
      <c r="AH36" s="23"/>
      <c r="AI36" s="23"/>
      <c r="AJ36" s="23"/>
      <c r="AK36" s="22"/>
      <c r="AL36" s="22"/>
      <c r="AM36" s="2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>
      <c r="A37" s="60">
        <v>14391</v>
      </c>
      <c r="B37" s="60" t="s">
        <v>226</v>
      </c>
      <c r="C37" s="17" t="str">
        <f>Rollover!A37</f>
        <v>Ford</v>
      </c>
      <c r="D37" s="17" t="str">
        <f>Rollover!B37</f>
        <v>Ranger Super Cab PU/EC 4WD</v>
      </c>
      <c r="E37" s="16" t="s">
        <v>155</v>
      </c>
      <c r="F37" s="17">
        <f>Rollover!C37</f>
        <v>2022</v>
      </c>
      <c r="G37" s="18">
        <v>25.858000000000001</v>
      </c>
      <c r="H37" s="19">
        <v>17.504999999999999</v>
      </c>
      <c r="I37" s="19">
        <v>24.358000000000001</v>
      </c>
      <c r="J37" s="19">
        <v>495.49400000000003</v>
      </c>
      <c r="K37" s="20">
        <v>1076.615</v>
      </c>
      <c r="L37" s="18">
        <v>67.296999999999997</v>
      </c>
      <c r="M37" s="19">
        <v>16.835999999999999</v>
      </c>
      <c r="N37" s="19">
        <v>33.642000000000003</v>
      </c>
      <c r="O37" s="19">
        <v>0.111</v>
      </c>
      <c r="P37" s="20">
        <v>2565.9749999999999</v>
      </c>
      <c r="Q37" s="63">
        <f t="shared" si="15"/>
        <v>6.9178393328213243E-9</v>
      </c>
      <c r="R37" s="10">
        <f t="shared" si="16"/>
        <v>2.2296200017844454E-2</v>
      </c>
      <c r="S37" s="10">
        <f t="shared" si="17"/>
        <v>6.8030948901760015E-3</v>
      </c>
      <c r="T37" s="10">
        <f t="shared" si="18"/>
        <v>1.6380269021043696E-3</v>
      </c>
      <c r="U37" s="10">
        <f t="shared" si="19"/>
        <v>5.8578197815585002E-6</v>
      </c>
      <c r="V37" s="10">
        <f t="shared" si="20"/>
        <v>1.9967427254501836E-2</v>
      </c>
      <c r="W37" s="10">
        <f t="shared" si="21"/>
        <v>3.1E-2</v>
      </c>
      <c r="X37" s="10">
        <f t="shared" si="22"/>
        <v>0.02</v>
      </c>
      <c r="Y37" s="10">
        <f t="shared" si="23"/>
        <v>2.5999999999999999E-2</v>
      </c>
      <c r="Z37" s="24">
        <f t="shared" si="24"/>
        <v>0.21</v>
      </c>
      <c r="AA37" s="24">
        <f t="shared" si="25"/>
        <v>0.13</v>
      </c>
      <c r="AB37" s="24">
        <f t="shared" si="26"/>
        <v>0.17</v>
      </c>
      <c r="AC37" s="25">
        <f t="shared" si="27"/>
        <v>5</v>
      </c>
      <c r="AD37" s="25">
        <f t="shared" si="28"/>
        <v>5</v>
      </c>
      <c r="AE37" s="25">
        <f t="shared" si="29"/>
        <v>5</v>
      </c>
      <c r="AF37" s="21"/>
      <c r="AG37" s="23"/>
      <c r="AH37" s="23"/>
      <c r="AI37" s="23"/>
      <c r="AJ37" s="23"/>
      <c r="AK37" s="22"/>
      <c r="AL37" s="22"/>
      <c r="AM37" s="2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>
      <c r="A38" s="60">
        <v>14049</v>
      </c>
      <c r="B38" s="60" t="s">
        <v>227</v>
      </c>
      <c r="C38" s="17" t="str">
        <f>Rollover!A38</f>
        <v>Honda</v>
      </c>
      <c r="D38" s="17" t="str">
        <f>Rollover!B38</f>
        <v>Civic 4DR FWD</v>
      </c>
      <c r="E38" s="16" t="s">
        <v>155</v>
      </c>
      <c r="F38" s="17">
        <f>Rollover!C38</f>
        <v>2022</v>
      </c>
      <c r="G38" s="18">
        <v>193.22300000000001</v>
      </c>
      <c r="H38" s="19">
        <v>19.169</v>
      </c>
      <c r="I38" s="19">
        <v>34.246000000000002</v>
      </c>
      <c r="J38" s="19">
        <v>1272.172</v>
      </c>
      <c r="K38" s="20">
        <v>1273.163</v>
      </c>
      <c r="L38" s="18">
        <v>267.30500000000001</v>
      </c>
      <c r="M38" s="19">
        <v>21.327000000000002</v>
      </c>
      <c r="N38" s="19">
        <v>78.626999999999995</v>
      </c>
      <c r="O38" s="19">
        <v>15.616</v>
      </c>
      <c r="P38" s="20">
        <v>2294.511</v>
      </c>
      <c r="Q38" s="63">
        <f t="shared" si="15"/>
        <v>1.5508992117815668E-3</v>
      </c>
      <c r="R38" s="10">
        <f t="shared" si="16"/>
        <v>2.5884919719050149E-2</v>
      </c>
      <c r="S38" s="10">
        <f t="shared" si="17"/>
        <v>3.4659898372854034E-2</v>
      </c>
      <c r="T38" s="10">
        <f t="shared" si="18"/>
        <v>2.0325678464427127E-3</v>
      </c>
      <c r="U38" s="10">
        <f t="shared" si="19"/>
        <v>5.8864645985183617E-3</v>
      </c>
      <c r="V38" s="10">
        <f t="shared" si="20"/>
        <v>1.5540248794763317E-2</v>
      </c>
      <c r="W38" s="10">
        <f t="shared" si="21"/>
        <v>6.3E-2</v>
      </c>
      <c r="X38" s="10">
        <f t="shared" si="22"/>
        <v>2.1000000000000001E-2</v>
      </c>
      <c r="Y38" s="10">
        <f t="shared" si="23"/>
        <v>4.2000000000000003E-2</v>
      </c>
      <c r="Z38" s="24">
        <f t="shared" si="24"/>
        <v>0.42</v>
      </c>
      <c r="AA38" s="24">
        <f t="shared" si="25"/>
        <v>0.14000000000000001</v>
      </c>
      <c r="AB38" s="24">
        <f t="shared" si="26"/>
        <v>0.28000000000000003</v>
      </c>
      <c r="AC38" s="25">
        <f t="shared" si="27"/>
        <v>5</v>
      </c>
      <c r="AD38" s="25">
        <f t="shared" si="28"/>
        <v>5</v>
      </c>
      <c r="AE38" s="25">
        <f t="shared" si="29"/>
        <v>5</v>
      </c>
      <c r="AF38" s="21"/>
      <c r="AG38" s="23"/>
      <c r="AH38" s="23"/>
      <c r="AI38" s="23"/>
      <c r="AJ38" s="23"/>
      <c r="AK38" s="22"/>
      <c r="AL38" s="22"/>
      <c r="AM38" s="2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>
      <c r="A39" s="60">
        <v>14049</v>
      </c>
      <c r="B39" s="60" t="s">
        <v>227</v>
      </c>
      <c r="C39" s="16" t="str">
        <f>Rollover!A39</f>
        <v>Honda</v>
      </c>
      <c r="D39" s="16" t="str">
        <f>Rollover!B39</f>
        <v>Civic SI 4DR FWD</v>
      </c>
      <c r="E39" s="16" t="s">
        <v>155</v>
      </c>
      <c r="F39" s="17">
        <f>Rollover!C39</f>
        <v>2022</v>
      </c>
      <c r="G39" s="18">
        <v>193.22300000000001</v>
      </c>
      <c r="H39" s="19">
        <v>19.169</v>
      </c>
      <c r="I39" s="19">
        <v>34.246000000000002</v>
      </c>
      <c r="J39" s="19">
        <v>1272.172</v>
      </c>
      <c r="K39" s="20">
        <v>1273.163</v>
      </c>
      <c r="L39" s="18">
        <v>267.30500000000001</v>
      </c>
      <c r="M39" s="19">
        <v>21.327000000000002</v>
      </c>
      <c r="N39" s="19">
        <v>78.626999999999995</v>
      </c>
      <c r="O39" s="19">
        <v>15.616</v>
      </c>
      <c r="P39" s="20">
        <v>2294.511</v>
      </c>
      <c r="Q39" s="63">
        <f t="shared" si="15"/>
        <v>1.5508992117815668E-3</v>
      </c>
      <c r="R39" s="10">
        <f t="shared" si="16"/>
        <v>2.5884919719050149E-2</v>
      </c>
      <c r="S39" s="10">
        <f t="shared" si="17"/>
        <v>3.4659898372854034E-2</v>
      </c>
      <c r="T39" s="10">
        <f t="shared" si="18"/>
        <v>2.0325678464427127E-3</v>
      </c>
      <c r="U39" s="10">
        <f t="shared" si="19"/>
        <v>5.8864645985183617E-3</v>
      </c>
      <c r="V39" s="10">
        <f t="shared" si="20"/>
        <v>1.5540248794763317E-2</v>
      </c>
      <c r="W39" s="10">
        <f t="shared" si="21"/>
        <v>6.3E-2</v>
      </c>
      <c r="X39" s="10">
        <f t="shared" si="22"/>
        <v>2.1000000000000001E-2</v>
      </c>
      <c r="Y39" s="10">
        <f t="shared" si="23"/>
        <v>4.2000000000000003E-2</v>
      </c>
      <c r="Z39" s="24">
        <f t="shared" si="24"/>
        <v>0.42</v>
      </c>
      <c r="AA39" s="24">
        <f t="shared" si="25"/>
        <v>0.14000000000000001</v>
      </c>
      <c r="AB39" s="24">
        <f t="shared" si="26"/>
        <v>0.28000000000000003</v>
      </c>
      <c r="AC39" s="25">
        <f t="shared" si="27"/>
        <v>5</v>
      </c>
      <c r="AD39" s="25">
        <f t="shared" si="28"/>
        <v>5</v>
      </c>
      <c r="AE39" s="25">
        <f t="shared" si="29"/>
        <v>5</v>
      </c>
      <c r="AF39" s="21"/>
      <c r="AG39" s="23"/>
      <c r="AH39" s="23"/>
      <c r="AI39" s="23"/>
      <c r="AJ39" s="23"/>
      <c r="AK39" s="22"/>
      <c r="AL39" s="22"/>
      <c r="AM39" s="2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>
      <c r="A40" s="60">
        <v>14049</v>
      </c>
      <c r="B40" s="60" t="s">
        <v>227</v>
      </c>
      <c r="C40" s="16" t="str">
        <f>Rollover!A40</f>
        <v>Honda</v>
      </c>
      <c r="D40" s="16" t="str">
        <f>Rollover!B40</f>
        <v>Civic 5HB FWD</v>
      </c>
      <c r="E40" s="16" t="s">
        <v>155</v>
      </c>
      <c r="F40" s="17">
        <f>Rollover!C40</f>
        <v>2022</v>
      </c>
      <c r="G40" s="18">
        <v>193.22300000000001</v>
      </c>
      <c r="H40" s="19">
        <v>19.169</v>
      </c>
      <c r="I40" s="19">
        <v>34.246000000000002</v>
      </c>
      <c r="J40" s="19">
        <v>1272.172</v>
      </c>
      <c r="K40" s="20">
        <v>1273.163</v>
      </c>
      <c r="L40" s="18">
        <v>267.30500000000001</v>
      </c>
      <c r="M40" s="19">
        <v>21.327000000000002</v>
      </c>
      <c r="N40" s="19">
        <v>78.626999999999995</v>
      </c>
      <c r="O40" s="19">
        <v>15.616</v>
      </c>
      <c r="P40" s="20">
        <v>2294.511</v>
      </c>
      <c r="Q40" s="63">
        <f t="shared" si="15"/>
        <v>1.5508992117815668E-3</v>
      </c>
      <c r="R40" s="10">
        <f t="shared" si="16"/>
        <v>2.5884919719050149E-2</v>
      </c>
      <c r="S40" s="10">
        <f t="shared" si="17"/>
        <v>3.4659898372854034E-2</v>
      </c>
      <c r="T40" s="10">
        <f t="shared" si="18"/>
        <v>2.0325678464427127E-3</v>
      </c>
      <c r="U40" s="10">
        <f t="shared" si="19"/>
        <v>5.8864645985183617E-3</v>
      </c>
      <c r="V40" s="10">
        <f t="shared" si="20"/>
        <v>1.5540248794763317E-2</v>
      </c>
      <c r="W40" s="10">
        <f t="shared" si="21"/>
        <v>6.3E-2</v>
      </c>
      <c r="X40" s="10">
        <f t="shared" si="22"/>
        <v>2.1000000000000001E-2</v>
      </c>
      <c r="Y40" s="10">
        <f t="shared" si="23"/>
        <v>4.2000000000000003E-2</v>
      </c>
      <c r="Z40" s="24">
        <f t="shared" si="24"/>
        <v>0.42</v>
      </c>
      <c r="AA40" s="24">
        <f t="shared" si="25"/>
        <v>0.14000000000000001</v>
      </c>
      <c r="AB40" s="24">
        <f t="shared" si="26"/>
        <v>0.28000000000000003</v>
      </c>
      <c r="AC40" s="25">
        <f t="shared" si="27"/>
        <v>5</v>
      </c>
      <c r="AD40" s="25">
        <f t="shared" si="28"/>
        <v>5</v>
      </c>
      <c r="AE40" s="25">
        <f t="shared" si="29"/>
        <v>5</v>
      </c>
      <c r="AF40" s="21"/>
      <c r="AG40" s="23"/>
      <c r="AH40" s="23"/>
      <c r="AI40" s="23"/>
      <c r="AJ40" s="23"/>
      <c r="AK40" s="22"/>
      <c r="AL40" s="22"/>
      <c r="AM40" s="2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>
      <c r="A41" s="60">
        <v>14090</v>
      </c>
      <c r="B41" s="60" t="s">
        <v>228</v>
      </c>
      <c r="C41" s="17" t="str">
        <f>Rollover!A41</f>
        <v>Hyundai</v>
      </c>
      <c r="D41" s="17" t="str">
        <f>Rollover!B41</f>
        <v>Ioniq 5 SUV RWD</v>
      </c>
      <c r="E41" s="16" t="s">
        <v>157</v>
      </c>
      <c r="F41" s="17">
        <f>Rollover!C41</f>
        <v>2022</v>
      </c>
      <c r="G41" s="18">
        <v>114.63200000000001</v>
      </c>
      <c r="H41" s="19">
        <v>34.338000000000001</v>
      </c>
      <c r="I41" s="19">
        <v>42.212000000000003</v>
      </c>
      <c r="J41" s="19">
        <v>1360.15</v>
      </c>
      <c r="K41" s="20">
        <v>1662.461</v>
      </c>
      <c r="L41" s="18">
        <v>168.23099999999999</v>
      </c>
      <c r="M41" s="19">
        <v>16.292999999999999</v>
      </c>
      <c r="N41" s="19">
        <v>57.569000000000003</v>
      </c>
      <c r="O41" s="19">
        <v>32.485999999999997</v>
      </c>
      <c r="P41" s="20">
        <v>1788.798</v>
      </c>
      <c r="Q41" s="63">
        <f t="shared" si="15"/>
        <v>1.2461541754589753E-4</v>
      </c>
      <c r="R41" s="10">
        <f t="shared" si="16"/>
        <v>9.6752729915936114E-2</v>
      </c>
      <c r="S41" s="10">
        <f t="shared" si="17"/>
        <v>4.1517349958779315E-2</v>
      </c>
      <c r="T41" s="10">
        <f t="shared" si="18"/>
        <v>3.115662631992362E-3</v>
      </c>
      <c r="U41" s="10">
        <f t="shared" si="19"/>
        <v>8.3145178707221901E-4</v>
      </c>
      <c r="V41" s="10">
        <f t="shared" si="20"/>
        <v>9.7178078681515768E-3</v>
      </c>
      <c r="W41" s="10">
        <f t="shared" si="21"/>
        <v>0.13700000000000001</v>
      </c>
      <c r="X41" s="10">
        <f t="shared" si="22"/>
        <v>1.0999999999999999E-2</v>
      </c>
      <c r="Y41" s="10">
        <f t="shared" si="23"/>
        <v>7.3999999999999996E-2</v>
      </c>
      <c r="Z41" s="24">
        <f t="shared" si="24"/>
        <v>0.91</v>
      </c>
      <c r="AA41" s="24">
        <f t="shared" si="25"/>
        <v>7.0000000000000007E-2</v>
      </c>
      <c r="AB41" s="24">
        <f t="shared" si="26"/>
        <v>0.49</v>
      </c>
      <c r="AC41" s="25">
        <f t="shared" si="27"/>
        <v>4</v>
      </c>
      <c r="AD41" s="25">
        <f t="shared" si="28"/>
        <v>5</v>
      </c>
      <c r="AE41" s="25">
        <f t="shared" si="29"/>
        <v>5</v>
      </c>
      <c r="AF41" s="21"/>
      <c r="AG41" s="23"/>
      <c r="AH41" s="23"/>
      <c r="AI41" s="23"/>
      <c r="AJ41" s="23"/>
      <c r="AK41" s="22"/>
      <c r="AL41" s="22"/>
      <c r="AM41" s="2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>
      <c r="A42" s="60">
        <v>14090</v>
      </c>
      <c r="B42" s="60" t="s">
        <v>228</v>
      </c>
      <c r="C42" s="17" t="str">
        <f>Rollover!A42</f>
        <v>Hyundai</v>
      </c>
      <c r="D42" s="17" t="str">
        <f>Rollover!B42</f>
        <v>Ioniq 5 SUV AWD</v>
      </c>
      <c r="E42" s="16" t="s">
        <v>157</v>
      </c>
      <c r="F42" s="17">
        <f>Rollover!C42</f>
        <v>2022</v>
      </c>
      <c r="G42" s="18">
        <v>114.63200000000001</v>
      </c>
      <c r="H42" s="19">
        <v>34.338000000000001</v>
      </c>
      <c r="I42" s="19">
        <v>42.212000000000003</v>
      </c>
      <c r="J42" s="19">
        <v>1360.15</v>
      </c>
      <c r="K42" s="20">
        <v>1662.461</v>
      </c>
      <c r="L42" s="18">
        <v>168.23099999999999</v>
      </c>
      <c r="M42" s="19">
        <v>16.292999999999999</v>
      </c>
      <c r="N42" s="19">
        <v>57.569000000000003</v>
      </c>
      <c r="O42" s="19">
        <v>32.485999999999997</v>
      </c>
      <c r="P42" s="20">
        <v>1788.798</v>
      </c>
      <c r="Q42" s="63">
        <f t="shared" si="15"/>
        <v>1.2461541754589753E-4</v>
      </c>
      <c r="R42" s="10">
        <f t="shared" si="16"/>
        <v>9.6752729915936114E-2</v>
      </c>
      <c r="S42" s="10">
        <f t="shared" si="17"/>
        <v>4.1517349958779315E-2</v>
      </c>
      <c r="T42" s="10">
        <f t="shared" si="18"/>
        <v>3.115662631992362E-3</v>
      </c>
      <c r="U42" s="10">
        <f t="shared" si="19"/>
        <v>8.3145178707221901E-4</v>
      </c>
      <c r="V42" s="10">
        <f t="shared" si="20"/>
        <v>9.7178078681515768E-3</v>
      </c>
      <c r="W42" s="10">
        <f t="shared" si="21"/>
        <v>0.13700000000000001</v>
      </c>
      <c r="X42" s="10">
        <f t="shared" si="22"/>
        <v>1.0999999999999999E-2</v>
      </c>
      <c r="Y42" s="10">
        <f t="shared" si="23"/>
        <v>7.3999999999999996E-2</v>
      </c>
      <c r="Z42" s="24">
        <f t="shared" si="24"/>
        <v>0.91</v>
      </c>
      <c r="AA42" s="24">
        <f t="shared" si="25"/>
        <v>7.0000000000000007E-2</v>
      </c>
      <c r="AB42" s="24">
        <f t="shared" si="26"/>
        <v>0.49</v>
      </c>
      <c r="AC42" s="25">
        <f t="shared" si="27"/>
        <v>4</v>
      </c>
      <c r="AD42" s="25">
        <f t="shared" si="28"/>
        <v>5</v>
      </c>
      <c r="AE42" s="25">
        <f t="shared" si="29"/>
        <v>5</v>
      </c>
      <c r="AF42" s="21"/>
      <c r="AG42" s="23"/>
      <c r="AH42" s="23"/>
      <c r="AI42" s="23"/>
      <c r="AJ42" s="23"/>
      <c r="AK42" s="22"/>
      <c r="AL42" s="22"/>
      <c r="AM42" s="2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>
      <c r="A43" s="60">
        <v>11666</v>
      </c>
      <c r="B43" s="60" t="s">
        <v>229</v>
      </c>
      <c r="C43" s="16" t="str">
        <f>Rollover!A43</f>
        <v>Hyundai</v>
      </c>
      <c r="D43" s="16" t="str">
        <f>Rollover!B43</f>
        <v>Tucson SUV FWD early release</v>
      </c>
      <c r="E43" s="16" t="s">
        <v>155</v>
      </c>
      <c r="F43" s="17">
        <f>Rollover!C43</f>
        <v>2022</v>
      </c>
      <c r="G43" s="18">
        <v>70.632000000000005</v>
      </c>
      <c r="H43" s="19">
        <v>23.611000000000001</v>
      </c>
      <c r="I43" s="19">
        <v>33.793999999999997</v>
      </c>
      <c r="J43" s="19">
        <v>1083.5989999999999</v>
      </c>
      <c r="K43" s="20">
        <v>1964.2719999999999</v>
      </c>
      <c r="L43" s="18">
        <v>134.25700000000001</v>
      </c>
      <c r="M43" s="19">
        <v>16.059000000000001</v>
      </c>
      <c r="N43" s="19">
        <v>52.218000000000004</v>
      </c>
      <c r="O43" s="19">
        <v>38.298000000000002</v>
      </c>
      <c r="P43" s="20">
        <v>2835.7370000000001</v>
      </c>
      <c r="Q43" s="63">
        <f t="shared" si="15"/>
        <v>7.8921050607709401E-6</v>
      </c>
      <c r="R43" s="10">
        <f t="shared" si="16"/>
        <v>3.8432951212544829E-2</v>
      </c>
      <c r="S43" s="10">
        <f t="shared" si="17"/>
        <v>2.3450735662939242E-2</v>
      </c>
      <c r="T43" s="10">
        <f t="shared" si="18"/>
        <v>4.3371087423019978E-3</v>
      </c>
      <c r="U43" s="10">
        <f t="shared" si="19"/>
        <v>2.8082254074917945E-4</v>
      </c>
      <c r="V43" s="10">
        <f t="shared" si="20"/>
        <v>2.5583101086273031E-2</v>
      </c>
      <c r="W43" s="10">
        <f t="shared" si="21"/>
        <v>6.5000000000000002E-2</v>
      </c>
      <c r="X43" s="10">
        <f t="shared" si="22"/>
        <v>2.5999999999999999E-2</v>
      </c>
      <c r="Y43" s="10">
        <f t="shared" si="23"/>
        <v>4.5999999999999999E-2</v>
      </c>
      <c r="Z43" s="24">
        <f t="shared" si="24"/>
        <v>0.43</v>
      </c>
      <c r="AA43" s="24">
        <f t="shared" si="25"/>
        <v>0.17</v>
      </c>
      <c r="AB43" s="24">
        <f t="shared" si="26"/>
        <v>0.31</v>
      </c>
      <c r="AC43" s="25">
        <f t="shared" si="27"/>
        <v>5</v>
      </c>
      <c r="AD43" s="25">
        <f t="shared" si="28"/>
        <v>5</v>
      </c>
      <c r="AE43" s="25">
        <f t="shared" si="29"/>
        <v>5</v>
      </c>
      <c r="AF43" s="21"/>
      <c r="AG43" s="23"/>
      <c r="AH43" s="23"/>
      <c r="AI43" s="23"/>
      <c r="AJ43" s="23"/>
      <c r="AK43" s="22"/>
      <c r="AL43" s="22"/>
      <c r="AM43" s="2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>
      <c r="A44" s="60">
        <v>11666</v>
      </c>
      <c r="B44" s="60" t="s">
        <v>229</v>
      </c>
      <c r="C44" s="16" t="str">
        <f>Rollover!A44</f>
        <v>Hyundai</v>
      </c>
      <c r="D44" s="16" t="str">
        <f>Rollover!B44</f>
        <v>Tucson SUV AWD early release</v>
      </c>
      <c r="E44" s="16" t="s">
        <v>155</v>
      </c>
      <c r="F44" s="17">
        <f>Rollover!C44</f>
        <v>2022</v>
      </c>
      <c r="G44" s="18">
        <v>70.632000000000005</v>
      </c>
      <c r="H44" s="19">
        <v>23.611000000000001</v>
      </c>
      <c r="I44" s="19">
        <v>33.793999999999997</v>
      </c>
      <c r="J44" s="19">
        <v>1083.5989999999999</v>
      </c>
      <c r="K44" s="20">
        <v>1964.2719999999999</v>
      </c>
      <c r="L44" s="18">
        <v>134.25700000000001</v>
      </c>
      <c r="M44" s="19">
        <v>16.059000000000001</v>
      </c>
      <c r="N44" s="19">
        <v>52.218000000000004</v>
      </c>
      <c r="O44" s="19">
        <v>38.298000000000002</v>
      </c>
      <c r="P44" s="20">
        <v>2835.7370000000001</v>
      </c>
      <c r="Q44" s="63">
        <f t="shared" si="15"/>
        <v>7.8921050607709401E-6</v>
      </c>
      <c r="R44" s="10">
        <f t="shared" si="16"/>
        <v>3.8432951212544829E-2</v>
      </c>
      <c r="S44" s="10">
        <f t="shared" si="17"/>
        <v>2.3450735662939242E-2</v>
      </c>
      <c r="T44" s="10">
        <f t="shared" si="18"/>
        <v>4.3371087423019978E-3</v>
      </c>
      <c r="U44" s="10">
        <f t="shared" si="19"/>
        <v>2.8082254074917945E-4</v>
      </c>
      <c r="V44" s="10">
        <f t="shared" si="20"/>
        <v>2.5583101086273031E-2</v>
      </c>
      <c r="W44" s="10">
        <f t="shared" si="21"/>
        <v>6.5000000000000002E-2</v>
      </c>
      <c r="X44" s="10">
        <f t="shared" si="22"/>
        <v>2.5999999999999999E-2</v>
      </c>
      <c r="Y44" s="10">
        <f t="shared" si="23"/>
        <v>4.5999999999999999E-2</v>
      </c>
      <c r="Z44" s="24">
        <f t="shared" si="24"/>
        <v>0.43</v>
      </c>
      <c r="AA44" s="24">
        <f t="shared" si="25"/>
        <v>0.17</v>
      </c>
      <c r="AB44" s="24">
        <f t="shared" si="26"/>
        <v>0.31</v>
      </c>
      <c r="AC44" s="25">
        <f t="shared" si="27"/>
        <v>5</v>
      </c>
      <c r="AD44" s="25">
        <f t="shared" si="28"/>
        <v>5</v>
      </c>
      <c r="AE44" s="25">
        <f t="shared" si="29"/>
        <v>5</v>
      </c>
      <c r="AF44" s="21"/>
      <c r="AG44" s="23"/>
      <c r="AH44" s="23"/>
      <c r="AI44" s="23"/>
      <c r="AJ44" s="23"/>
      <c r="AK44" s="22"/>
      <c r="AL44" s="22"/>
      <c r="AM44" s="2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>
      <c r="A45" s="60">
        <v>11666</v>
      </c>
      <c r="B45" s="60" t="s">
        <v>229</v>
      </c>
      <c r="C45" s="16" t="str">
        <f>Rollover!A45</f>
        <v>Hyundai</v>
      </c>
      <c r="D45" s="16" t="str">
        <f>Rollover!B45</f>
        <v>Tucson HEV SUV FWD early release</v>
      </c>
      <c r="E45" s="16" t="s">
        <v>155</v>
      </c>
      <c r="F45" s="17">
        <f>Rollover!C45</f>
        <v>2022</v>
      </c>
      <c r="G45" s="18">
        <v>70.632000000000005</v>
      </c>
      <c r="H45" s="19">
        <v>23.611000000000001</v>
      </c>
      <c r="I45" s="19">
        <v>33.793999999999997</v>
      </c>
      <c r="J45" s="19">
        <v>1083.5989999999999</v>
      </c>
      <c r="K45" s="20">
        <v>1964.2719999999999</v>
      </c>
      <c r="L45" s="18">
        <v>134.25700000000001</v>
      </c>
      <c r="M45" s="19">
        <v>16.059000000000001</v>
      </c>
      <c r="N45" s="19">
        <v>52.218000000000004</v>
      </c>
      <c r="O45" s="19">
        <v>38.298000000000002</v>
      </c>
      <c r="P45" s="20">
        <v>2835.7370000000001</v>
      </c>
      <c r="Q45" s="63">
        <f t="shared" si="15"/>
        <v>7.8921050607709401E-6</v>
      </c>
      <c r="R45" s="10">
        <f t="shared" si="16"/>
        <v>3.8432951212544829E-2</v>
      </c>
      <c r="S45" s="10">
        <f t="shared" si="17"/>
        <v>2.3450735662939242E-2</v>
      </c>
      <c r="T45" s="10">
        <f t="shared" si="18"/>
        <v>4.3371087423019978E-3</v>
      </c>
      <c r="U45" s="10">
        <f t="shared" si="19"/>
        <v>2.8082254074917945E-4</v>
      </c>
      <c r="V45" s="10">
        <f t="shared" si="20"/>
        <v>2.5583101086273031E-2</v>
      </c>
      <c r="W45" s="10">
        <f t="shared" si="21"/>
        <v>6.5000000000000002E-2</v>
      </c>
      <c r="X45" s="10">
        <f t="shared" si="22"/>
        <v>2.5999999999999999E-2</v>
      </c>
      <c r="Y45" s="10">
        <f t="shared" si="23"/>
        <v>4.5999999999999999E-2</v>
      </c>
      <c r="Z45" s="24">
        <f t="shared" si="24"/>
        <v>0.43</v>
      </c>
      <c r="AA45" s="24">
        <f t="shared" si="25"/>
        <v>0.17</v>
      </c>
      <c r="AB45" s="24">
        <f t="shared" si="26"/>
        <v>0.31</v>
      </c>
      <c r="AC45" s="25">
        <f t="shared" si="27"/>
        <v>5</v>
      </c>
      <c r="AD45" s="25">
        <f t="shared" si="28"/>
        <v>5</v>
      </c>
      <c r="AE45" s="25">
        <f t="shared" si="29"/>
        <v>5</v>
      </c>
      <c r="AF45" s="21"/>
      <c r="AG45" s="23"/>
      <c r="AH45" s="23"/>
      <c r="AI45" s="23"/>
      <c r="AJ45" s="23"/>
      <c r="AK45" s="22"/>
      <c r="AL45" s="22"/>
      <c r="AM45" s="2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>
      <c r="A46" s="60">
        <v>11666</v>
      </c>
      <c r="B46" s="60" t="s">
        <v>229</v>
      </c>
      <c r="C46" s="17" t="str">
        <f>Rollover!A46</f>
        <v>Hyundai</v>
      </c>
      <c r="D46" s="17" t="str">
        <f>Rollover!B46</f>
        <v>Tucson HEV SUV AWD early release</v>
      </c>
      <c r="E46" s="16" t="s">
        <v>155</v>
      </c>
      <c r="F46" s="17">
        <f>Rollover!C46</f>
        <v>2022</v>
      </c>
      <c r="G46" s="18">
        <v>70.632000000000005</v>
      </c>
      <c r="H46" s="19">
        <v>23.611000000000001</v>
      </c>
      <c r="I46" s="19">
        <v>33.793999999999997</v>
      </c>
      <c r="J46" s="19">
        <v>1083.5989999999999</v>
      </c>
      <c r="K46" s="20">
        <v>1964.2719999999999</v>
      </c>
      <c r="L46" s="18">
        <v>134.25700000000001</v>
      </c>
      <c r="M46" s="19">
        <v>16.059000000000001</v>
      </c>
      <c r="N46" s="19">
        <v>52.218000000000004</v>
      </c>
      <c r="O46" s="19">
        <v>38.298000000000002</v>
      </c>
      <c r="P46" s="20">
        <v>2835.7370000000001</v>
      </c>
      <c r="Q46" s="63">
        <f t="shared" si="15"/>
        <v>7.8921050607709401E-6</v>
      </c>
      <c r="R46" s="10">
        <f t="shared" si="16"/>
        <v>3.8432951212544829E-2</v>
      </c>
      <c r="S46" s="10">
        <f t="shared" si="17"/>
        <v>2.3450735662939242E-2</v>
      </c>
      <c r="T46" s="10">
        <f t="shared" si="18"/>
        <v>4.3371087423019978E-3</v>
      </c>
      <c r="U46" s="10">
        <f t="shared" si="19"/>
        <v>2.8082254074917945E-4</v>
      </c>
      <c r="V46" s="10">
        <f t="shared" si="20"/>
        <v>2.5583101086273031E-2</v>
      </c>
      <c r="W46" s="10">
        <f t="shared" si="21"/>
        <v>6.5000000000000002E-2</v>
      </c>
      <c r="X46" s="10">
        <f t="shared" si="22"/>
        <v>2.5999999999999999E-2</v>
      </c>
      <c r="Y46" s="10">
        <f t="shared" si="23"/>
        <v>4.5999999999999999E-2</v>
      </c>
      <c r="Z46" s="24">
        <f t="shared" si="24"/>
        <v>0.43</v>
      </c>
      <c r="AA46" s="24">
        <f t="shared" si="25"/>
        <v>0.17</v>
      </c>
      <c r="AB46" s="24">
        <f t="shared" si="26"/>
        <v>0.31</v>
      </c>
      <c r="AC46" s="25">
        <f t="shared" si="27"/>
        <v>5</v>
      </c>
      <c r="AD46" s="25">
        <f t="shared" si="28"/>
        <v>5</v>
      </c>
      <c r="AE46" s="25">
        <f t="shared" si="29"/>
        <v>5</v>
      </c>
      <c r="AF46" s="21"/>
      <c r="AG46" s="23"/>
      <c r="AH46" s="23"/>
      <c r="AI46" s="23"/>
      <c r="AJ46" s="23"/>
      <c r="AK46" s="22"/>
      <c r="AL46" s="22"/>
      <c r="AM46" s="22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>
      <c r="A47" s="60">
        <v>14053</v>
      </c>
      <c r="B47" s="60" t="s">
        <v>230</v>
      </c>
      <c r="C47" s="17" t="str">
        <f>Rollover!A47</f>
        <v>Hyundai</v>
      </c>
      <c r="D47" s="17" t="str">
        <f>Rollover!B47</f>
        <v>Tucson SUV FWD later release</v>
      </c>
      <c r="E47" s="16" t="s">
        <v>155</v>
      </c>
      <c r="F47" s="17">
        <f>Rollover!C47</f>
        <v>2022</v>
      </c>
      <c r="G47" s="18">
        <v>71.099000000000004</v>
      </c>
      <c r="H47" s="19">
        <v>24.823</v>
      </c>
      <c r="I47" s="19">
        <v>36.918999999999997</v>
      </c>
      <c r="J47" s="19">
        <v>994.23800000000006</v>
      </c>
      <c r="K47" s="20">
        <v>1954.711</v>
      </c>
      <c r="L47" s="18">
        <v>137.304</v>
      </c>
      <c r="M47" s="19">
        <v>12.824999999999999</v>
      </c>
      <c r="N47" s="19">
        <v>59.125999999999998</v>
      </c>
      <c r="O47" s="19">
        <v>39.502000000000002</v>
      </c>
      <c r="P47" s="20">
        <v>3342.2660000000001</v>
      </c>
      <c r="Q47" s="63">
        <f t="shared" si="15"/>
        <v>8.2166223391459227E-6</v>
      </c>
      <c r="R47" s="10">
        <f t="shared" si="16"/>
        <v>4.2767563057948127E-2</v>
      </c>
      <c r="S47" s="10">
        <f t="shared" si="17"/>
        <v>1.9460229312072246E-2</v>
      </c>
      <c r="T47" s="10">
        <f t="shared" si="18"/>
        <v>4.2919287050818345E-3</v>
      </c>
      <c r="U47" s="10">
        <f t="shared" si="19"/>
        <v>3.1406993631631348E-4</v>
      </c>
      <c r="V47" s="10">
        <f t="shared" si="20"/>
        <v>4.0552118976139383E-2</v>
      </c>
      <c r="W47" s="10">
        <f t="shared" si="21"/>
        <v>6.5000000000000002E-2</v>
      </c>
      <c r="X47" s="10">
        <f t="shared" si="22"/>
        <v>4.1000000000000002E-2</v>
      </c>
      <c r="Y47" s="10">
        <f t="shared" si="23"/>
        <v>5.2999999999999999E-2</v>
      </c>
      <c r="Z47" s="24">
        <f t="shared" si="24"/>
        <v>0.43</v>
      </c>
      <c r="AA47" s="24">
        <f t="shared" si="25"/>
        <v>0.27</v>
      </c>
      <c r="AB47" s="24">
        <f t="shared" si="26"/>
        <v>0.35</v>
      </c>
      <c r="AC47" s="25">
        <f t="shared" si="27"/>
        <v>5</v>
      </c>
      <c r="AD47" s="25">
        <f t="shared" si="28"/>
        <v>5</v>
      </c>
      <c r="AE47" s="25">
        <f t="shared" si="29"/>
        <v>5</v>
      </c>
      <c r="AF47" s="21"/>
      <c r="AG47" s="23"/>
      <c r="AH47" s="23"/>
      <c r="AI47" s="23"/>
      <c r="AJ47" s="23"/>
      <c r="AK47" s="22"/>
      <c r="AL47" s="22"/>
      <c r="AM47" s="22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>
      <c r="A48" s="60">
        <v>14053</v>
      </c>
      <c r="B48" s="60" t="s">
        <v>230</v>
      </c>
      <c r="C48" s="17" t="str">
        <f>Rollover!A48</f>
        <v>Hyundai</v>
      </c>
      <c r="D48" s="17" t="str">
        <f>Rollover!B48</f>
        <v>Tucson SUV AWD later release</v>
      </c>
      <c r="E48" s="16" t="s">
        <v>155</v>
      </c>
      <c r="F48" s="17">
        <f>Rollover!C48</f>
        <v>2022</v>
      </c>
      <c r="G48" s="18">
        <v>71.099000000000004</v>
      </c>
      <c r="H48" s="19">
        <v>24.823</v>
      </c>
      <c r="I48" s="19">
        <v>36.918999999999997</v>
      </c>
      <c r="J48" s="19">
        <v>994.23800000000006</v>
      </c>
      <c r="K48" s="20">
        <v>1954.711</v>
      </c>
      <c r="L48" s="18">
        <v>137.304</v>
      </c>
      <c r="M48" s="19">
        <v>12.824999999999999</v>
      </c>
      <c r="N48" s="19">
        <v>59.125999999999998</v>
      </c>
      <c r="O48" s="19">
        <v>39.502000000000002</v>
      </c>
      <c r="P48" s="20">
        <v>3342.2660000000001</v>
      </c>
      <c r="Q48" s="63">
        <f t="shared" si="15"/>
        <v>8.2166223391459227E-6</v>
      </c>
      <c r="R48" s="10">
        <f t="shared" si="16"/>
        <v>4.2767563057948127E-2</v>
      </c>
      <c r="S48" s="10">
        <f t="shared" si="17"/>
        <v>1.9460229312072246E-2</v>
      </c>
      <c r="T48" s="10">
        <f t="shared" si="18"/>
        <v>4.2919287050818345E-3</v>
      </c>
      <c r="U48" s="10">
        <f t="shared" si="19"/>
        <v>3.1406993631631348E-4</v>
      </c>
      <c r="V48" s="10">
        <f t="shared" si="20"/>
        <v>4.0552118976139383E-2</v>
      </c>
      <c r="W48" s="10">
        <f t="shared" si="21"/>
        <v>6.5000000000000002E-2</v>
      </c>
      <c r="X48" s="10">
        <f t="shared" si="22"/>
        <v>4.1000000000000002E-2</v>
      </c>
      <c r="Y48" s="10">
        <f t="shared" si="23"/>
        <v>5.2999999999999999E-2</v>
      </c>
      <c r="Z48" s="24">
        <f t="shared" si="24"/>
        <v>0.43</v>
      </c>
      <c r="AA48" s="24">
        <f t="shared" si="25"/>
        <v>0.27</v>
      </c>
      <c r="AB48" s="24">
        <f t="shared" si="26"/>
        <v>0.35</v>
      </c>
      <c r="AC48" s="25">
        <f t="shared" si="27"/>
        <v>5</v>
      </c>
      <c r="AD48" s="25">
        <f t="shared" si="28"/>
        <v>5</v>
      </c>
      <c r="AE48" s="25">
        <f t="shared" si="29"/>
        <v>5</v>
      </c>
      <c r="AF48" s="21"/>
      <c r="AG48" s="23"/>
      <c r="AH48" s="23"/>
      <c r="AI48" s="23"/>
      <c r="AJ48" s="23"/>
      <c r="AK48" s="22"/>
      <c r="AL48" s="22"/>
      <c r="AM48" s="22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>
      <c r="A49" s="60">
        <v>14053</v>
      </c>
      <c r="B49" s="60" t="s">
        <v>230</v>
      </c>
      <c r="C49" s="17" t="str">
        <f>Rollover!A49</f>
        <v>Hyundai</v>
      </c>
      <c r="D49" s="17" t="str">
        <f>Rollover!B49</f>
        <v>Tucson HEV SUV FWD later release</v>
      </c>
      <c r="E49" s="16" t="s">
        <v>155</v>
      </c>
      <c r="F49" s="17">
        <f>Rollover!C49</f>
        <v>2022</v>
      </c>
      <c r="G49" s="18">
        <v>71.099000000000004</v>
      </c>
      <c r="H49" s="19">
        <v>24.823</v>
      </c>
      <c r="I49" s="19">
        <v>36.918999999999997</v>
      </c>
      <c r="J49" s="19">
        <v>994.23800000000006</v>
      </c>
      <c r="K49" s="20">
        <v>1954.711</v>
      </c>
      <c r="L49" s="18">
        <v>137.304</v>
      </c>
      <c r="M49" s="19">
        <v>12.824999999999999</v>
      </c>
      <c r="N49" s="19">
        <v>59.125999999999998</v>
      </c>
      <c r="O49" s="19">
        <v>39.502000000000002</v>
      </c>
      <c r="P49" s="20">
        <v>3342.2660000000001</v>
      </c>
      <c r="Q49" s="63">
        <f t="shared" si="15"/>
        <v>8.2166223391459227E-6</v>
      </c>
      <c r="R49" s="10">
        <f t="shared" si="16"/>
        <v>4.2767563057948127E-2</v>
      </c>
      <c r="S49" s="10">
        <f t="shared" si="17"/>
        <v>1.9460229312072246E-2</v>
      </c>
      <c r="T49" s="10">
        <f t="shared" si="18"/>
        <v>4.2919287050818345E-3</v>
      </c>
      <c r="U49" s="10">
        <f t="shared" si="19"/>
        <v>3.1406993631631348E-4</v>
      </c>
      <c r="V49" s="10">
        <f t="shared" si="20"/>
        <v>4.0552118976139383E-2</v>
      </c>
      <c r="W49" s="10">
        <f t="shared" si="21"/>
        <v>6.5000000000000002E-2</v>
      </c>
      <c r="X49" s="10">
        <f t="shared" si="22"/>
        <v>4.1000000000000002E-2</v>
      </c>
      <c r="Y49" s="10">
        <f t="shared" si="23"/>
        <v>5.2999999999999999E-2</v>
      </c>
      <c r="Z49" s="24">
        <f t="shared" si="24"/>
        <v>0.43</v>
      </c>
      <c r="AA49" s="24">
        <f t="shared" si="25"/>
        <v>0.27</v>
      </c>
      <c r="AB49" s="24">
        <f t="shared" si="26"/>
        <v>0.35</v>
      </c>
      <c r="AC49" s="25">
        <f t="shared" si="27"/>
        <v>5</v>
      </c>
      <c r="AD49" s="25">
        <f t="shared" si="28"/>
        <v>5</v>
      </c>
      <c r="AE49" s="25">
        <f t="shared" si="29"/>
        <v>5</v>
      </c>
      <c r="AF49" s="21"/>
      <c r="AG49" s="23"/>
      <c r="AH49" s="23"/>
      <c r="AI49" s="23"/>
      <c r="AJ49" s="23"/>
      <c r="AK49" s="22"/>
      <c r="AL49" s="22"/>
      <c r="AM49" s="22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ht="13.5" customHeight="1">
      <c r="A50" s="60">
        <v>14053</v>
      </c>
      <c r="B50" s="60" t="s">
        <v>230</v>
      </c>
      <c r="C50" s="17" t="str">
        <f>Rollover!A50</f>
        <v>Hyundai</v>
      </c>
      <c r="D50" s="17" t="str">
        <f>Rollover!B50</f>
        <v>Tucson HEV SUV AWD later release</v>
      </c>
      <c r="E50" s="16" t="s">
        <v>155</v>
      </c>
      <c r="F50" s="17">
        <f>Rollover!C50</f>
        <v>2022</v>
      </c>
      <c r="G50" s="18">
        <v>71.099000000000004</v>
      </c>
      <c r="H50" s="19">
        <v>24.823</v>
      </c>
      <c r="I50" s="19">
        <v>36.918999999999997</v>
      </c>
      <c r="J50" s="19">
        <v>994.23800000000006</v>
      </c>
      <c r="K50" s="20">
        <v>1954.711</v>
      </c>
      <c r="L50" s="18">
        <v>137.304</v>
      </c>
      <c r="M50" s="19">
        <v>12.824999999999999</v>
      </c>
      <c r="N50" s="19">
        <v>59.125999999999998</v>
      </c>
      <c r="O50" s="19">
        <v>39.502000000000002</v>
      </c>
      <c r="P50" s="20">
        <v>3342.2660000000001</v>
      </c>
      <c r="Q50" s="63">
        <f t="shared" si="15"/>
        <v>8.2166223391459227E-6</v>
      </c>
      <c r="R50" s="10">
        <f t="shared" si="16"/>
        <v>4.2767563057948127E-2</v>
      </c>
      <c r="S50" s="10">
        <f t="shared" si="17"/>
        <v>1.9460229312072246E-2</v>
      </c>
      <c r="T50" s="10">
        <f t="shared" si="18"/>
        <v>4.2919287050818345E-3</v>
      </c>
      <c r="U50" s="10">
        <f t="shared" si="19"/>
        <v>3.1406993631631348E-4</v>
      </c>
      <c r="V50" s="10">
        <f t="shared" si="20"/>
        <v>4.0552118976139383E-2</v>
      </c>
      <c r="W50" s="10">
        <f t="shared" si="21"/>
        <v>6.5000000000000002E-2</v>
      </c>
      <c r="X50" s="10">
        <f t="shared" si="22"/>
        <v>4.1000000000000002E-2</v>
      </c>
      <c r="Y50" s="10">
        <f t="shared" si="23"/>
        <v>5.2999999999999999E-2</v>
      </c>
      <c r="Z50" s="24">
        <f t="shared" si="24"/>
        <v>0.43</v>
      </c>
      <c r="AA50" s="24">
        <f t="shared" si="25"/>
        <v>0.27</v>
      </c>
      <c r="AB50" s="24">
        <f t="shared" si="26"/>
        <v>0.35</v>
      </c>
      <c r="AC50" s="25">
        <f t="shared" si="27"/>
        <v>5</v>
      </c>
      <c r="AD50" s="25">
        <f t="shared" si="28"/>
        <v>5</v>
      </c>
      <c r="AE50" s="25">
        <f t="shared" si="29"/>
        <v>5</v>
      </c>
      <c r="AF50" s="21"/>
      <c r="AG50" s="23"/>
      <c r="AH50" s="23"/>
      <c r="AI50" s="23"/>
      <c r="AJ50" s="23"/>
      <c r="AK50" s="22"/>
      <c r="AL50" s="22"/>
      <c r="AM50" s="22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>
      <c r="A51" s="60">
        <v>14063</v>
      </c>
      <c r="B51" s="60" t="s">
        <v>231</v>
      </c>
      <c r="C51" s="17" t="str">
        <f>Rollover!A51</f>
        <v>Jeep</v>
      </c>
      <c r="D51" s="17" t="str">
        <f>Rollover!B51</f>
        <v>Compass SUV FWD</v>
      </c>
      <c r="E51" s="16" t="s">
        <v>163</v>
      </c>
      <c r="F51" s="17">
        <f>Rollover!C51</f>
        <v>2022</v>
      </c>
      <c r="G51" s="18">
        <v>144.08099999999999</v>
      </c>
      <c r="H51" s="19">
        <v>19.626999999999999</v>
      </c>
      <c r="I51" s="19">
        <v>31.460999999999999</v>
      </c>
      <c r="J51" s="19">
        <v>681.33699999999999</v>
      </c>
      <c r="K51" s="20">
        <v>1378.7660000000001</v>
      </c>
      <c r="L51" s="18">
        <v>211.57400000000001</v>
      </c>
      <c r="M51" s="19">
        <v>28.77</v>
      </c>
      <c r="N51" s="19">
        <v>62.341000000000001</v>
      </c>
      <c r="O51" s="19">
        <v>34.286999999999999</v>
      </c>
      <c r="P51" s="20">
        <v>3685.7280000000001</v>
      </c>
      <c r="Q51" s="63">
        <f t="shared" si="15"/>
        <v>3.9818122122475954E-4</v>
      </c>
      <c r="R51" s="10">
        <f t="shared" si="16"/>
        <v>2.6967666526679656E-2</v>
      </c>
      <c r="S51" s="10">
        <f t="shared" si="17"/>
        <v>1.0079228600999947E-2</v>
      </c>
      <c r="T51" s="10">
        <f t="shared" si="18"/>
        <v>2.2823666380795515E-3</v>
      </c>
      <c r="U51" s="10">
        <f t="shared" si="19"/>
        <v>2.2923324282540488E-3</v>
      </c>
      <c r="V51" s="10">
        <f t="shared" si="20"/>
        <v>5.5152801368538992E-2</v>
      </c>
      <c r="W51" s="10">
        <f t="shared" si="21"/>
        <v>3.9E-2</v>
      </c>
      <c r="X51" s="10">
        <f t="shared" si="22"/>
        <v>5.7000000000000002E-2</v>
      </c>
      <c r="Y51" s="10">
        <f t="shared" si="23"/>
        <v>4.8000000000000001E-2</v>
      </c>
      <c r="Z51" s="24">
        <f t="shared" si="24"/>
        <v>0.26</v>
      </c>
      <c r="AA51" s="24">
        <f t="shared" si="25"/>
        <v>0.38</v>
      </c>
      <c r="AB51" s="24">
        <f t="shared" si="26"/>
        <v>0.32</v>
      </c>
      <c r="AC51" s="25">
        <f t="shared" si="27"/>
        <v>5</v>
      </c>
      <c r="AD51" s="25">
        <f t="shared" si="28"/>
        <v>5</v>
      </c>
      <c r="AE51" s="25">
        <f t="shared" si="29"/>
        <v>5</v>
      </c>
      <c r="AF51" s="21"/>
      <c r="AG51" s="23"/>
      <c r="AH51" s="23"/>
      <c r="AI51" s="23"/>
      <c r="AJ51" s="23"/>
      <c r="AK51" s="22"/>
      <c r="AL51" s="22"/>
      <c r="AM51" s="22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>
      <c r="A52" s="60">
        <v>14063</v>
      </c>
      <c r="B52" s="60" t="s">
        <v>231</v>
      </c>
      <c r="C52" s="16" t="str">
        <f>Rollover!A52</f>
        <v>Jeep</v>
      </c>
      <c r="D52" s="16" t="str">
        <f>Rollover!B52</f>
        <v>Compass SUV AWD</v>
      </c>
      <c r="E52" s="16" t="s">
        <v>163</v>
      </c>
      <c r="F52" s="17">
        <f>Rollover!C52</f>
        <v>2022</v>
      </c>
      <c r="G52" s="18">
        <v>144.08099999999999</v>
      </c>
      <c r="H52" s="19">
        <v>19.626999999999999</v>
      </c>
      <c r="I52" s="19">
        <v>31.460999999999999</v>
      </c>
      <c r="J52" s="19">
        <v>681.33699999999999</v>
      </c>
      <c r="K52" s="20">
        <v>1378.7660000000001</v>
      </c>
      <c r="L52" s="18">
        <v>211.57400000000001</v>
      </c>
      <c r="M52" s="19">
        <v>28.77</v>
      </c>
      <c r="N52" s="19">
        <v>62.341000000000001</v>
      </c>
      <c r="O52" s="19">
        <v>34.286999999999999</v>
      </c>
      <c r="P52" s="20">
        <v>3685.7280000000001</v>
      </c>
      <c r="Q52" s="63">
        <f t="shared" si="15"/>
        <v>3.9818122122475954E-4</v>
      </c>
      <c r="R52" s="10">
        <f t="shared" si="16"/>
        <v>2.6967666526679656E-2</v>
      </c>
      <c r="S52" s="10">
        <f t="shared" si="17"/>
        <v>1.0079228600999947E-2</v>
      </c>
      <c r="T52" s="10">
        <f t="shared" si="18"/>
        <v>2.2823666380795515E-3</v>
      </c>
      <c r="U52" s="10">
        <f t="shared" si="19"/>
        <v>2.2923324282540488E-3</v>
      </c>
      <c r="V52" s="10">
        <f t="shared" si="20"/>
        <v>5.5152801368538992E-2</v>
      </c>
      <c r="W52" s="10">
        <f t="shared" si="21"/>
        <v>3.9E-2</v>
      </c>
      <c r="X52" s="10">
        <f t="shared" si="22"/>
        <v>5.7000000000000002E-2</v>
      </c>
      <c r="Y52" s="10">
        <f t="shared" si="23"/>
        <v>4.8000000000000001E-2</v>
      </c>
      <c r="Z52" s="24">
        <f t="shared" si="24"/>
        <v>0.26</v>
      </c>
      <c r="AA52" s="24">
        <f t="shared" si="25"/>
        <v>0.38</v>
      </c>
      <c r="AB52" s="24">
        <f t="shared" si="26"/>
        <v>0.32</v>
      </c>
      <c r="AC52" s="25">
        <f t="shared" si="27"/>
        <v>5</v>
      </c>
      <c r="AD52" s="25">
        <f t="shared" si="28"/>
        <v>5</v>
      </c>
      <c r="AE52" s="25">
        <f t="shared" si="29"/>
        <v>5</v>
      </c>
      <c r="AF52" s="21"/>
      <c r="AG52" s="23"/>
      <c r="AH52" s="23"/>
      <c r="AI52" s="23"/>
      <c r="AJ52" s="23"/>
      <c r="AK52" s="22"/>
      <c r="AL52" s="22"/>
      <c r="AM52" s="22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>
      <c r="A53" s="60">
        <v>14263</v>
      </c>
      <c r="B53" s="60" t="s">
        <v>232</v>
      </c>
      <c r="C53" s="17" t="str">
        <f>Rollover!A53</f>
        <v>Jeep</v>
      </c>
      <c r="D53" s="17" t="str">
        <f>Rollover!B53</f>
        <v>Grand Cherokee L SUV 2WD</v>
      </c>
      <c r="E53" s="16" t="s">
        <v>163</v>
      </c>
      <c r="F53" s="17">
        <f>Rollover!C53</f>
        <v>2022</v>
      </c>
      <c r="G53" s="18">
        <v>89.466999999999999</v>
      </c>
      <c r="H53" s="19">
        <v>19.847999999999999</v>
      </c>
      <c r="I53" s="19">
        <v>26.631</v>
      </c>
      <c r="J53" s="19">
        <v>654.84299999999996</v>
      </c>
      <c r="K53" s="20">
        <v>1226.6030000000001</v>
      </c>
      <c r="L53" s="18">
        <v>91.754999999999995</v>
      </c>
      <c r="M53" s="19">
        <v>11.555999999999999</v>
      </c>
      <c r="N53" s="19">
        <v>33.531999999999996</v>
      </c>
      <c r="O53" s="19">
        <v>26.486000000000001</v>
      </c>
      <c r="P53" s="20">
        <v>1669.9090000000001</v>
      </c>
      <c r="Q53" s="63">
        <f t="shared" si="15"/>
        <v>3.1939954132623259E-5</v>
      </c>
      <c r="R53" s="10">
        <f t="shared" si="16"/>
        <v>2.7505757734622802E-2</v>
      </c>
      <c r="S53" s="10">
        <f t="shared" si="17"/>
        <v>9.5307077688838848E-3</v>
      </c>
      <c r="T53" s="10">
        <f t="shared" si="18"/>
        <v>1.9312846957732083E-3</v>
      </c>
      <c r="U53" s="10">
        <f t="shared" si="19"/>
        <v>3.6871480710660846E-5</v>
      </c>
      <c r="V53" s="10">
        <f t="shared" si="20"/>
        <v>8.6992121820302984E-3</v>
      </c>
      <c r="W53" s="10">
        <f t="shared" si="21"/>
        <v>3.9E-2</v>
      </c>
      <c r="X53" s="10">
        <f t="shared" si="22"/>
        <v>8.9999999999999993E-3</v>
      </c>
      <c r="Y53" s="10">
        <f t="shared" si="23"/>
        <v>2.4E-2</v>
      </c>
      <c r="Z53" s="24">
        <f t="shared" si="24"/>
        <v>0.26</v>
      </c>
      <c r="AA53" s="24">
        <f t="shared" si="25"/>
        <v>0.06</v>
      </c>
      <c r="AB53" s="24">
        <f t="shared" si="26"/>
        <v>0.16</v>
      </c>
      <c r="AC53" s="25">
        <f t="shared" si="27"/>
        <v>5</v>
      </c>
      <c r="AD53" s="25">
        <f t="shared" si="28"/>
        <v>5</v>
      </c>
      <c r="AE53" s="25">
        <f t="shared" si="29"/>
        <v>5</v>
      </c>
      <c r="AF53" s="21"/>
      <c r="AG53" s="23"/>
      <c r="AH53" s="23"/>
      <c r="AI53" s="23"/>
      <c r="AJ53" s="23"/>
      <c r="AK53" s="22"/>
      <c r="AL53" s="22"/>
      <c r="AM53" s="22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>
      <c r="A54" s="60">
        <v>14263</v>
      </c>
      <c r="B54" s="60" t="s">
        <v>232</v>
      </c>
      <c r="C54" s="17" t="str">
        <f>Rollover!A54</f>
        <v>Jeep</v>
      </c>
      <c r="D54" s="17" t="str">
        <f>Rollover!B54</f>
        <v>Grand Cherokee L SUV 4WD</v>
      </c>
      <c r="E54" s="16" t="s">
        <v>163</v>
      </c>
      <c r="F54" s="17">
        <f>Rollover!C54</f>
        <v>2022</v>
      </c>
      <c r="G54" s="18">
        <v>89.466999999999999</v>
      </c>
      <c r="H54" s="19">
        <v>19.847999999999999</v>
      </c>
      <c r="I54" s="19">
        <v>26.631</v>
      </c>
      <c r="J54" s="19">
        <v>654.84299999999996</v>
      </c>
      <c r="K54" s="20">
        <v>1226.6030000000001</v>
      </c>
      <c r="L54" s="18">
        <v>91.754999999999995</v>
      </c>
      <c r="M54" s="19">
        <v>11.555999999999999</v>
      </c>
      <c r="N54" s="19">
        <v>33.531999999999996</v>
      </c>
      <c r="O54" s="19">
        <v>26.486000000000001</v>
      </c>
      <c r="P54" s="20">
        <v>1669.9090000000001</v>
      </c>
      <c r="Q54" s="63">
        <f t="shared" si="15"/>
        <v>3.1939954132623259E-5</v>
      </c>
      <c r="R54" s="10">
        <f t="shared" si="16"/>
        <v>2.7505757734622802E-2</v>
      </c>
      <c r="S54" s="10">
        <f t="shared" si="17"/>
        <v>9.5307077688838848E-3</v>
      </c>
      <c r="T54" s="10">
        <f t="shared" si="18"/>
        <v>1.9312846957732083E-3</v>
      </c>
      <c r="U54" s="10">
        <f t="shared" si="19"/>
        <v>3.6871480710660846E-5</v>
      </c>
      <c r="V54" s="10">
        <f t="shared" si="20"/>
        <v>8.6992121820302984E-3</v>
      </c>
      <c r="W54" s="10">
        <f t="shared" si="21"/>
        <v>3.9E-2</v>
      </c>
      <c r="X54" s="10">
        <f t="shared" si="22"/>
        <v>8.9999999999999993E-3</v>
      </c>
      <c r="Y54" s="10">
        <f t="shared" si="23"/>
        <v>2.4E-2</v>
      </c>
      <c r="Z54" s="24">
        <f t="shared" si="24"/>
        <v>0.26</v>
      </c>
      <c r="AA54" s="24">
        <f t="shared" si="25"/>
        <v>0.06</v>
      </c>
      <c r="AB54" s="24">
        <f t="shared" si="26"/>
        <v>0.16</v>
      </c>
      <c r="AC54" s="25">
        <f t="shared" si="27"/>
        <v>5</v>
      </c>
      <c r="AD54" s="25">
        <f t="shared" si="28"/>
        <v>5</v>
      </c>
      <c r="AE54" s="25">
        <f t="shared" si="29"/>
        <v>5</v>
      </c>
      <c r="AF54" s="21"/>
      <c r="AG54" s="23"/>
      <c r="AH54" s="23"/>
      <c r="AI54" s="23"/>
      <c r="AJ54" s="23"/>
      <c r="AK54" s="22"/>
      <c r="AL54" s="22"/>
      <c r="AM54" s="2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>
      <c r="A55" s="60"/>
      <c r="B55" s="60"/>
      <c r="C55" s="16" t="str">
        <f>Rollover!A55</f>
        <v>Jeep</v>
      </c>
      <c r="D55" s="16" t="str">
        <f>Rollover!B55</f>
        <v>Grand Cherokee SUV 2WD</v>
      </c>
      <c r="E55" s="16"/>
      <c r="F55" s="17">
        <f>Rollover!C55</f>
        <v>2022</v>
      </c>
      <c r="G55" s="18"/>
      <c r="H55" s="19"/>
      <c r="I55" s="19"/>
      <c r="J55" s="19"/>
      <c r="K55" s="20"/>
      <c r="L55" s="18"/>
      <c r="M55" s="19"/>
      <c r="N55" s="19"/>
      <c r="O55" s="19"/>
      <c r="P55" s="20"/>
      <c r="Q55" s="63" t="e">
        <f t="shared" si="15"/>
        <v>#NUM!</v>
      </c>
      <c r="R55" s="10">
        <f t="shared" si="16"/>
        <v>4.5435171224880964E-3</v>
      </c>
      <c r="S55" s="10">
        <f t="shared" si="17"/>
        <v>2.3748578822706131E-3</v>
      </c>
      <c r="T55" s="10">
        <f t="shared" si="18"/>
        <v>5.0175335722563109E-4</v>
      </c>
      <c r="U55" s="10" t="e">
        <f t="shared" si="19"/>
        <v>#NUM!</v>
      </c>
      <c r="V55" s="10">
        <f t="shared" si="20"/>
        <v>1.8229037773026034E-3</v>
      </c>
      <c r="W55" s="10" t="e">
        <f t="shared" si="21"/>
        <v>#NUM!</v>
      </c>
      <c r="X55" s="10" t="e">
        <f t="shared" si="22"/>
        <v>#NUM!</v>
      </c>
      <c r="Y55" s="10" t="e">
        <f t="shared" si="23"/>
        <v>#NUM!</v>
      </c>
      <c r="Z55" s="24" t="e">
        <f t="shared" si="24"/>
        <v>#NUM!</v>
      </c>
      <c r="AA55" s="24" t="e">
        <f t="shared" si="25"/>
        <v>#NUM!</v>
      </c>
      <c r="AB55" s="24" t="e">
        <f t="shared" si="26"/>
        <v>#NUM!</v>
      </c>
      <c r="AC55" s="25" t="e">
        <f t="shared" si="27"/>
        <v>#NUM!</v>
      </c>
      <c r="AD55" s="25" t="e">
        <f t="shared" si="28"/>
        <v>#NUM!</v>
      </c>
      <c r="AE55" s="25" t="e">
        <f t="shared" si="29"/>
        <v>#NUM!</v>
      </c>
      <c r="AF55" s="21"/>
      <c r="AG55" s="23"/>
      <c r="AH55" s="23"/>
      <c r="AI55" s="23"/>
      <c r="AJ55" s="23"/>
      <c r="AK55" s="22"/>
      <c r="AL55" s="22"/>
      <c r="AM55" s="22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>
      <c r="A56" s="60"/>
      <c r="B56" s="60"/>
      <c r="C56" s="16" t="str">
        <f>Rollover!A56</f>
        <v>Jeep</v>
      </c>
      <c r="D56" s="16" t="str">
        <f>Rollover!B56</f>
        <v>Grand Cherokee SUV 4WD</v>
      </c>
      <c r="E56" s="16"/>
      <c r="F56" s="17">
        <f>Rollover!C56</f>
        <v>2022</v>
      </c>
      <c r="G56" s="18"/>
      <c r="H56" s="19"/>
      <c r="I56" s="19"/>
      <c r="J56" s="19"/>
      <c r="K56" s="20"/>
      <c r="L56" s="18"/>
      <c r="M56" s="19"/>
      <c r="N56" s="19"/>
      <c r="O56" s="19"/>
      <c r="P56" s="20"/>
      <c r="Q56" s="63" t="e">
        <f t="shared" ref="Q56:Q89" si="30">NORMDIST(LN(G56),7.45231,0.73998,1)</f>
        <v>#NUM!</v>
      </c>
      <c r="R56" s="10">
        <f t="shared" ref="R56:R89" si="31">1/(1+EXP(5.3895-0.0919*H56))</f>
        <v>4.5435171224880964E-3</v>
      </c>
      <c r="S56" s="10">
        <f t="shared" ref="S56:S89" si="32">1/(1+EXP(6.04044-0.002133*J56))</f>
        <v>2.3748578822706131E-3</v>
      </c>
      <c r="T56" s="10">
        <f t="shared" ref="T56:T89" si="33">1/(1+EXP(7.5969-0.0011*K56))</f>
        <v>5.0175335722563109E-4</v>
      </c>
      <c r="U56" s="10" t="e">
        <f t="shared" ref="U56:U89" si="34">NORMDIST(LN(L56),7.45231,0.73998,1)</f>
        <v>#NUM!</v>
      </c>
      <c r="V56" s="10">
        <f t="shared" ref="V56:V89" si="35">1/(1+EXP(6.3055-0.00094*P56))</f>
        <v>1.8229037773026034E-3</v>
      </c>
      <c r="W56" s="10" t="e">
        <f t="shared" ref="W56:W89" si="36">ROUND(1-(1-Q56)*(1-R56)*(1-S56)*(1-T56),3)</f>
        <v>#NUM!</v>
      </c>
      <c r="X56" s="10" t="e">
        <f t="shared" ref="X56:X89" si="37">IF(L56="N/A",L56,ROUND(1-(1-U56)*(1-V56),3))</f>
        <v>#NUM!</v>
      </c>
      <c r="Y56" s="10" t="e">
        <f t="shared" ref="Y56:Y89" si="38">ROUND(AVERAGE(W56:X56),3)</f>
        <v>#NUM!</v>
      </c>
      <c r="Z56" s="24" t="e">
        <f t="shared" ref="Z56:Z89" si="39">ROUND(W56/0.15,2)</f>
        <v>#NUM!</v>
      </c>
      <c r="AA56" s="24" t="e">
        <f t="shared" ref="AA56:AA89" si="40">IF(L56="N/A", L56, ROUND(X56/0.15,2))</f>
        <v>#NUM!</v>
      </c>
      <c r="AB56" s="24" t="e">
        <f t="shared" ref="AB56:AB89" si="41">ROUND(Y56/0.15,2)</f>
        <v>#NUM!</v>
      </c>
      <c r="AC56" s="25" t="e">
        <f t="shared" ref="AC56:AC89" si="42">IF(Z56&lt;0.67,5,IF(Z56&lt;1,4,IF(Z56&lt;1.33,3,IF(Z56&lt;2.67,2,1))))</f>
        <v>#NUM!</v>
      </c>
      <c r="AD56" s="25" t="e">
        <f t="shared" ref="AD56:AD89" si="43">IF(L56="N/A",L56,IF(AA56&lt;0.67,5,IF(AA56&lt;1,4,IF(AA56&lt;1.33,3,IF(AA56&lt;2.67,2,1)))))</f>
        <v>#NUM!</v>
      </c>
      <c r="AE56" s="25" t="e">
        <f t="shared" ref="AE56:AE89" si="44">IF(AB56&lt;0.67,5,IF(AB56&lt;1,4,IF(AB56&lt;1.33,3,IF(AB56&lt;2.67,2,1))))</f>
        <v>#NUM!</v>
      </c>
      <c r="AF56" s="21"/>
      <c r="AG56" s="23"/>
      <c r="AH56" s="23"/>
      <c r="AI56" s="23"/>
      <c r="AJ56" s="23"/>
      <c r="AK56" s="22"/>
      <c r="AL56" s="22"/>
      <c r="AM56" s="22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>
      <c r="A57" s="42">
        <v>14269</v>
      </c>
      <c r="B57" s="42" t="s">
        <v>233</v>
      </c>
      <c r="C57" s="17" t="str">
        <f>Rollover!A57</f>
        <v>Kia</v>
      </c>
      <c r="D57" s="17" t="str">
        <f>Rollover!B57</f>
        <v>EV6 SUV RWD</v>
      </c>
      <c r="E57" s="16" t="s">
        <v>157</v>
      </c>
      <c r="F57" s="17">
        <f>Rollover!C57</f>
        <v>2022</v>
      </c>
      <c r="G57" s="27">
        <v>76.507999999999996</v>
      </c>
      <c r="H57" s="28">
        <v>25.242999999999999</v>
      </c>
      <c r="I57" s="28">
        <v>29.803000000000001</v>
      </c>
      <c r="J57" s="28">
        <v>1306.059</v>
      </c>
      <c r="K57" s="29">
        <v>1308.4749999999999</v>
      </c>
      <c r="L57" s="27">
        <v>82.495999999999995</v>
      </c>
      <c r="M57" s="28">
        <v>20.731999999999999</v>
      </c>
      <c r="N57" s="28">
        <v>53.499000000000002</v>
      </c>
      <c r="O57" s="28">
        <v>29.824999999999999</v>
      </c>
      <c r="P57" s="29">
        <v>1632.874</v>
      </c>
      <c r="Q57" s="63">
        <f t="shared" ref="Q57:Q60" si="45">NORMDIST(LN(G57),7.45231,0.73998,1)</f>
        <v>1.2799204171579851E-5</v>
      </c>
      <c r="R57" s="10">
        <f t="shared" ref="R57:R60" si="46">1/(1+EXP(5.3895-0.0919*H57))</f>
        <v>4.4375891756600748E-2</v>
      </c>
      <c r="S57" s="10">
        <f t="shared" ref="S57:S60" si="47">1/(1+EXP(6.04044-0.002133*J57))</f>
        <v>3.7161366200036142E-2</v>
      </c>
      <c r="T57" s="10">
        <f t="shared" ref="T57:T60" si="48">1/(1+EXP(7.5969-0.0011*K57))</f>
        <v>2.1129025980631613E-3</v>
      </c>
      <c r="U57" s="10">
        <f t="shared" ref="U57:U60" si="49">NORMDIST(LN(L57),7.45231,0.73998,1)</f>
        <v>1.9987440256798001E-5</v>
      </c>
      <c r="V57" s="10">
        <f t="shared" ref="V57:V60" si="50">1/(1+EXP(6.3055-0.00094*P57))</f>
        <v>8.4040795281288723E-3</v>
      </c>
      <c r="W57" s="10">
        <f t="shared" ref="W57:W60" si="51">ROUND(1-(1-Q57)*(1-R57)*(1-S57)*(1-T57),3)</f>
        <v>8.2000000000000003E-2</v>
      </c>
      <c r="X57" s="10">
        <f t="shared" ref="X57:X60" si="52">IF(L57="N/A",L57,ROUND(1-(1-U57)*(1-V57),3))</f>
        <v>8.0000000000000002E-3</v>
      </c>
      <c r="Y57" s="10">
        <f t="shared" ref="Y57:Y60" si="53">ROUND(AVERAGE(W57:X57),3)</f>
        <v>4.4999999999999998E-2</v>
      </c>
      <c r="Z57" s="24">
        <f t="shared" ref="Z57:Z60" si="54">ROUND(W57/0.15,2)</f>
        <v>0.55000000000000004</v>
      </c>
      <c r="AA57" s="24">
        <f t="shared" ref="AA57:AA60" si="55">IF(L57="N/A", L57, ROUND(X57/0.15,2))</f>
        <v>0.05</v>
      </c>
      <c r="AB57" s="24">
        <f t="shared" ref="AB57:AB60" si="56">ROUND(Y57/0.15,2)</f>
        <v>0.3</v>
      </c>
      <c r="AC57" s="25">
        <f t="shared" ref="AC57:AC60" si="57">IF(Z57&lt;0.67,5,IF(Z57&lt;1,4,IF(Z57&lt;1.33,3,IF(Z57&lt;2.67,2,1))))</f>
        <v>5</v>
      </c>
      <c r="AD57" s="25">
        <f t="shared" ref="AD57:AD60" si="58">IF(L57="N/A",L57,IF(AA57&lt;0.67,5,IF(AA57&lt;1,4,IF(AA57&lt;1.33,3,IF(AA57&lt;2.67,2,1)))))</f>
        <v>5</v>
      </c>
      <c r="AE57" s="25">
        <f t="shared" ref="AE57:AE60" si="59">IF(AB57&lt;0.67,5,IF(AB57&lt;1,4,IF(AB57&lt;1.33,3,IF(AB57&lt;2.67,2,1))))</f>
        <v>5</v>
      </c>
      <c r="AF57" s="21"/>
      <c r="AG57" s="23"/>
      <c r="AH57" s="23"/>
      <c r="AI57" s="23"/>
      <c r="AJ57" s="23"/>
      <c r="AK57" s="22"/>
      <c r="AL57" s="22"/>
      <c r="AM57" s="22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>
      <c r="A58" s="42">
        <v>14269</v>
      </c>
      <c r="B58" s="42" t="s">
        <v>233</v>
      </c>
      <c r="C58" s="17" t="str">
        <f>Rollover!A58</f>
        <v>Kia</v>
      </c>
      <c r="D58" s="17" t="str">
        <f>Rollover!B58</f>
        <v>EV6 SUV AWD</v>
      </c>
      <c r="E58" s="16" t="s">
        <v>157</v>
      </c>
      <c r="F58" s="17">
        <f>Rollover!C58</f>
        <v>2022</v>
      </c>
      <c r="G58" s="27">
        <v>76.507999999999996</v>
      </c>
      <c r="H58" s="28">
        <v>25.242999999999999</v>
      </c>
      <c r="I58" s="28">
        <v>29.803000000000001</v>
      </c>
      <c r="J58" s="28">
        <v>1306.059</v>
      </c>
      <c r="K58" s="29">
        <v>1308.4749999999999</v>
      </c>
      <c r="L58" s="27">
        <v>82.495999999999995</v>
      </c>
      <c r="M58" s="28">
        <v>20.731999999999999</v>
      </c>
      <c r="N58" s="28">
        <v>53.499000000000002</v>
      </c>
      <c r="O58" s="28">
        <v>29.824999999999999</v>
      </c>
      <c r="P58" s="29">
        <v>1632.874</v>
      </c>
      <c r="Q58" s="63">
        <f t="shared" si="45"/>
        <v>1.2799204171579851E-5</v>
      </c>
      <c r="R58" s="10">
        <f t="shared" si="46"/>
        <v>4.4375891756600748E-2</v>
      </c>
      <c r="S58" s="10">
        <f t="shared" si="47"/>
        <v>3.7161366200036142E-2</v>
      </c>
      <c r="T58" s="10">
        <f t="shared" si="48"/>
        <v>2.1129025980631613E-3</v>
      </c>
      <c r="U58" s="10">
        <f t="shared" si="49"/>
        <v>1.9987440256798001E-5</v>
      </c>
      <c r="V58" s="10">
        <f t="shared" si="50"/>
        <v>8.4040795281288723E-3</v>
      </c>
      <c r="W58" s="10">
        <f t="shared" si="51"/>
        <v>8.2000000000000003E-2</v>
      </c>
      <c r="X58" s="10">
        <f t="shared" si="52"/>
        <v>8.0000000000000002E-3</v>
      </c>
      <c r="Y58" s="10">
        <f t="shared" si="53"/>
        <v>4.4999999999999998E-2</v>
      </c>
      <c r="Z58" s="24">
        <f t="shared" si="54"/>
        <v>0.55000000000000004</v>
      </c>
      <c r="AA58" s="24">
        <f t="shared" si="55"/>
        <v>0.05</v>
      </c>
      <c r="AB58" s="24">
        <f t="shared" si="56"/>
        <v>0.3</v>
      </c>
      <c r="AC58" s="25">
        <f t="shared" si="57"/>
        <v>5</v>
      </c>
      <c r="AD58" s="25">
        <f t="shared" si="58"/>
        <v>5</v>
      </c>
      <c r="AE58" s="25">
        <f t="shared" si="59"/>
        <v>5</v>
      </c>
      <c r="AF58" s="21"/>
      <c r="AG58" s="23"/>
      <c r="AH58" s="23"/>
      <c r="AI58" s="23"/>
      <c r="AJ58" s="23"/>
      <c r="AK58" s="22"/>
      <c r="AL58" s="22"/>
      <c r="AM58" s="22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>
      <c r="A59" s="42">
        <v>14055</v>
      </c>
      <c r="B59" s="42" t="s">
        <v>234</v>
      </c>
      <c r="C59" s="17" t="str">
        <f>Rollover!A59</f>
        <v>Kia</v>
      </c>
      <c r="D59" s="17" t="str">
        <f>Rollover!B59</f>
        <v>Niro Electric SUV FWD</v>
      </c>
      <c r="E59" s="16" t="s">
        <v>157</v>
      </c>
      <c r="F59" s="17">
        <f>Rollover!C59</f>
        <v>2022</v>
      </c>
      <c r="G59" s="27">
        <v>131.911</v>
      </c>
      <c r="H59" s="28">
        <v>19.672999999999998</v>
      </c>
      <c r="I59" s="28">
        <v>25.791</v>
      </c>
      <c r="J59" s="28">
        <v>724.62699999999995</v>
      </c>
      <c r="K59" s="29">
        <v>1263.4960000000001</v>
      </c>
      <c r="L59" s="27">
        <v>84.546000000000006</v>
      </c>
      <c r="M59" s="28">
        <v>19.509</v>
      </c>
      <c r="N59" s="28">
        <v>57.100999999999999</v>
      </c>
      <c r="O59" s="28">
        <v>22.574999999999999</v>
      </c>
      <c r="P59" s="29">
        <v>2713.3850000000002</v>
      </c>
      <c r="Q59" s="63">
        <f t="shared" si="45"/>
        <v>2.5703721947402814E-4</v>
      </c>
      <c r="R59" s="10">
        <f t="shared" si="46"/>
        <v>2.7078817344621441E-2</v>
      </c>
      <c r="S59" s="10">
        <f t="shared" si="47"/>
        <v>1.1043475079713644E-2</v>
      </c>
      <c r="T59" s="10">
        <f t="shared" si="48"/>
        <v>2.0111118776823451E-3</v>
      </c>
      <c r="U59" s="10">
        <f t="shared" si="49"/>
        <v>2.3061245723877184E-5</v>
      </c>
      <c r="V59" s="10">
        <f t="shared" si="50"/>
        <v>2.2867220103251311E-2</v>
      </c>
      <c r="W59" s="10">
        <f t="shared" si="51"/>
        <v>0.04</v>
      </c>
      <c r="X59" s="10">
        <f t="shared" si="52"/>
        <v>2.3E-2</v>
      </c>
      <c r="Y59" s="10">
        <f t="shared" si="53"/>
        <v>3.2000000000000001E-2</v>
      </c>
      <c r="Z59" s="24">
        <f t="shared" si="54"/>
        <v>0.27</v>
      </c>
      <c r="AA59" s="24">
        <f t="shared" si="55"/>
        <v>0.15</v>
      </c>
      <c r="AB59" s="24">
        <f t="shared" si="56"/>
        <v>0.21</v>
      </c>
      <c r="AC59" s="25">
        <f t="shared" si="57"/>
        <v>5</v>
      </c>
      <c r="AD59" s="25">
        <f t="shared" si="58"/>
        <v>5</v>
      </c>
      <c r="AE59" s="25">
        <f t="shared" si="59"/>
        <v>5</v>
      </c>
      <c r="AF59" s="21"/>
      <c r="AG59" s="23"/>
      <c r="AH59" s="23"/>
      <c r="AI59" s="23"/>
      <c r="AJ59" s="23"/>
      <c r="AK59" s="22"/>
      <c r="AL59" s="22"/>
      <c r="AM59" s="22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>
      <c r="A60" s="60">
        <v>14054</v>
      </c>
      <c r="B60" s="60" t="s">
        <v>235</v>
      </c>
      <c r="C60" s="17" t="str">
        <f>Rollover!A60</f>
        <v>Mazda</v>
      </c>
      <c r="D60" s="17" t="str">
        <f>Rollover!B60</f>
        <v>MX-30 5HB FWD</v>
      </c>
      <c r="E60" s="16" t="s">
        <v>155</v>
      </c>
      <c r="F60" s="17">
        <f>Rollover!C60</f>
        <v>2022</v>
      </c>
      <c r="G60" s="18">
        <v>92.474999999999994</v>
      </c>
      <c r="H60" s="19">
        <v>19.521999999999998</v>
      </c>
      <c r="I60" s="19">
        <v>22.855</v>
      </c>
      <c r="J60" s="19">
        <v>766.09699999999998</v>
      </c>
      <c r="K60" s="20">
        <v>1340.54</v>
      </c>
      <c r="L60" s="18">
        <v>427.46199999999999</v>
      </c>
      <c r="M60" s="19">
        <v>28.584</v>
      </c>
      <c r="N60" s="19">
        <v>70.613</v>
      </c>
      <c r="O60" s="19">
        <v>33.415999999999997</v>
      </c>
      <c r="P60" s="20">
        <v>3886.3119999999999</v>
      </c>
      <c r="Q60" s="63">
        <f t="shared" si="45"/>
        <v>3.8538446823701387E-5</v>
      </c>
      <c r="R60" s="10">
        <f t="shared" si="46"/>
        <v>2.6715612140481099E-2</v>
      </c>
      <c r="S60" s="10">
        <f t="shared" si="47"/>
        <v>1.2052528010456892E-2</v>
      </c>
      <c r="T60" s="10">
        <f t="shared" si="48"/>
        <v>2.1885917244560652E-3</v>
      </c>
      <c r="U60" s="10">
        <f t="shared" si="49"/>
        <v>2.9753043742267334E-2</v>
      </c>
      <c r="V60" s="10">
        <f t="shared" si="50"/>
        <v>6.5843287732628319E-2</v>
      </c>
      <c r="W60" s="10">
        <f t="shared" si="51"/>
        <v>4.1000000000000002E-2</v>
      </c>
      <c r="X60" s="10">
        <f t="shared" si="52"/>
        <v>9.4E-2</v>
      </c>
      <c r="Y60" s="10">
        <f t="shared" si="53"/>
        <v>6.8000000000000005E-2</v>
      </c>
      <c r="Z60" s="24">
        <f t="shared" si="54"/>
        <v>0.27</v>
      </c>
      <c r="AA60" s="24">
        <f t="shared" si="55"/>
        <v>0.63</v>
      </c>
      <c r="AB60" s="24">
        <f t="shared" si="56"/>
        <v>0.45</v>
      </c>
      <c r="AC60" s="25">
        <f t="shared" si="57"/>
        <v>5</v>
      </c>
      <c r="AD60" s="25">
        <f t="shared" si="58"/>
        <v>5</v>
      </c>
      <c r="AE60" s="25">
        <f t="shared" si="59"/>
        <v>5</v>
      </c>
      <c r="AF60" s="21"/>
      <c r="AG60" s="23"/>
      <c r="AH60" s="23"/>
      <c r="AI60" s="23"/>
      <c r="AJ60" s="23"/>
      <c r="AK60" s="22"/>
      <c r="AL60" s="22"/>
      <c r="AM60" s="22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>
      <c r="A61" s="60">
        <v>10835</v>
      </c>
      <c r="B61" s="61" t="s">
        <v>236</v>
      </c>
      <c r="C61" s="17" t="str">
        <f>Rollover!A61</f>
        <v xml:space="preserve">Mitsubishi </v>
      </c>
      <c r="D61" s="17" t="str">
        <f>Rollover!B61</f>
        <v>Eclipse Cross SUV AWD</v>
      </c>
      <c r="E61" s="16" t="s">
        <v>157</v>
      </c>
      <c r="F61" s="17">
        <f>Rollover!C61</f>
        <v>2022</v>
      </c>
      <c r="G61" s="18">
        <v>144.69499999999999</v>
      </c>
      <c r="H61" s="19">
        <v>11.705</v>
      </c>
      <c r="I61" s="19">
        <v>26.678999999999998</v>
      </c>
      <c r="J61" s="19">
        <v>683.97900000000004</v>
      </c>
      <c r="K61" s="20">
        <v>1298.925</v>
      </c>
      <c r="L61" s="18">
        <v>162.101</v>
      </c>
      <c r="M61" s="19">
        <v>15.973000000000001</v>
      </c>
      <c r="N61" s="19">
        <v>55.374000000000002</v>
      </c>
      <c r="O61" s="19">
        <v>38.148000000000003</v>
      </c>
      <c r="P61" s="20">
        <v>2064.259</v>
      </c>
      <c r="Q61" s="63">
        <f t="shared" ref="Q61:Q69" si="60">NORMDIST(LN(G61),7.45231,0.73998,1)</f>
        <v>4.065310636660894E-4</v>
      </c>
      <c r="R61" s="10">
        <f t="shared" ref="R61:R69" si="61">1/(1+EXP(5.3895-0.0919*H61))</f>
        <v>1.3205733279719625E-2</v>
      </c>
      <c r="S61" s="10">
        <f t="shared" ref="S61:S69" si="62">1/(1+EXP(6.04044-0.002133*J61))</f>
        <v>1.0135611960285668E-2</v>
      </c>
      <c r="T61" s="10">
        <f t="shared" ref="T61:T69" si="63">1/(1+EXP(7.5969-0.0011*K61))</f>
        <v>2.0908688999106092E-3</v>
      </c>
      <c r="U61" s="10">
        <f t="shared" ref="U61:U69" si="64">NORMDIST(LN(L61),7.45231,0.73998,1)</f>
        <v>6.9963133102703167E-4</v>
      </c>
      <c r="V61" s="10">
        <f t="shared" ref="V61:V69" si="65">1/(1+EXP(6.3055-0.00094*P61))</f>
        <v>1.2553825606703666E-2</v>
      </c>
      <c r="W61" s="10">
        <f t="shared" ref="W61:W69" si="66">ROUND(1-(1-Q61)*(1-R61)*(1-S61)*(1-T61),3)</f>
        <v>2.5999999999999999E-2</v>
      </c>
      <c r="X61" s="10">
        <f t="shared" ref="X61:X69" si="67">IF(L61="N/A",L61,ROUND(1-(1-U61)*(1-V61),3))</f>
        <v>1.2999999999999999E-2</v>
      </c>
      <c r="Y61" s="10">
        <f t="shared" ref="Y61:Y69" si="68">ROUND(AVERAGE(W61:X61),3)</f>
        <v>0.02</v>
      </c>
      <c r="Z61" s="24">
        <f t="shared" ref="Z61:Z69" si="69">ROUND(W61/0.15,2)</f>
        <v>0.17</v>
      </c>
      <c r="AA61" s="24">
        <f t="shared" ref="AA61:AA69" si="70">IF(L61="N/A", L61, ROUND(X61/0.15,2))</f>
        <v>0.09</v>
      </c>
      <c r="AB61" s="24">
        <f t="shared" ref="AB61:AB69" si="71">ROUND(Y61/0.15,2)</f>
        <v>0.13</v>
      </c>
      <c r="AC61" s="25">
        <f t="shared" ref="AC61:AC69" si="72">IF(Z61&lt;0.67,5,IF(Z61&lt;1,4,IF(Z61&lt;1.33,3,IF(Z61&lt;2.67,2,1))))</f>
        <v>5</v>
      </c>
      <c r="AD61" s="25">
        <f t="shared" ref="AD61:AD69" si="73">IF(L61="N/A",L61,IF(AA61&lt;0.67,5,IF(AA61&lt;1,4,IF(AA61&lt;1.33,3,IF(AA61&lt;2.67,2,1)))))</f>
        <v>5</v>
      </c>
      <c r="AE61" s="25">
        <f t="shared" ref="AE61:AE69" si="74">IF(AB61&lt;0.67,5,IF(AB61&lt;1,4,IF(AB61&lt;1.33,3,IF(AB61&lt;2.67,2,1))))</f>
        <v>5</v>
      </c>
      <c r="AF61" s="21"/>
      <c r="AG61" s="23"/>
      <c r="AH61" s="23"/>
      <c r="AI61" s="23"/>
      <c r="AJ61" s="23"/>
      <c r="AK61" s="22"/>
      <c r="AL61" s="22"/>
      <c r="AM61" s="22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>
      <c r="A62" s="60">
        <v>10835</v>
      </c>
      <c r="B62" s="61" t="s">
        <v>236</v>
      </c>
      <c r="C62" s="17" t="str">
        <f>Rollover!A62</f>
        <v xml:space="preserve">Mitsubishi </v>
      </c>
      <c r="D62" s="17" t="str">
        <f>Rollover!B62</f>
        <v>Eclipse Cross SUV FWD</v>
      </c>
      <c r="E62" s="16" t="s">
        <v>157</v>
      </c>
      <c r="F62" s="17">
        <f>Rollover!C62</f>
        <v>2022</v>
      </c>
      <c r="G62" s="18">
        <v>144.69499999999999</v>
      </c>
      <c r="H62" s="19">
        <v>11.705</v>
      </c>
      <c r="I62" s="19">
        <v>26.678999999999998</v>
      </c>
      <c r="J62" s="19">
        <v>683.97900000000004</v>
      </c>
      <c r="K62" s="20">
        <v>1298.925</v>
      </c>
      <c r="L62" s="18">
        <v>162.101</v>
      </c>
      <c r="M62" s="19">
        <v>15.973000000000001</v>
      </c>
      <c r="N62" s="19">
        <v>55.374000000000002</v>
      </c>
      <c r="O62" s="19">
        <v>38.148000000000003</v>
      </c>
      <c r="P62" s="20">
        <v>2064.259</v>
      </c>
      <c r="Q62" s="63">
        <f t="shared" si="60"/>
        <v>4.065310636660894E-4</v>
      </c>
      <c r="R62" s="10">
        <f t="shared" si="61"/>
        <v>1.3205733279719625E-2</v>
      </c>
      <c r="S62" s="10">
        <f t="shared" si="62"/>
        <v>1.0135611960285668E-2</v>
      </c>
      <c r="T62" s="10">
        <f t="shared" si="63"/>
        <v>2.0908688999106092E-3</v>
      </c>
      <c r="U62" s="10">
        <f t="shared" si="64"/>
        <v>6.9963133102703167E-4</v>
      </c>
      <c r="V62" s="10">
        <f t="shared" si="65"/>
        <v>1.2553825606703666E-2</v>
      </c>
      <c r="W62" s="10">
        <f t="shared" si="66"/>
        <v>2.5999999999999999E-2</v>
      </c>
      <c r="X62" s="10">
        <f t="shared" si="67"/>
        <v>1.2999999999999999E-2</v>
      </c>
      <c r="Y62" s="10">
        <f t="shared" si="68"/>
        <v>0.02</v>
      </c>
      <c r="Z62" s="24">
        <f t="shared" si="69"/>
        <v>0.17</v>
      </c>
      <c r="AA62" s="24">
        <f t="shared" si="70"/>
        <v>0.09</v>
      </c>
      <c r="AB62" s="24">
        <f t="shared" si="71"/>
        <v>0.13</v>
      </c>
      <c r="AC62" s="25">
        <f t="shared" si="72"/>
        <v>5</v>
      </c>
      <c r="AD62" s="25">
        <f t="shared" si="73"/>
        <v>5</v>
      </c>
      <c r="AE62" s="25">
        <f t="shared" si="74"/>
        <v>5</v>
      </c>
      <c r="AF62" s="21"/>
      <c r="AG62" s="23"/>
      <c r="AH62" s="23"/>
      <c r="AI62" s="23"/>
      <c r="AJ62" s="23"/>
      <c r="AK62" s="22"/>
      <c r="AL62" s="22"/>
      <c r="AM62" s="2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>
      <c r="A63" s="60">
        <v>14060</v>
      </c>
      <c r="B63" s="60" t="s">
        <v>237</v>
      </c>
      <c r="C63" s="17" t="str">
        <f>Rollover!A63</f>
        <v>Nissan</v>
      </c>
      <c r="D63" s="17" t="str">
        <f>Rollover!B63</f>
        <v>Altima 4DR FWD</v>
      </c>
      <c r="E63" s="16" t="s">
        <v>155</v>
      </c>
      <c r="F63" s="17">
        <f>Rollover!C63</f>
        <v>2022</v>
      </c>
      <c r="G63" s="18">
        <v>169.42699999999999</v>
      </c>
      <c r="H63" s="19">
        <v>32.033000000000001</v>
      </c>
      <c r="I63" s="19">
        <v>45.564</v>
      </c>
      <c r="J63" s="19">
        <v>1000.11</v>
      </c>
      <c r="K63" s="20">
        <v>2233.069</v>
      </c>
      <c r="L63" s="18">
        <v>196.02199999999999</v>
      </c>
      <c r="M63" s="19">
        <v>17.149999999999999</v>
      </c>
      <c r="N63" s="19">
        <v>43.491999999999997</v>
      </c>
      <c r="O63" s="19">
        <v>17.510999999999999</v>
      </c>
      <c r="P63" s="20">
        <v>2593.3270000000002</v>
      </c>
      <c r="Q63" s="63">
        <f t="shared" si="60"/>
        <v>8.5907050488750753E-4</v>
      </c>
      <c r="R63" s="10">
        <f t="shared" si="61"/>
        <v>7.9755969051237482E-2</v>
      </c>
      <c r="S63" s="10">
        <f t="shared" si="62"/>
        <v>1.9700669005119735E-2</v>
      </c>
      <c r="T63" s="10">
        <f t="shared" si="63"/>
        <v>5.820543429615019E-3</v>
      </c>
      <c r="U63" s="10">
        <f t="shared" si="64"/>
        <v>1.6515277261540105E-3</v>
      </c>
      <c r="V63" s="10">
        <f t="shared" si="65"/>
        <v>2.0476815337875025E-2</v>
      </c>
      <c r="W63" s="10">
        <f t="shared" si="66"/>
        <v>0.104</v>
      </c>
      <c r="X63" s="10">
        <f t="shared" si="67"/>
        <v>2.1999999999999999E-2</v>
      </c>
      <c r="Y63" s="10">
        <f t="shared" si="68"/>
        <v>6.3E-2</v>
      </c>
      <c r="Z63" s="24">
        <f t="shared" si="69"/>
        <v>0.69</v>
      </c>
      <c r="AA63" s="24">
        <f t="shared" si="70"/>
        <v>0.15</v>
      </c>
      <c r="AB63" s="24">
        <f t="shared" si="71"/>
        <v>0.42</v>
      </c>
      <c r="AC63" s="25">
        <f t="shared" si="72"/>
        <v>4</v>
      </c>
      <c r="AD63" s="25">
        <f t="shared" si="73"/>
        <v>5</v>
      </c>
      <c r="AE63" s="25">
        <f t="shared" si="74"/>
        <v>5</v>
      </c>
      <c r="AF63" s="21"/>
      <c r="AG63" s="23"/>
      <c r="AH63" s="23"/>
      <c r="AI63" s="23"/>
      <c r="AJ63" s="23"/>
      <c r="AK63" s="22"/>
      <c r="AL63" s="22"/>
      <c r="AM63" s="2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>
      <c r="A64" s="60">
        <v>14060</v>
      </c>
      <c r="B64" s="60" t="s">
        <v>237</v>
      </c>
      <c r="C64" s="16" t="str">
        <f>Rollover!A64</f>
        <v>Nissan</v>
      </c>
      <c r="D64" s="16" t="str">
        <f>Rollover!B64</f>
        <v>Altima 4DR AWD</v>
      </c>
      <c r="E64" s="16" t="s">
        <v>155</v>
      </c>
      <c r="F64" s="17">
        <f>Rollover!C64</f>
        <v>2022</v>
      </c>
      <c r="G64" s="18">
        <v>169.42699999999999</v>
      </c>
      <c r="H64" s="19">
        <v>32.033000000000001</v>
      </c>
      <c r="I64" s="19">
        <v>45.564</v>
      </c>
      <c r="J64" s="19">
        <v>1000.11</v>
      </c>
      <c r="K64" s="20">
        <v>2233.069</v>
      </c>
      <c r="L64" s="18">
        <v>196.02199999999999</v>
      </c>
      <c r="M64" s="19">
        <v>17.149999999999999</v>
      </c>
      <c r="N64" s="19">
        <v>43.491999999999997</v>
      </c>
      <c r="O64" s="19">
        <v>17.510999999999999</v>
      </c>
      <c r="P64" s="20">
        <v>2593.3270000000002</v>
      </c>
      <c r="Q64" s="63">
        <f t="shared" si="60"/>
        <v>8.5907050488750753E-4</v>
      </c>
      <c r="R64" s="10">
        <f t="shared" si="61"/>
        <v>7.9755969051237482E-2</v>
      </c>
      <c r="S64" s="10">
        <f t="shared" si="62"/>
        <v>1.9700669005119735E-2</v>
      </c>
      <c r="T64" s="10">
        <f t="shared" si="63"/>
        <v>5.820543429615019E-3</v>
      </c>
      <c r="U64" s="10">
        <f t="shared" si="64"/>
        <v>1.6515277261540105E-3</v>
      </c>
      <c r="V64" s="10">
        <f t="shared" si="65"/>
        <v>2.0476815337875025E-2</v>
      </c>
      <c r="W64" s="10">
        <f t="shared" si="66"/>
        <v>0.104</v>
      </c>
      <c r="X64" s="10">
        <f t="shared" si="67"/>
        <v>2.1999999999999999E-2</v>
      </c>
      <c r="Y64" s="10">
        <f t="shared" si="68"/>
        <v>6.3E-2</v>
      </c>
      <c r="Z64" s="24">
        <f t="shared" si="69"/>
        <v>0.69</v>
      </c>
      <c r="AA64" s="24">
        <f t="shared" si="70"/>
        <v>0.15</v>
      </c>
      <c r="AB64" s="24">
        <f t="shared" si="71"/>
        <v>0.42</v>
      </c>
      <c r="AC64" s="25">
        <f t="shared" si="72"/>
        <v>4</v>
      </c>
      <c r="AD64" s="25">
        <f t="shared" si="73"/>
        <v>5</v>
      </c>
      <c r="AE64" s="25">
        <f t="shared" si="74"/>
        <v>5</v>
      </c>
      <c r="AF64" s="21"/>
      <c r="AG64" s="23"/>
      <c r="AH64" s="23"/>
      <c r="AI64" s="23"/>
      <c r="AJ64" s="23"/>
      <c r="AK64" s="22"/>
      <c r="AL64" s="22"/>
      <c r="AM64" s="22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>
      <c r="A65" s="60">
        <v>14072</v>
      </c>
      <c r="B65" s="60" t="s">
        <v>238</v>
      </c>
      <c r="C65" s="17" t="str">
        <f>Rollover!A65</f>
        <v>Nissan</v>
      </c>
      <c r="D65" s="17" t="str">
        <f>Rollover!B65</f>
        <v>Frontier Crew Cab PU/CC RWD</v>
      </c>
      <c r="E65" s="16" t="s">
        <v>155</v>
      </c>
      <c r="F65" s="17">
        <f>Rollover!C65</f>
        <v>2022</v>
      </c>
      <c r="G65" s="18">
        <v>58.296999999999997</v>
      </c>
      <c r="H65" s="19">
        <v>22.007999999999999</v>
      </c>
      <c r="I65" s="19" t="s">
        <v>239</v>
      </c>
      <c r="J65" s="19">
        <v>755.28899999999999</v>
      </c>
      <c r="K65" s="20">
        <v>1410.307</v>
      </c>
      <c r="L65" s="18">
        <v>136.72800000000001</v>
      </c>
      <c r="M65" s="19">
        <v>8.5730000000000004</v>
      </c>
      <c r="N65" s="19">
        <v>54.496000000000002</v>
      </c>
      <c r="O65" s="19">
        <v>17.327999999999999</v>
      </c>
      <c r="P65" s="20">
        <v>3538.6129999999998</v>
      </c>
      <c r="Q65" s="63">
        <f t="shared" si="60"/>
        <v>2.3604241336802853E-6</v>
      </c>
      <c r="R65" s="10">
        <f t="shared" si="61"/>
        <v>3.3344001503048191E-2</v>
      </c>
      <c r="S65" s="10">
        <f t="shared" si="62"/>
        <v>1.1781089713329709E-2</v>
      </c>
      <c r="T65" s="10">
        <f t="shared" si="63"/>
        <v>2.3627529190961634E-3</v>
      </c>
      <c r="U65" s="10">
        <f t="shared" si="64"/>
        <v>3.0757567384264437E-4</v>
      </c>
      <c r="V65" s="10">
        <f t="shared" si="65"/>
        <v>4.8374268892332782E-2</v>
      </c>
      <c r="W65" s="10">
        <f t="shared" si="66"/>
        <v>4.7E-2</v>
      </c>
      <c r="X65" s="10">
        <f t="shared" si="67"/>
        <v>4.9000000000000002E-2</v>
      </c>
      <c r="Y65" s="10">
        <f t="shared" si="68"/>
        <v>4.8000000000000001E-2</v>
      </c>
      <c r="Z65" s="24">
        <f t="shared" si="69"/>
        <v>0.31</v>
      </c>
      <c r="AA65" s="24">
        <f t="shared" si="70"/>
        <v>0.33</v>
      </c>
      <c r="AB65" s="24">
        <f t="shared" si="71"/>
        <v>0.32</v>
      </c>
      <c r="AC65" s="25">
        <f t="shared" si="72"/>
        <v>5</v>
      </c>
      <c r="AD65" s="25">
        <f t="shared" si="73"/>
        <v>5</v>
      </c>
      <c r="AE65" s="25">
        <f t="shared" si="74"/>
        <v>5</v>
      </c>
      <c r="AF65" s="21"/>
      <c r="AG65" s="23"/>
      <c r="AH65" s="23"/>
      <c r="AI65" s="23"/>
      <c r="AJ65" s="23"/>
      <c r="AK65" s="22"/>
      <c r="AL65" s="22"/>
      <c r="AM65" s="22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>
      <c r="A66" s="60">
        <v>14072</v>
      </c>
      <c r="B66" s="60" t="s">
        <v>238</v>
      </c>
      <c r="C66" s="17" t="str">
        <f>Rollover!A66</f>
        <v>Nissan</v>
      </c>
      <c r="D66" s="17" t="str">
        <f>Rollover!B66</f>
        <v>Frontier Crew Cab PU/CC 4WD</v>
      </c>
      <c r="E66" s="157" t="s">
        <v>155</v>
      </c>
      <c r="F66" s="17">
        <f>Rollover!C66</f>
        <v>2022</v>
      </c>
      <c r="G66" s="18">
        <v>58.296999999999997</v>
      </c>
      <c r="H66" s="19">
        <v>22.007999999999999</v>
      </c>
      <c r="I66" s="19" t="s">
        <v>239</v>
      </c>
      <c r="J66" s="19">
        <v>755.28899999999999</v>
      </c>
      <c r="K66" s="20">
        <v>1410.307</v>
      </c>
      <c r="L66" s="18">
        <v>136.72800000000001</v>
      </c>
      <c r="M66" s="19">
        <v>8.5730000000000004</v>
      </c>
      <c r="N66" s="19">
        <v>54.496000000000002</v>
      </c>
      <c r="O66" s="19">
        <v>17.327999999999999</v>
      </c>
      <c r="P66" s="20">
        <v>3538.6129999999998</v>
      </c>
      <c r="Q66" s="63">
        <f t="shared" si="60"/>
        <v>2.3604241336802853E-6</v>
      </c>
      <c r="R66" s="10">
        <f t="shared" si="61"/>
        <v>3.3344001503048191E-2</v>
      </c>
      <c r="S66" s="10">
        <f t="shared" si="62"/>
        <v>1.1781089713329709E-2</v>
      </c>
      <c r="T66" s="10">
        <f t="shared" si="63"/>
        <v>2.3627529190961634E-3</v>
      </c>
      <c r="U66" s="10">
        <f t="shared" si="64"/>
        <v>3.0757567384264437E-4</v>
      </c>
      <c r="V66" s="10">
        <f t="shared" si="65"/>
        <v>4.8374268892332782E-2</v>
      </c>
      <c r="W66" s="10">
        <f t="shared" si="66"/>
        <v>4.7E-2</v>
      </c>
      <c r="X66" s="10">
        <f t="shared" si="67"/>
        <v>4.9000000000000002E-2</v>
      </c>
      <c r="Y66" s="10">
        <f t="shared" si="68"/>
        <v>4.8000000000000001E-2</v>
      </c>
      <c r="Z66" s="24">
        <f t="shared" si="69"/>
        <v>0.31</v>
      </c>
      <c r="AA66" s="24">
        <f t="shared" si="70"/>
        <v>0.33</v>
      </c>
      <c r="AB66" s="24">
        <f t="shared" si="71"/>
        <v>0.32</v>
      </c>
      <c r="AC66" s="25">
        <f t="shared" si="72"/>
        <v>5</v>
      </c>
      <c r="AD66" s="25">
        <f t="shared" si="73"/>
        <v>5</v>
      </c>
      <c r="AE66" s="25">
        <f t="shared" si="74"/>
        <v>5</v>
      </c>
      <c r="AF66" s="21"/>
      <c r="AG66" s="23"/>
      <c r="AH66" s="23"/>
      <c r="AI66" s="23"/>
      <c r="AJ66" s="23"/>
      <c r="AK66" s="22"/>
      <c r="AL66" s="22"/>
      <c r="AM66" s="2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>
      <c r="A67" s="60"/>
      <c r="B67" s="60"/>
      <c r="C67" s="16" t="str">
        <f>Rollover!A67</f>
        <v>Nissan</v>
      </c>
      <c r="D67" s="16" t="str">
        <f>Rollover!B67</f>
        <v>Frontier King Cab PU/EC RWD</v>
      </c>
      <c r="E67" s="16"/>
      <c r="F67" s="17">
        <f>Rollover!C67</f>
        <v>2022</v>
      </c>
      <c r="G67" s="18"/>
      <c r="H67" s="19"/>
      <c r="I67" s="19"/>
      <c r="J67" s="19"/>
      <c r="K67" s="20"/>
      <c r="L67" s="18"/>
      <c r="M67" s="19"/>
      <c r="N67" s="19"/>
      <c r="O67" s="19"/>
      <c r="P67" s="20"/>
      <c r="Q67" s="63" t="e">
        <f t="shared" si="60"/>
        <v>#NUM!</v>
      </c>
      <c r="R67" s="10">
        <f t="shared" si="61"/>
        <v>4.5435171224880964E-3</v>
      </c>
      <c r="S67" s="10">
        <f t="shared" si="62"/>
        <v>2.3748578822706131E-3</v>
      </c>
      <c r="T67" s="10">
        <f t="shared" si="63"/>
        <v>5.0175335722563109E-4</v>
      </c>
      <c r="U67" s="10" t="e">
        <f t="shared" si="64"/>
        <v>#NUM!</v>
      </c>
      <c r="V67" s="10">
        <f t="shared" si="65"/>
        <v>1.8229037773026034E-3</v>
      </c>
      <c r="W67" s="10" t="e">
        <f t="shared" si="66"/>
        <v>#NUM!</v>
      </c>
      <c r="X67" s="10" t="e">
        <f t="shared" si="67"/>
        <v>#NUM!</v>
      </c>
      <c r="Y67" s="10" t="e">
        <f t="shared" si="68"/>
        <v>#NUM!</v>
      </c>
      <c r="Z67" s="24" t="e">
        <f t="shared" si="69"/>
        <v>#NUM!</v>
      </c>
      <c r="AA67" s="24" t="e">
        <f t="shared" si="70"/>
        <v>#NUM!</v>
      </c>
      <c r="AB67" s="24" t="e">
        <f t="shared" si="71"/>
        <v>#NUM!</v>
      </c>
      <c r="AC67" s="25" t="e">
        <f t="shared" si="72"/>
        <v>#NUM!</v>
      </c>
      <c r="AD67" s="25" t="e">
        <f t="shared" si="73"/>
        <v>#NUM!</v>
      </c>
      <c r="AE67" s="25" t="e">
        <f t="shared" si="74"/>
        <v>#NUM!</v>
      </c>
      <c r="AF67" s="21"/>
      <c r="AG67" s="23"/>
      <c r="AH67" s="23"/>
      <c r="AI67" s="23"/>
      <c r="AJ67" s="23"/>
      <c r="AK67" s="22"/>
      <c r="AL67" s="22"/>
      <c r="AM67" s="2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>
      <c r="A68" s="60"/>
      <c r="B68" s="60"/>
      <c r="C68" s="16" t="str">
        <f>Rollover!A68</f>
        <v>Nissan</v>
      </c>
      <c r="D68" s="16" t="str">
        <f>Rollover!B68</f>
        <v>Frontier King Cab PU/EC 4WD</v>
      </c>
      <c r="E68" s="16"/>
      <c r="F68" s="17">
        <f>Rollover!C68</f>
        <v>2022</v>
      </c>
      <c r="G68" s="18"/>
      <c r="H68" s="19"/>
      <c r="I68" s="19"/>
      <c r="J68" s="19"/>
      <c r="K68" s="20"/>
      <c r="L68" s="18"/>
      <c r="M68" s="19"/>
      <c r="N68" s="19"/>
      <c r="O68" s="19"/>
      <c r="P68" s="20"/>
      <c r="Q68" s="63" t="e">
        <f t="shared" si="60"/>
        <v>#NUM!</v>
      </c>
      <c r="R68" s="10">
        <f t="shared" si="61"/>
        <v>4.5435171224880964E-3</v>
      </c>
      <c r="S68" s="10">
        <f t="shared" si="62"/>
        <v>2.3748578822706131E-3</v>
      </c>
      <c r="T68" s="10">
        <f t="shared" si="63"/>
        <v>5.0175335722563109E-4</v>
      </c>
      <c r="U68" s="10" t="e">
        <f t="shared" si="64"/>
        <v>#NUM!</v>
      </c>
      <c r="V68" s="10">
        <f t="shared" si="65"/>
        <v>1.8229037773026034E-3</v>
      </c>
      <c r="W68" s="10" t="e">
        <f t="shared" si="66"/>
        <v>#NUM!</v>
      </c>
      <c r="X68" s="10" t="e">
        <f t="shared" si="67"/>
        <v>#NUM!</v>
      </c>
      <c r="Y68" s="10" t="e">
        <f t="shared" si="68"/>
        <v>#NUM!</v>
      </c>
      <c r="Z68" s="24" t="e">
        <f t="shared" si="69"/>
        <v>#NUM!</v>
      </c>
      <c r="AA68" s="24" t="e">
        <f t="shared" si="70"/>
        <v>#NUM!</v>
      </c>
      <c r="AB68" s="24" t="e">
        <f t="shared" si="71"/>
        <v>#NUM!</v>
      </c>
      <c r="AC68" s="25" t="e">
        <f t="shared" si="72"/>
        <v>#NUM!</v>
      </c>
      <c r="AD68" s="25" t="e">
        <f t="shared" si="73"/>
        <v>#NUM!</v>
      </c>
      <c r="AE68" s="25" t="e">
        <f t="shared" si="74"/>
        <v>#NUM!</v>
      </c>
      <c r="AF68" s="21"/>
      <c r="AG68" s="23"/>
      <c r="AH68" s="23"/>
      <c r="AI68" s="23"/>
      <c r="AJ68" s="23"/>
      <c r="AK68" s="22"/>
      <c r="AL68" s="22"/>
      <c r="AM68" s="2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>
      <c r="A69" s="60">
        <v>14089</v>
      </c>
      <c r="B69" s="60" t="s">
        <v>240</v>
      </c>
      <c r="C69" s="17" t="str">
        <f>Rollover!A69</f>
        <v>Nissan</v>
      </c>
      <c r="D69" s="17" t="str">
        <f>Rollover!B69</f>
        <v>Pathfinder SUV FWD</v>
      </c>
      <c r="E69" s="16" t="s">
        <v>157</v>
      </c>
      <c r="F69" s="17">
        <f>Rollover!C69</f>
        <v>2022</v>
      </c>
      <c r="G69" s="18">
        <v>84.441000000000003</v>
      </c>
      <c r="H69" s="19">
        <v>23.286000000000001</v>
      </c>
      <c r="I69" s="19">
        <v>27.292999999999999</v>
      </c>
      <c r="J69" s="19">
        <v>613.43200000000002</v>
      </c>
      <c r="K69" s="20">
        <v>1084.8599999999999</v>
      </c>
      <c r="L69" s="18">
        <v>88.45</v>
      </c>
      <c r="M69" s="19">
        <v>14.617000000000001</v>
      </c>
      <c r="N69" s="19">
        <v>33.095999999999997</v>
      </c>
      <c r="O69" s="19">
        <v>11.087</v>
      </c>
      <c r="P69" s="20">
        <v>2048.7779999999998</v>
      </c>
      <c r="Q69" s="63">
        <f t="shared" si="60"/>
        <v>2.2895412295419516E-5</v>
      </c>
      <c r="R69" s="10">
        <f t="shared" si="61"/>
        <v>3.7344261527439623E-2</v>
      </c>
      <c r="S69" s="10">
        <f t="shared" si="62"/>
        <v>8.7320082141982107E-3</v>
      </c>
      <c r="T69" s="10">
        <f t="shared" si="63"/>
        <v>1.652925892153336E-3</v>
      </c>
      <c r="U69" s="10">
        <f t="shared" si="64"/>
        <v>2.9918867062888529E-5</v>
      </c>
      <c r="V69" s="10">
        <f t="shared" si="65"/>
        <v>1.2374707688164831E-2</v>
      </c>
      <c r="W69" s="10">
        <f t="shared" si="66"/>
        <v>4.7E-2</v>
      </c>
      <c r="X69" s="10">
        <f t="shared" si="67"/>
        <v>1.2E-2</v>
      </c>
      <c r="Y69" s="10">
        <f t="shared" si="68"/>
        <v>0.03</v>
      </c>
      <c r="Z69" s="24">
        <f t="shared" si="69"/>
        <v>0.31</v>
      </c>
      <c r="AA69" s="24">
        <f t="shared" si="70"/>
        <v>0.08</v>
      </c>
      <c r="AB69" s="24">
        <f t="shared" si="71"/>
        <v>0.2</v>
      </c>
      <c r="AC69" s="25">
        <f t="shared" si="72"/>
        <v>5</v>
      </c>
      <c r="AD69" s="25">
        <f t="shared" si="73"/>
        <v>5</v>
      </c>
      <c r="AE69" s="25">
        <f t="shared" si="74"/>
        <v>5</v>
      </c>
      <c r="AF69" s="21"/>
      <c r="AG69" s="23"/>
      <c r="AH69" s="23"/>
      <c r="AI69" s="23"/>
      <c r="AJ69" s="23"/>
      <c r="AK69" s="22"/>
      <c r="AL69" s="22"/>
      <c r="AM69" s="2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>
      <c r="A70" s="60">
        <v>14089</v>
      </c>
      <c r="B70" s="60" t="s">
        <v>240</v>
      </c>
      <c r="C70" s="16" t="str">
        <f>Rollover!A70</f>
        <v>Nissan</v>
      </c>
      <c r="D70" s="16" t="str">
        <f>Rollover!B70</f>
        <v>Pathfinder SUV AWD</v>
      </c>
      <c r="E70" s="157" t="s">
        <v>157</v>
      </c>
      <c r="F70" s="17">
        <f>Rollover!C70</f>
        <v>2022</v>
      </c>
      <c r="G70" s="18">
        <v>84.441000000000003</v>
      </c>
      <c r="H70" s="19">
        <v>23.286000000000001</v>
      </c>
      <c r="I70" s="19">
        <v>27.292999999999999</v>
      </c>
      <c r="J70" s="19">
        <v>613.43200000000002</v>
      </c>
      <c r="K70" s="20">
        <v>1084.8599999999999</v>
      </c>
      <c r="L70" s="18">
        <v>88.45</v>
      </c>
      <c r="M70" s="19">
        <v>14.617000000000001</v>
      </c>
      <c r="N70" s="19">
        <v>33.095999999999997</v>
      </c>
      <c r="O70" s="19">
        <v>11.087</v>
      </c>
      <c r="P70" s="20">
        <v>2048.7779999999998</v>
      </c>
      <c r="Q70" s="63">
        <f t="shared" si="30"/>
        <v>2.2895412295419516E-5</v>
      </c>
      <c r="R70" s="10">
        <f t="shared" si="31"/>
        <v>3.7344261527439623E-2</v>
      </c>
      <c r="S70" s="10">
        <f t="shared" si="32"/>
        <v>8.7320082141982107E-3</v>
      </c>
      <c r="T70" s="10">
        <f t="shared" si="33"/>
        <v>1.652925892153336E-3</v>
      </c>
      <c r="U70" s="10">
        <f t="shared" si="34"/>
        <v>2.9918867062888529E-5</v>
      </c>
      <c r="V70" s="10">
        <f t="shared" si="35"/>
        <v>1.2374707688164831E-2</v>
      </c>
      <c r="W70" s="10">
        <f t="shared" si="36"/>
        <v>4.7E-2</v>
      </c>
      <c r="X70" s="10">
        <f t="shared" si="37"/>
        <v>1.2E-2</v>
      </c>
      <c r="Y70" s="10">
        <f t="shared" si="38"/>
        <v>0.03</v>
      </c>
      <c r="Z70" s="24">
        <f t="shared" si="39"/>
        <v>0.31</v>
      </c>
      <c r="AA70" s="24">
        <f t="shared" si="40"/>
        <v>0.08</v>
      </c>
      <c r="AB70" s="24">
        <f t="shared" si="41"/>
        <v>0.2</v>
      </c>
      <c r="AC70" s="25">
        <f t="shared" si="42"/>
        <v>5</v>
      </c>
      <c r="AD70" s="25">
        <f t="shared" si="43"/>
        <v>5</v>
      </c>
      <c r="AE70" s="25">
        <f t="shared" si="44"/>
        <v>5</v>
      </c>
      <c r="AF70" s="21"/>
      <c r="AG70" s="23"/>
      <c r="AH70" s="23"/>
      <c r="AI70" s="23"/>
      <c r="AJ70" s="23"/>
      <c r="AK70" s="22"/>
      <c r="AL70" s="22"/>
      <c r="AM70" s="2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>
      <c r="A71" s="60">
        <v>14089</v>
      </c>
      <c r="B71" s="60" t="s">
        <v>240</v>
      </c>
      <c r="C71" s="16" t="str">
        <f>Rollover!A71</f>
        <v xml:space="preserve">Infiniti </v>
      </c>
      <c r="D71" s="16" t="str">
        <f>Rollover!B71</f>
        <v>QX60 SUV FWD</v>
      </c>
      <c r="E71" s="157" t="s">
        <v>157</v>
      </c>
      <c r="F71" s="17">
        <f>Rollover!C71</f>
        <v>2022</v>
      </c>
      <c r="G71" s="18">
        <v>84.441000000000003</v>
      </c>
      <c r="H71" s="19">
        <v>23.286000000000001</v>
      </c>
      <c r="I71" s="19">
        <v>27.292999999999999</v>
      </c>
      <c r="J71" s="19">
        <v>613.43200000000002</v>
      </c>
      <c r="K71" s="20">
        <v>1084.8599999999999</v>
      </c>
      <c r="L71" s="18">
        <v>88.45</v>
      </c>
      <c r="M71" s="19">
        <v>14.617000000000001</v>
      </c>
      <c r="N71" s="19">
        <v>33.095999999999997</v>
      </c>
      <c r="O71" s="19">
        <v>11.087</v>
      </c>
      <c r="P71" s="20">
        <v>2048.7779999999998</v>
      </c>
      <c r="Q71" s="63">
        <f t="shared" ref="Q71:Q74" si="75">NORMDIST(LN(G71),7.45231,0.73998,1)</f>
        <v>2.2895412295419516E-5</v>
      </c>
      <c r="R71" s="10">
        <f t="shared" ref="R71:R74" si="76">1/(1+EXP(5.3895-0.0919*H71))</f>
        <v>3.7344261527439623E-2</v>
      </c>
      <c r="S71" s="10">
        <f t="shared" ref="S71:S74" si="77">1/(1+EXP(6.04044-0.002133*J71))</f>
        <v>8.7320082141982107E-3</v>
      </c>
      <c r="T71" s="10">
        <f t="shared" ref="T71:T74" si="78">1/(1+EXP(7.5969-0.0011*K71))</f>
        <v>1.652925892153336E-3</v>
      </c>
      <c r="U71" s="10">
        <f t="shared" ref="U71:U74" si="79">NORMDIST(LN(L71),7.45231,0.73998,1)</f>
        <v>2.9918867062888529E-5</v>
      </c>
      <c r="V71" s="10">
        <f t="shared" ref="V71:V74" si="80">1/(1+EXP(6.3055-0.00094*P71))</f>
        <v>1.2374707688164831E-2</v>
      </c>
      <c r="W71" s="10">
        <f t="shared" ref="W71:W74" si="81">ROUND(1-(1-Q71)*(1-R71)*(1-S71)*(1-T71),3)</f>
        <v>4.7E-2</v>
      </c>
      <c r="X71" s="10">
        <f t="shared" ref="X71:X74" si="82">IF(L71="N/A",L71,ROUND(1-(1-U71)*(1-V71),3))</f>
        <v>1.2E-2</v>
      </c>
      <c r="Y71" s="10">
        <f t="shared" ref="Y71:Y74" si="83">ROUND(AVERAGE(W71:X71),3)</f>
        <v>0.03</v>
      </c>
      <c r="Z71" s="24">
        <f t="shared" ref="Z71:Z74" si="84">ROUND(W71/0.15,2)</f>
        <v>0.31</v>
      </c>
      <c r="AA71" s="24">
        <f t="shared" ref="AA71:AA74" si="85">IF(L71="N/A", L71, ROUND(X71/0.15,2))</f>
        <v>0.08</v>
      </c>
      <c r="AB71" s="24">
        <f t="shared" ref="AB71:AB74" si="86">ROUND(Y71/0.15,2)</f>
        <v>0.2</v>
      </c>
      <c r="AC71" s="25">
        <f t="shared" ref="AC71:AC74" si="87">IF(Z71&lt;0.67,5,IF(Z71&lt;1,4,IF(Z71&lt;1.33,3,IF(Z71&lt;2.67,2,1))))</f>
        <v>5</v>
      </c>
      <c r="AD71" s="25">
        <f t="shared" ref="AD71:AD74" si="88">IF(L71="N/A",L71,IF(AA71&lt;0.67,5,IF(AA71&lt;1,4,IF(AA71&lt;1.33,3,IF(AA71&lt;2.67,2,1)))))</f>
        <v>5</v>
      </c>
      <c r="AE71" s="25">
        <f t="shared" ref="AE71:AE74" si="89">IF(AB71&lt;0.67,5,IF(AB71&lt;1,4,IF(AB71&lt;1.33,3,IF(AB71&lt;2.67,2,1))))</f>
        <v>5</v>
      </c>
      <c r="AF71" s="21"/>
      <c r="AG71" s="23"/>
      <c r="AH71" s="23"/>
      <c r="AI71" s="23"/>
      <c r="AJ71" s="23"/>
      <c r="AK71" s="22"/>
      <c r="AL71" s="22"/>
      <c r="AM71" s="2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>
      <c r="A72" s="60">
        <v>14089</v>
      </c>
      <c r="B72" s="60" t="s">
        <v>240</v>
      </c>
      <c r="C72" s="16" t="str">
        <f>Rollover!A72</f>
        <v xml:space="preserve">Infiniti </v>
      </c>
      <c r="D72" s="16" t="str">
        <f>Rollover!B72</f>
        <v>QX60 SUV AWD</v>
      </c>
      <c r="E72" s="16" t="s">
        <v>157</v>
      </c>
      <c r="F72" s="17">
        <f>Rollover!C72</f>
        <v>2022</v>
      </c>
      <c r="G72" s="18">
        <v>84.441000000000003</v>
      </c>
      <c r="H72" s="19">
        <v>23.286000000000001</v>
      </c>
      <c r="I72" s="19">
        <v>27.292999999999999</v>
      </c>
      <c r="J72" s="19">
        <v>613.43200000000002</v>
      </c>
      <c r="K72" s="20">
        <v>1084.8599999999999</v>
      </c>
      <c r="L72" s="18">
        <v>88.45</v>
      </c>
      <c r="M72" s="19">
        <v>14.617000000000001</v>
      </c>
      <c r="N72" s="19">
        <v>33.095999999999997</v>
      </c>
      <c r="O72" s="19">
        <v>11.087</v>
      </c>
      <c r="P72" s="20">
        <v>2048.7779999999998</v>
      </c>
      <c r="Q72" s="63">
        <f t="shared" si="75"/>
        <v>2.2895412295419516E-5</v>
      </c>
      <c r="R72" s="10">
        <f t="shared" si="76"/>
        <v>3.7344261527439623E-2</v>
      </c>
      <c r="S72" s="10">
        <f t="shared" si="77"/>
        <v>8.7320082141982107E-3</v>
      </c>
      <c r="T72" s="10">
        <f t="shared" si="78"/>
        <v>1.652925892153336E-3</v>
      </c>
      <c r="U72" s="10">
        <f t="shared" si="79"/>
        <v>2.9918867062888529E-5</v>
      </c>
      <c r="V72" s="10">
        <f t="shared" si="80"/>
        <v>1.2374707688164831E-2</v>
      </c>
      <c r="W72" s="10">
        <f t="shared" si="81"/>
        <v>4.7E-2</v>
      </c>
      <c r="X72" s="10">
        <f t="shared" si="82"/>
        <v>1.2E-2</v>
      </c>
      <c r="Y72" s="10">
        <f t="shared" si="83"/>
        <v>0.03</v>
      </c>
      <c r="Z72" s="24">
        <f t="shared" si="84"/>
        <v>0.31</v>
      </c>
      <c r="AA72" s="24">
        <f t="shared" si="85"/>
        <v>0.08</v>
      </c>
      <c r="AB72" s="24">
        <f t="shared" si="86"/>
        <v>0.2</v>
      </c>
      <c r="AC72" s="25">
        <f t="shared" si="87"/>
        <v>5</v>
      </c>
      <c r="AD72" s="25">
        <f t="shared" si="88"/>
        <v>5</v>
      </c>
      <c r="AE72" s="25">
        <f t="shared" si="89"/>
        <v>5</v>
      </c>
      <c r="AF72" s="21"/>
      <c r="AG72" s="23"/>
      <c r="AH72" s="23"/>
      <c r="AI72" s="23"/>
      <c r="AJ72" s="23"/>
      <c r="AK72" s="22"/>
      <c r="AL72" s="22"/>
      <c r="AM72" s="2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>
      <c r="A73" s="60">
        <v>11352</v>
      </c>
      <c r="B73" s="61" t="s">
        <v>241</v>
      </c>
      <c r="C73" s="17" t="str">
        <f>Rollover!A73</f>
        <v>Nissan</v>
      </c>
      <c r="D73" s="17" t="str">
        <f>Rollover!B73</f>
        <v>Rogue AWD (Later Release)</v>
      </c>
      <c r="E73" s="16" t="s">
        <v>157</v>
      </c>
      <c r="F73" s="17">
        <f>Rollover!C73</f>
        <v>2022</v>
      </c>
      <c r="G73" s="18">
        <v>95.481999999999999</v>
      </c>
      <c r="H73" s="19">
        <v>9.15</v>
      </c>
      <c r="I73" s="19">
        <v>19.488</v>
      </c>
      <c r="J73" s="19">
        <v>441.05799999999999</v>
      </c>
      <c r="K73" s="20">
        <v>1509.934</v>
      </c>
      <c r="L73" s="18">
        <v>160.845</v>
      </c>
      <c r="M73" s="19">
        <v>13.993</v>
      </c>
      <c r="N73" s="19">
        <v>31.033999999999999</v>
      </c>
      <c r="O73" s="19">
        <v>13.718</v>
      </c>
      <c r="P73" s="20">
        <v>2282.6239999999998</v>
      </c>
      <c r="Q73" s="63">
        <f t="shared" si="75"/>
        <v>4.6135036644297193E-5</v>
      </c>
      <c r="R73" s="10">
        <f t="shared" si="76"/>
        <v>1.0471047051436188E-2</v>
      </c>
      <c r="S73" s="10">
        <f t="shared" si="77"/>
        <v>6.0618298843795829E-3</v>
      </c>
      <c r="T73" s="10">
        <f t="shared" si="78"/>
        <v>2.6356860625118155E-3</v>
      </c>
      <c r="U73" s="10">
        <f t="shared" si="79"/>
        <v>6.7457423078721361E-4</v>
      </c>
      <c r="V73" s="10">
        <f t="shared" si="80"/>
        <v>1.537022607789403E-2</v>
      </c>
      <c r="W73" s="10">
        <f t="shared" si="81"/>
        <v>1.9E-2</v>
      </c>
      <c r="X73" s="10">
        <f t="shared" si="82"/>
        <v>1.6E-2</v>
      </c>
      <c r="Y73" s="10">
        <f t="shared" si="83"/>
        <v>1.7999999999999999E-2</v>
      </c>
      <c r="Z73" s="24">
        <f t="shared" si="84"/>
        <v>0.13</v>
      </c>
      <c r="AA73" s="24">
        <f t="shared" si="85"/>
        <v>0.11</v>
      </c>
      <c r="AB73" s="24">
        <f t="shared" si="86"/>
        <v>0.12</v>
      </c>
      <c r="AC73" s="25">
        <f t="shared" si="87"/>
        <v>5</v>
      </c>
      <c r="AD73" s="25">
        <f t="shared" si="88"/>
        <v>5</v>
      </c>
      <c r="AE73" s="25">
        <f t="shared" si="89"/>
        <v>5</v>
      </c>
      <c r="AF73" s="21"/>
      <c r="AG73" s="23"/>
      <c r="AH73" s="23"/>
      <c r="AI73" s="23"/>
      <c r="AJ73" s="23"/>
      <c r="AK73" s="22"/>
      <c r="AL73" s="22"/>
      <c r="AM73" s="2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>
      <c r="A74" s="60">
        <v>11352</v>
      </c>
      <c r="B74" s="61" t="s">
        <v>241</v>
      </c>
      <c r="C74" s="17" t="str">
        <f>Rollover!A74</f>
        <v>Nissan</v>
      </c>
      <c r="D74" s="17" t="str">
        <f>Rollover!B74</f>
        <v>Rogue FWD (Later Release)</v>
      </c>
      <c r="E74" s="157" t="s">
        <v>157</v>
      </c>
      <c r="F74" s="17">
        <f>Rollover!C74</f>
        <v>2022</v>
      </c>
      <c r="G74" s="18">
        <v>95.481999999999999</v>
      </c>
      <c r="H74" s="19">
        <v>9.15</v>
      </c>
      <c r="I74" s="19">
        <v>19.488</v>
      </c>
      <c r="J74" s="19">
        <v>441.05799999999999</v>
      </c>
      <c r="K74" s="20">
        <v>1509.934</v>
      </c>
      <c r="L74" s="18">
        <v>160.845</v>
      </c>
      <c r="M74" s="19">
        <v>13.993</v>
      </c>
      <c r="N74" s="19">
        <v>31.033999999999999</v>
      </c>
      <c r="O74" s="19">
        <v>13.718</v>
      </c>
      <c r="P74" s="20">
        <v>2282.6239999999998</v>
      </c>
      <c r="Q74" s="63">
        <f t="shared" si="75"/>
        <v>4.6135036644297193E-5</v>
      </c>
      <c r="R74" s="10">
        <f t="shared" si="76"/>
        <v>1.0471047051436188E-2</v>
      </c>
      <c r="S74" s="10">
        <f t="shared" si="77"/>
        <v>6.0618298843795829E-3</v>
      </c>
      <c r="T74" s="10">
        <f t="shared" si="78"/>
        <v>2.6356860625118155E-3</v>
      </c>
      <c r="U74" s="10">
        <f t="shared" si="79"/>
        <v>6.7457423078721361E-4</v>
      </c>
      <c r="V74" s="10">
        <f t="shared" si="80"/>
        <v>1.537022607789403E-2</v>
      </c>
      <c r="W74" s="10">
        <f t="shared" si="81"/>
        <v>1.9E-2</v>
      </c>
      <c r="X74" s="10">
        <f t="shared" si="82"/>
        <v>1.6E-2</v>
      </c>
      <c r="Y74" s="10">
        <f t="shared" si="83"/>
        <v>1.7999999999999999E-2</v>
      </c>
      <c r="Z74" s="24">
        <f t="shared" si="84"/>
        <v>0.13</v>
      </c>
      <c r="AA74" s="24">
        <f t="shared" si="85"/>
        <v>0.11</v>
      </c>
      <c r="AB74" s="24">
        <f t="shared" si="86"/>
        <v>0.12</v>
      </c>
      <c r="AC74" s="25">
        <f t="shared" si="87"/>
        <v>5</v>
      </c>
      <c r="AD74" s="25">
        <f t="shared" si="88"/>
        <v>5</v>
      </c>
      <c r="AE74" s="25">
        <f t="shared" si="89"/>
        <v>5</v>
      </c>
      <c r="AF74" s="21"/>
      <c r="AG74" s="23"/>
      <c r="AH74" s="23"/>
      <c r="AI74" s="23"/>
      <c r="AJ74" s="23"/>
      <c r="AK74" s="22"/>
      <c r="AL74" s="22"/>
      <c r="AM74" s="2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>
      <c r="A75" s="60">
        <v>14219</v>
      </c>
      <c r="B75" s="60" t="s">
        <v>242</v>
      </c>
      <c r="C75" s="17" t="str">
        <f>Rollover!A75</f>
        <v>Nissan</v>
      </c>
      <c r="D75" s="17" t="str">
        <f>Rollover!B75</f>
        <v>Rogue Sport SUV FWD</v>
      </c>
      <c r="E75" s="16" t="s">
        <v>155</v>
      </c>
      <c r="F75" s="17">
        <f>Rollover!C75</f>
        <v>2022</v>
      </c>
      <c r="G75" s="18">
        <v>90.66</v>
      </c>
      <c r="H75" s="19">
        <v>32.664000000000001</v>
      </c>
      <c r="I75" s="19">
        <v>33.838000000000001</v>
      </c>
      <c r="J75" s="19">
        <v>525.32100000000003</v>
      </c>
      <c r="K75" s="20">
        <v>1816.3679999999999</v>
      </c>
      <c r="L75" s="18">
        <v>221.547</v>
      </c>
      <c r="M75" s="19">
        <v>18.696000000000002</v>
      </c>
      <c r="N75" s="19">
        <v>36.770000000000003</v>
      </c>
      <c r="O75" s="19">
        <v>14.778</v>
      </c>
      <c r="P75" s="20">
        <v>2193.5680000000002</v>
      </c>
      <c r="Q75" s="63">
        <f t="shared" si="30"/>
        <v>3.444326824467768E-5</v>
      </c>
      <c r="R75" s="10">
        <f t="shared" si="31"/>
        <v>8.4117118674383567E-2</v>
      </c>
      <c r="S75" s="10">
        <f t="shared" si="32"/>
        <v>7.2467409657859371E-3</v>
      </c>
      <c r="T75" s="10">
        <f t="shared" si="33"/>
        <v>3.6882974760143279E-3</v>
      </c>
      <c r="U75" s="10">
        <f t="shared" si="34"/>
        <v>2.7804442094801875E-3</v>
      </c>
      <c r="V75" s="10">
        <f t="shared" si="35"/>
        <v>1.4153397299999556E-2</v>
      </c>
      <c r="W75" s="10">
        <f t="shared" si="36"/>
        <v>9.4E-2</v>
      </c>
      <c r="X75" s="10">
        <f t="shared" si="37"/>
        <v>1.7000000000000001E-2</v>
      </c>
      <c r="Y75" s="10">
        <f t="shared" si="38"/>
        <v>5.6000000000000001E-2</v>
      </c>
      <c r="Z75" s="24">
        <f t="shared" si="39"/>
        <v>0.63</v>
      </c>
      <c r="AA75" s="24">
        <f t="shared" si="40"/>
        <v>0.11</v>
      </c>
      <c r="AB75" s="24">
        <f t="shared" si="41"/>
        <v>0.37</v>
      </c>
      <c r="AC75" s="25">
        <f t="shared" si="42"/>
        <v>5</v>
      </c>
      <c r="AD75" s="25">
        <f t="shared" si="43"/>
        <v>5</v>
      </c>
      <c r="AE75" s="25">
        <f t="shared" si="44"/>
        <v>5</v>
      </c>
      <c r="AF75" s="21"/>
      <c r="AG75" s="23"/>
      <c r="AH75" s="23"/>
      <c r="AI75" s="23"/>
      <c r="AJ75" s="23"/>
      <c r="AK75" s="22"/>
      <c r="AL75" s="22"/>
      <c r="AM75" s="2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>
      <c r="A76" s="60">
        <v>14219</v>
      </c>
      <c r="B76" s="60" t="s">
        <v>242</v>
      </c>
      <c r="C76" s="17" t="str">
        <f>Rollover!A76</f>
        <v>Nissan</v>
      </c>
      <c r="D76" s="17" t="str">
        <f>Rollover!B76</f>
        <v>Rogue Sport SUV AWD</v>
      </c>
      <c r="E76" s="16" t="s">
        <v>155</v>
      </c>
      <c r="F76" s="17">
        <f>Rollover!C76</f>
        <v>2022</v>
      </c>
      <c r="G76" s="18">
        <v>90.66</v>
      </c>
      <c r="H76" s="19">
        <v>32.664000000000001</v>
      </c>
      <c r="I76" s="19">
        <v>33.838000000000001</v>
      </c>
      <c r="J76" s="19">
        <v>525.32100000000003</v>
      </c>
      <c r="K76" s="20">
        <v>1816.3679999999999</v>
      </c>
      <c r="L76" s="18">
        <v>221.547</v>
      </c>
      <c r="M76" s="19">
        <v>18.696000000000002</v>
      </c>
      <c r="N76" s="19">
        <v>36.770000000000003</v>
      </c>
      <c r="O76" s="19">
        <v>14.778</v>
      </c>
      <c r="P76" s="20">
        <v>2193.5680000000002</v>
      </c>
      <c r="Q76" s="63">
        <f t="shared" si="30"/>
        <v>3.444326824467768E-5</v>
      </c>
      <c r="R76" s="10">
        <f t="shared" si="31"/>
        <v>8.4117118674383567E-2</v>
      </c>
      <c r="S76" s="10">
        <f t="shared" si="32"/>
        <v>7.2467409657859371E-3</v>
      </c>
      <c r="T76" s="10">
        <f t="shared" si="33"/>
        <v>3.6882974760143279E-3</v>
      </c>
      <c r="U76" s="10">
        <f t="shared" si="34"/>
        <v>2.7804442094801875E-3</v>
      </c>
      <c r="V76" s="10">
        <f t="shared" si="35"/>
        <v>1.4153397299999556E-2</v>
      </c>
      <c r="W76" s="10">
        <f t="shared" si="36"/>
        <v>9.4E-2</v>
      </c>
      <c r="X76" s="10">
        <f t="shared" si="37"/>
        <v>1.7000000000000001E-2</v>
      </c>
      <c r="Y76" s="10">
        <f t="shared" si="38"/>
        <v>5.6000000000000001E-2</v>
      </c>
      <c r="Z76" s="24">
        <f t="shared" si="39"/>
        <v>0.63</v>
      </c>
      <c r="AA76" s="24">
        <f t="shared" si="40"/>
        <v>0.11</v>
      </c>
      <c r="AB76" s="24">
        <f t="shared" si="41"/>
        <v>0.37</v>
      </c>
      <c r="AC76" s="25">
        <f t="shared" si="42"/>
        <v>5</v>
      </c>
      <c r="AD76" s="25">
        <f t="shared" si="43"/>
        <v>5</v>
      </c>
      <c r="AE76" s="25">
        <f t="shared" si="44"/>
        <v>5</v>
      </c>
      <c r="AF76" s="21"/>
      <c r="AG76" s="23"/>
      <c r="AH76" s="23"/>
      <c r="AI76" s="23"/>
      <c r="AJ76" s="23"/>
      <c r="AK76" s="22"/>
      <c r="AL76" s="22"/>
      <c r="AM76" s="2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>
      <c r="A77" s="60">
        <v>14216</v>
      </c>
      <c r="B77" s="60" t="s">
        <v>243</v>
      </c>
      <c r="C77" s="17" t="str">
        <f>Rollover!A77</f>
        <v>Polestar</v>
      </c>
      <c r="D77" s="17" t="str">
        <f>Rollover!B77</f>
        <v>Polestar 2 5HB FWD</v>
      </c>
      <c r="E77" s="16" t="s">
        <v>157</v>
      </c>
      <c r="F77" s="17">
        <f>Rollover!C77</f>
        <v>2022</v>
      </c>
      <c r="G77" s="18">
        <v>75.402000000000001</v>
      </c>
      <c r="H77" s="19">
        <v>18.283000000000001</v>
      </c>
      <c r="I77" s="19">
        <v>20.835000000000001</v>
      </c>
      <c r="J77" s="19">
        <v>580.65599999999995</v>
      </c>
      <c r="K77" s="20">
        <v>1160.1659999999999</v>
      </c>
      <c r="L77" s="18">
        <v>266.50700000000001</v>
      </c>
      <c r="M77" s="19">
        <v>29.651</v>
      </c>
      <c r="N77" s="19">
        <v>59.509</v>
      </c>
      <c r="O77" s="19">
        <v>19.875</v>
      </c>
      <c r="P77" s="20">
        <v>3297.819</v>
      </c>
      <c r="Q77" s="63">
        <f t="shared" si="30"/>
        <v>1.1729515265028611E-5</v>
      </c>
      <c r="R77" s="10">
        <f t="shared" si="31"/>
        <v>2.3909199831177775E-2</v>
      </c>
      <c r="S77" s="10">
        <f t="shared" si="32"/>
        <v>8.1471971493830529E-3</v>
      </c>
      <c r="T77" s="10">
        <f t="shared" si="33"/>
        <v>1.7954233467983235E-3</v>
      </c>
      <c r="U77" s="10">
        <f t="shared" si="34"/>
        <v>5.8192627792395188E-3</v>
      </c>
      <c r="V77" s="10">
        <f t="shared" si="35"/>
        <v>3.8957394585371653E-2</v>
      </c>
      <c r="W77" s="10">
        <f t="shared" si="36"/>
        <v>3.4000000000000002E-2</v>
      </c>
      <c r="X77" s="10">
        <f t="shared" si="37"/>
        <v>4.4999999999999998E-2</v>
      </c>
      <c r="Y77" s="10">
        <f t="shared" si="38"/>
        <v>0.04</v>
      </c>
      <c r="Z77" s="24">
        <f t="shared" si="39"/>
        <v>0.23</v>
      </c>
      <c r="AA77" s="24">
        <f t="shared" si="40"/>
        <v>0.3</v>
      </c>
      <c r="AB77" s="24">
        <f t="shared" si="41"/>
        <v>0.27</v>
      </c>
      <c r="AC77" s="25">
        <f t="shared" si="42"/>
        <v>5</v>
      </c>
      <c r="AD77" s="25">
        <f t="shared" si="43"/>
        <v>5</v>
      </c>
      <c r="AE77" s="25">
        <f t="shared" si="44"/>
        <v>5</v>
      </c>
      <c r="AF77" s="21"/>
      <c r="AG77" s="23"/>
      <c r="AH77" s="23"/>
      <c r="AI77" s="23"/>
      <c r="AJ77" s="23"/>
      <c r="AK77" s="22"/>
      <c r="AL77" s="22"/>
      <c r="AM77" s="2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>
      <c r="A78" s="60">
        <v>14216</v>
      </c>
      <c r="B78" s="60" t="s">
        <v>243</v>
      </c>
      <c r="C78" s="17" t="str">
        <f>Rollover!A78</f>
        <v>Polestar</v>
      </c>
      <c r="D78" s="17" t="str">
        <f>Rollover!B78</f>
        <v>Polestar 2 5HB AWD</v>
      </c>
      <c r="E78" s="16" t="s">
        <v>157</v>
      </c>
      <c r="F78" s="17">
        <f>Rollover!C78</f>
        <v>2022</v>
      </c>
      <c r="G78" s="18">
        <v>75.402000000000001</v>
      </c>
      <c r="H78" s="19">
        <v>18.283000000000001</v>
      </c>
      <c r="I78" s="19">
        <v>20.835000000000001</v>
      </c>
      <c r="J78" s="19">
        <v>580.65599999999995</v>
      </c>
      <c r="K78" s="20">
        <v>1160.1659999999999</v>
      </c>
      <c r="L78" s="18">
        <v>266.50700000000001</v>
      </c>
      <c r="M78" s="19">
        <v>29.651</v>
      </c>
      <c r="N78" s="19">
        <v>59.509</v>
      </c>
      <c r="O78" s="19">
        <v>19.875</v>
      </c>
      <c r="P78" s="20">
        <v>3297.819</v>
      </c>
      <c r="Q78" s="63">
        <f t="shared" ref="Q78:Q81" si="90">NORMDIST(LN(G78),7.45231,0.73998,1)</f>
        <v>1.1729515265028611E-5</v>
      </c>
      <c r="R78" s="10">
        <f t="shared" ref="R78:R81" si="91">1/(1+EXP(5.3895-0.0919*H78))</f>
        <v>2.3909199831177775E-2</v>
      </c>
      <c r="S78" s="10">
        <f t="shared" ref="S78:S81" si="92">1/(1+EXP(6.04044-0.002133*J78))</f>
        <v>8.1471971493830529E-3</v>
      </c>
      <c r="T78" s="10">
        <f t="shared" ref="T78:T81" si="93">1/(1+EXP(7.5969-0.0011*K78))</f>
        <v>1.7954233467983235E-3</v>
      </c>
      <c r="U78" s="10">
        <f t="shared" ref="U78:U81" si="94">NORMDIST(LN(L78),7.45231,0.73998,1)</f>
        <v>5.8192627792395188E-3</v>
      </c>
      <c r="V78" s="10">
        <f t="shared" ref="V78:V81" si="95">1/(1+EXP(6.3055-0.00094*P78))</f>
        <v>3.8957394585371653E-2</v>
      </c>
      <c r="W78" s="10">
        <f t="shared" ref="W78:W81" si="96">ROUND(1-(1-Q78)*(1-R78)*(1-S78)*(1-T78),3)</f>
        <v>3.4000000000000002E-2</v>
      </c>
      <c r="X78" s="10">
        <f t="shared" ref="X78:X81" si="97">IF(L78="N/A",L78,ROUND(1-(1-U78)*(1-V78),3))</f>
        <v>4.4999999999999998E-2</v>
      </c>
      <c r="Y78" s="10">
        <f t="shared" ref="Y78:Y81" si="98">ROUND(AVERAGE(W78:X78),3)</f>
        <v>0.04</v>
      </c>
      <c r="Z78" s="24">
        <f t="shared" ref="Z78:Z81" si="99">ROUND(W78/0.15,2)</f>
        <v>0.23</v>
      </c>
      <c r="AA78" s="24">
        <f t="shared" ref="AA78:AA81" si="100">IF(L78="N/A", L78, ROUND(X78/0.15,2))</f>
        <v>0.3</v>
      </c>
      <c r="AB78" s="24">
        <f t="shared" ref="AB78:AB81" si="101">ROUND(Y78/0.15,2)</f>
        <v>0.27</v>
      </c>
      <c r="AC78" s="25">
        <f t="shared" ref="AC78:AC81" si="102">IF(Z78&lt;0.67,5,IF(Z78&lt;1,4,IF(Z78&lt;1.33,3,IF(Z78&lt;2.67,2,1))))</f>
        <v>5</v>
      </c>
      <c r="AD78" s="25">
        <f t="shared" ref="AD78:AD81" si="103">IF(L78="N/A",L78,IF(AA78&lt;0.67,5,IF(AA78&lt;1,4,IF(AA78&lt;1.33,3,IF(AA78&lt;2.67,2,1)))))</f>
        <v>5</v>
      </c>
      <c r="AE78" s="25">
        <f t="shared" ref="AE78:AE81" si="104">IF(AB78&lt;0.67,5,IF(AB78&lt;1,4,IF(AB78&lt;1.33,3,IF(AB78&lt;2.67,2,1))))</f>
        <v>5</v>
      </c>
      <c r="AF78" s="21"/>
      <c r="AG78" s="23"/>
      <c r="AH78" s="23"/>
      <c r="AI78" s="23"/>
      <c r="AJ78" s="23"/>
      <c r="AK78" s="22"/>
      <c r="AL78" s="22"/>
      <c r="AM78" s="2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>
      <c r="A79" s="60">
        <v>14268</v>
      </c>
      <c r="B79" s="60" t="s">
        <v>244</v>
      </c>
      <c r="C79" s="17" t="str">
        <f>Rollover!A79</f>
        <v>Subaru</v>
      </c>
      <c r="D79" s="17" t="str">
        <f>Rollover!B79</f>
        <v>WRX 4DR AWD</v>
      </c>
      <c r="E79" s="16" t="s">
        <v>190</v>
      </c>
      <c r="F79" s="17">
        <f>Rollover!C79</f>
        <v>2022</v>
      </c>
      <c r="G79" s="18">
        <v>152.173</v>
      </c>
      <c r="H79" s="19">
        <v>24.501999999999999</v>
      </c>
      <c r="I79" s="19">
        <v>27.201000000000001</v>
      </c>
      <c r="J79" s="19">
        <v>734.54</v>
      </c>
      <c r="K79" s="20">
        <v>1726.269</v>
      </c>
      <c r="L79" s="18">
        <v>356.53199999999998</v>
      </c>
      <c r="M79" s="19">
        <v>20.91</v>
      </c>
      <c r="N79" s="19">
        <v>66.430999999999997</v>
      </c>
      <c r="O79" s="19">
        <v>33.255000000000003</v>
      </c>
      <c r="P79" s="20">
        <v>3732.7829999999999</v>
      </c>
      <c r="Q79" s="63">
        <f>NORMDIST(LN(G79),7.45231,0.73998,1)</f>
        <v>5.1864382582738526E-4</v>
      </c>
      <c r="R79" s="10">
        <f>1/(1+EXP(5.3895-0.0919*H79))</f>
        <v>4.1576039491924663E-2</v>
      </c>
      <c r="S79" s="10">
        <f>1/(1+EXP(6.04044-0.002133*J79))</f>
        <v>1.1276807982075081E-2</v>
      </c>
      <c r="T79" s="10">
        <f>1/(1+EXP(7.5969-0.0011*K79))</f>
        <v>3.3414476333457751E-3</v>
      </c>
      <c r="U79" s="10">
        <f>NORMDIST(LN(L79),7.45231,0.73998,1)</f>
        <v>1.6600952409129139E-2</v>
      </c>
      <c r="V79" s="10">
        <f>1/(1+EXP(6.3055-0.00094*P79))</f>
        <v>5.7503630629249347E-2</v>
      </c>
      <c r="W79" s="10">
        <f>ROUND(1-(1-Q79)*(1-R79)*(1-S79)*(1-T79),3)</f>
        <v>5.6000000000000001E-2</v>
      </c>
      <c r="X79" s="10">
        <f>IF(L79="N/A",L79,ROUND(1-(1-U79)*(1-V79),3))</f>
        <v>7.2999999999999995E-2</v>
      </c>
      <c r="Y79" s="10">
        <f>ROUND(AVERAGE(W79:X79),3)</f>
        <v>6.5000000000000002E-2</v>
      </c>
      <c r="Z79" s="24">
        <f>ROUND(W79/0.15,2)</f>
        <v>0.37</v>
      </c>
      <c r="AA79" s="24">
        <f>IF(L79="N/A", L79, ROUND(X79/0.15,2))</f>
        <v>0.49</v>
      </c>
      <c r="AB79" s="24">
        <f>ROUND(Y79/0.15,2)</f>
        <v>0.43</v>
      </c>
      <c r="AC79" s="25">
        <f>IF(Z79&lt;0.67,5,IF(Z79&lt;1,4,IF(Z79&lt;1.33,3,IF(Z79&lt;2.67,2,1))))</f>
        <v>5</v>
      </c>
      <c r="AD79" s="25">
        <f>IF(L79="N/A",L79,IF(AA79&lt;0.67,5,IF(AA79&lt;1,4,IF(AA79&lt;1.33,3,IF(AA79&lt;2.67,2,1)))))</f>
        <v>5</v>
      </c>
      <c r="AE79" s="25">
        <f>IF(AB79&lt;0.67,5,IF(AB79&lt;1,4,IF(AB79&lt;1.33,3,IF(AB79&lt;2.67,2,1))))</f>
        <v>5</v>
      </c>
      <c r="AF79" s="1"/>
      <c r="AG79" s="136"/>
      <c r="AH79" s="136"/>
      <c r="AI79" s="136"/>
      <c r="AJ79" s="136"/>
      <c r="AK79" s="108"/>
      <c r="AL79" s="108"/>
      <c r="AM79" s="108"/>
    </row>
    <row r="80" spans="1:50">
      <c r="A80" s="60">
        <v>14255</v>
      </c>
      <c r="B80" s="60" t="s">
        <v>245</v>
      </c>
      <c r="C80" s="17" t="str">
        <f>Rollover!A80</f>
        <v>Toyota</v>
      </c>
      <c r="D80" s="17" t="str">
        <f>Rollover!B80</f>
        <v>Corolla Cross SUV FWD</v>
      </c>
      <c r="E80" s="16" t="s">
        <v>155</v>
      </c>
      <c r="F80" s="17">
        <f>Rollover!C80</f>
        <v>2022</v>
      </c>
      <c r="G80" s="18">
        <v>93.789000000000001</v>
      </c>
      <c r="H80" s="19">
        <v>11.428000000000001</v>
      </c>
      <c r="I80" s="19">
        <v>29.533000000000001</v>
      </c>
      <c r="J80" s="19">
        <v>499.32100000000003</v>
      </c>
      <c r="K80" s="20">
        <v>1415.1880000000001</v>
      </c>
      <c r="L80" s="18">
        <v>141.19200000000001</v>
      </c>
      <c r="M80" s="19">
        <v>14.705</v>
      </c>
      <c r="N80" s="19">
        <v>39.18</v>
      </c>
      <c r="O80" s="19">
        <v>19.704999999999998</v>
      </c>
      <c r="P80" s="20">
        <v>1897.402</v>
      </c>
      <c r="Q80" s="63">
        <f t="shared" si="90"/>
        <v>4.1729355552612932E-5</v>
      </c>
      <c r="R80" s="10">
        <f t="shared" si="91"/>
        <v>1.2878081479694339E-2</v>
      </c>
      <c r="S80" s="10">
        <f t="shared" si="92"/>
        <v>6.8584733361748539E-3</v>
      </c>
      <c r="T80" s="10">
        <f t="shared" si="93"/>
        <v>2.3754426770742632E-3</v>
      </c>
      <c r="U80" s="10">
        <f t="shared" si="94"/>
        <v>3.6055020925439203E-4</v>
      </c>
      <c r="V80" s="10">
        <f t="shared" si="95"/>
        <v>1.0751055047937094E-2</v>
      </c>
      <c r="W80" s="10">
        <f t="shared" si="96"/>
        <v>2.1999999999999999E-2</v>
      </c>
      <c r="X80" s="10">
        <f t="shared" si="97"/>
        <v>1.0999999999999999E-2</v>
      </c>
      <c r="Y80" s="10">
        <f t="shared" si="98"/>
        <v>1.7000000000000001E-2</v>
      </c>
      <c r="Z80" s="24">
        <f t="shared" si="99"/>
        <v>0.15</v>
      </c>
      <c r="AA80" s="24">
        <f t="shared" si="100"/>
        <v>7.0000000000000007E-2</v>
      </c>
      <c r="AB80" s="24">
        <f t="shared" si="101"/>
        <v>0.11</v>
      </c>
      <c r="AC80" s="25">
        <f t="shared" si="102"/>
        <v>5</v>
      </c>
      <c r="AD80" s="25">
        <f t="shared" si="103"/>
        <v>5</v>
      </c>
      <c r="AE80" s="25">
        <f t="shared" si="104"/>
        <v>5</v>
      </c>
      <c r="AF80" s="21"/>
      <c r="AG80" s="23"/>
      <c r="AH80" s="23"/>
      <c r="AI80" s="23"/>
      <c r="AJ80" s="23"/>
      <c r="AK80" s="22"/>
      <c r="AL80" s="22"/>
      <c r="AM80" s="22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1:50">
      <c r="A81" s="60">
        <v>14255</v>
      </c>
      <c r="B81" s="60" t="s">
        <v>245</v>
      </c>
      <c r="C81" s="17" t="str">
        <f>Rollover!A81</f>
        <v>Toyota</v>
      </c>
      <c r="D81" s="17" t="str">
        <f>Rollover!B81</f>
        <v>Corolla Cross SUV AWD</v>
      </c>
      <c r="E81" s="16" t="s">
        <v>155</v>
      </c>
      <c r="F81" s="17">
        <f>Rollover!C81</f>
        <v>2022</v>
      </c>
      <c r="G81" s="18">
        <v>93.789000000000001</v>
      </c>
      <c r="H81" s="19">
        <v>11.428000000000001</v>
      </c>
      <c r="I81" s="19">
        <v>29.533000000000001</v>
      </c>
      <c r="J81" s="19">
        <v>499.32100000000003</v>
      </c>
      <c r="K81" s="20">
        <v>1415.1880000000001</v>
      </c>
      <c r="L81" s="18">
        <v>141.19200000000001</v>
      </c>
      <c r="M81" s="19">
        <v>14.705</v>
      </c>
      <c r="N81" s="19">
        <v>39.18</v>
      </c>
      <c r="O81" s="19">
        <v>19.704999999999998</v>
      </c>
      <c r="P81" s="20">
        <v>1897.402</v>
      </c>
      <c r="Q81" s="63">
        <f t="shared" si="90"/>
        <v>4.1729355552612932E-5</v>
      </c>
      <c r="R81" s="10">
        <f t="shared" si="91"/>
        <v>1.2878081479694339E-2</v>
      </c>
      <c r="S81" s="10">
        <f t="shared" si="92"/>
        <v>6.8584733361748539E-3</v>
      </c>
      <c r="T81" s="10">
        <f t="shared" si="93"/>
        <v>2.3754426770742632E-3</v>
      </c>
      <c r="U81" s="10">
        <f t="shared" si="94"/>
        <v>3.6055020925439203E-4</v>
      </c>
      <c r="V81" s="10">
        <f t="shared" si="95"/>
        <v>1.0751055047937094E-2</v>
      </c>
      <c r="W81" s="10">
        <f t="shared" si="96"/>
        <v>2.1999999999999999E-2</v>
      </c>
      <c r="X81" s="10">
        <f t="shared" si="97"/>
        <v>1.0999999999999999E-2</v>
      </c>
      <c r="Y81" s="10">
        <f t="shared" si="98"/>
        <v>1.7000000000000001E-2</v>
      </c>
      <c r="Z81" s="24">
        <f t="shared" si="99"/>
        <v>0.15</v>
      </c>
      <c r="AA81" s="24">
        <f t="shared" si="100"/>
        <v>7.0000000000000007E-2</v>
      </c>
      <c r="AB81" s="24">
        <f t="shared" si="101"/>
        <v>0.11</v>
      </c>
      <c r="AC81" s="25">
        <f t="shared" si="102"/>
        <v>5</v>
      </c>
      <c r="AD81" s="25">
        <f t="shared" si="103"/>
        <v>5</v>
      </c>
      <c r="AE81" s="25">
        <f t="shared" si="104"/>
        <v>5</v>
      </c>
      <c r="AF81" s="21"/>
      <c r="AG81" s="23"/>
      <c r="AH81" s="23"/>
      <c r="AI81" s="23"/>
      <c r="AJ81" s="23"/>
      <c r="AK81" s="22"/>
      <c r="AL81" s="22"/>
      <c r="AM81" s="2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1:50">
      <c r="A82" s="60"/>
      <c r="B82" s="60"/>
      <c r="C82" s="17" t="str">
        <f>Rollover!A82</f>
        <v>Toyota</v>
      </c>
      <c r="D82" s="17" t="str">
        <f>Rollover!B82</f>
        <v>RAV4 Prime SUV AWD</v>
      </c>
      <c r="E82" s="16"/>
      <c r="F82" s="17">
        <f>Rollover!C82</f>
        <v>2022</v>
      </c>
      <c r="G82" s="18"/>
      <c r="H82" s="19"/>
      <c r="I82" s="19"/>
      <c r="J82" s="19"/>
      <c r="K82" s="20"/>
      <c r="L82" s="18"/>
      <c r="M82" s="19"/>
      <c r="N82" s="19"/>
      <c r="O82" s="19"/>
      <c r="P82" s="20"/>
      <c r="Q82" s="63" t="e">
        <f t="shared" si="30"/>
        <v>#NUM!</v>
      </c>
      <c r="R82" s="10">
        <f t="shared" si="31"/>
        <v>4.5435171224880964E-3</v>
      </c>
      <c r="S82" s="10">
        <f t="shared" si="32"/>
        <v>2.3748578822706131E-3</v>
      </c>
      <c r="T82" s="10">
        <f t="shared" si="33"/>
        <v>5.0175335722563109E-4</v>
      </c>
      <c r="U82" s="10" t="e">
        <f t="shared" si="34"/>
        <v>#NUM!</v>
      </c>
      <c r="V82" s="10">
        <f t="shared" si="35"/>
        <v>1.8229037773026034E-3</v>
      </c>
      <c r="W82" s="10" t="e">
        <f t="shared" si="36"/>
        <v>#NUM!</v>
      </c>
      <c r="X82" s="10" t="e">
        <f t="shared" si="37"/>
        <v>#NUM!</v>
      </c>
      <c r="Y82" s="10" t="e">
        <f t="shared" si="38"/>
        <v>#NUM!</v>
      </c>
      <c r="Z82" s="24" t="e">
        <f t="shared" si="39"/>
        <v>#NUM!</v>
      </c>
      <c r="AA82" s="24" t="e">
        <f t="shared" si="40"/>
        <v>#NUM!</v>
      </c>
      <c r="AB82" s="24" t="e">
        <f t="shared" si="41"/>
        <v>#NUM!</v>
      </c>
      <c r="AC82" s="25" t="e">
        <f t="shared" si="42"/>
        <v>#NUM!</v>
      </c>
      <c r="AD82" s="25" t="e">
        <f t="shared" si="43"/>
        <v>#NUM!</v>
      </c>
      <c r="AE82" s="25" t="e">
        <f t="shared" si="44"/>
        <v>#NUM!</v>
      </c>
      <c r="AF82" s="21"/>
      <c r="AG82" s="23"/>
      <c r="AH82" s="23"/>
      <c r="AI82" s="23"/>
      <c r="AJ82" s="23"/>
      <c r="AK82" s="22"/>
      <c r="AL82" s="22"/>
      <c r="AM82" s="2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1:50">
      <c r="A83" s="60">
        <v>14253</v>
      </c>
      <c r="B83" s="60" t="s">
        <v>246</v>
      </c>
      <c r="C83" s="17" t="str">
        <f>Rollover!A83</f>
        <v>Toyota</v>
      </c>
      <c r="D83" s="17" t="str">
        <f>Rollover!B83</f>
        <v>Tundra PU/CC 2WD</v>
      </c>
      <c r="E83" s="16" t="s">
        <v>190</v>
      </c>
      <c r="F83" s="17">
        <f>Rollover!C83</f>
        <v>2022</v>
      </c>
      <c r="G83" s="18">
        <v>48.673999999999999</v>
      </c>
      <c r="H83" s="19">
        <v>15.118</v>
      </c>
      <c r="I83" s="19">
        <v>18.146000000000001</v>
      </c>
      <c r="J83" s="19">
        <v>454.93099999999998</v>
      </c>
      <c r="K83" s="20">
        <v>574</v>
      </c>
      <c r="L83" s="18">
        <v>37.726999999999997</v>
      </c>
      <c r="M83" s="19">
        <v>2.423</v>
      </c>
      <c r="N83" s="19">
        <v>45.637999999999998</v>
      </c>
      <c r="O83" s="19">
        <v>3.411</v>
      </c>
      <c r="P83" s="20">
        <v>546.88699999999994</v>
      </c>
      <c r="Q83" s="63">
        <f t="shared" si="30"/>
        <v>7.1555105851023295E-7</v>
      </c>
      <c r="R83" s="10">
        <f t="shared" si="31"/>
        <v>1.7983458319111287E-2</v>
      </c>
      <c r="S83" s="10">
        <f t="shared" si="32"/>
        <v>6.242749963471253E-3</v>
      </c>
      <c r="T83" s="10">
        <f t="shared" si="33"/>
        <v>9.4300078235415069E-4</v>
      </c>
      <c r="U83" s="10">
        <f t="shared" si="34"/>
        <v>1.2027394867024386E-7</v>
      </c>
      <c r="V83" s="10">
        <f t="shared" si="35"/>
        <v>3.0443276978236885E-3</v>
      </c>
      <c r="W83" s="10">
        <f t="shared" si="36"/>
        <v>2.5000000000000001E-2</v>
      </c>
      <c r="X83" s="10">
        <f t="shared" si="37"/>
        <v>3.0000000000000001E-3</v>
      </c>
      <c r="Y83" s="10">
        <f t="shared" si="38"/>
        <v>1.4E-2</v>
      </c>
      <c r="Z83" s="24">
        <f t="shared" si="39"/>
        <v>0.17</v>
      </c>
      <c r="AA83" s="24">
        <f t="shared" si="40"/>
        <v>0.02</v>
      </c>
      <c r="AB83" s="24">
        <f t="shared" si="41"/>
        <v>0.09</v>
      </c>
      <c r="AC83" s="25">
        <f t="shared" si="42"/>
        <v>5</v>
      </c>
      <c r="AD83" s="25">
        <f t="shared" si="43"/>
        <v>5</v>
      </c>
      <c r="AE83" s="25">
        <f t="shared" si="44"/>
        <v>5</v>
      </c>
      <c r="AF83" s="21"/>
      <c r="AG83" s="23"/>
      <c r="AH83" s="23"/>
      <c r="AI83" s="23"/>
      <c r="AJ83" s="23"/>
      <c r="AK83" s="22"/>
      <c r="AL83" s="22"/>
      <c r="AM83" s="2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>
      <c r="A84" s="60">
        <v>14253</v>
      </c>
      <c r="B84" s="60" t="s">
        <v>246</v>
      </c>
      <c r="C84" s="17" t="str">
        <f>Rollover!A84</f>
        <v>Toyota</v>
      </c>
      <c r="D84" s="17" t="str">
        <f>Rollover!B84</f>
        <v>Tundra PU/CC 4WD</v>
      </c>
      <c r="E84" s="16" t="s">
        <v>190</v>
      </c>
      <c r="F84" s="17">
        <f>Rollover!C84</f>
        <v>2022</v>
      </c>
      <c r="G84" s="18">
        <v>48.673999999999999</v>
      </c>
      <c r="H84" s="19">
        <v>15.118</v>
      </c>
      <c r="I84" s="19">
        <v>18.146000000000001</v>
      </c>
      <c r="J84" s="19">
        <v>454.93099999999998</v>
      </c>
      <c r="K84" s="20">
        <v>574</v>
      </c>
      <c r="L84" s="18">
        <v>37.726999999999997</v>
      </c>
      <c r="M84" s="19">
        <v>2.423</v>
      </c>
      <c r="N84" s="19">
        <v>45.637999999999998</v>
      </c>
      <c r="O84" s="19">
        <v>3.411</v>
      </c>
      <c r="P84" s="20">
        <v>546.88699999999994</v>
      </c>
      <c r="Q84" s="63">
        <f t="shared" si="30"/>
        <v>7.1555105851023295E-7</v>
      </c>
      <c r="R84" s="10">
        <f t="shared" si="31"/>
        <v>1.7983458319111287E-2</v>
      </c>
      <c r="S84" s="10">
        <f t="shared" si="32"/>
        <v>6.242749963471253E-3</v>
      </c>
      <c r="T84" s="10">
        <f t="shared" si="33"/>
        <v>9.4300078235415069E-4</v>
      </c>
      <c r="U84" s="10">
        <f t="shared" si="34"/>
        <v>1.2027394867024386E-7</v>
      </c>
      <c r="V84" s="10">
        <f t="shared" si="35"/>
        <v>3.0443276978236885E-3</v>
      </c>
      <c r="W84" s="10">
        <f t="shared" si="36"/>
        <v>2.5000000000000001E-2</v>
      </c>
      <c r="X84" s="10">
        <f t="shared" si="37"/>
        <v>3.0000000000000001E-3</v>
      </c>
      <c r="Y84" s="10">
        <f t="shared" si="38"/>
        <v>1.4E-2</v>
      </c>
      <c r="Z84" s="24">
        <f t="shared" si="39"/>
        <v>0.17</v>
      </c>
      <c r="AA84" s="24">
        <f t="shared" si="40"/>
        <v>0.02</v>
      </c>
      <c r="AB84" s="24">
        <f t="shared" si="41"/>
        <v>0.09</v>
      </c>
      <c r="AC84" s="25">
        <f t="shared" si="42"/>
        <v>5</v>
      </c>
      <c r="AD84" s="25">
        <f t="shared" si="43"/>
        <v>5</v>
      </c>
      <c r="AE84" s="25">
        <f t="shared" si="44"/>
        <v>5</v>
      </c>
      <c r="AF84" s="21"/>
      <c r="AG84" s="23"/>
      <c r="AH84" s="23"/>
      <c r="AI84" s="23"/>
      <c r="AJ84" s="23"/>
      <c r="AK84" s="22"/>
      <c r="AL84" s="22"/>
      <c r="AM84" s="22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 ht="13.5" customHeight="1">
      <c r="A85" s="60"/>
      <c r="B85" s="60"/>
      <c r="C85" s="16" t="str">
        <f>Rollover!A85</f>
        <v>Toyota</v>
      </c>
      <c r="D85" s="16" t="str">
        <f>Rollover!B85</f>
        <v>Tundra HEV PU/CC 2WD</v>
      </c>
      <c r="E85" s="16"/>
      <c r="F85" s="17">
        <f>Rollover!C85</f>
        <v>2022</v>
      </c>
      <c r="G85" s="18">
        <v>48.673999999999999</v>
      </c>
      <c r="H85" s="19">
        <v>15.118</v>
      </c>
      <c r="I85" s="19">
        <v>18.146000000000001</v>
      </c>
      <c r="J85" s="19">
        <v>454.93099999999998</v>
      </c>
      <c r="K85" s="20">
        <v>574</v>
      </c>
      <c r="L85" s="18">
        <v>37.726999999999997</v>
      </c>
      <c r="M85" s="19">
        <v>2.423</v>
      </c>
      <c r="N85" s="19">
        <v>45.637999999999998</v>
      </c>
      <c r="O85" s="19">
        <v>3.411</v>
      </c>
      <c r="P85" s="20">
        <v>546.88699999999994</v>
      </c>
      <c r="Q85" s="63">
        <f t="shared" si="30"/>
        <v>7.1555105851023295E-7</v>
      </c>
      <c r="R85" s="10">
        <f t="shared" si="31"/>
        <v>1.7983458319111287E-2</v>
      </c>
      <c r="S85" s="10">
        <f t="shared" si="32"/>
        <v>6.242749963471253E-3</v>
      </c>
      <c r="T85" s="10">
        <f t="shared" si="33"/>
        <v>9.4300078235415069E-4</v>
      </c>
      <c r="U85" s="10">
        <f t="shared" si="34"/>
        <v>1.2027394867024386E-7</v>
      </c>
      <c r="V85" s="10">
        <f t="shared" si="35"/>
        <v>3.0443276978236885E-3</v>
      </c>
      <c r="W85" s="10">
        <f t="shared" si="36"/>
        <v>2.5000000000000001E-2</v>
      </c>
      <c r="X85" s="10">
        <f t="shared" si="37"/>
        <v>3.0000000000000001E-3</v>
      </c>
      <c r="Y85" s="10">
        <f t="shared" si="38"/>
        <v>1.4E-2</v>
      </c>
      <c r="Z85" s="24">
        <f t="shared" si="39"/>
        <v>0.17</v>
      </c>
      <c r="AA85" s="24">
        <f t="shared" si="40"/>
        <v>0.02</v>
      </c>
      <c r="AB85" s="24">
        <f t="shared" si="41"/>
        <v>0.09</v>
      </c>
      <c r="AC85" s="25">
        <f t="shared" si="42"/>
        <v>5</v>
      </c>
      <c r="AD85" s="25">
        <f t="shared" si="43"/>
        <v>5</v>
      </c>
      <c r="AE85" s="25">
        <f t="shared" si="44"/>
        <v>5</v>
      </c>
      <c r="AF85" s="21"/>
      <c r="AG85" s="23"/>
      <c r="AH85" s="23"/>
      <c r="AI85" s="23"/>
      <c r="AJ85" s="23"/>
      <c r="AK85" s="22"/>
      <c r="AL85" s="22"/>
      <c r="AM85" s="22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>
      <c r="A86" s="60"/>
      <c r="B86" s="60"/>
      <c r="C86" s="16" t="str">
        <f>Rollover!A86</f>
        <v>Toyota</v>
      </c>
      <c r="D86" s="16" t="str">
        <f>Rollover!B86</f>
        <v>Tundra HEV PU/CC 4WD</v>
      </c>
      <c r="E86" s="16"/>
      <c r="F86" s="17">
        <f>Rollover!C86</f>
        <v>2022</v>
      </c>
      <c r="G86" s="18">
        <v>48.673999999999999</v>
      </c>
      <c r="H86" s="19">
        <v>15.118</v>
      </c>
      <c r="I86" s="19">
        <v>18.146000000000001</v>
      </c>
      <c r="J86" s="19">
        <v>454.93099999999998</v>
      </c>
      <c r="K86" s="20">
        <v>574</v>
      </c>
      <c r="L86" s="18">
        <v>37.726999999999997</v>
      </c>
      <c r="M86" s="19">
        <v>2.423</v>
      </c>
      <c r="N86" s="19">
        <v>45.637999999999998</v>
      </c>
      <c r="O86" s="19">
        <v>3.411</v>
      </c>
      <c r="P86" s="20">
        <v>546.88699999999994</v>
      </c>
      <c r="Q86" s="63">
        <f t="shared" si="30"/>
        <v>7.1555105851023295E-7</v>
      </c>
      <c r="R86" s="10">
        <f t="shared" si="31"/>
        <v>1.7983458319111287E-2</v>
      </c>
      <c r="S86" s="10">
        <f t="shared" si="32"/>
        <v>6.242749963471253E-3</v>
      </c>
      <c r="T86" s="10">
        <f t="shared" si="33"/>
        <v>9.4300078235415069E-4</v>
      </c>
      <c r="U86" s="10">
        <f t="shared" si="34"/>
        <v>1.2027394867024386E-7</v>
      </c>
      <c r="V86" s="10">
        <f t="shared" si="35"/>
        <v>3.0443276978236885E-3</v>
      </c>
      <c r="W86" s="10">
        <f t="shared" si="36"/>
        <v>2.5000000000000001E-2</v>
      </c>
      <c r="X86" s="10">
        <f t="shared" si="37"/>
        <v>3.0000000000000001E-3</v>
      </c>
      <c r="Y86" s="10">
        <f t="shared" si="38"/>
        <v>1.4E-2</v>
      </c>
      <c r="Z86" s="24">
        <f t="shared" si="39"/>
        <v>0.17</v>
      </c>
      <c r="AA86" s="24">
        <f t="shared" si="40"/>
        <v>0.02</v>
      </c>
      <c r="AB86" s="24">
        <f t="shared" si="41"/>
        <v>0.09</v>
      </c>
      <c r="AC86" s="25">
        <f t="shared" si="42"/>
        <v>5</v>
      </c>
      <c r="AD86" s="25">
        <f t="shared" si="43"/>
        <v>5</v>
      </c>
      <c r="AE86" s="25">
        <f t="shared" si="44"/>
        <v>5</v>
      </c>
      <c r="AF86" s="21"/>
      <c r="AG86" s="23"/>
      <c r="AH86" s="23"/>
      <c r="AI86" s="23"/>
      <c r="AJ86" s="23"/>
      <c r="AK86" s="22"/>
      <c r="AL86" s="22"/>
      <c r="AM86" s="22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>
      <c r="A87" s="60"/>
      <c r="B87" s="60"/>
      <c r="C87" s="16" t="str">
        <f>Rollover!A87</f>
        <v>Toyota</v>
      </c>
      <c r="D87" s="16" t="str">
        <f>Rollover!B87</f>
        <v>Tundra PU/EC 2WD</v>
      </c>
      <c r="E87" s="16"/>
      <c r="F87" s="17">
        <f>Rollover!C87</f>
        <v>2022</v>
      </c>
      <c r="G87" s="18"/>
      <c r="H87" s="19"/>
      <c r="I87" s="19"/>
      <c r="J87" s="19"/>
      <c r="K87" s="20"/>
      <c r="L87" s="18"/>
      <c r="M87" s="19"/>
      <c r="N87" s="19"/>
      <c r="O87" s="19"/>
      <c r="P87" s="20"/>
      <c r="Q87" s="63" t="e">
        <f t="shared" si="30"/>
        <v>#NUM!</v>
      </c>
      <c r="R87" s="10">
        <f t="shared" si="31"/>
        <v>4.5435171224880964E-3</v>
      </c>
      <c r="S87" s="10">
        <f t="shared" si="32"/>
        <v>2.3748578822706131E-3</v>
      </c>
      <c r="T87" s="10">
        <f t="shared" si="33"/>
        <v>5.0175335722563109E-4</v>
      </c>
      <c r="U87" s="10" t="e">
        <f t="shared" si="34"/>
        <v>#NUM!</v>
      </c>
      <c r="V87" s="10">
        <f t="shared" si="35"/>
        <v>1.8229037773026034E-3</v>
      </c>
      <c r="W87" s="10" t="e">
        <f t="shared" si="36"/>
        <v>#NUM!</v>
      </c>
      <c r="X87" s="10" t="e">
        <f t="shared" si="37"/>
        <v>#NUM!</v>
      </c>
      <c r="Y87" s="10" t="e">
        <f t="shared" si="38"/>
        <v>#NUM!</v>
      </c>
      <c r="Z87" s="24" t="e">
        <f t="shared" si="39"/>
        <v>#NUM!</v>
      </c>
      <c r="AA87" s="24" t="e">
        <f t="shared" si="40"/>
        <v>#NUM!</v>
      </c>
      <c r="AB87" s="24" t="e">
        <f t="shared" si="41"/>
        <v>#NUM!</v>
      </c>
      <c r="AC87" s="25" t="e">
        <f t="shared" si="42"/>
        <v>#NUM!</v>
      </c>
      <c r="AD87" s="25" t="e">
        <f t="shared" si="43"/>
        <v>#NUM!</v>
      </c>
      <c r="AE87" s="25" t="e">
        <f t="shared" si="44"/>
        <v>#NUM!</v>
      </c>
      <c r="AF87" s="21"/>
      <c r="AG87" s="23"/>
      <c r="AH87" s="23"/>
      <c r="AI87" s="23"/>
      <c r="AJ87" s="23"/>
      <c r="AK87" s="22"/>
      <c r="AL87" s="22"/>
      <c r="AM87" s="2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>
      <c r="A88" s="60"/>
      <c r="B88" s="60"/>
      <c r="C88" s="16" t="str">
        <f>Rollover!A88</f>
        <v>Toyota</v>
      </c>
      <c r="D88" s="16" t="str">
        <f>Rollover!B88</f>
        <v>Tundra PU/EC 4WD</v>
      </c>
      <c r="E88" s="16"/>
      <c r="F88" s="17">
        <f>Rollover!C88</f>
        <v>2022</v>
      </c>
      <c r="G88" s="18"/>
      <c r="H88" s="19"/>
      <c r="I88" s="19"/>
      <c r="J88" s="19"/>
      <c r="K88" s="20"/>
      <c r="L88" s="18"/>
      <c r="M88" s="19"/>
      <c r="N88" s="19"/>
      <c r="O88" s="19"/>
      <c r="P88" s="20"/>
      <c r="Q88" s="63" t="e">
        <f t="shared" si="30"/>
        <v>#NUM!</v>
      </c>
      <c r="R88" s="10">
        <f t="shared" si="31"/>
        <v>4.5435171224880964E-3</v>
      </c>
      <c r="S88" s="10">
        <f t="shared" si="32"/>
        <v>2.3748578822706131E-3</v>
      </c>
      <c r="T88" s="10">
        <f t="shared" si="33"/>
        <v>5.0175335722563109E-4</v>
      </c>
      <c r="U88" s="10" t="e">
        <f t="shared" si="34"/>
        <v>#NUM!</v>
      </c>
      <c r="V88" s="10">
        <f t="shared" si="35"/>
        <v>1.8229037773026034E-3</v>
      </c>
      <c r="W88" s="10" t="e">
        <f t="shared" si="36"/>
        <v>#NUM!</v>
      </c>
      <c r="X88" s="10" t="e">
        <f t="shared" si="37"/>
        <v>#NUM!</v>
      </c>
      <c r="Y88" s="10" t="e">
        <f t="shared" si="38"/>
        <v>#NUM!</v>
      </c>
      <c r="Z88" s="24" t="e">
        <f t="shared" si="39"/>
        <v>#NUM!</v>
      </c>
      <c r="AA88" s="24" t="e">
        <f t="shared" si="40"/>
        <v>#NUM!</v>
      </c>
      <c r="AB88" s="24" t="e">
        <f t="shared" si="41"/>
        <v>#NUM!</v>
      </c>
      <c r="AC88" s="25" t="e">
        <f t="shared" si="42"/>
        <v>#NUM!</v>
      </c>
      <c r="AD88" s="25" t="e">
        <f t="shared" si="43"/>
        <v>#NUM!</v>
      </c>
      <c r="AE88" s="25" t="e">
        <f t="shared" si="44"/>
        <v>#NUM!</v>
      </c>
      <c r="AF88" s="21"/>
      <c r="AG88" s="23"/>
      <c r="AH88" s="23"/>
      <c r="AI88" s="23"/>
      <c r="AJ88" s="23"/>
      <c r="AK88" s="22"/>
      <c r="AL88" s="22"/>
      <c r="AM88" s="22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1:50">
      <c r="A89" s="60">
        <v>10670</v>
      </c>
      <c r="B89" s="61" t="s">
        <v>247</v>
      </c>
      <c r="C89" s="17" t="str">
        <f>Rollover!A89</f>
        <v>Volkswagen</v>
      </c>
      <c r="D89" s="17" t="str">
        <f>Rollover!B89</f>
        <v>Jetta 4DR FWD</v>
      </c>
      <c r="E89" s="16" t="s">
        <v>157</v>
      </c>
      <c r="F89" s="17">
        <f>Rollover!C89</f>
        <v>2022</v>
      </c>
      <c r="G89" s="18">
        <v>100.57299999999999</v>
      </c>
      <c r="H89" s="19">
        <v>23.73</v>
      </c>
      <c r="I89" s="19">
        <v>32.225999999999999</v>
      </c>
      <c r="J89" s="19">
        <v>838.15200000000004</v>
      </c>
      <c r="K89" s="20">
        <v>1410.2249999999999</v>
      </c>
      <c r="L89" s="18">
        <v>306.17200000000003</v>
      </c>
      <c r="M89" s="19">
        <v>31.501000000000001</v>
      </c>
      <c r="N89" s="19">
        <v>55.665999999999997</v>
      </c>
      <c r="O89" s="19">
        <v>31.452999999999999</v>
      </c>
      <c r="P89" s="20">
        <v>2462.3580000000002</v>
      </c>
      <c r="Q89" s="63">
        <f t="shared" si="30"/>
        <v>6.155002126778791E-5</v>
      </c>
      <c r="R89" s="10">
        <f t="shared" si="31"/>
        <v>3.8839150528866447E-2</v>
      </c>
      <c r="S89" s="10">
        <f t="shared" si="32"/>
        <v>1.402676686720053E-2</v>
      </c>
      <c r="T89" s="10">
        <f t="shared" si="33"/>
        <v>2.3625403118769203E-3</v>
      </c>
      <c r="U89" s="10">
        <f t="shared" si="34"/>
        <v>9.7607850615767273E-3</v>
      </c>
      <c r="V89" s="10">
        <f t="shared" si="35"/>
        <v>1.8147941953405661E-2</v>
      </c>
      <c r="W89" s="10">
        <f t="shared" si="36"/>
        <v>5.5E-2</v>
      </c>
      <c r="X89" s="10">
        <f t="shared" si="37"/>
        <v>2.8000000000000001E-2</v>
      </c>
      <c r="Y89" s="10">
        <f t="shared" si="38"/>
        <v>4.2000000000000003E-2</v>
      </c>
      <c r="Z89" s="24">
        <f t="shared" si="39"/>
        <v>0.37</v>
      </c>
      <c r="AA89" s="24">
        <f t="shared" si="40"/>
        <v>0.19</v>
      </c>
      <c r="AB89" s="24">
        <f t="shared" si="41"/>
        <v>0.28000000000000003</v>
      </c>
      <c r="AC89" s="25">
        <f t="shared" si="42"/>
        <v>5</v>
      </c>
      <c r="AD89" s="25">
        <f t="shared" si="43"/>
        <v>5</v>
      </c>
      <c r="AE89" s="25">
        <f t="shared" si="44"/>
        <v>5</v>
      </c>
      <c r="AF89" s="21"/>
      <c r="AG89" s="23"/>
      <c r="AH89" s="23"/>
      <c r="AI89" s="23"/>
      <c r="AJ89" s="23"/>
      <c r="AK89" s="22"/>
      <c r="AL89" s="22"/>
      <c r="AM89" s="22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1:50">
      <c r="A90" s="60">
        <v>10670</v>
      </c>
      <c r="B90" s="61" t="s">
        <v>247</v>
      </c>
      <c r="C90" s="16" t="str">
        <f>Rollover!A90</f>
        <v>Volkswagen</v>
      </c>
      <c r="D90" s="16" t="str">
        <f>Rollover!B90</f>
        <v>Jetta GLI 4DR FWD</v>
      </c>
      <c r="E90" s="16" t="s">
        <v>157</v>
      </c>
      <c r="F90" s="17">
        <f>Rollover!C90</f>
        <v>2022</v>
      </c>
      <c r="G90" s="18">
        <v>100.57299999999999</v>
      </c>
      <c r="H90" s="19">
        <v>23.73</v>
      </c>
      <c r="I90" s="19">
        <v>32.225999999999999</v>
      </c>
      <c r="J90" s="19">
        <v>838.15200000000004</v>
      </c>
      <c r="K90" s="20">
        <v>1410.2249999999999</v>
      </c>
      <c r="L90" s="18">
        <v>306.17200000000003</v>
      </c>
      <c r="M90" s="19">
        <v>31.501000000000001</v>
      </c>
      <c r="N90" s="19">
        <v>55.665999999999997</v>
      </c>
      <c r="O90" s="19">
        <v>31.452999999999999</v>
      </c>
      <c r="P90" s="20">
        <v>2462.3580000000002</v>
      </c>
      <c r="Q90" s="63">
        <f t="shared" ref="Q90:Q92" si="105">NORMDIST(LN(G90),7.45231,0.73998,1)</f>
        <v>6.155002126778791E-5</v>
      </c>
      <c r="R90" s="10">
        <f t="shared" ref="R90:R92" si="106">1/(1+EXP(5.3895-0.0919*H90))</f>
        <v>3.8839150528866447E-2</v>
      </c>
      <c r="S90" s="10">
        <f t="shared" ref="S90:S92" si="107">1/(1+EXP(6.04044-0.002133*J90))</f>
        <v>1.402676686720053E-2</v>
      </c>
      <c r="T90" s="10">
        <f t="shared" ref="T90:T92" si="108">1/(1+EXP(7.5969-0.0011*K90))</f>
        <v>2.3625403118769203E-3</v>
      </c>
      <c r="U90" s="10">
        <f t="shared" ref="U90:U92" si="109">NORMDIST(LN(L90),7.45231,0.73998,1)</f>
        <v>9.7607850615767273E-3</v>
      </c>
      <c r="V90" s="10">
        <f t="shared" ref="V90:V92" si="110">1/(1+EXP(6.3055-0.00094*P90))</f>
        <v>1.8147941953405661E-2</v>
      </c>
      <c r="W90" s="10">
        <f t="shared" ref="W90:W92" si="111">ROUND(1-(1-Q90)*(1-R90)*(1-S90)*(1-T90),3)</f>
        <v>5.5E-2</v>
      </c>
      <c r="X90" s="10">
        <f t="shared" ref="X90:X92" si="112">IF(L90="N/A",L90,ROUND(1-(1-U90)*(1-V90),3))</f>
        <v>2.8000000000000001E-2</v>
      </c>
      <c r="Y90" s="10">
        <f t="shared" ref="Y90:Y92" si="113">ROUND(AVERAGE(W90:X90),3)</f>
        <v>4.2000000000000003E-2</v>
      </c>
      <c r="Z90" s="24">
        <f t="shared" ref="Z90:Z92" si="114">ROUND(W90/0.15,2)</f>
        <v>0.37</v>
      </c>
      <c r="AA90" s="24">
        <f t="shared" ref="AA90:AA92" si="115">IF(L90="N/A", L90, ROUND(X90/0.15,2))</f>
        <v>0.19</v>
      </c>
      <c r="AB90" s="24">
        <f t="shared" ref="AB90:AB92" si="116">ROUND(Y90/0.15,2)</f>
        <v>0.28000000000000003</v>
      </c>
      <c r="AC90" s="25">
        <f t="shared" ref="AC90:AC92" si="117">IF(Z90&lt;0.67,5,IF(Z90&lt;1,4,IF(Z90&lt;1.33,3,IF(Z90&lt;2.67,2,1))))</f>
        <v>5</v>
      </c>
      <c r="AD90" s="25">
        <f t="shared" ref="AD90:AD92" si="118">IF(L90="N/A",L90,IF(AA90&lt;0.67,5,IF(AA90&lt;1,4,IF(AA90&lt;1.33,3,IF(AA90&lt;2.67,2,1)))))</f>
        <v>5</v>
      </c>
      <c r="AE90" s="25">
        <f t="shared" ref="AE90:AE92" si="119">IF(AB90&lt;0.67,5,IF(AB90&lt;1,4,IF(AB90&lt;1.33,3,IF(AB90&lt;2.67,2,1))))</f>
        <v>5</v>
      </c>
      <c r="AF90" s="21"/>
      <c r="AG90" s="23"/>
      <c r="AH90" s="23"/>
      <c r="AI90" s="23"/>
      <c r="AJ90" s="23"/>
      <c r="AK90" s="22"/>
      <c r="AL90" s="22"/>
      <c r="AM90" s="2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1:50" ht="13.5" customHeight="1">
      <c r="A91" s="60">
        <v>14079</v>
      </c>
      <c r="B91" s="60" t="s">
        <v>248</v>
      </c>
      <c r="C91" s="17" t="str">
        <f>Rollover!A91</f>
        <v>Volkswagen</v>
      </c>
      <c r="D91" s="17" t="str">
        <f>Rollover!B91</f>
        <v>Taos SUV FWD</v>
      </c>
      <c r="E91" s="16" t="s">
        <v>190</v>
      </c>
      <c r="F91" s="17">
        <f>Rollover!C91</f>
        <v>2022</v>
      </c>
      <c r="G91" s="18">
        <v>110.596</v>
      </c>
      <c r="H91" s="19">
        <v>15.879</v>
      </c>
      <c r="I91" s="19">
        <v>29.126999999999999</v>
      </c>
      <c r="J91" s="19">
        <v>510.16300000000001</v>
      </c>
      <c r="K91" s="20">
        <v>1750.683</v>
      </c>
      <c r="L91" s="18">
        <v>392.66500000000002</v>
      </c>
      <c r="M91" s="19">
        <v>28.981000000000002</v>
      </c>
      <c r="N91" s="19">
        <v>69.132999999999996</v>
      </c>
      <c r="O91" s="19">
        <v>33.392000000000003</v>
      </c>
      <c r="P91" s="20">
        <v>2993.4580000000001</v>
      </c>
      <c r="Q91" s="63">
        <f t="shared" si="105"/>
        <v>1.0302266563894409E-4</v>
      </c>
      <c r="R91" s="10">
        <f t="shared" si="106"/>
        <v>1.9261078261832532E-2</v>
      </c>
      <c r="S91" s="10">
        <f t="shared" si="107"/>
        <v>7.0178044515033511E-3</v>
      </c>
      <c r="T91" s="10">
        <f t="shared" si="108"/>
        <v>3.4320871980571253E-3</v>
      </c>
      <c r="U91" s="10">
        <f t="shared" si="109"/>
        <v>2.2794444327059609E-2</v>
      </c>
      <c r="V91" s="10">
        <f t="shared" si="110"/>
        <v>2.9550764464030148E-2</v>
      </c>
      <c r="W91" s="10">
        <f t="shared" si="111"/>
        <v>0.03</v>
      </c>
      <c r="X91" s="10">
        <f t="shared" si="112"/>
        <v>5.1999999999999998E-2</v>
      </c>
      <c r="Y91" s="10">
        <f t="shared" si="113"/>
        <v>4.1000000000000002E-2</v>
      </c>
      <c r="Z91" s="24">
        <f t="shared" si="114"/>
        <v>0.2</v>
      </c>
      <c r="AA91" s="24">
        <f t="shared" si="115"/>
        <v>0.35</v>
      </c>
      <c r="AB91" s="24">
        <f t="shared" si="116"/>
        <v>0.27</v>
      </c>
      <c r="AC91" s="25">
        <f t="shared" si="117"/>
        <v>5</v>
      </c>
      <c r="AD91" s="25">
        <f t="shared" si="118"/>
        <v>5</v>
      </c>
      <c r="AE91" s="25">
        <f t="shared" si="119"/>
        <v>5</v>
      </c>
      <c r="AF91" s="21"/>
      <c r="AG91" s="23"/>
      <c r="AH91" s="23"/>
      <c r="AI91" s="23"/>
      <c r="AJ91" s="23"/>
      <c r="AK91" s="22"/>
      <c r="AL91" s="22"/>
      <c r="AM91" s="2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>
      <c r="A92" s="60">
        <v>14079</v>
      </c>
      <c r="B92" s="60" t="s">
        <v>248</v>
      </c>
      <c r="C92" s="17" t="str">
        <f>Rollover!A92</f>
        <v>Volkswagen</v>
      </c>
      <c r="D92" s="17" t="str">
        <f>Rollover!B92</f>
        <v>Taos SUV AWD</v>
      </c>
      <c r="E92" s="16" t="s">
        <v>190</v>
      </c>
      <c r="F92" s="17">
        <f>Rollover!C92</f>
        <v>2022</v>
      </c>
      <c r="G92" s="18">
        <v>110.596</v>
      </c>
      <c r="H92" s="19">
        <v>15.879</v>
      </c>
      <c r="I92" s="19">
        <v>29.126999999999999</v>
      </c>
      <c r="J92" s="19">
        <v>510.16300000000001</v>
      </c>
      <c r="K92" s="20">
        <v>1750.683</v>
      </c>
      <c r="L92" s="18">
        <v>392.66500000000002</v>
      </c>
      <c r="M92" s="19">
        <v>28.981000000000002</v>
      </c>
      <c r="N92" s="19">
        <v>69.132999999999996</v>
      </c>
      <c r="O92" s="19">
        <v>33.392000000000003</v>
      </c>
      <c r="P92" s="20">
        <v>2993.4580000000001</v>
      </c>
      <c r="Q92" s="63">
        <f t="shared" si="105"/>
        <v>1.0302266563894409E-4</v>
      </c>
      <c r="R92" s="10">
        <f t="shared" si="106"/>
        <v>1.9261078261832532E-2</v>
      </c>
      <c r="S92" s="10">
        <f t="shared" si="107"/>
        <v>7.0178044515033511E-3</v>
      </c>
      <c r="T92" s="10">
        <f t="shared" si="108"/>
        <v>3.4320871980571253E-3</v>
      </c>
      <c r="U92" s="10">
        <f t="shared" si="109"/>
        <v>2.2794444327059609E-2</v>
      </c>
      <c r="V92" s="10">
        <f t="shared" si="110"/>
        <v>2.9550764464030148E-2</v>
      </c>
      <c r="W92" s="10">
        <f t="shared" si="111"/>
        <v>0.03</v>
      </c>
      <c r="X92" s="10">
        <f t="shared" si="112"/>
        <v>5.1999999999999998E-2</v>
      </c>
      <c r="Y92" s="10">
        <f t="shared" si="113"/>
        <v>4.1000000000000002E-2</v>
      </c>
      <c r="Z92" s="24">
        <f t="shared" si="114"/>
        <v>0.2</v>
      </c>
      <c r="AA92" s="24">
        <f t="shared" si="115"/>
        <v>0.35</v>
      </c>
      <c r="AB92" s="24">
        <f t="shared" si="116"/>
        <v>0.27</v>
      </c>
      <c r="AC92" s="25">
        <f t="shared" si="117"/>
        <v>5</v>
      </c>
      <c r="AD92" s="25">
        <f t="shared" si="118"/>
        <v>5</v>
      </c>
      <c r="AE92" s="25">
        <f t="shared" si="119"/>
        <v>5</v>
      </c>
      <c r="AF92" s="21"/>
      <c r="AG92" s="23"/>
      <c r="AH92" s="23"/>
      <c r="AI92" s="23"/>
      <c r="AJ92" s="23"/>
      <c r="AK92" s="22"/>
      <c r="AL92" s="22"/>
      <c r="AM92" s="22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>
      <c r="AE93" s="2"/>
    </row>
    <row r="94" spans="1:50">
      <c r="AE94" s="2"/>
    </row>
    <row r="95" spans="1:50">
      <c r="AE95" s="2"/>
    </row>
    <row r="96" spans="1:50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24"/>
  <sheetViews>
    <sheetView zoomScale="130" zoomScaleNormal="130" workbookViewId="0">
      <pane xSplit="6" ySplit="2" topLeftCell="G3" activePane="bottomRight" state="frozen"/>
      <selection pane="topRight"/>
      <selection pane="bottomLeft"/>
      <selection pane="bottomRight" activeCell="A2" sqref="A2"/>
    </sheetView>
  </sheetViews>
  <sheetFormatPr defaultColWidth="9.140625" defaultRowHeight="14.1" customHeight="1"/>
  <cols>
    <col min="1" max="1" width="8.5703125" style="141" bestFit="1" customWidth="1"/>
    <col min="2" max="2" width="9" style="141" bestFit="1" customWidth="1"/>
    <col min="3" max="3" width="12" style="142" bestFit="1" customWidth="1"/>
    <col min="4" max="4" width="29.5703125" style="142" customWidth="1"/>
    <col min="5" max="5" width="6.5703125" style="143" customWidth="1"/>
    <col min="6" max="6" width="7.42578125" style="144" bestFit="1" customWidth="1"/>
    <col min="7" max="10" width="8.5703125" style="133" customWidth="1"/>
    <col min="11" max="11" width="9.85546875" style="133" customWidth="1"/>
    <col min="12" max="12" width="7" style="133" customWidth="1"/>
    <col min="13" max="13" width="7.42578125" style="133" customWidth="1"/>
    <col min="14" max="14" width="7.85546875" style="145" customWidth="1"/>
    <col min="15" max="15" width="8" style="145" customWidth="1"/>
    <col min="16" max="16" width="8.42578125" style="146" customWidth="1"/>
    <col min="17" max="17" width="9.42578125" style="145" customWidth="1"/>
    <col min="18" max="18" width="10.140625" style="133" customWidth="1"/>
    <col min="19" max="19" width="6" style="141" customWidth="1"/>
    <col min="20" max="20" width="10.42578125" style="141" bestFit="1" customWidth="1"/>
    <col min="21" max="21" width="10.140625" style="141" customWidth="1"/>
    <col min="22" max="22" width="10.42578125" style="141" bestFit="1" customWidth="1"/>
    <col min="23" max="16384" width="9.140625" style="133"/>
  </cols>
  <sheetData>
    <row r="1" spans="1:37" s="127" customFormat="1" ht="15.75" customHeight="1">
      <c r="A1" s="25"/>
      <c r="B1" s="25"/>
      <c r="C1" s="119"/>
      <c r="D1" s="119"/>
      <c r="E1" s="120"/>
      <c r="F1" s="121"/>
      <c r="G1" s="122" t="s">
        <v>249</v>
      </c>
      <c r="H1" s="123"/>
      <c r="I1" s="123"/>
      <c r="J1" s="123"/>
      <c r="K1" s="124"/>
      <c r="L1" s="125" t="s">
        <v>249</v>
      </c>
      <c r="M1" s="126"/>
      <c r="N1" s="46" t="s">
        <v>126</v>
      </c>
      <c r="O1" s="11" t="s">
        <v>126</v>
      </c>
      <c r="P1" s="25" t="s">
        <v>250</v>
      </c>
      <c r="Q1" s="11" t="s">
        <v>126</v>
      </c>
      <c r="R1" s="45" t="s">
        <v>126</v>
      </c>
      <c r="S1" s="25" t="s">
        <v>126</v>
      </c>
      <c r="T1" s="25" t="s">
        <v>251</v>
      </c>
      <c r="U1" s="25" t="s">
        <v>252</v>
      </c>
      <c r="V1" s="25" t="s">
        <v>251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27" customFormat="1" ht="21" customHeight="1">
      <c r="A2" s="25" t="s">
        <v>130</v>
      </c>
      <c r="B2" s="25" t="s">
        <v>131</v>
      </c>
      <c r="C2" s="119" t="s">
        <v>1</v>
      </c>
      <c r="D2" s="119" t="s">
        <v>2</v>
      </c>
      <c r="E2" s="120" t="s">
        <v>132</v>
      </c>
      <c r="F2" s="121" t="s">
        <v>3</v>
      </c>
      <c r="G2" s="128" t="s">
        <v>202</v>
      </c>
      <c r="H2" s="48" t="s">
        <v>253</v>
      </c>
      <c r="I2" s="48" t="s">
        <v>254</v>
      </c>
      <c r="J2" s="48" t="s">
        <v>255</v>
      </c>
      <c r="K2" s="129" t="s">
        <v>208</v>
      </c>
      <c r="L2" s="46" t="s">
        <v>209</v>
      </c>
      <c r="M2" s="47" t="s">
        <v>211</v>
      </c>
      <c r="N2" s="46" t="s">
        <v>212</v>
      </c>
      <c r="O2" s="11" t="s">
        <v>256</v>
      </c>
      <c r="P2" s="25" t="s">
        <v>10</v>
      </c>
      <c r="Q2" s="48" t="s">
        <v>257</v>
      </c>
      <c r="R2" s="49" t="s">
        <v>258</v>
      </c>
      <c r="S2" s="9" t="s">
        <v>259</v>
      </c>
      <c r="T2" s="48" t="s">
        <v>260</v>
      </c>
      <c r="U2" s="48" t="s">
        <v>261</v>
      </c>
      <c r="V2" s="9" t="s">
        <v>262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4.1" customHeight="1">
      <c r="A3" s="130">
        <v>11662</v>
      </c>
      <c r="B3" s="130" t="s">
        <v>263</v>
      </c>
      <c r="C3" s="131" t="str">
        <f>Rollover!A3</f>
        <v>Acura</v>
      </c>
      <c r="D3" s="131" t="str">
        <f>Rollover!B3</f>
        <v>MDX SUV AWD</v>
      </c>
      <c r="E3" s="70" t="s">
        <v>155</v>
      </c>
      <c r="F3" s="132">
        <f>Rollover!C3</f>
        <v>2022</v>
      </c>
      <c r="G3" s="50">
        <v>549.42999999999995</v>
      </c>
      <c r="H3" s="19">
        <v>23.844000000000001</v>
      </c>
      <c r="I3" s="19">
        <v>40.203000000000003</v>
      </c>
      <c r="J3" s="51">
        <v>23.867999999999999</v>
      </c>
      <c r="K3" s="51">
        <v>1886.6890000000001</v>
      </c>
      <c r="L3" s="52">
        <f t="shared" ref="L3" si="0">NORMDIST(LN(G3),7.45231,0.73998,1)</f>
        <v>6.1147063867622163E-2</v>
      </c>
      <c r="M3" s="59">
        <f t="shared" ref="M3:M16" si="1">1/(1+EXP(6.3055-0.00094*K3))</f>
        <v>1.0644479508367092E-2</v>
      </c>
      <c r="N3" s="52">
        <f t="shared" ref="N3:N16" si="2">ROUND(1-(1-L3)*(1-M3),3)</f>
        <v>7.0999999999999994E-2</v>
      </c>
      <c r="O3" s="10">
        <f t="shared" ref="O3:O16" si="3">ROUND(N3/0.15,2)</f>
        <v>0.47</v>
      </c>
      <c r="P3" s="25">
        <f t="shared" ref="P3:P16" si="4">IF(O3&lt;0.67,5,IF(O3&lt;1,4,IF(O3&lt;1.33,3,IF(O3&lt;2.67,2,1))))</f>
        <v>5</v>
      </c>
      <c r="Q3" s="53">
        <f>ROUND((0.8*'Side MDB'!W3+0.2*'Side Pole'!N3),3)</f>
        <v>3.4000000000000002E-2</v>
      </c>
      <c r="R3" s="53">
        <f t="shared" ref="R3:R16" si="5">ROUND((Q3)/0.15,2)</f>
        <v>0.23</v>
      </c>
      <c r="S3" s="25">
        <f t="shared" ref="S3:S16" si="6">IF(R3&lt;0.67,5,IF(R3&lt;1,4,IF(R3&lt;1.33,3,IF(R3&lt;2.67,2,1))))</f>
        <v>5</v>
      </c>
      <c r="T3" s="53">
        <f>ROUND(((0.8*'Side MDB'!W3+0.2*'Side Pole'!N3)+(IF('Side MDB'!X3="N/A",(0.8*'Side MDB'!W3+0.2*'Side Pole'!N3),'Side MDB'!X3)))/2,3)</f>
        <v>1.9E-2</v>
      </c>
      <c r="U3" s="53">
        <f t="shared" ref="U3:U16" si="7">ROUND((T3)/0.15,2)</f>
        <v>0.13</v>
      </c>
      <c r="V3" s="25">
        <f t="shared" ref="V3:V16" si="8">IF(U3&lt;0.67,5,IF(U3&lt;1,4,IF(U3&lt;1.33,3,IF(U3&lt;2.67,2,1))))</f>
        <v>5</v>
      </c>
      <c r="W3" s="23"/>
      <c r="X3" s="36"/>
      <c r="Y3" s="36"/>
      <c r="Z3" s="36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4.1" customHeight="1">
      <c r="A4" s="130">
        <v>11662</v>
      </c>
      <c r="B4" s="130" t="s">
        <v>263</v>
      </c>
      <c r="C4" s="119" t="str">
        <f>Rollover!A4</f>
        <v>Acura</v>
      </c>
      <c r="D4" s="119" t="str">
        <f>Rollover!B4</f>
        <v>MDX SUV FWD</v>
      </c>
      <c r="E4" s="70" t="s">
        <v>155</v>
      </c>
      <c r="F4" s="132">
        <f>Rollover!C4</f>
        <v>2022</v>
      </c>
      <c r="G4" s="50">
        <v>549.42999999999995</v>
      </c>
      <c r="H4" s="19">
        <v>23.844000000000001</v>
      </c>
      <c r="I4" s="19">
        <v>40.203000000000003</v>
      </c>
      <c r="J4" s="51">
        <v>23.867999999999999</v>
      </c>
      <c r="K4" s="51">
        <v>1886.6890000000001</v>
      </c>
      <c r="L4" s="52">
        <f>NORMDIST(LN(G4),7.45231,0.73998,1)</f>
        <v>6.1147063867622163E-2</v>
      </c>
      <c r="M4" s="59">
        <f t="shared" si="1"/>
        <v>1.0644479508367092E-2</v>
      </c>
      <c r="N4" s="52">
        <f t="shared" si="2"/>
        <v>7.0999999999999994E-2</v>
      </c>
      <c r="O4" s="10">
        <f t="shared" si="3"/>
        <v>0.47</v>
      </c>
      <c r="P4" s="25">
        <f t="shared" si="4"/>
        <v>5</v>
      </c>
      <c r="Q4" s="53">
        <f>ROUND((0.8*'Side MDB'!W4+0.2*'Side Pole'!N4),3)</f>
        <v>3.4000000000000002E-2</v>
      </c>
      <c r="R4" s="53">
        <f t="shared" si="5"/>
        <v>0.23</v>
      </c>
      <c r="S4" s="25">
        <f t="shared" si="6"/>
        <v>5</v>
      </c>
      <c r="T4" s="53">
        <f>ROUND(((0.8*'Side MDB'!W4+0.2*'Side Pole'!N4)+(IF('Side MDB'!X4="N/A",(0.8*'Side MDB'!W4+0.2*'Side Pole'!N4),'Side MDB'!X4)))/2,3)</f>
        <v>1.9E-2</v>
      </c>
      <c r="U4" s="53">
        <f t="shared" si="7"/>
        <v>0.13</v>
      </c>
      <c r="V4" s="25">
        <f t="shared" si="8"/>
        <v>5</v>
      </c>
      <c r="W4" s="23"/>
      <c r="X4" s="36"/>
      <c r="Y4" s="36"/>
      <c r="Z4" s="36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4.1" customHeight="1">
      <c r="A5" s="130">
        <v>14250</v>
      </c>
      <c r="B5" s="130" t="s">
        <v>264</v>
      </c>
      <c r="C5" s="119" t="str">
        <f>Rollover!A5</f>
        <v xml:space="preserve">Audi </v>
      </c>
      <c r="D5" s="119" t="str">
        <f>Rollover!B5</f>
        <v>Q4 e-tron SUV AWD</v>
      </c>
      <c r="E5" s="70" t="s">
        <v>157</v>
      </c>
      <c r="F5" s="132">
        <f>Rollover!C5</f>
        <v>2022</v>
      </c>
      <c r="G5" s="50">
        <v>287.637</v>
      </c>
      <c r="H5" s="19">
        <v>25.995999999999999</v>
      </c>
      <c r="I5" s="19">
        <v>44.963999999999999</v>
      </c>
      <c r="J5" s="51">
        <v>21.937999999999999</v>
      </c>
      <c r="K5" s="51">
        <v>4880.9690000000001</v>
      </c>
      <c r="L5" s="52">
        <f t="shared" ref="L5:L16" si="9">NORMDIST(LN(G5),7.45231,0.73998,1)</f>
        <v>7.7643170746310476E-3</v>
      </c>
      <c r="M5" s="59">
        <f t="shared" si="1"/>
        <v>0.15220776465853164</v>
      </c>
      <c r="N5" s="52">
        <f t="shared" si="2"/>
        <v>0.159</v>
      </c>
      <c r="O5" s="10">
        <f t="shared" si="3"/>
        <v>1.06</v>
      </c>
      <c r="P5" s="25">
        <f t="shared" si="4"/>
        <v>3</v>
      </c>
      <c r="Q5" s="53">
        <f>ROUND((0.8*'Side MDB'!W5+0.2*'Side Pole'!N5),3)</f>
        <v>5.2999999999999999E-2</v>
      </c>
      <c r="R5" s="53">
        <f t="shared" si="5"/>
        <v>0.35</v>
      </c>
      <c r="S5" s="25">
        <f t="shared" si="6"/>
        <v>5</v>
      </c>
      <c r="T5" s="53">
        <f>ROUND(((0.8*'Side MDB'!W5+0.2*'Side Pole'!N5)+(IF('Side MDB'!X5="N/A",(0.8*'Side MDB'!W5+0.2*'Side Pole'!N5),'Side MDB'!X5)))/2,3)</f>
        <v>4.1000000000000002E-2</v>
      </c>
      <c r="U5" s="53">
        <f t="shared" si="7"/>
        <v>0.27</v>
      </c>
      <c r="V5" s="25">
        <f t="shared" si="8"/>
        <v>5</v>
      </c>
      <c r="W5" s="23"/>
      <c r="X5" s="36"/>
      <c r="Y5" s="36"/>
      <c r="Z5" s="36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ht="14.1" customHeight="1">
      <c r="A6" s="130">
        <v>14250</v>
      </c>
      <c r="B6" s="130" t="s">
        <v>264</v>
      </c>
      <c r="C6" s="119" t="str">
        <f>Rollover!A6</f>
        <v xml:space="preserve">Audi </v>
      </c>
      <c r="D6" s="119" t="str">
        <f>Rollover!B6</f>
        <v>Q4 e-tronSportback SUV AWD</v>
      </c>
      <c r="E6" s="70" t="s">
        <v>157</v>
      </c>
      <c r="F6" s="132">
        <f>Rollover!C6</f>
        <v>2022</v>
      </c>
      <c r="G6" s="50">
        <v>287.637</v>
      </c>
      <c r="H6" s="19">
        <v>25.995999999999999</v>
      </c>
      <c r="I6" s="19">
        <v>44.963999999999999</v>
      </c>
      <c r="J6" s="51">
        <v>21.937999999999999</v>
      </c>
      <c r="K6" s="51">
        <v>4880.9690000000001</v>
      </c>
      <c r="L6" s="52">
        <f t="shared" si="9"/>
        <v>7.7643170746310476E-3</v>
      </c>
      <c r="M6" s="59">
        <f t="shared" si="1"/>
        <v>0.15220776465853164</v>
      </c>
      <c r="N6" s="52">
        <f t="shared" si="2"/>
        <v>0.159</v>
      </c>
      <c r="O6" s="10">
        <f t="shared" si="3"/>
        <v>1.06</v>
      </c>
      <c r="P6" s="25">
        <f t="shared" si="4"/>
        <v>3</v>
      </c>
      <c r="Q6" s="53">
        <f>ROUND((0.8*'Side MDB'!W6+0.2*'Side Pole'!N6),3)</f>
        <v>5.2999999999999999E-2</v>
      </c>
      <c r="R6" s="53">
        <f t="shared" si="5"/>
        <v>0.35</v>
      </c>
      <c r="S6" s="25">
        <f t="shared" si="6"/>
        <v>5</v>
      </c>
      <c r="T6" s="53">
        <f>ROUND(((0.8*'Side MDB'!W6+0.2*'Side Pole'!N6)+(IF('Side MDB'!X6="N/A",(0.8*'Side MDB'!W6+0.2*'Side Pole'!N6),'Side MDB'!X6)))/2,3)</f>
        <v>4.1000000000000002E-2</v>
      </c>
      <c r="U6" s="53">
        <f t="shared" si="7"/>
        <v>0.27</v>
      </c>
      <c r="V6" s="25">
        <f t="shared" si="8"/>
        <v>5</v>
      </c>
      <c r="W6" s="23"/>
      <c r="X6" s="36"/>
      <c r="Y6" s="36"/>
      <c r="Z6" s="36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4.1" customHeight="1">
      <c r="A7" s="130">
        <v>14098</v>
      </c>
      <c r="B7" s="130" t="s">
        <v>265</v>
      </c>
      <c r="C7" s="119" t="str">
        <f>Rollover!A7</f>
        <v>Chevrolet</v>
      </c>
      <c r="D7" s="119" t="str">
        <f>Rollover!B7</f>
        <v>Bolt EUV SUV FWD</v>
      </c>
      <c r="E7" s="70" t="s">
        <v>190</v>
      </c>
      <c r="F7" s="132">
        <f>Rollover!C7</f>
        <v>2022</v>
      </c>
      <c r="G7" s="50">
        <v>227.32400000000001</v>
      </c>
      <c r="H7" s="19">
        <v>19.960999999999999</v>
      </c>
      <c r="I7" s="19">
        <v>35.561999999999998</v>
      </c>
      <c r="J7" s="51">
        <v>18.277999999999999</v>
      </c>
      <c r="K7" s="51">
        <v>2002.2670000000001</v>
      </c>
      <c r="L7" s="52">
        <f t="shared" si="9"/>
        <v>3.0923749625788566E-3</v>
      </c>
      <c r="M7" s="59">
        <f t="shared" si="1"/>
        <v>1.1851611586235359E-2</v>
      </c>
      <c r="N7" s="52">
        <f t="shared" si="2"/>
        <v>1.4999999999999999E-2</v>
      </c>
      <c r="O7" s="10">
        <f t="shared" si="3"/>
        <v>0.1</v>
      </c>
      <c r="P7" s="25">
        <f t="shared" si="4"/>
        <v>5</v>
      </c>
      <c r="Q7" s="53">
        <f>ROUND((0.8*'Side MDB'!W7+0.2*'Side Pole'!N7),3)</f>
        <v>5.2999999999999999E-2</v>
      </c>
      <c r="R7" s="53">
        <f t="shared" si="5"/>
        <v>0.35</v>
      </c>
      <c r="S7" s="25">
        <f t="shared" si="6"/>
        <v>5</v>
      </c>
      <c r="T7" s="53">
        <f>ROUND(((0.8*'Side MDB'!W7+0.2*'Side Pole'!N7)+(IF('Side MDB'!X7="N/A",(0.8*'Side MDB'!W7+0.2*'Side Pole'!N7),'Side MDB'!X7)))/2,3)</f>
        <v>3.3000000000000002E-2</v>
      </c>
      <c r="U7" s="53">
        <f t="shared" si="7"/>
        <v>0.22</v>
      </c>
      <c r="V7" s="25">
        <f t="shared" si="8"/>
        <v>5</v>
      </c>
      <c r="W7" s="23"/>
      <c r="X7" s="36"/>
      <c r="Y7" s="36"/>
      <c r="Z7" s="36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4.1" customHeight="1">
      <c r="A8" s="130">
        <v>14217</v>
      </c>
      <c r="B8" s="130" t="s">
        <v>266</v>
      </c>
      <c r="C8" s="119" t="str">
        <f>Rollover!A8</f>
        <v>Chevrolet</v>
      </c>
      <c r="D8" s="119" t="str">
        <f>Rollover!B8</f>
        <v>Bolt EV 5HB FWD</v>
      </c>
      <c r="E8" s="70" t="s">
        <v>157</v>
      </c>
      <c r="F8" s="132">
        <f>Rollover!C8</f>
        <v>2022</v>
      </c>
      <c r="G8" s="50">
        <v>186.77199999999999</v>
      </c>
      <c r="H8" s="19">
        <v>21.562999999999999</v>
      </c>
      <c r="I8" s="19">
        <v>35.433999999999997</v>
      </c>
      <c r="J8" s="51">
        <v>21.151</v>
      </c>
      <c r="K8" s="51">
        <v>2245.5239999999999</v>
      </c>
      <c r="L8" s="52">
        <f t="shared" si="9"/>
        <v>1.3351112232438246E-3</v>
      </c>
      <c r="M8" s="59">
        <f t="shared" si="1"/>
        <v>1.4851267091706592E-2</v>
      </c>
      <c r="N8" s="52">
        <f t="shared" si="2"/>
        <v>1.6E-2</v>
      </c>
      <c r="O8" s="10">
        <f t="shared" si="3"/>
        <v>0.11</v>
      </c>
      <c r="P8" s="25">
        <f t="shared" si="4"/>
        <v>5</v>
      </c>
      <c r="Q8" s="53">
        <f>ROUND((0.8*'Side MDB'!W8+0.2*'Side Pole'!N8),3)</f>
        <v>4.4999999999999998E-2</v>
      </c>
      <c r="R8" s="53">
        <f t="shared" si="5"/>
        <v>0.3</v>
      </c>
      <c r="S8" s="25">
        <f t="shared" si="6"/>
        <v>5</v>
      </c>
      <c r="T8" s="53">
        <f>ROUND(((0.8*'Side MDB'!W8+0.2*'Side Pole'!N8)+(IF('Side MDB'!X8="N/A",(0.8*'Side MDB'!W8+0.2*'Side Pole'!N8),'Side MDB'!X8)))/2,3)</f>
        <v>5.8000000000000003E-2</v>
      </c>
      <c r="U8" s="53">
        <f t="shared" si="7"/>
        <v>0.39</v>
      </c>
      <c r="V8" s="25">
        <f t="shared" si="8"/>
        <v>5</v>
      </c>
      <c r="W8" s="23"/>
      <c r="X8" s="36"/>
      <c r="Y8" s="36"/>
      <c r="Z8" s="36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4.1" customHeight="1">
      <c r="A9" s="134">
        <v>10701</v>
      </c>
      <c r="B9" s="135" t="s">
        <v>267</v>
      </c>
      <c r="C9" s="119" t="str">
        <f>Rollover!A9</f>
        <v>Chevrolet</v>
      </c>
      <c r="D9" s="119" t="str">
        <f>Rollover!B9</f>
        <v>Silverado 1500 PU/CC 2WD</v>
      </c>
      <c r="E9" s="10" t="s">
        <v>155</v>
      </c>
      <c r="F9" s="132">
        <f>Rollover!C9</f>
        <v>2022</v>
      </c>
      <c r="G9" s="55">
        <v>253.14699999999999</v>
      </c>
      <c r="H9" s="28">
        <v>22.536000000000001</v>
      </c>
      <c r="I9" s="28">
        <v>43.44</v>
      </c>
      <c r="J9" s="56">
        <v>21.526</v>
      </c>
      <c r="K9" s="29">
        <v>2626.5549999999998</v>
      </c>
      <c r="L9" s="52">
        <f t="shared" si="9"/>
        <v>4.7651540666635035E-3</v>
      </c>
      <c r="M9" s="59">
        <f t="shared" si="1"/>
        <v>2.1112771575714596E-2</v>
      </c>
      <c r="N9" s="52">
        <f t="shared" si="2"/>
        <v>2.5999999999999999E-2</v>
      </c>
      <c r="O9" s="10">
        <f t="shared" si="3"/>
        <v>0.17</v>
      </c>
      <c r="P9" s="25">
        <f t="shared" si="4"/>
        <v>5</v>
      </c>
      <c r="Q9" s="53">
        <f>ROUND((0.8*'Side MDB'!W9+0.2*'Side Pole'!N9),3)</f>
        <v>2.9000000000000001E-2</v>
      </c>
      <c r="R9" s="53">
        <f t="shared" si="5"/>
        <v>0.19</v>
      </c>
      <c r="S9" s="25">
        <f t="shared" si="6"/>
        <v>5</v>
      </c>
      <c r="T9" s="53">
        <f>ROUND(((0.8*'Side MDB'!W9+0.2*'Side Pole'!N9)+(IF('Side MDB'!X9="N/A",(0.8*'Side MDB'!W9+0.2*'Side Pole'!N9),'Side MDB'!X9)))/2,3)</f>
        <v>1.7999999999999999E-2</v>
      </c>
      <c r="U9" s="53">
        <f t="shared" si="7"/>
        <v>0.12</v>
      </c>
      <c r="V9" s="25">
        <f t="shared" si="8"/>
        <v>5</v>
      </c>
      <c r="W9" s="23"/>
      <c r="X9" s="36"/>
      <c r="Y9" s="36"/>
      <c r="Z9" s="36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4.1" customHeight="1">
      <c r="A10" s="134">
        <v>10701</v>
      </c>
      <c r="B10" s="135" t="s">
        <v>267</v>
      </c>
      <c r="C10" s="119" t="str">
        <f>Rollover!A10</f>
        <v>Chevrolet</v>
      </c>
      <c r="D10" s="119" t="str">
        <f>Rollover!B10</f>
        <v>Silverado 1500 PU/CC 4WD</v>
      </c>
      <c r="E10" s="10" t="s">
        <v>155</v>
      </c>
      <c r="F10" s="132">
        <f>Rollover!C10</f>
        <v>2022</v>
      </c>
      <c r="G10" s="55">
        <v>253.14699999999999</v>
      </c>
      <c r="H10" s="28">
        <v>22.536000000000001</v>
      </c>
      <c r="I10" s="28">
        <v>43.44</v>
      </c>
      <c r="J10" s="56">
        <v>21.526</v>
      </c>
      <c r="K10" s="29">
        <v>2626.5549999999998</v>
      </c>
      <c r="L10" s="52">
        <f t="shared" si="9"/>
        <v>4.7651540666635035E-3</v>
      </c>
      <c r="M10" s="59">
        <f t="shared" si="1"/>
        <v>2.1112771575714596E-2</v>
      </c>
      <c r="N10" s="52">
        <f t="shared" si="2"/>
        <v>2.5999999999999999E-2</v>
      </c>
      <c r="O10" s="10">
        <f t="shared" si="3"/>
        <v>0.17</v>
      </c>
      <c r="P10" s="25">
        <f t="shared" si="4"/>
        <v>5</v>
      </c>
      <c r="Q10" s="53">
        <f>ROUND((0.8*'Side MDB'!W10+0.2*'Side Pole'!N10),3)</f>
        <v>2.9000000000000001E-2</v>
      </c>
      <c r="R10" s="53">
        <f t="shared" si="5"/>
        <v>0.19</v>
      </c>
      <c r="S10" s="25">
        <f t="shared" si="6"/>
        <v>5</v>
      </c>
      <c r="T10" s="53">
        <f>ROUND(((0.8*'Side MDB'!W10+0.2*'Side Pole'!N10)+(IF('Side MDB'!X10="N/A",(0.8*'Side MDB'!W10+0.2*'Side Pole'!N10),'Side MDB'!X10)))/2,3)</f>
        <v>1.7999999999999999E-2</v>
      </c>
      <c r="U10" s="53">
        <f t="shared" si="7"/>
        <v>0.12</v>
      </c>
      <c r="V10" s="25">
        <f t="shared" si="8"/>
        <v>5</v>
      </c>
      <c r="W10" s="23"/>
      <c r="X10" s="36"/>
      <c r="Y10" s="36"/>
      <c r="Z10" s="36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4.1" customHeight="1">
      <c r="A11" s="134">
        <v>10701</v>
      </c>
      <c r="B11" s="135" t="s">
        <v>267</v>
      </c>
      <c r="C11" s="131" t="str">
        <f>Rollover!A11</f>
        <v>GMC</v>
      </c>
      <c r="D11" s="131" t="str">
        <f>Rollover!B11</f>
        <v>Sierra 1500 PU/CC 2WD</v>
      </c>
      <c r="E11" s="10" t="s">
        <v>155</v>
      </c>
      <c r="F11" s="132">
        <f>Rollover!C11</f>
        <v>2022</v>
      </c>
      <c r="G11" s="55">
        <v>253.14699999999999</v>
      </c>
      <c r="H11" s="28">
        <v>22.536000000000001</v>
      </c>
      <c r="I11" s="28">
        <v>43.44</v>
      </c>
      <c r="J11" s="56">
        <v>21.526</v>
      </c>
      <c r="K11" s="29">
        <v>2626.5549999999998</v>
      </c>
      <c r="L11" s="52">
        <f t="shared" si="9"/>
        <v>4.7651540666635035E-3</v>
      </c>
      <c r="M11" s="59">
        <f t="shared" si="1"/>
        <v>2.1112771575714596E-2</v>
      </c>
      <c r="N11" s="52">
        <f t="shared" si="2"/>
        <v>2.5999999999999999E-2</v>
      </c>
      <c r="O11" s="10">
        <f t="shared" si="3"/>
        <v>0.17</v>
      </c>
      <c r="P11" s="25">
        <f t="shared" si="4"/>
        <v>5</v>
      </c>
      <c r="Q11" s="53">
        <f>ROUND((0.8*'Side MDB'!W11+0.2*'Side Pole'!N11),3)</f>
        <v>2.9000000000000001E-2</v>
      </c>
      <c r="R11" s="53">
        <f t="shared" si="5"/>
        <v>0.19</v>
      </c>
      <c r="S11" s="25">
        <f t="shared" si="6"/>
        <v>5</v>
      </c>
      <c r="T11" s="53">
        <f>ROUND(((0.8*'Side MDB'!W11+0.2*'Side Pole'!N11)+(IF('Side MDB'!X11="N/A",(0.8*'Side MDB'!W11+0.2*'Side Pole'!N11),'Side MDB'!X11)))/2,3)</f>
        <v>1.7999999999999999E-2</v>
      </c>
      <c r="U11" s="53">
        <f t="shared" si="7"/>
        <v>0.12</v>
      </c>
      <c r="V11" s="25">
        <f t="shared" si="8"/>
        <v>5</v>
      </c>
      <c r="W11" s="23"/>
      <c r="X11" s="36"/>
      <c r="Y11" s="36"/>
      <c r="Z11" s="36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4.1" customHeight="1">
      <c r="A12" s="134">
        <v>10701</v>
      </c>
      <c r="B12" s="135" t="s">
        <v>267</v>
      </c>
      <c r="C12" s="131" t="str">
        <f>Rollover!A12</f>
        <v>GMC</v>
      </c>
      <c r="D12" s="131" t="str">
        <f>Rollover!B12</f>
        <v>Sierra 1500 PU/CC 4WD</v>
      </c>
      <c r="E12" s="10" t="s">
        <v>155</v>
      </c>
      <c r="F12" s="132">
        <f>Rollover!C12</f>
        <v>2022</v>
      </c>
      <c r="G12" s="55">
        <v>253.14699999999999</v>
      </c>
      <c r="H12" s="28">
        <v>22.536000000000001</v>
      </c>
      <c r="I12" s="28">
        <v>43.44</v>
      </c>
      <c r="J12" s="56">
        <v>21.526</v>
      </c>
      <c r="K12" s="29">
        <v>2626.5549999999998</v>
      </c>
      <c r="L12" s="52">
        <f t="shared" si="9"/>
        <v>4.7651540666635035E-3</v>
      </c>
      <c r="M12" s="59">
        <f t="shared" si="1"/>
        <v>2.1112771575714596E-2</v>
      </c>
      <c r="N12" s="52">
        <f t="shared" si="2"/>
        <v>2.5999999999999999E-2</v>
      </c>
      <c r="O12" s="10">
        <f t="shared" si="3"/>
        <v>0.17</v>
      </c>
      <c r="P12" s="25">
        <f t="shared" si="4"/>
        <v>5</v>
      </c>
      <c r="Q12" s="53">
        <f>ROUND((0.8*'Side MDB'!W12+0.2*'Side Pole'!N12),3)</f>
        <v>2.9000000000000001E-2</v>
      </c>
      <c r="R12" s="53">
        <f t="shared" si="5"/>
        <v>0.19</v>
      </c>
      <c r="S12" s="25">
        <f t="shared" si="6"/>
        <v>5</v>
      </c>
      <c r="T12" s="53">
        <f>ROUND(((0.8*'Side MDB'!W12+0.2*'Side Pole'!N12)+(IF('Side MDB'!X12="N/A",(0.8*'Side MDB'!W12+0.2*'Side Pole'!N12),'Side MDB'!X12)))/2,3)</f>
        <v>1.7999999999999999E-2</v>
      </c>
      <c r="U12" s="53">
        <f t="shared" si="7"/>
        <v>0.12</v>
      </c>
      <c r="V12" s="25">
        <f t="shared" si="8"/>
        <v>5</v>
      </c>
      <c r="W12" s="23"/>
      <c r="X12" s="36"/>
      <c r="Y12" s="36"/>
      <c r="Z12" s="36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4.1" customHeight="1">
      <c r="A13" s="130">
        <v>14244</v>
      </c>
      <c r="B13" s="130" t="s">
        <v>268</v>
      </c>
      <c r="C13" s="17" t="str">
        <f>Rollover!A13</f>
        <v>Chevrolet</v>
      </c>
      <c r="D13" s="119" t="str">
        <f>Rollover!B13</f>
        <v>Traverse SUV AWD</v>
      </c>
      <c r="E13" s="70" t="s">
        <v>163</v>
      </c>
      <c r="F13" s="132">
        <f>Rollover!C13</f>
        <v>2022</v>
      </c>
      <c r="G13" s="50">
        <v>339.90600000000001</v>
      </c>
      <c r="H13" s="19">
        <v>20.902999999999999</v>
      </c>
      <c r="I13" s="19">
        <v>38.18</v>
      </c>
      <c r="J13" s="51">
        <v>17.832999999999998</v>
      </c>
      <c r="K13" s="51">
        <v>3034.703</v>
      </c>
      <c r="L13" s="52">
        <f t="shared" si="9"/>
        <v>1.4111645003438627E-2</v>
      </c>
      <c r="M13" s="59">
        <f t="shared" si="1"/>
        <v>3.0683111961789623E-2</v>
      </c>
      <c r="N13" s="52">
        <f t="shared" si="2"/>
        <v>4.3999999999999997E-2</v>
      </c>
      <c r="O13" s="10">
        <f t="shared" si="3"/>
        <v>0.28999999999999998</v>
      </c>
      <c r="P13" s="25">
        <f t="shared" si="4"/>
        <v>5</v>
      </c>
      <c r="Q13" s="53">
        <f>ROUND((0.8*'Side MDB'!W13+0.2*'Side Pole'!N13),3)</f>
        <v>5.1999999999999998E-2</v>
      </c>
      <c r="R13" s="53">
        <f t="shared" si="5"/>
        <v>0.35</v>
      </c>
      <c r="S13" s="25">
        <f t="shared" si="6"/>
        <v>5</v>
      </c>
      <c r="T13" s="53">
        <f>ROUND(((0.8*'Side MDB'!W13+0.2*'Side Pole'!N13)+(IF('Side MDB'!X13="N/A",(0.8*'Side MDB'!W13+0.2*'Side Pole'!N13),'Side MDB'!X13)))/2,3)</f>
        <v>7.6999999999999999E-2</v>
      </c>
      <c r="U13" s="53">
        <f t="shared" si="7"/>
        <v>0.51</v>
      </c>
      <c r="V13" s="25">
        <f t="shared" si="8"/>
        <v>5</v>
      </c>
      <c r="W13" s="23"/>
      <c r="X13" s="36"/>
      <c r="Y13" s="36"/>
      <c r="Z13" s="36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4.1" customHeight="1">
      <c r="A14" s="130">
        <v>14244</v>
      </c>
      <c r="B14" s="130" t="s">
        <v>268</v>
      </c>
      <c r="C14" s="17" t="str">
        <f>Rollover!A14</f>
        <v>Chevrolet</v>
      </c>
      <c r="D14" s="119" t="str">
        <f>Rollover!B14</f>
        <v>Traverse SUV FWD</v>
      </c>
      <c r="E14" s="70" t="s">
        <v>163</v>
      </c>
      <c r="F14" s="132">
        <f>Rollover!C14</f>
        <v>2022</v>
      </c>
      <c r="G14" s="50">
        <v>339.90600000000001</v>
      </c>
      <c r="H14" s="19">
        <v>20.902999999999999</v>
      </c>
      <c r="I14" s="19">
        <v>38.18</v>
      </c>
      <c r="J14" s="51">
        <v>17.832999999999998</v>
      </c>
      <c r="K14" s="51">
        <v>3034.703</v>
      </c>
      <c r="L14" s="52">
        <f t="shared" si="9"/>
        <v>1.4111645003438627E-2</v>
      </c>
      <c r="M14" s="59">
        <f t="shared" si="1"/>
        <v>3.0683111961789623E-2</v>
      </c>
      <c r="N14" s="52">
        <f t="shared" si="2"/>
        <v>4.3999999999999997E-2</v>
      </c>
      <c r="O14" s="10">
        <f t="shared" si="3"/>
        <v>0.28999999999999998</v>
      </c>
      <c r="P14" s="25">
        <f t="shared" si="4"/>
        <v>5</v>
      </c>
      <c r="Q14" s="53">
        <f>ROUND((0.8*'Side MDB'!W14+0.2*'Side Pole'!N14),3)</f>
        <v>5.1999999999999998E-2</v>
      </c>
      <c r="R14" s="53">
        <f t="shared" si="5"/>
        <v>0.35</v>
      </c>
      <c r="S14" s="25">
        <f t="shared" si="6"/>
        <v>5</v>
      </c>
      <c r="T14" s="53">
        <f>ROUND(((0.8*'Side MDB'!W14+0.2*'Side Pole'!N14)+(IF('Side MDB'!X14="N/A",(0.8*'Side MDB'!W14+0.2*'Side Pole'!N14),'Side MDB'!X14)))/2,3)</f>
        <v>7.6999999999999999E-2</v>
      </c>
      <c r="U14" s="53">
        <f t="shared" si="7"/>
        <v>0.51</v>
      </c>
      <c r="V14" s="25">
        <f t="shared" si="8"/>
        <v>5</v>
      </c>
      <c r="W14" s="23"/>
      <c r="X14" s="36"/>
      <c r="Y14" s="36"/>
      <c r="Z14" s="36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4.1" customHeight="1">
      <c r="A15" s="130">
        <v>14244</v>
      </c>
      <c r="B15" s="130" t="s">
        <v>268</v>
      </c>
      <c r="C15" s="131" t="str">
        <f>Rollover!A15</f>
        <v>Buick</v>
      </c>
      <c r="D15" s="131" t="str">
        <f>Rollover!B15</f>
        <v>Enclave SUV AWD</v>
      </c>
      <c r="E15" s="70"/>
      <c r="F15" s="132">
        <f>Rollover!C15</f>
        <v>2022</v>
      </c>
      <c r="G15" s="50">
        <v>339.90600000000001</v>
      </c>
      <c r="H15" s="19">
        <v>20.902999999999999</v>
      </c>
      <c r="I15" s="19">
        <v>38.18</v>
      </c>
      <c r="J15" s="51">
        <v>17.832999999999998</v>
      </c>
      <c r="K15" s="51">
        <v>3034.703</v>
      </c>
      <c r="L15" s="52">
        <f t="shared" si="9"/>
        <v>1.4111645003438627E-2</v>
      </c>
      <c r="M15" s="59">
        <f t="shared" si="1"/>
        <v>3.0683111961789623E-2</v>
      </c>
      <c r="N15" s="52">
        <f t="shared" si="2"/>
        <v>4.3999999999999997E-2</v>
      </c>
      <c r="O15" s="10">
        <f t="shared" si="3"/>
        <v>0.28999999999999998</v>
      </c>
      <c r="P15" s="25">
        <f t="shared" si="4"/>
        <v>5</v>
      </c>
      <c r="Q15" s="53">
        <f>ROUND((0.8*'Side MDB'!W15+0.2*'Side Pole'!N15),3)</f>
        <v>5.1999999999999998E-2</v>
      </c>
      <c r="R15" s="53">
        <f t="shared" si="5"/>
        <v>0.35</v>
      </c>
      <c r="S15" s="25">
        <f t="shared" si="6"/>
        <v>5</v>
      </c>
      <c r="T15" s="53">
        <f>ROUND(((0.8*'Side MDB'!W15+0.2*'Side Pole'!N15)+(IF('Side MDB'!X15="N/A",(0.8*'Side MDB'!W15+0.2*'Side Pole'!N15),'Side MDB'!X15)))/2,3)</f>
        <v>7.6999999999999999E-2</v>
      </c>
      <c r="U15" s="53">
        <f t="shared" si="7"/>
        <v>0.51</v>
      </c>
      <c r="V15" s="25">
        <f t="shared" si="8"/>
        <v>5</v>
      </c>
      <c r="W15" s="23"/>
      <c r="X15" s="36"/>
      <c r="Y15" s="36"/>
      <c r="Z15" s="36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4.1" customHeight="1">
      <c r="A16" s="130">
        <v>14244</v>
      </c>
      <c r="B16" s="130" t="s">
        <v>268</v>
      </c>
      <c r="C16" s="131" t="str">
        <f>Rollover!A16</f>
        <v>Buick</v>
      </c>
      <c r="D16" s="131" t="str">
        <f>Rollover!B16</f>
        <v>Enclave SUV FWD</v>
      </c>
      <c r="E16" s="70"/>
      <c r="F16" s="132">
        <f>Rollover!C16</f>
        <v>2022</v>
      </c>
      <c r="G16" s="50">
        <v>339.90600000000001</v>
      </c>
      <c r="H16" s="19">
        <v>20.902999999999999</v>
      </c>
      <c r="I16" s="19">
        <v>38.18</v>
      </c>
      <c r="J16" s="51">
        <v>17.832999999999998</v>
      </c>
      <c r="K16" s="51">
        <v>3034.703</v>
      </c>
      <c r="L16" s="52">
        <f t="shared" si="9"/>
        <v>1.4111645003438627E-2</v>
      </c>
      <c r="M16" s="59">
        <f t="shared" si="1"/>
        <v>3.0683111961789623E-2</v>
      </c>
      <c r="N16" s="52">
        <f t="shared" si="2"/>
        <v>4.3999999999999997E-2</v>
      </c>
      <c r="O16" s="10">
        <f t="shared" si="3"/>
        <v>0.28999999999999998</v>
      </c>
      <c r="P16" s="25">
        <f t="shared" si="4"/>
        <v>5</v>
      </c>
      <c r="Q16" s="53">
        <f>ROUND((0.8*'Side MDB'!W16+0.2*'Side Pole'!N16),3)</f>
        <v>5.1999999999999998E-2</v>
      </c>
      <c r="R16" s="53">
        <f t="shared" si="5"/>
        <v>0.35</v>
      </c>
      <c r="S16" s="25">
        <f t="shared" si="6"/>
        <v>5</v>
      </c>
      <c r="T16" s="53">
        <f>ROUND(((0.8*'Side MDB'!W16+0.2*'Side Pole'!N16)+(IF('Side MDB'!X16="N/A",(0.8*'Side MDB'!W16+0.2*'Side Pole'!N16),'Side MDB'!X16)))/2,3)</f>
        <v>7.6999999999999999E-2</v>
      </c>
      <c r="U16" s="53">
        <f t="shared" si="7"/>
        <v>0.51</v>
      </c>
      <c r="V16" s="25">
        <f t="shared" si="8"/>
        <v>5</v>
      </c>
      <c r="W16" s="23"/>
      <c r="X16" s="36"/>
      <c r="Y16" s="36"/>
      <c r="Z16" s="36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4.1" customHeight="1">
      <c r="A17" s="130"/>
      <c r="B17" s="130"/>
      <c r="C17" s="119" t="str">
        <f>Rollover!A17</f>
        <v>Ford</v>
      </c>
      <c r="D17" s="119" t="str">
        <f>Rollover!B17</f>
        <v>Bronco 4 DR SUV 4WD</v>
      </c>
      <c r="E17" s="70"/>
      <c r="F17" s="132">
        <f>Rollover!C17</f>
        <v>2022</v>
      </c>
      <c r="G17" s="50"/>
      <c r="H17" s="19"/>
      <c r="I17" s="19"/>
      <c r="J17" s="51"/>
      <c r="K17" s="51"/>
      <c r="L17" s="52" t="e">
        <f t="shared" ref="L17:L55" si="10">NORMDIST(LN(G17),7.45231,0.73998,1)</f>
        <v>#NUM!</v>
      </c>
      <c r="M17" s="59">
        <f t="shared" ref="M17:M55" si="11">1/(1+EXP(6.3055-0.00094*K17))</f>
        <v>1.8229037773026034E-3</v>
      </c>
      <c r="N17" s="52" t="e">
        <f t="shared" ref="N17:N55" si="12">ROUND(1-(1-L17)*(1-M17),3)</f>
        <v>#NUM!</v>
      </c>
      <c r="O17" s="10" t="e">
        <f t="shared" ref="O17:O55" si="13">ROUND(N17/0.15,2)</f>
        <v>#NUM!</v>
      </c>
      <c r="P17" s="25" t="e">
        <f t="shared" ref="P17:P55" si="14">IF(O17&lt;0.67,5,IF(O17&lt;1,4,IF(O17&lt;1.33,3,IF(O17&lt;2.67,2,1))))</f>
        <v>#NUM!</v>
      </c>
      <c r="Q17" s="53" t="e">
        <f>ROUND((0.8*'Side MDB'!W17+0.2*'Side Pole'!N17),3)</f>
        <v>#NUM!</v>
      </c>
      <c r="R17" s="53" t="e">
        <f t="shared" ref="R17:R55" si="15">ROUND((Q17)/0.15,2)</f>
        <v>#NUM!</v>
      </c>
      <c r="S17" s="25" t="e">
        <f t="shared" ref="S17:S55" si="16">IF(R17&lt;0.67,5,IF(R17&lt;1,4,IF(R17&lt;1.33,3,IF(R17&lt;2.67,2,1))))</f>
        <v>#NUM!</v>
      </c>
      <c r="T17" s="53" t="e">
        <f>ROUND(((0.8*'Side MDB'!W17+0.2*'Side Pole'!N17)+(IF('Side MDB'!X17="N/A",(0.8*'Side MDB'!W17+0.2*'Side Pole'!N17),'Side MDB'!X17)))/2,3)</f>
        <v>#NUM!</v>
      </c>
      <c r="U17" s="53" t="e">
        <f t="shared" ref="U17:U55" si="17">ROUND((T17)/0.15,2)</f>
        <v>#NUM!</v>
      </c>
      <c r="V17" s="25" t="e">
        <f t="shared" ref="V17:V55" si="18">IF(U17&lt;0.67,5,IF(U17&lt;1,4,IF(U17&lt;1.33,3,IF(U17&lt;2.67,2,1))))</f>
        <v>#NUM!</v>
      </c>
      <c r="W17" s="23"/>
      <c r="X17" s="36"/>
      <c r="Y17" s="36"/>
      <c r="Z17" s="36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4.1" customHeight="1">
      <c r="A18" s="130">
        <v>14074</v>
      </c>
      <c r="B18" s="130" t="s">
        <v>269</v>
      </c>
      <c r="C18" s="119" t="str">
        <f>Rollover!A18</f>
        <v>Ford</v>
      </c>
      <c r="D18" s="119" t="str">
        <f>Rollover!B18</f>
        <v>Escape PHEV SUV FWD</v>
      </c>
      <c r="E18" s="70" t="s">
        <v>155</v>
      </c>
      <c r="F18" s="132">
        <f>Rollover!C18</f>
        <v>2022</v>
      </c>
      <c r="G18" s="50">
        <v>309.52600000000001</v>
      </c>
      <c r="H18" s="19">
        <v>21.515999999999998</v>
      </c>
      <c r="I18" s="19">
        <v>39.027000000000001</v>
      </c>
      <c r="J18" s="51">
        <v>16.521999999999998</v>
      </c>
      <c r="K18" s="51">
        <v>2635.2460000000001</v>
      </c>
      <c r="L18" s="52">
        <f t="shared" si="10"/>
        <v>1.0151654700598055E-2</v>
      </c>
      <c r="M18" s="59">
        <f t="shared" si="11"/>
        <v>2.1282273841326495E-2</v>
      </c>
      <c r="N18" s="52">
        <f t="shared" si="12"/>
        <v>3.1E-2</v>
      </c>
      <c r="O18" s="10">
        <f t="shared" si="13"/>
        <v>0.21</v>
      </c>
      <c r="P18" s="25">
        <f t="shared" si="14"/>
        <v>5</v>
      </c>
      <c r="Q18" s="53">
        <f>ROUND((0.8*'Side MDB'!W18+0.2*'Side Pole'!N18),3)</f>
        <v>3.5999999999999997E-2</v>
      </c>
      <c r="R18" s="53">
        <f t="shared" si="15"/>
        <v>0.24</v>
      </c>
      <c r="S18" s="25">
        <f t="shared" si="16"/>
        <v>5</v>
      </c>
      <c r="T18" s="53">
        <f>ROUND(((0.8*'Side MDB'!W18+0.2*'Side Pole'!N18)+(IF('Side MDB'!X18="N/A",(0.8*'Side MDB'!W18+0.2*'Side Pole'!N18),'Side MDB'!X18)))/2,3)</f>
        <v>3.5000000000000003E-2</v>
      </c>
      <c r="U18" s="53">
        <f t="shared" si="17"/>
        <v>0.23</v>
      </c>
      <c r="V18" s="25">
        <f t="shared" si="18"/>
        <v>5</v>
      </c>
      <c r="W18" s="23"/>
      <c r="X18" s="36"/>
      <c r="Y18" s="36"/>
      <c r="Z18" s="36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4.1" customHeight="1">
      <c r="A19" s="130">
        <v>14074</v>
      </c>
      <c r="B19" s="130" t="s">
        <v>269</v>
      </c>
      <c r="C19" s="131" t="str">
        <f>Rollover!A19</f>
        <v>Lincoln</v>
      </c>
      <c r="D19" s="131" t="str">
        <f>Rollover!B19</f>
        <v>Corsair PHEV SUV AWD</v>
      </c>
      <c r="E19" s="70" t="s">
        <v>155</v>
      </c>
      <c r="F19" s="132">
        <f>Rollover!C19</f>
        <v>2022</v>
      </c>
      <c r="G19" s="50">
        <v>309.52600000000001</v>
      </c>
      <c r="H19" s="19">
        <v>21.515999999999998</v>
      </c>
      <c r="I19" s="19">
        <v>39.027000000000001</v>
      </c>
      <c r="J19" s="51">
        <v>16.521999999999998</v>
      </c>
      <c r="K19" s="51">
        <v>2635.2460000000001</v>
      </c>
      <c r="L19" s="52">
        <f t="shared" si="10"/>
        <v>1.0151654700598055E-2</v>
      </c>
      <c r="M19" s="59">
        <f t="shared" si="11"/>
        <v>2.1282273841326495E-2</v>
      </c>
      <c r="N19" s="52">
        <f t="shared" si="12"/>
        <v>3.1E-2</v>
      </c>
      <c r="O19" s="10">
        <f t="shared" si="13"/>
        <v>0.21</v>
      </c>
      <c r="P19" s="25">
        <f t="shared" si="14"/>
        <v>5</v>
      </c>
      <c r="Q19" s="53">
        <f>ROUND((0.8*'Side MDB'!W19+0.2*'Side Pole'!N19),3)</f>
        <v>3.5999999999999997E-2</v>
      </c>
      <c r="R19" s="53">
        <f t="shared" si="15"/>
        <v>0.24</v>
      </c>
      <c r="S19" s="25">
        <f t="shared" si="16"/>
        <v>5</v>
      </c>
      <c r="T19" s="53">
        <f>ROUND(((0.8*'Side MDB'!W19+0.2*'Side Pole'!N19)+(IF('Side MDB'!X19="N/A",(0.8*'Side MDB'!W19+0.2*'Side Pole'!N19),'Side MDB'!X19)))/2,3)</f>
        <v>3.5000000000000003E-2</v>
      </c>
      <c r="U19" s="53">
        <f t="shared" si="17"/>
        <v>0.23</v>
      </c>
      <c r="V19" s="25">
        <f t="shared" si="18"/>
        <v>5</v>
      </c>
      <c r="W19" s="23"/>
      <c r="X19" s="36"/>
      <c r="Y19" s="36"/>
      <c r="Z19" s="36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4.1" customHeight="1">
      <c r="A20" s="130">
        <v>10345</v>
      </c>
      <c r="B20" s="130" t="s">
        <v>270</v>
      </c>
      <c r="C20" s="119" t="str">
        <f>Rollover!A20</f>
        <v>Ford</v>
      </c>
      <c r="D20" s="119" t="str">
        <f>Rollover!B20</f>
        <v>Expedition SUV 2WD</v>
      </c>
      <c r="E20" s="10" t="s">
        <v>157</v>
      </c>
      <c r="F20" s="132">
        <f>Rollover!C20</f>
        <v>2022</v>
      </c>
      <c r="G20" s="50">
        <v>133.995</v>
      </c>
      <c r="H20" s="19">
        <v>20.491</v>
      </c>
      <c r="I20" s="19">
        <v>46.503999999999998</v>
      </c>
      <c r="J20" s="51">
        <v>17.082000000000001</v>
      </c>
      <c r="K20" s="51">
        <v>2533.098</v>
      </c>
      <c r="L20" s="52">
        <f t="shared" si="10"/>
        <v>2.7808934826373125E-4</v>
      </c>
      <c r="M20" s="59">
        <f t="shared" si="11"/>
        <v>1.9371555067786699E-2</v>
      </c>
      <c r="N20" s="52">
        <f t="shared" si="12"/>
        <v>0.02</v>
      </c>
      <c r="O20" s="10">
        <f t="shared" si="13"/>
        <v>0.13</v>
      </c>
      <c r="P20" s="25">
        <f t="shared" si="14"/>
        <v>5</v>
      </c>
      <c r="Q20" s="53">
        <f>ROUND((0.8*'Side MDB'!W20+0.2*'Side Pole'!N20),3)</f>
        <v>2.1999999999999999E-2</v>
      </c>
      <c r="R20" s="53">
        <f t="shared" si="15"/>
        <v>0.15</v>
      </c>
      <c r="S20" s="25">
        <f t="shared" si="16"/>
        <v>5</v>
      </c>
      <c r="T20" s="53">
        <f>ROUND(((0.8*'Side MDB'!W20+0.2*'Side Pole'!N20)+(IF('Side MDB'!X20="N/A",(0.8*'Side MDB'!W20+0.2*'Side Pole'!N20),'Side MDB'!X20)))/2,3)</f>
        <v>1.7000000000000001E-2</v>
      </c>
      <c r="U20" s="53">
        <f t="shared" si="17"/>
        <v>0.11</v>
      </c>
      <c r="V20" s="25">
        <f t="shared" si="18"/>
        <v>5</v>
      </c>
      <c r="W20" s="23"/>
      <c r="X20" s="36"/>
      <c r="Y20" s="36"/>
      <c r="Z20" s="36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4.1" customHeight="1">
      <c r="A21" s="130">
        <v>10345</v>
      </c>
      <c r="B21" s="130" t="s">
        <v>270</v>
      </c>
      <c r="C21" s="119" t="str">
        <f>Rollover!A21</f>
        <v>Ford</v>
      </c>
      <c r="D21" s="119" t="str">
        <f>Rollover!B21</f>
        <v>Expedition SUV 4WD</v>
      </c>
      <c r="E21" s="10" t="s">
        <v>157</v>
      </c>
      <c r="F21" s="132">
        <f>Rollover!C21</f>
        <v>2022</v>
      </c>
      <c r="G21" s="50">
        <v>133.995</v>
      </c>
      <c r="H21" s="19">
        <v>20.491</v>
      </c>
      <c r="I21" s="19">
        <v>46.503999999999998</v>
      </c>
      <c r="J21" s="51">
        <v>17.082000000000001</v>
      </c>
      <c r="K21" s="51">
        <v>2533.098</v>
      </c>
      <c r="L21" s="52">
        <f t="shared" si="10"/>
        <v>2.7808934826373125E-4</v>
      </c>
      <c r="M21" s="59">
        <f t="shared" si="11"/>
        <v>1.9371555067786699E-2</v>
      </c>
      <c r="N21" s="52">
        <f t="shared" si="12"/>
        <v>0.02</v>
      </c>
      <c r="O21" s="10">
        <f t="shared" si="13"/>
        <v>0.13</v>
      </c>
      <c r="P21" s="25">
        <f t="shared" si="14"/>
        <v>5</v>
      </c>
      <c r="Q21" s="53">
        <f>ROUND((0.8*'Side MDB'!W21+0.2*'Side Pole'!N21),3)</f>
        <v>2.1999999999999999E-2</v>
      </c>
      <c r="R21" s="53">
        <f t="shared" si="15"/>
        <v>0.15</v>
      </c>
      <c r="S21" s="25">
        <f t="shared" si="16"/>
        <v>5</v>
      </c>
      <c r="T21" s="53">
        <f>ROUND(((0.8*'Side MDB'!W21+0.2*'Side Pole'!N21)+(IF('Side MDB'!X21="N/A",(0.8*'Side MDB'!W21+0.2*'Side Pole'!N21),'Side MDB'!X21)))/2,3)</f>
        <v>1.7000000000000001E-2</v>
      </c>
      <c r="U21" s="53">
        <f t="shared" si="17"/>
        <v>0.11</v>
      </c>
      <c r="V21" s="25">
        <f t="shared" si="18"/>
        <v>5</v>
      </c>
      <c r="W21" s="23"/>
      <c r="X21" s="36"/>
      <c r="Y21" s="36"/>
      <c r="Z21" s="36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4.1" customHeight="1">
      <c r="A22" s="130">
        <v>10345</v>
      </c>
      <c r="B22" s="130" t="s">
        <v>270</v>
      </c>
      <c r="C22" s="131" t="str">
        <f>Rollover!A22</f>
        <v>Ford</v>
      </c>
      <c r="D22" s="131" t="str">
        <f>Rollover!B22</f>
        <v>Expedition EL SUV 2WD</v>
      </c>
      <c r="E22" s="10" t="s">
        <v>157</v>
      </c>
      <c r="F22" s="132">
        <f>Rollover!C22</f>
        <v>2022</v>
      </c>
      <c r="G22" s="50">
        <v>133.995</v>
      </c>
      <c r="H22" s="19">
        <v>20.491</v>
      </c>
      <c r="I22" s="19">
        <v>46.503999999999998</v>
      </c>
      <c r="J22" s="51">
        <v>17.082000000000001</v>
      </c>
      <c r="K22" s="51">
        <v>2533.098</v>
      </c>
      <c r="L22" s="52">
        <f t="shared" si="10"/>
        <v>2.7808934826373125E-4</v>
      </c>
      <c r="M22" s="59">
        <f t="shared" si="11"/>
        <v>1.9371555067786699E-2</v>
      </c>
      <c r="N22" s="52">
        <f t="shared" si="12"/>
        <v>0.02</v>
      </c>
      <c r="O22" s="10">
        <f t="shared" si="13"/>
        <v>0.13</v>
      </c>
      <c r="P22" s="25">
        <f t="shared" si="14"/>
        <v>5</v>
      </c>
      <c r="Q22" s="53">
        <f>ROUND((0.8*'Side MDB'!W22+0.2*'Side Pole'!N22),3)</f>
        <v>2.1999999999999999E-2</v>
      </c>
      <c r="R22" s="53">
        <f t="shared" si="15"/>
        <v>0.15</v>
      </c>
      <c r="S22" s="25">
        <f t="shared" si="16"/>
        <v>5</v>
      </c>
      <c r="T22" s="53">
        <f>ROUND(((0.8*'Side MDB'!W22+0.2*'Side Pole'!N22)+(IF('Side MDB'!X22="N/A",(0.8*'Side MDB'!W22+0.2*'Side Pole'!N22),'Side MDB'!X22)))/2,3)</f>
        <v>1.7000000000000001E-2</v>
      </c>
      <c r="U22" s="53">
        <f t="shared" si="17"/>
        <v>0.11</v>
      </c>
      <c r="V22" s="25">
        <f t="shared" si="18"/>
        <v>5</v>
      </c>
      <c r="W22" s="23"/>
      <c r="X22" s="36"/>
      <c r="Y22" s="36"/>
      <c r="Z22" s="36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4.1" customHeight="1">
      <c r="A23" s="130">
        <v>10345</v>
      </c>
      <c r="B23" s="130" t="s">
        <v>270</v>
      </c>
      <c r="C23" s="131" t="str">
        <f>Rollover!A23</f>
        <v>Ford</v>
      </c>
      <c r="D23" s="131" t="str">
        <f>Rollover!B23</f>
        <v>Expedition EL SUV 4WD</v>
      </c>
      <c r="E23" s="10" t="s">
        <v>157</v>
      </c>
      <c r="F23" s="132">
        <f>Rollover!C23</f>
        <v>2022</v>
      </c>
      <c r="G23" s="50">
        <v>133.995</v>
      </c>
      <c r="H23" s="19">
        <v>20.491</v>
      </c>
      <c r="I23" s="19">
        <v>46.503999999999998</v>
      </c>
      <c r="J23" s="51">
        <v>17.082000000000001</v>
      </c>
      <c r="K23" s="51">
        <v>2533.098</v>
      </c>
      <c r="L23" s="52">
        <f t="shared" si="10"/>
        <v>2.7808934826373125E-4</v>
      </c>
      <c r="M23" s="59">
        <f t="shared" si="11"/>
        <v>1.9371555067786699E-2</v>
      </c>
      <c r="N23" s="52">
        <f t="shared" si="12"/>
        <v>0.02</v>
      </c>
      <c r="O23" s="10">
        <f t="shared" si="13"/>
        <v>0.13</v>
      </c>
      <c r="P23" s="25">
        <f t="shared" si="14"/>
        <v>5</v>
      </c>
      <c r="Q23" s="53">
        <f>ROUND((0.8*'Side MDB'!W23+0.2*'Side Pole'!N23),3)</f>
        <v>2.1999999999999999E-2</v>
      </c>
      <c r="R23" s="53">
        <f t="shared" si="15"/>
        <v>0.15</v>
      </c>
      <c r="S23" s="25">
        <f t="shared" si="16"/>
        <v>5</v>
      </c>
      <c r="T23" s="53">
        <f>ROUND(((0.8*'Side MDB'!W23+0.2*'Side Pole'!N23)+(IF('Side MDB'!X23="N/A",(0.8*'Side MDB'!W23+0.2*'Side Pole'!N23),'Side MDB'!X23)))/2,3)</f>
        <v>1.7000000000000001E-2</v>
      </c>
      <c r="U23" s="53">
        <f t="shared" si="17"/>
        <v>0.11</v>
      </c>
      <c r="V23" s="25">
        <f t="shared" si="18"/>
        <v>5</v>
      </c>
      <c r="W23" s="23"/>
      <c r="X23" s="36"/>
      <c r="Y23" s="36"/>
      <c r="Z23" s="36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4.1" customHeight="1">
      <c r="A24" s="130">
        <v>10345</v>
      </c>
      <c r="B24" s="130" t="s">
        <v>270</v>
      </c>
      <c r="C24" s="16" t="str">
        <f>Rollover!A24</f>
        <v>Lincoln</v>
      </c>
      <c r="D24" s="16" t="str">
        <f>Rollover!B24</f>
        <v>Navigator SUV 2WD</v>
      </c>
      <c r="E24" s="10" t="s">
        <v>157</v>
      </c>
      <c r="F24" s="25">
        <f>Rollover!C24</f>
        <v>2022</v>
      </c>
      <c r="G24" s="50">
        <v>133.995</v>
      </c>
      <c r="H24" s="19">
        <v>20.491</v>
      </c>
      <c r="I24" s="19">
        <v>46.503999999999998</v>
      </c>
      <c r="J24" s="51">
        <v>17.082000000000001</v>
      </c>
      <c r="K24" s="51">
        <v>2533.098</v>
      </c>
      <c r="L24" s="52">
        <f>NORMDIST(LN(G24),7.45231,0.73998,1)</f>
        <v>2.7808934826373125E-4</v>
      </c>
      <c r="M24" s="59">
        <f>1/(1+EXP(6.3055-0.00094*K24))</f>
        <v>1.9371555067786699E-2</v>
      </c>
      <c r="N24" s="52">
        <f>ROUND(1-(1-L24)*(1-M24),3)</f>
        <v>0.02</v>
      </c>
      <c r="O24" s="10">
        <f>ROUND(N24/0.15,2)</f>
        <v>0.13</v>
      </c>
      <c r="P24" s="25">
        <f>IF(O24&lt;0.67,5,IF(O24&lt;1,4,IF(O24&lt;1.33,3,IF(O24&lt;2.67,2,1))))</f>
        <v>5</v>
      </c>
      <c r="Q24" s="53">
        <f>ROUND((0.8*'Side MDB'!W24+0.2*'Side Pole'!N24),3)</f>
        <v>2.1999999999999999E-2</v>
      </c>
      <c r="R24" s="53">
        <f>ROUND((Q24)/0.15,2)</f>
        <v>0.15</v>
      </c>
      <c r="S24" s="25">
        <f>IF(R24&lt;0.67,5,IF(R24&lt;1,4,IF(R24&lt;1.33,3,IF(R24&lt;2.67,2,1))))</f>
        <v>5</v>
      </c>
      <c r="T24" s="53">
        <f>ROUND(((0.8*'Side MDB'!W24+0.2*'Side Pole'!N24)+(IF('Side MDB'!X24="N/A",(0.8*'Side MDB'!W24+0.2*'Side Pole'!N24),'Side MDB'!X24)))/2,3)</f>
        <v>1.7000000000000001E-2</v>
      </c>
      <c r="U24" s="53">
        <f>ROUND((T24)/0.15,2)</f>
        <v>0.11</v>
      </c>
      <c r="V24" s="25">
        <f>IF(U24&lt;0.67,5,IF(U24&lt;1,4,IF(U24&lt;1.33,3,IF(U24&lt;2.67,2,1))))</f>
        <v>5</v>
      </c>
      <c r="W24" s="136"/>
      <c r="X24" s="137"/>
      <c r="Y24" s="137"/>
      <c r="Z24" s="137"/>
    </row>
    <row r="25" spans="1:37" ht="14.1" customHeight="1">
      <c r="A25" s="130">
        <v>10345</v>
      </c>
      <c r="B25" s="130" t="s">
        <v>270</v>
      </c>
      <c r="C25" s="16" t="str">
        <f>Rollover!A25</f>
        <v>Lincoln</v>
      </c>
      <c r="D25" s="16" t="str">
        <f>Rollover!B25</f>
        <v>Navigator SUV 4WD</v>
      </c>
      <c r="E25" s="10" t="s">
        <v>157</v>
      </c>
      <c r="F25" s="25">
        <f>Rollover!C25</f>
        <v>2022</v>
      </c>
      <c r="G25" s="50">
        <v>133.995</v>
      </c>
      <c r="H25" s="19">
        <v>20.491</v>
      </c>
      <c r="I25" s="19">
        <v>46.503999999999998</v>
      </c>
      <c r="J25" s="51">
        <v>17.082000000000001</v>
      </c>
      <c r="K25" s="51">
        <v>2533.098</v>
      </c>
      <c r="L25" s="52">
        <f>NORMDIST(LN(G25),7.45231,0.73998,1)</f>
        <v>2.7808934826373125E-4</v>
      </c>
      <c r="M25" s="59">
        <f>1/(1+EXP(6.3055-0.00094*K25))</f>
        <v>1.9371555067786699E-2</v>
      </c>
      <c r="N25" s="52">
        <f>ROUND(1-(1-L25)*(1-M25),3)</f>
        <v>0.02</v>
      </c>
      <c r="O25" s="10">
        <f>ROUND(N25/0.15,2)</f>
        <v>0.13</v>
      </c>
      <c r="P25" s="25">
        <f>IF(O25&lt;0.67,5,IF(O25&lt;1,4,IF(O25&lt;1.33,3,IF(O25&lt;2.67,2,1))))</f>
        <v>5</v>
      </c>
      <c r="Q25" s="53">
        <f>ROUND((0.8*'Side MDB'!W25+0.2*'Side Pole'!N25),3)</f>
        <v>2.1999999999999999E-2</v>
      </c>
      <c r="R25" s="53">
        <f>ROUND((Q25)/0.15,2)</f>
        <v>0.15</v>
      </c>
      <c r="S25" s="25">
        <f>IF(R25&lt;0.67,5,IF(R25&lt;1,4,IF(R25&lt;1.33,3,IF(R25&lt;2.67,2,1))))</f>
        <v>5</v>
      </c>
      <c r="T25" s="53">
        <f>ROUND(((0.8*'Side MDB'!W25+0.2*'Side Pole'!N25)+(IF('Side MDB'!X25="N/A",(0.8*'Side MDB'!W25+0.2*'Side Pole'!N25),'Side MDB'!X25)))/2,3)</f>
        <v>1.7000000000000001E-2</v>
      </c>
      <c r="U25" s="53">
        <f>ROUND((T25)/0.15,2)</f>
        <v>0.11</v>
      </c>
      <c r="V25" s="25">
        <f>IF(U25&lt;0.67,5,IF(U25&lt;1,4,IF(U25&lt;1.33,3,IF(U25&lt;2.67,2,1))))</f>
        <v>5</v>
      </c>
      <c r="W25" s="136"/>
      <c r="X25" s="137"/>
      <c r="Y25" s="137"/>
      <c r="Z25" s="137"/>
    </row>
    <row r="26" spans="1:37" ht="14.1" customHeight="1">
      <c r="A26" s="130">
        <v>10345</v>
      </c>
      <c r="B26" s="130" t="s">
        <v>270</v>
      </c>
      <c r="C26" s="16" t="str">
        <f>Rollover!A26</f>
        <v>Lincoln</v>
      </c>
      <c r="D26" s="16" t="str">
        <f>Rollover!B26</f>
        <v>Navigator EL 2WD</v>
      </c>
      <c r="E26" s="10" t="s">
        <v>157</v>
      </c>
      <c r="F26" s="25">
        <f>Rollover!C26</f>
        <v>2022</v>
      </c>
      <c r="G26" s="50">
        <v>133.995</v>
      </c>
      <c r="H26" s="19">
        <v>20.491</v>
      </c>
      <c r="I26" s="19">
        <v>46.503999999999998</v>
      </c>
      <c r="J26" s="51">
        <v>17.082000000000001</v>
      </c>
      <c r="K26" s="51">
        <v>2533.098</v>
      </c>
      <c r="L26" s="52">
        <f>NORMDIST(LN(G26),7.45231,0.73998,1)</f>
        <v>2.7808934826373125E-4</v>
      </c>
      <c r="M26" s="59">
        <f>1/(1+EXP(6.3055-0.00094*K26))</f>
        <v>1.9371555067786699E-2</v>
      </c>
      <c r="N26" s="52">
        <f>ROUND(1-(1-L26)*(1-M26),3)</f>
        <v>0.02</v>
      </c>
      <c r="O26" s="10">
        <f>ROUND(N26/0.15,2)</f>
        <v>0.13</v>
      </c>
      <c r="P26" s="25">
        <f>IF(O26&lt;0.67,5,IF(O26&lt;1,4,IF(O26&lt;1.33,3,IF(O26&lt;2.67,2,1))))</f>
        <v>5</v>
      </c>
      <c r="Q26" s="53">
        <f>ROUND((0.8*'Side MDB'!W26+0.2*'Side Pole'!N26),3)</f>
        <v>2.1999999999999999E-2</v>
      </c>
      <c r="R26" s="53">
        <f>ROUND((Q26)/0.15,2)</f>
        <v>0.15</v>
      </c>
      <c r="S26" s="25">
        <f>IF(R26&lt;0.67,5,IF(R26&lt;1,4,IF(R26&lt;1.33,3,IF(R26&lt;2.67,2,1))))</f>
        <v>5</v>
      </c>
      <c r="T26" s="53">
        <f>ROUND(((0.8*'Side MDB'!W26+0.2*'Side Pole'!N26)+(IF('Side MDB'!X26="N/A",(0.8*'Side MDB'!W26+0.2*'Side Pole'!N26),'Side MDB'!X26)))/2,3)</f>
        <v>1.7000000000000001E-2</v>
      </c>
      <c r="U26" s="53">
        <f>ROUND((T26)/0.15,2)</f>
        <v>0.11</v>
      </c>
      <c r="V26" s="25">
        <f>IF(U26&lt;0.67,5,IF(U26&lt;1,4,IF(U26&lt;1.33,3,IF(U26&lt;2.67,2,1))))</f>
        <v>5</v>
      </c>
      <c r="W26" s="136"/>
      <c r="X26" s="137"/>
      <c r="Y26" s="137"/>
      <c r="Z26" s="137"/>
    </row>
    <row r="27" spans="1:37" ht="14.1" customHeight="1">
      <c r="A27" s="130">
        <v>10345</v>
      </c>
      <c r="B27" s="130" t="s">
        <v>270</v>
      </c>
      <c r="C27" s="16" t="str">
        <f>Rollover!A27</f>
        <v>Lincoln</v>
      </c>
      <c r="D27" s="16" t="str">
        <f>Rollover!B27</f>
        <v>Navigator EL 4WD</v>
      </c>
      <c r="E27" s="10" t="s">
        <v>157</v>
      </c>
      <c r="F27" s="25">
        <f>Rollover!C27</f>
        <v>2022</v>
      </c>
      <c r="G27" s="50">
        <v>133.995</v>
      </c>
      <c r="H27" s="19">
        <v>20.491</v>
      </c>
      <c r="I27" s="19">
        <v>46.503999999999998</v>
      </c>
      <c r="J27" s="51">
        <v>17.082000000000001</v>
      </c>
      <c r="K27" s="51">
        <v>2533.098</v>
      </c>
      <c r="L27" s="52">
        <f>NORMDIST(LN(G27),7.45231,0.73998,1)</f>
        <v>2.7808934826373125E-4</v>
      </c>
      <c r="M27" s="59">
        <f>1/(1+EXP(6.3055-0.00094*K27))</f>
        <v>1.9371555067786699E-2</v>
      </c>
      <c r="N27" s="52">
        <f>ROUND(1-(1-L27)*(1-M27),3)</f>
        <v>0.02</v>
      </c>
      <c r="O27" s="10">
        <f>ROUND(N27/0.15,2)</f>
        <v>0.13</v>
      </c>
      <c r="P27" s="25">
        <f>IF(O27&lt;0.67,5,IF(O27&lt;1,4,IF(O27&lt;1.33,3,IF(O27&lt;2.67,2,1))))</f>
        <v>5</v>
      </c>
      <c r="Q27" s="53">
        <f>ROUND((0.8*'Side MDB'!W27+0.2*'Side Pole'!N27),3)</f>
        <v>2.1999999999999999E-2</v>
      </c>
      <c r="R27" s="53">
        <f>ROUND((Q27)/0.15,2)</f>
        <v>0.15</v>
      </c>
      <c r="S27" s="25">
        <f>IF(R27&lt;0.67,5,IF(R27&lt;1,4,IF(R27&lt;1.33,3,IF(R27&lt;2.67,2,1))))</f>
        <v>5</v>
      </c>
      <c r="T27" s="53">
        <f>ROUND(((0.8*'Side MDB'!W27+0.2*'Side Pole'!N27)+(IF('Side MDB'!X27="N/A",(0.8*'Side MDB'!W27+0.2*'Side Pole'!N27),'Side MDB'!X27)))/2,3)</f>
        <v>1.7000000000000001E-2</v>
      </c>
      <c r="U27" s="53">
        <f>ROUND((T27)/0.15,2)</f>
        <v>0.11</v>
      </c>
      <c r="V27" s="25">
        <f>IF(U27&lt;0.67,5,IF(U27&lt;1,4,IF(U27&lt;1.33,3,IF(U27&lt;2.67,2,1))))</f>
        <v>5</v>
      </c>
      <c r="W27" s="136"/>
      <c r="X27" s="137"/>
      <c r="Y27" s="137"/>
      <c r="Z27" s="137"/>
    </row>
    <row r="28" spans="1:37" ht="14.1" customHeight="1">
      <c r="A28" s="130">
        <v>14320</v>
      </c>
      <c r="B28" s="130" t="s">
        <v>271</v>
      </c>
      <c r="C28" s="119" t="str">
        <f>Rollover!A28</f>
        <v>Ford</v>
      </c>
      <c r="D28" s="119" t="str">
        <f>Rollover!B28</f>
        <v>F-150 Lightning BEV PU/CC 4WD</v>
      </c>
      <c r="E28" s="70" t="s">
        <v>155</v>
      </c>
      <c r="F28" s="132">
        <f>Rollover!C28</f>
        <v>2022</v>
      </c>
      <c r="G28" s="50">
        <v>264.07</v>
      </c>
      <c r="H28" s="19">
        <v>17.675999999999998</v>
      </c>
      <c r="I28" s="19">
        <v>47.234999999999999</v>
      </c>
      <c r="J28" s="51">
        <v>14.092000000000001</v>
      </c>
      <c r="K28" s="51">
        <v>1900.4770000000001</v>
      </c>
      <c r="L28" s="52">
        <f t="shared" si="10"/>
        <v>5.6170224771449001E-3</v>
      </c>
      <c r="M28" s="59">
        <f t="shared" si="11"/>
        <v>1.0781840387972452E-2</v>
      </c>
      <c r="N28" s="52">
        <f t="shared" si="12"/>
        <v>1.6E-2</v>
      </c>
      <c r="O28" s="10">
        <f t="shared" si="13"/>
        <v>0.11</v>
      </c>
      <c r="P28" s="25">
        <f t="shared" si="14"/>
        <v>5</v>
      </c>
      <c r="Q28" s="53">
        <f>ROUND((0.8*'Side MDB'!W28+0.2*'Side Pole'!N28),3)</f>
        <v>2.1999999999999999E-2</v>
      </c>
      <c r="R28" s="53">
        <f t="shared" si="15"/>
        <v>0.15</v>
      </c>
      <c r="S28" s="25">
        <f t="shared" si="16"/>
        <v>5</v>
      </c>
      <c r="T28" s="53">
        <f>ROUND(((0.8*'Side MDB'!W28+0.2*'Side Pole'!N28)+(IF('Side MDB'!X28="N/A",(0.8*'Side MDB'!W28+0.2*'Side Pole'!N28),'Side MDB'!X28)))/2,3)</f>
        <v>1.2E-2</v>
      </c>
      <c r="U28" s="53">
        <f t="shared" si="17"/>
        <v>0.08</v>
      </c>
      <c r="V28" s="25">
        <f t="shared" si="18"/>
        <v>5</v>
      </c>
      <c r="W28" s="23"/>
      <c r="X28" s="36"/>
      <c r="Y28" s="36"/>
      <c r="Z28" s="36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4.1" customHeight="1">
      <c r="A29" s="130">
        <v>14247</v>
      </c>
      <c r="B29" s="130" t="s">
        <v>272</v>
      </c>
      <c r="C29" s="119" t="str">
        <f>Rollover!A29</f>
        <v>Ford</v>
      </c>
      <c r="D29" s="119" t="str">
        <f>Rollover!B29</f>
        <v>F-150 Super Crew HEV PU/CC 2WD</v>
      </c>
      <c r="E29" s="70" t="s">
        <v>155</v>
      </c>
      <c r="F29" s="132">
        <f>Rollover!C29</f>
        <v>2022</v>
      </c>
      <c r="G29" s="50">
        <v>225.839</v>
      </c>
      <c r="H29" s="19">
        <v>18.535</v>
      </c>
      <c r="I29" s="19">
        <v>52.679000000000002</v>
      </c>
      <c r="J29" s="51">
        <v>16.404</v>
      </c>
      <c r="K29" s="51">
        <v>2565.9879999999998</v>
      </c>
      <c r="L29" s="52">
        <f t="shared" si="10"/>
        <v>3.0100997663424539E-3</v>
      </c>
      <c r="M29" s="59">
        <f t="shared" si="11"/>
        <v>1.9967666385774217E-2</v>
      </c>
      <c r="N29" s="52">
        <f t="shared" si="12"/>
        <v>2.3E-2</v>
      </c>
      <c r="O29" s="10">
        <f t="shared" si="13"/>
        <v>0.15</v>
      </c>
      <c r="P29" s="25">
        <f t="shared" si="14"/>
        <v>5</v>
      </c>
      <c r="Q29" s="53">
        <f>ROUND((0.8*'Side MDB'!W29+0.2*'Side Pole'!N29),3)</f>
        <v>2.4E-2</v>
      </c>
      <c r="R29" s="53">
        <f t="shared" si="15"/>
        <v>0.16</v>
      </c>
      <c r="S29" s="25">
        <f t="shared" si="16"/>
        <v>5</v>
      </c>
      <c r="T29" s="53">
        <f>ROUND(((0.8*'Side MDB'!W29+0.2*'Side Pole'!N29)+(IF('Side MDB'!X29="N/A",(0.8*'Side MDB'!W29+0.2*'Side Pole'!N29),'Side MDB'!X29)))/2,3)</f>
        <v>1.2999999999999999E-2</v>
      </c>
      <c r="U29" s="53">
        <f t="shared" si="17"/>
        <v>0.09</v>
      </c>
      <c r="V29" s="25">
        <f t="shared" si="18"/>
        <v>5</v>
      </c>
      <c r="W29" s="23"/>
      <c r="X29" s="36"/>
      <c r="Y29" s="36"/>
      <c r="Z29" s="3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4.1" customHeight="1">
      <c r="A30" s="130">
        <v>14247</v>
      </c>
      <c r="B30" s="130" t="s">
        <v>272</v>
      </c>
      <c r="C30" s="119" t="str">
        <f>Rollover!A30</f>
        <v>Ford</v>
      </c>
      <c r="D30" s="119" t="str">
        <f>Rollover!B30</f>
        <v>F-150 Super Crew HEV PU/CC 4WD</v>
      </c>
      <c r="E30" s="70" t="s">
        <v>155</v>
      </c>
      <c r="F30" s="132">
        <f>Rollover!C30</f>
        <v>2022</v>
      </c>
      <c r="G30" s="50">
        <v>225.839</v>
      </c>
      <c r="H30" s="19">
        <v>18.535</v>
      </c>
      <c r="I30" s="19">
        <v>52.679000000000002</v>
      </c>
      <c r="J30" s="51">
        <v>16.404</v>
      </c>
      <c r="K30" s="51">
        <v>2565.9879999999998</v>
      </c>
      <c r="L30" s="52">
        <f t="shared" si="10"/>
        <v>3.0100997663424539E-3</v>
      </c>
      <c r="M30" s="59">
        <f t="shared" si="11"/>
        <v>1.9967666385774217E-2</v>
      </c>
      <c r="N30" s="52">
        <f t="shared" si="12"/>
        <v>2.3E-2</v>
      </c>
      <c r="O30" s="10">
        <f t="shared" si="13"/>
        <v>0.15</v>
      </c>
      <c r="P30" s="25">
        <f t="shared" si="14"/>
        <v>5</v>
      </c>
      <c r="Q30" s="53">
        <f>ROUND((0.8*'Side MDB'!W30+0.2*'Side Pole'!N30),3)</f>
        <v>2.4E-2</v>
      </c>
      <c r="R30" s="53">
        <f t="shared" si="15"/>
        <v>0.16</v>
      </c>
      <c r="S30" s="25">
        <f t="shared" si="16"/>
        <v>5</v>
      </c>
      <c r="T30" s="53">
        <f>ROUND(((0.8*'Side MDB'!W30+0.2*'Side Pole'!N30)+(IF('Side MDB'!X30="N/A",(0.8*'Side MDB'!W30+0.2*'Side Pole'!N30),'Side MDB'!X30)))/2,3)</f>
        <v>1.2999999999999999E-2</v>
      </c>
      <c r="U30" s="53">
        <f t="shared" si="17"/>
        <v>0.09</v>
      </c>
      <c r="V30" s="25">
        <f t="shared" si="18"/>
        <v>5</v>
      </c>
      <c r="W30" s="23"/>
      <c r="X30" s="36"/>
      <c r="Y30" s="36"/>
      <c r="Z30" s="3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4.1" customHeight="1">
      <c r="A31" s="130">
        <v>14213</v>
      </c>
      <c r="B31" s="130" t="s">
        <v>273</v>
      </c>
      <c r="C31" s="119" t="str">
        <f>Rollover!A31</f>
        <v>Ford</v>
      </c>
      <c r="D31" s="119" t="str">
        <f>Rollover!B31</f>
        <v>F-250 Super Cab PU/EC 2WD</v>
      </c>
      <c r="E31" s="70"/>
      <c r="F31" s="132">
        <f>Rollover!C31</f>
        <v>2022</v>
      </c>
      <c r="G31" s="50">
        <v>226.59200000000001</v>
      </c>
      <c r="H31" s="19">
        <v>20.651</v>
      </c>
      <c r="I31" s="19">
        <v>34.637999999999998</v>
      </c>
      <c r="J31" s="51">
        <v>18.652999999999999</v>
      </c>
      <c r="K31" s="51">
        <v>2552.3679999999999</v>
      </c>
      <c r="L31" s="52">
        <f t="shared" si="10"/>
        <v>3.0516367610322792E-3</v>
      </c>
      <c r="M31" s="59">
        <f t="shared" si="11"/>
        <v>1.9718662639488828E-2</v>
      </c>
      <c r="N31" s="52">
        <f t="shared" si="12"/>
        <v>2.3E-2</v>
      </c>
      <c r="O31" s="10">
        <f t="shared" si="13"/>
        <v>0.15</v>
      </c>
      <c r="P31" s="25">
        <f t="shared" si="14"/>
        <v>5</v>
      </c>
      <c r="Q31" s="53">
        <f>ROUND((0.8*'Side MDB'!W31+0.2*'Side Pole'!N31),3)</f>
        <v>3.1E-2</v>
      </c>
      <c r="R31" s="53">
        <f t="shared" si="15"/>
        <v>0.21</v>
      </c>
      <c r="S31" s="25">
        <f t="shared" si="16"/>
        <v>5</v>
      </c>
      <c r="T31" s="53">
        <f>ROUND(((0.8*'Side MDB'!W31+0.2*'Side Pole'!N31)+(IF('Side MDB'!X31="N/A",(0.8*'Side MDB'!W31+0.2*'Side Pole'!N31),'Side MDB'!X31)))/2,3)</f>
        <v>1.7000000000000001E-2</v>
      </c>
      <c r="U31" s="53">
        <f t="shared" si="17"/>
        <v>0.11</v>
      </c>
      <c r="V31" s="25">
        <f t="shared" si="18"/>
        <v>5</v>
      </c>
      <c r="W31" s="23"/>
      <c r="X31" s="36"/>
      <c r="Y31" s="36"/>
      <c r="Z31" s="3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4.1" customHeight="1">
      <c r="A32" s="130">
        <v>14213</v>
      </c>
      <c r="B32" s="130" t="s">
        <v>273</v>
      </c>
      <c r="C32" s="119" t="str">
        <f>Rollover!A32</f>
        <v>Ford</v>
      </c>
      <c r="D32" s="119" t="str">
        <f>Rollover!B32</f>
        <v>F-250 Super Cab PU/EC 4WD</v>
      </c>
      <c r="E32" s="70"/>
      <c r="F32" s="132">
        <f>Rollover!C32</f>
        <v>2022</v>
      </c>
      <c r="G32" s="50">
        <v>226.59200000000001</v>
      </c>
      <c r="H32" s="19">
        <v>20.651</v>
      </c>
      <c r="I32" s="19">
        <v>34.637999999999998</v>
      </c>
      <c r="J32" s="51">
        <v>18.652999999999999</v>
      </c>
      <c r="K32" s="51">
        <v>2552.3679999999999</v>
      </c>
      <c r="L32" s="52">
        <f t="shared" si="10"/>
        <v>3.0516367610322792E-3</v>
      </c>
      <c r="M32" s="59">
        <f t="shared" si="11"/>
        <v>1.9718662639488828E-2</v>
      </c>
      <c r="N32" s="52">
        <f t="shared" si="12"/>
        <v>2.3E-2</v>
      </c>
      <c r="O32" s="10">
        <f t="shared" si="13"/>
        <v>0.15</v>
      </c>
      <c r="P32" s="25">
        <f t="shared" si="14"/>
        <v>5</v>
      </c>
      <c r="Q32" s="53">
        <f>ROUND((0.8*'Side MDB'!W32+0.2*'Side Pole'!N32),3)</f>
        <v>3.1E-2</v>
      </c>
      <c r="R32" s="53">
        <f t="shared" si="15"/>
        <v>0.21</v>
      </c>
      <c r="S32" s="25">
        <f t="shared" si="16"/>
        <v>5</v>
      </c>
      <c r="T32" s="53">
        <f>ROUND(((0.8*'Side MDB'!W32+0.2*'Side Pole'!N32)+(IF('Side MDB'!X32="N/A",(0.8*'Side MDB'!W32+0.2*'Side Pole'!N32),'Side MDB'!X32)))/2,3)</f>
        <v>1.7000000000000001E-2</v>
      </c>
      <c r="U32" s="53">
        <f t="shared" si="17"/>
        <v>0.11</v>
      </c>
      <c r="V32" s="25">
        <f t="shared" si="18"/>
        <v>5</v>
      </c>
      <c r="W32" s="23"/>
      <c r="X32" s="36"/>
      <c r="Y32" s="36"/>
      <c r="Z32" s="36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4.1" customHeight="1">
      <c r="A33" s="130">
        <v>14128</v>
      </c>
      <c r="B33" s="130" t="s">
        <v>274</v>
      </c>
      <c r="C33" s="119" t="str">
        <f>Rollover!A33</f>
        <v>Ford</v>
      </c>
      <c r="D33" s="119" t="str">
        <f>Rollover!B33</f>
        <v>Maverick PU/CC FWD</v>
      </c>
      <c r="E33" s="70" t="s">
        <v>157</v>
      </c>
      <c r="F33" s="132">
        <f>Rollover!C33</f>
        <v>2022</v>
      </c>
      <c r="G33" s="50">
        <v>255.27199999999999</v>
      </c>
      <c r="H33" s="19">
        <v>18.356999999999999</v>
      </c>
      <c r="I33" s="19">
        <v>34.758000000000003</v>
      </c>
      <c r="J33" s="51">
        <v>13.554</v>
      </c>
      <c r="K33" s="51">
        <v>2039.152</v>
      </c>
      <c r="L33" s="52">
        <f t="shared" si="10"/>
        <v>4.9239558858631119E-3</v>
      </c>
      <c r="M33" s="59">
        <f t="shared" si="11"/>
        <v>1.2264608044572866E-2</v>
      </c>
      <c r="N33" s="52">
        <f t="shared" si="12"/>
        <v>1.7000000000000001E-2</v>
      </c>
      <c r="O33" s="10">
        <f t="shared" si="13"/>
        <v>0.11</v>
      </c>
      <c r="P33" s="25">
        <f t="shared" si="14"/>
        <v>5</v>
      </c>
      <c r="Q33" s="53">
        <f>ROUND((0.8*'Side MDB'!W33+0.2*'Side Pole'!N33),3)</f>
        <v>3.1E-2</v>
      </c>
      <c r="R33" s="53">
        <f t="shared" si="15"/>
        <v>0.21</v>
      </c>
      <c r="S33" s="25">
        <f t="shared" si="16"/>
        <v>5</v>
      </c>
      <c r="T33" s="53">
        <f>ROUND(((0.8*'Side MDB'!W33+0.2*'Side Pole'!N33)+(IF('Side MDB'!X33="N/A",(0.8*'Side MDB'!W33+0.2*'Side Pole'!N33),'Side MDB'!X33)))/2,3)</f>
        <v>6.4000000000000001E-2</v>
      </c>
      <c r="U33" s="53">
        <f t="shared" si="17"/>
        <v>0.43</v>
      </c>
      <c r="V33" s="25">
        <f t="shared" si="18"/>
        <v>5</v>
      </c>
      <c r="W33" s="23"/>
      <c r="X33" s="36"/>
      <c r="Y33" s="36"/>
      <c r="Z33" s="36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4.1" customHeight="1">
      <c r="A34" s="130">
        <v>14128</v>
      </c>
      <c r="B34" s="130" t="s">
        <v>274</v>
      </c>
      <c r="C34" s="131" t="str">
        <f>Rollover!A34</f>
        <v>Ford</v>
      </c>
      <c r="D34" s="131" t="str">
        <f>Rollover!B34</f>
        <v>Maverick PU/CC 4WD</v>
      </c>
      <c r="E34" s="70" t="s">
        <v>157</v>
      </c>
      <c r="F34" s="132">
        <f>Rollover!C34</f>
        <v>2022</v>
      </c>
      <c r="G34" s="50">
        <v>255.27199999999999</v>
      </c>
      <c r="H34" s="19">
        <v>18.356999999999999</v>
      </c>
      <c r="I34" s="19">
        <v>34.758000000000003</v>
      </c>
      <c r="J34" s="51">
        <v>13.554</v>
      </c>
      <c r="K34" s="51">
        <v>2039.152</v>
      </c>
      <c r="L34" s="52">
        <f t="shared" si="10"/>
        <v>4.9239558858631119E-3</v>
      </c>
      <c r="M34" s="59">
        <f t="shared" si="11"/>
        <v>1.2264608044572866E-2</v>
      </c>
      <c r="N34" s="52">
        <f t="shared" si="12"/>
        <v>1.7000000000000001E-2</v>
      </c>
      <c r="O34" s="10">
        <f t="shared" si="13"/>
        <v>0.11</v>
      </c>
      <c r="P34" s="25">
        <f t="shared" si="14"/>
        <v>5</v>
      </c>
      <c r="Q34" s="53">
        <f>ROUND((0.8*'Side MDB'!W34+0.2*'Side Pole'!N34),3)</f>
        <v>3.1E-2</v>
      </c>
      <c r="R34" s="53">
        <f t="shared" si="15"/>
        <v>0.21</v>
      </c>
      <c r="S34" s="25">
        <f t="shared" si="16"/>
        <v>5</v>
      </c>
      <c r="T34" s="53">
        <f>ROUND(((0.8*'Side MDB'!W34+0.2*'Side Pole'!N34)+(IF('Side MDB'!X34="N/A",(0.8*'Side MDB'!W34+0.2*'Side Pole'!N34),'Side MDB'!X34)))/2,3)</f>
        <v>6.4000000000000001E-2</v>
      </c>
      <c r="U34" s="53">
        <f t="shared" si="17"/>
        <v>0.43</v>
      </c>
      <c r="V34" s="25">
        <f t="shared" si="18"/>
        <v>5</v>
      </c>
      <c r="W34" s="23"/>
      <c r="X34" s="36"/>
      <c r="Y34" s="36"/>
      <c r="Z34" s="36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4.1" customHeight="1">
      <c r="A35" s="130">
        <v>14128</v>
      </c>
      <c r="B35" s="130" t="s">
        <v>274</v>
      </c>
      <c r="C35" s="131" t="str">
        <f>Rollover!A35</f>
        <v>Ford</v>
      </c>
      <c r="D35" s="131" t="str">
        <f>Rollover!B35</f>
        <v>Maverick HEV PU/CC FWD</v>
      </c>
      <c r="E35" s="70" t="s">
        <v>157</v>
      </c>
      <c r="F35" s="132">
        <f>Rollover!C35</f>
        <v>2022</v>
      </c>
      <c r="G35" s="50">
        <v>255.27199999999999</v>
      </c>
      <c r="H35" s="19">
        <v>18.356999999999999</v>
      </c>
      <c r="I35" s="19">
        <v>34.758000000000003</v>
      </c>
      <c r="J35" s="51">
        <v>13.554</v>
      </c>
      <c r="K35" s="51">
        <v>2039.152</v>
      </c>
      <c r="L35" s="52">
        <f t="shared" si="10"/>
        <v>4.9239558858631119E-3</v>
      </c>
      <c r="M35" s="59">
        <f t="shared" si="11"/>
        <v>1.2264608044572866E-2</v>
      </c>
      <c r="N35" s="52">
        <f t="shared" si="12"/>
        <v>1.7000000000000001E-2</v>
      </c>
      <c r="O35" s="10">
        <f t="shared" si="13"/>
        <v>0.11</v>
      </c>
      <c r="P35" s="25">
        <f t="shared" si="14"/>
        <v>5</v>
      </c>
      <c r="Q35" s="53">
        <f>ROUND((0.8*'Side MDB'!W35+0.2*'Side Pole'!N35),3)</f>
        <v>3.1E-2</v>
      </c>
      <c r="R35" s="53">
        <f t="shared" si="15"/>
        <v>0.21</v>
      </c>
      <c r="S35" s="25">
        <f t="shared" si="16"/>
        <v>5</v>
      </c>
      <c r="T35" s="53">
        <f>ROUND(((0.8*'Side MDB'!W35+0.2*'Side Pole'!N35)+(IF('Side MDB'!X35="N/A",(0.8*'Side MDB'!W35+0.2*'Side Pole'!N35),'Side MDB'!X35)))/2,3)</f>
        <v>6.4000000000000001E-2</v>
      </c>
      <c r="U35" s="53">
        <f t="shared" si="17"/>
        <v>0.43</v>
      </c>
      <c r="V35" s="25">
        <f t="shared" si="18"/>
        <v>5</v>
      </c>
      <c r="W35" s="23"/>
      <c r="X35" s="36"/>
      <c r="Y35" s="36"/>
      <c r="Z35" s="36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4.1" customHeight="1">
      <c r="A36" s="130">
        <v>14293</v>
      </c>
      <c r="B36" s="130" t="s">
        <v>275</v>
      </c>
      <c r="C36" s="119" t="str">
        <f>Rollover!A36</f>
        <v>Ford</v>
      </c>
      <c r="D36" s="119" t="str">
        <f>Rollover!B36</f>
        <v>Ranger Super Cab PU/EC 2WD</v>
      </c>
      <c r="E36" s="70" t="s">
        <v>155</v>
      </c>
      <c r="F36" s="132">
        <f>Rollover!C36</f>
        <v>2022</v>
      </c>
      <c r="G36" s="50">
        <v>322.67700000000002</v>
      </c>
      <c r="H36" s="19">
        <v>18.126000000000001</v>
      </c>
      <c r="I36" s="19">
        <v>41.863999999999997</v>
      </c>
      <c r="J36" s="51">
        <v>20.494</v>
      </c>
      <c r="K36" s="51">
        <v>2548.1460000000002</v>
      </c>
      <c r="L36" s="52">
        <f t="shared" si="10"/>
        <v>1.1772791341200024E-2</v>
      </c>
      <c r="M36" s="59">
        <f t="shared" si="11"/>
        <v>1.9642094747301272E-2</v>
      </c>
      <c r="N36" s="52">
        <f t="shared" si="12"/>
        <v>3.1E-2</v>
      </c>
      <c r="O36" s="10">
        <f t="shared" si="13"/>
        <v>0.21</v>
      </c>
      <c r="P36" s="25">
        <f t="shared" si="14"/>
        <v>5</v>
      </c>
      <c r="Q36" s="53">
        <f>ROUND((0.8*'Side MDB'!W36+0.2*'Side Pole'!N36),3)</f>
        <v>3.1E-2</v>
      </c>
      <c r="R36" s="53">
        <f t="shared" si="15"/>
        <v>0.21</v>
      </c>
      <c r="S36" s="25">
        <f t="shared" si="16"/>
        <v>5</v>
      </c>
      <c r="T36" s="53">
        <f>ROUND(((0.8*'Side MDB'!W36+0.2*'Side Pole'!N36)+(IF('Side MDB'!X36="N/A",(0.8*'Side MDB'!W36+0.2*'Side Pole'!N36),'Side MDB'!X36)))/2,3)</f>
        <v>2.5999999999999999E-2</v>
      </c>
      <c r="U36" s="53">
        <f t="shared" si="17"/>
        <v>0.17</v>
      </c>
      <c r="V36" s="25">
        <f t="shared" si="18"/>
        <v>5</v>
      </c>
      <c r="W36" s="23"/>
      <c r="X36" s="36"/>
      <c r="Y36" s="36"/>
      <c r="Z36" s="36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4.1" customHeight="1">
      <c r="A37" s="130">
        <v>14293</v>
      </c>
      <c r="B37" s="130" t="s">
        <v>275</v>
      </c>
      <c r="C37" s="119" t="str">
        <f>Rollover!A37</f>
        <v>Ford</v>
      </c>
      <c r="D37" s="119" t="str">
        <f>Rollover!B37</f>
        <v>Ranger Super Cab PU/EC 4WD</v>
      </c>
      <c r="E37" s="70" t="s">
        <v>155</v>
      </c>
      <c r="F37" s="132">
        <f>Rollover!C37</f>
        <v>2022</v>
      </c>
      <c r="G37" s="50">
        <v>322.67700000000002</v>
      </c>
      <c r="H37" s="19">
        <v>18.126000000000001</v>
      </c>
      <c r="I37" s="19">
        <v>41.863999999999997</v>
      </c>
      <c r="J37" s="51">
        <v>20.494</v>
      </c>
      <c r="K37" s="51">
        <v>2548.1460000000002</v>
      </c>
      <c r="L37" s="52">
        <f t="shared" si="10"/>
        <v>1.1772791341200024E-2</v>
      </c>
      <c r="M37" s="59">
        <f t="shared" si="11"/>
        <v>1.9642094747301272E-2</v>
      </c>
      <c r="N37" s="52">
        <f t="shared" si="12"/>
        <v>3.1E-2</v>
      </c>
      <c r="O37" s="10">
        <f t="shared" si="13"/>
        <v>0.21</v>
      </c>
      <c r="P37" s="25">
        <f t="shared" si="14"/>
        <v>5</v>
      </c>
      <c r="Q37" s="53">
        <f>ROUND((0.8*'Side MDB'!W37+0.2*'Side Pole'!N37),3)</f>
        <v>3.1E-2</v>
      </c>
      <c r="R37" s="53">
        <f t="shared" si="15"/>
        <v>0.21</v>
      </c>
      <c r="S37" s="25">
        <f t="shared" si="16"/>
        <v>5</v>
      </c>
      <c r="T37" s="53">
        <f>ROUND(((0.8*'Side MDB'!W37+0.2*'Side Pole'!N37)+(IF('Side MDB'!X37="N/A",(0.8*'Side MDB'!W37+0.2*'Side Pole'!N37),'Side MDB'!X37)))/2,3)</f>
        <v>2.5999999999999999E-2</v>
      </c>
      <c r="U37" s="53">
        <f t="shared" si="17"/>
        <v>0.17</v>
      </c>
      <c r="V37" s="25">
        <f t="shared" si="18"/>
        <v>5</v>
      </c>
      <c r="W37" s="23"/>
      <c r="X37" s="36"/>
      <c r="Y37" s="36"/>
      <c r="Z37" s="36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4.1" customHeight="1">
      <c r="A38" s="130">
        <v>14050</v>
      </c>
      <c r="B38" s="130" t="s">
        <v>276</v>
      </c>
      <c r="C38" s="119" t="str">
        <f>Rollover!A38</f>
        <v>Honda</v>
      </c>
      <c r="D38" s="119" t="str">
        <f>Rollover!B38</f>
        <v>Civic 4DR FWD</v>
      </c>
      <c r="E38" s="70" t="s">
        <v>155</v>
      </c>
      <c r="F38" s="132">
        <f>Rollover!C38</f>
        <v>2022</v>
      </c>
      <c r="G38" s="50">
        <v>260.16300000000001</v>
      </c>
      <c r="H38" s="19">
        <v>18.45</v>
      </c>
      <c r="I38" s="19">
        <v>50.851999999999997</v>
      </c>
      <c r="J38" s="51">
        <v>26.135999999999999</v>
      </c>
      <c r="K38" s="51">
        <v>3579.76</v>
      </c>
      <c r="L38" s="52">
        <f t="shared" si="10"/>
        <v>5.3021231425712861E-3</v>
      </c>
      <c r="M38" s="59">
        <f t="shared" si="11"/>
        <v>5.0186213198040945E-2</v>
      </c>
      <c r="N38" s="52">
        <f t="shared" si="12"/>
        <v>5.5E-2</v>
      </c>
      <c r="O38" s="10">
        <f t="shared" si="13"/>
        <v>0.37</v>
      </c>
      <c r="P38" s="25">
        <f t="shared" si="14"/>
        <v>5</v>
      </c>
      <c r="Q38" s="53">
        <f>ROUND((0.8*'Side MDB'!W38+0.2*'Side Pole'!N38),3)</f>
        <v>6.0999999999999999E-2</v>
      </c>
      <c r="R38" s="53">
        <f t="shared" si="15"/>
        <v>0.41</v>
      </c>
      <c r="S38" s="25">
        <f t="shared" si="16"/>
        <v>5</v>
      </c>
      <c r="T38" s="53">
        <f>ROUND(((0.8*'Side MDB'!W38+0.2*'Side Pole'!N38)+(IF('Side MDB'!X38="N/A",(0.8*'Side MDB'!W38+0.2*'Side Pole'!N38),'Side MDB'!X38)))/2,3)</f>
        <v>4.1000000000000002E-2</v>
      </c>
      <c r="U38" s="53">
        <f t="shared" si="17"/>
        <v>0.27</v>
      </c>
      <c r="V38" s="25">
        <f t="shared" si="18"/>
        <v>5</v>
      </c>
      <c r="W38" s="23"/>
      <c r="X38" s="36"/>
      <c r="Y38" s="36"/>
      <c r="Z38" s="36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4.1" customHeight="1">
      <c r="A39" s="130">
        <v>14050</v>
      </c>
      <c r="B39" s="130" t="s">
        <v>276</v>
      </c>
      <c r="C39" s="131" t="str">
        <f>Rollover!A39</f>
        <v>Honda</v>
      </c>
      <c r="D39" s="131" t="str">
        <f>Rollover!B39</f>
        <v>Civic SI 4DR FWD</v>
      </c>
      <c r="E39" s="70" t="s">
        <v>155</v>
      </c>
      <c r="F39" s="132">
        <f>Rollover!C39</f>
        <v>2022</v>
      </c>
      <c r="G39" s="50">
        <v>260.16300000000001</v>
      </c>
      <c r="H39" s="19">
        <v>18.45</v>
      </c>
      <c r="I39" s="19">
        <v>50.851999999999997</v>
      </c>
      <c r="J39" s="51">
        <v>26.135999999999999</v>
      </c>
      <c r="K39" s="51">
        <v>3579.76</v>
      </c>
      <c r="L39" s="52">
        <f t="shared" si="10"/>
        <v>5.3021231425712861E-3</v>
      </c>
      <c r="M39" s="59">
        <f t="shared" si="11"/>
        <v>5.0186213198040945E-2</v>
      </c>
      <c r="N39" s="52">
        <f t="shared" si="12"/>
        <v>5.5E-2</v>
      </c>
      <c r="O39" s="10">
        <f t="shared" si="13"/>
        <v>0.37</v>
      </c>
      <c r="P39" s="25">
        <f t="shared" si="14"/>
        <v>5</v>
      </c>
      <c r="Q39" s="53">
        <f>ROUND((0.8*'Side MDB'!W39+0.2*'Side Pole'!N39),3)</f>
        <v>6.0999999999999999E-2</v>
      </c>
      <c r="R39" s="53">
        <f t="shared" si="15"/>
        <v>0.41</v>
      </c>
      <c r="S39" s="25">
        <f t="shared" si="16"/>
        <v>5</v>
      </c>
      <c r="T39" s="53">
        <f>ROUND(((0.8*'Side MDB'!W39+0.2*'Side Pole'!N39)+(IF('Side MDB'!X39="N/A",(0.8*'Side MDB'!W39+0.2*'Side Pole'!N39),'Side MDB'!X39)))/2,3)</f>
        <v>4.1000000000000002E-2</v>
      </c>
      <c r="U39" s="53">
        <f t="shared" si="17"/>
        <v>0.27</v>
      </c>
      <c r="V39" s="25">
        <f t="shared" si="18"/>
        <v>5</v>
      </c>
      <c r="W39" s="23"/>
      <c r="X39" s="36"/>
      <c r="Y39" s="36"/>
      <c r="Z39" s="36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4.1" customHeight="1">
      <c r="A40" s="130">
        <v>14050</v>
      </c>
      <c r="B40" s="130" t="s">
        <v>276</v>
      </c>
      <c r="C40" s="131" t="str">
        <f>Rollover!A40</f>
        <v>Honda</v>
      </c>
      <c r="D40" s="131" t="str">
        <f>Rollover!B40</f>
        <v>Civic 5HB FWD</v>
      </c>
      <c r="E40" s="70" t="s">
        <v>155</v>
      </c>
      <c r="F40" s="132">
        <f>Rollover!C40</f>
        <v>2022</v>
      </c>
      <c r="G40" s="50">
        <v>260.16300000000001</v>
      </c>
      <c r="H40" s="19">
        <v>18.45</v>
      </c>
      <c r="I40" s="19">
        <v>50.851999999999997</v>
      </c>
      <c r="J40" s="51">
        <v>26.135999999999999</v>
      </c>
      <c r="K40" s="51">
        <v>3579.76</v>
      </c>
      <c r="L40" s="52">
        <f t="shared" si="10"/>
        <v>5.3021231425712861E-3</v>
      </c>
      <c r="M40" s="59">
        <f t="shared" si="11"/>
        <v>5.0186213198040945E-2</v>
      </c>
      <c r="N40" s="52">
        <f t="shared" si="12"/>
        <v>5.5E-2</v>
      </c>
      <c r="O40" s="10">
        <f t="shared" si="13"/>
        <v>0.37</v>
      </c>
      <c r="P40" s="25">
        <f t="shared" si="14"/>
        <v>5</v>
      </c>
      <c r="Q40" s="53">
        <f>ROUND((0.8*'Side MDB'!W40+0.2*'Side Pole'!N40),3)</f>
        <v>6.0999999999999999E-2</v>
      </c>
      <c r="R40" s="53">
        <f t="shared" si="15"/>
        <v>0.41</v>
      </c>
      <c r="S40" s="25">
        <f t="shared" si="16"/>
        <v>5</v>
      </c>
      <c r="T40" s="53">
        <f>ROUND(((0.8*'Side MDB'!W40+0.2*'Side Pole'!N40)+(IF('Side MDB'!X40="N/A",(0.8*'Side MDB'!W40+0.2*'Side Pole'!N40),'Side MDB'!X40)))/2,3)</f>
        <v>4.1000000000000002E-2</v>
      </c>
      <c r="U40" s="53">
        <f t="shared" si="17"/>
        <v>0.27</v>
      </c>
      <c r="V40" s="25">
        <f t="shared" si="18"/>
        <v>5</v>
      </c>
      <c r="W40" s="23"/>
      <c r="X40" s="36"/>
      <c r="Y40" s="36"/>
      <c r="Z40" s="36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4.1" customHeight="1">
      <c r="A41" s="130">
        <v>14092</v>
      </c>
      <c r="B41" s="130" t="s">
        <v>277</v>
      </c>
      <c r="C41" s="119" t="str">
        <f>Rollover!A41</f>
        <v>Hyundai</v>
      </c>
      <c r="D41" s="119" t="str">
        <f>Rollover!B41</f>
        <v>Ioniq 5 SUV RWD</v>
      </c>
      <c r="E41" s="70" t="s">
        <v>157</v>
      </c>
      <c r="F41" s="132">
        <f>Rollover!C41</f>
        <v>2022</v>
      </c>
      <c r="G41" s="50">
        <v>281.55</v>
      </c>
      <c r="H41" s="19">
        <v>19.459</v>
      </c>
      <c r="I41" s="19">
        <v>44.920999999999999</v>
      </c>
      <c r="J41" s="51">
        <v>23.422000000000001</v>
      </c>
      <c r="K41" s="51">
        <v>2259.5549999999998</v>
      </c>
      <c r="L41" s="52">
        <f t="shared" si="10"/>
        <v>7.1683466675384307E-3</v>
      </c>
      <c r="M41" s="59">
        <f t="shared" si="11"/>
        <v>1.5045473385594626E-2</v>
      </c>
      <c r="N41" s="52">
        <f t="shared" si="12"/>
        <v>2.1999999999999999E-2</v>
      </c>
      <c r="O41" s="10">
        <f t="shared" si="13"/>
        <v>0.15</v>
      </c>
      <c r="P41" s="25">
        <f t="shared" si="14"/>
        <v>5</v>
      </c>
      <c r="Q41" s="53">
        <f>ROUND((0.8*'Side MDB'!W41+0.2*'Side Pole'!N41),3)</f>
        <v>0.114</v>
      </c>
      <c r="R41" s="53">
        <f t="shared" si="15"/>
        <v>0.76</v>
      </c>
      <c r="S41" s="25">
        <f t="shared" si="16"/>
        <v>4</v>
      </c>
      <c r="T41" s="53">
        <f>ROUND(((0.8*'Side MDB'!W41+0.2*'Side Pole'!N41)+(IF('Side MDB'!X41="N/A",(0.8*'Side MDB'!W41+0.2*'Side Pole'!N41),'Side MDB'!X41)))/2,3)</f>
        <v>6.3E-2</v>
      </c>
      <c r="U41" s="53">
        <f t="shared" si="17"/>
        <v>0.42</v>
      </c>
      <c r="V41" s="25">
        <f t="shared" si="18"/>
        <v>5</v>
      </c>
      <c r="W41" s="23"/>
      <c r="X41" s="36"/>
      <c r="Y41" s="36"/>
      <c r="Z41" s="36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4.1" customHeight="1">
      <c r="A42" s="130">
        <v>14092</v>
      </c>
      <c r="B42" s="130" t="s">
        <v>277</v>
      </c>
      <c r="C42" s="119" t="str">
        <f>Rollover!A42</f>
        <v>Hyundai</v>
      </c>
      <c r="D42" s="119" t="str">
        <f>Rollover!B42</f>
        <v>Ioniq 5 SUV AWD</v>
      </c>
      <c r="E42" s="70" t="s">
        <v>157</v>
      </c>
      <c r="F42" s="132">
        <f>Rollover!C42</f>
        <v>2022</v>
      </c>
      <c r="G42" s="50">
        <v>281.55</v>
      </c>
      <c r="H42" s="19">
        <v>19.459</v>
      </c>
      <c r="I42" s="19">
        <v>44.920999999999999</v>
      </c>
      <c r="J42" s="51">
        <v>23.422000000000001</v>
      </c>
      <c r="K42" s="51">
        <v>2259.5549999999998</v>
      </c>
      <c r="L42" s="52">
        <f t="shared" si="10"/>
        <v>7.1683466675384307E-3</v>
      </c>
      <c r="M42" s="59">
        <f t="shared" si="11"/>
        <v>1.5045473385594626E-2</v>
      </c>
      <c r="N42" s="52">
        <f t="shared" si="12"/>
        <v>2.1999999999999999E-2</v>
      </c>
      <c r="O42" s="10">
        <f t="shared" si="13"/>
        <v>0.15</v>
      </c>
      <c r="P42" s="25">
        <f t="shared" si="14"/>
        <v>5</v>
      </c>
      <c r="Q42" s="53">
        <f>ROUND((0.8*'Side MDB'!W42+0.2*'Side Pole'!N42),3)</f>
        <v>0.114</v>
      </c>
      <c r="R42" s="53">
        <f t="shared" si="15"/>
        <v>0.76</v>
      </c>
      <c r="S42" s="25">
        <f t="shared" si="16"/>
        <v>4</v>
      </c>
      <c r="T42" s="53">
        <f>ROUND(((0.8*'Side MDB'!W42+0.2*'Side Pole'!N42)+(IF('Side MDB'!X42="N/A",(0.8*'Side MDB'!W42+0.2*'Side Pole'!N42),'Side MDB'!X42)))/2,3)</f>
        <v>6.3E-2</v>
      </c>
      <c r="U42" s="53">
        <f t="shared" si="17"/>
        <v>0.42</v>
      </c>
      <c r="V42" s="25">
        <f t="shared" si="18"/>
        <v>5</v>
      </c>
      <c r="W42" s="23"/>
      <c r="X42" s="36"/>
      <c r="Y42" s="36"/>
      <c r="Z42" s="36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4.1" customHeight="1">
      <c r="A43" s="130">
        <v>11667</v>
      </c>
      <c r="B43" s="130" t="s">
        <v>278</v>
      </c>
      <c r="C43" s="119" t="str">
        <f>Rollover!A43</f>
        <v>Hyundai</v>
      </c>
      <c r="D43" s="119" t="str">
        <f>Rollover!B43</f>
        <v>Tucson SUV FWD early release</v>
      </c>
      <c r="E43" s="70" t="s">
        <v>155</v>
      </c>
      <c r="F43" s="132">
        <f>Rollover!C43</f>
        <v>2022</v>
      </c>
      <c r="G43" s="50">
        <v>311.87900000000002</v>
      </c>
      <c r="H43" s="19">
        <v>24.306999999999999</v>
      </c>
      <c r="I43" s="19">
        <v>38.649000000000001</v>
      </c>
      <c r="J43" s="51">
        <v>24.606000000000002</v>
      </c>
      <c r="K43" s="51">
        <v>2673.1149999999998</v>
      </c>
      <c r="L43" s="52">
        <f t="shared" si="10"/>
        <v>1.0431330980103867E-2</v>
      </c>
      <c r="M43" s="59">
        <f t="shared" si="11"/>
        <v>2.2036506007926754E-2</v>
      </c>
      <c r="N43" s="52">
        <f t="shared" si="12"/>
        <v>3.2000000000000001E-2</v>
      </c>
      <c r="O43" s="10">
        <f t="shared" si="13"/>
        <v>0.21</v>
      </c>
      <c r="P43" s="25">
        <f t="shared" si="14"/>
        <v>5</v>
      </c>
      <c r="Q43" s="53">
        <f>ROUND((0.8*'Side MDB'!W43+0.2*'Side Pole'!N43),3)</f>
        <v>5.8000000000000003E-2</v>
      </c>
      <c r="R43" s="53">
        <f t="shared" si="15"/>
        <v>0.39</v>
      </c>
      <c r="S43" s="25">
        <f t="shared" si="16"/>
        <v>5</v>
      </c>
      <c r="T43" s="53">
        <f>ROUND(((0.8*'Side MDB'!W43+0.2*'Side Pole'!N43)+(IF('Side MDB'!X43="N/A",(0.8*'Side MDB'!W43+0.2*'Side Pole'!N43),'Side MDB'!X43)))/2,3)</f>
        <v>4.2000000000000003E-2</v>
      </c>
      <c r="U43" s="53">
        <f t="shared" si="17"/>
        <v>0.28000000000000003</v>
      </c>
      <c r="V43" s="25">
        <f t="shared" si="18"/>
        <v>5</v>
      </c>
      <c r="W43" s="23"/>
      <c r="X43" s="36"/>
      <c r="Y43" s="36"/>
      <c r="Z43" s="36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4.1" customHeight="1">
      <c r="A44" s="130">
        <v>11667</v>
      </c>
      <c r="B44" s="130" t="s">
        <v>278</v>
      </c>
      <c r="C44" s="131" t="str">
        <f>Rollover!A44</f>
        <v>Hyundai</v>
      </c>
      <c r="D44" s="131" t="str">
        <f>Rollover!B44</f>
        <v>Tucson SUV AWD early release</v>
      </c>
      <c r="E44" s="70" t="s">
        <v>155</v>
      </c>
      <c r="F44" s="132">
        <f>Rollover!C44</f>
        <v>2022</v>
      </c>
      <c r="G44" s="50">
        <v>311.87900000000002</v>
      </c>
      <c r="H44" s="19">
        <v>24.306999999999999</v>
      </c>
      <c r="I44" s="19">
        <v>38.649000000000001</v>
      </c>
      <c r="J44" s="51">
        <v>24.606000000000002</v>
      </c>
      <c r="K44" s="51">
        <v>2673.1149999999998</v>
      </c>
      <c r="L44" s="52">
        <f t="shared" si="10"/>
        <v>1.0431330980103867E-2</v>
      </c>
      <c r="M44" s="59">
        <f t="shared" si="11"/>
        <v>2.2036506007926754E-2</v>
      </c>
      <c r="N44" s="52">
        <f t="shared" si="12"/>
        <v>3.2000000000000001E-2</v>
      </c>
      <c r="O44" s="10">
        <f t="shared" si="13"/>
        <v>0.21</v>
      </c>
      <c r="P44" s="25">
        <f t="shared" si="14"/>
        <v>5</v>
      </c>
      <c r="Q44" s="53">
        <f>ROUND((0.8*'Side MDB'!W44+0.2*'Side Pole'!N44),3)</f>
        <v>5.8000000000000003E-2</v>
      </c>
      <c r="R44" s="53">
        <f t="shared" si="15"/>
        <v>0.39</v>
      </c>
      <c r="S44" s="25">
        <f t="shared" si="16"/>
        <v>5</v>
      </c>
      <c r="T44" s="53">
        <f>ROUND(((0.8*'Side MDB'!W44+0.2*'Side Pole'!N44)+(IF('Side MDB'!X44="N/A",(0.8*'Side MDB'!W44+0.2*'Side Pole'!N44),'Side MDB'!X44)))/2,3)</f>
        <v>4.2000000000000003E-2</v>
      </c>
      <c r="U44" s="53">
        <f t="shared" si="17"/>
        <v>0.28000000000000003</v>
      </c>
      <c r="V44" s="25">
        <f t="shared" si="18"/>
        <v>5</v>
      </c>
      <c r="W44" s="23"/>
      <c r="X44" s="36"/>
      <c r="Y44" s="36"/>
      <c r="Z44" s="36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4.1" customHeight="1">
      <c r="A45" s="130">
        <v>11667</v>
      </c>
      <c r="B45" s="130" t="s">
        <v>278</v>
      </c>
      <c r="C45" s="131" t="str">
        <f>Rollover!A45</f>
        <v>Hyundai</v>
      </c>
      <c r="D45" s="131" t="str">
        <f>Rollover!B45</f>
        <v>Tucson HEV SUV FWD early release</v>
      </c>
      <c r="E45" s="70" t="s">
        <v>155</v>
      </c>
      <c r="F45" s="132">
        <f>Rollover!C45</f>
        <v>2022</v>
      </c>
      <c r="G45" s="50">
        <v>311.87900000000002</v>
      </c>
      <c r="H45" s="19">
        <v>24.306999999999999</v>
      </c>
      <c r="I45" s="19">
        <v>38.649000000000001</v>
      </c>
      <c r="J45" s="51">
        <v>24.606000000000002</v>
      </c>
      <c r="K45" s="51">
        <v>2673.1149999999998</v>
      </c>
      <c r="L45" s="52">
        <f t="shared" si="10"/>
        <v>1.0431330980103867E-2</v>
      </c>
      <c r="M45" s="59">
        <f t="shared" si="11"/>
        <v>2.2036506007926754E-2</v>
      </c>
      <c r="N45" s="52">
        <f t="shared" si="12"/>
        <v>3.2000000000000001E-2</v>
      </c>
      <c r="O45" s="10">
        <f t="shared" si="13"/>
        <v>0.21</v>
      </c>
      <c r="P45" s="25">
        <f t="shared" si="14"/>
        <v>5</v>
      </c>
      <c r="Q45" s="53">
        <f>ROUND((0.8*'Side MDB'!W45+0.2*'Side Pole'!N45),3)</f>
        <v>5.8000000000000003E-2</v>
      </c>
      <c r="R45" s="53">
        <f t="shared" si="15"/>
        <v>0.39</v>
      </c>
      <c r="S45" s="25">
        <f t="shared" si="16"/>
        <v>5</v>
      </c>
      <c r="T45" s="53">
        <f>ROUND(((0.8*'Side MDB'!W45+0.2*'Side Pole'!N45)+(IF('Side MDB'!X45="N/A",(0.8*'Side MDB'!W45+0.2*'Side Pole'!N45),'Side MDB'!X45)))/2,3)</f>
        <v>4.2000000000000003E-2</v>
      </c>
      <c r="U45" s="53">
        <f t="shared" si="17"/>
        <v>0.28000000000000003</v>
      </c>
      <c r="V45" s="25">
        <f t="shared" si="18"/>
        <v>5</v>
      </c>
      <c r="W45" s="23"/>
      <c r="X45" s="36"/>
      <c r="Y45" s="36"/>
      <c r="Z45" s="36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4.1" customHeight="1">
      <c r="A46" s="130">
        <v>11667</v>
      </c>
      <c r="B46" s="130" t="s">
        <v>278</v>
      </c>
      <c r="C46" s="131" t="str">
        <f>Rollover!A46</f>
        <v>Hyundai</v>
      </c>
      <c r="D46" s="131" t="str">
        <f>Rollover!B46</f>
        <v>Tucson HEV SUV AWD early release</v>
      </c>
      <c r="E46" s="70" t="s">
        <v>155</v>
      </c>
      <c r="F46" s="132">
        <f>Rollover!C46</f>
        <v>2022</v>
      </c>
      <c r="G46" s="50">
        <v>311.87900000000002</v>
      </c>
      <c r="H46" s="19">
        <v>24.306999999999999</v>
      </c>
      <c r="I46" s="19">
        <v>38.649000000000001</v>
      </c>
      <c r="J46" s="51">
        <v>24.606000000000002</v>
      </c>
      <c r="K46" s="51">
        <v>2673.1149999999998</v>
      </c>
      <c r="L46" s="52">
        <f t="shared" si="10"/>
        <v>1.0431330980103867E-2</v>
      </c>
      <c r="M46" s="59">
        <f t="shared" si="11"/>
        <v>2.2036506007926754E-2</v>
      </c>
      <c r="N46" s="52">
        <f t="shared" si="12"/>
        <v>3.2000000000000001E-2</v>
      </c>
      <c r="O46" s="10">
        <f t="shared" si="13"/>
        <v>0.21</v>
      </c>
      <c r="P46" s="25">
        <f t="shared" si="14"/>
        <v>5</v>
      </c>
      <c r="Q46" s="53">
        <f>ROUND((0.8*'Side MDB'!W46+0.2*'Side Pole'!N46),3)</f>
        <v>5.8000000000000003E-2</v>
      </c>
      <c r="R46" s="53">
        <f t="shared" si="15"/>
        <v>0.39</v>
      </c>
      <c r="S46" s="25">
        <f t="shared" si="16"/>
        <v>5</v>
      </c>
      <c r="T46" s="53">
        <f>ROUND(((0.8*'Side MDB'!W46+0.2*'Side Pole'!N46)+(IF('Side MDB'!X46="N/A",(0.8*'Side MDB'!W46+0.2*'Side Pole'!N46),'Side MDB'!X46)))/2,3)</f>
        <v>4.2000000000000003E-2</v>
      </c>
      <c r="U46" s="53">
        <f t="shared" si="17"/>
        <v>0.28000000000000003</v>
      </c>
      <c r="V46" s="25">
        <f t="shared" si="18"/>
        <v>5</v>
      </c>
      <c r="W46" s="23"/>
      <c r="X46" s="36"/>
      <c r="Y46" s="36"/>
      <c r="Z46" s="36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4.1" customHeight="1">
      <c r="A47" s="130">
        <v>14058</v>
      </c>
      <c r="B47" s="130" t="s">
        <v>279</v>
      </c>
      <c r="C47" s="119" t="str">
        <f>Rollover!A47</f>
        <v>Hyundai</v>
      </c>
      <c r="D47" s="119" t="str">
        <f>Rollover!B47</f>
        <v>Tucson SUV FWD later release</v>
      </c>
      <c r="E47" s="70" t="s">
        <v>155</v>
      </c>
      <c r="F47" s="132">
        <f>Rollover!C47</f>
        <v>2022</v>
      </c>
      <c r="G47" s="50">
        <v>332.43799999999999</v>
      </c>
      <c r="H47" s="19">
        <v>24.739000000000001</v>
      </c>
      <c r="I47" s="19">
        <v>45.508000000000003</v>
      </c>
      <c r="J47" s="51">
        <v>27.707000000000001</v>
      </c>
      <c r="K47" s="51">
        <v>2733.33</v>
      </c>
      <c r="L47" s="52">
        <f t="shared" si="10"/>
        <v>1.3067808738810124E-2</v>
      </c>
      <c r="M47" s="59">
        <f t="shared" si="11"/>
        <v>2.3289906668315794E-2</v>
      </c>
      <c r="N47" s="52">
        <f t="shared" si="12"/>
        <v>3.5999999999999997E-2</v>
      </c>
      <c r="O47" s="10">
        <f t="shared" si="13"/>
        <v>0.24</v>
      </c>
      <c r="P47" s="25">
        <f t="shared" si="14"/>
        <v>5</v>
      </c>
      <c r="Q47" s="53">
        <f>ROUND((0.8*'Side MDB'!W47+0.2*'Side Pole'!N47),3)</f>
        <v>5.8999999999999997E-2</v>
      </c>
      <c r="R47" s="53">
        <f t="shared" si="15"/>
        <v>0.39</v>
      </c>
      <c r="S47" s="25">
        <f t="shared" si="16"/>
        <v>5</v>
      </c>
      <c r="T47" s="53">
        <f>ROUND(((0.8*'Side MDB'!W47+0.2*'Side Pole'!N47)+(IF('Side MDB'!X47="N/A",(0.8*'Side MDB'!W47+0.2*'Side Pole'!N47),'Side MDB'!X47)))/2,3)</f>
        <v>0.05</v>
      </c>
      <c r="U47" s="53">
        <f t="shared" si="17"/>
        <v>0.33</v>
      </c>
      <c r="V47" s="25">
        <f t="shared" si="18"/>
        <v>5</v>
      </c>
      <c r="W47" s="23"/>
      <c r="X47" s="36"/>
      <c r="Y47" s="36"/>
      <c r="Z47" s="36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4.1" customHeight="1">
      <c r="A48" s="130">
        <v>14058</v>
      </c>
      <c r="B48" s="130" t="s">
        <v>279</v>
      </c>
      <c r="C48" s="119" t="str">
        <f>Rollover!A48</f>
        <v>Hyundai</v>
      </c>
      <c r="D48" s="119" t="str">
        <f>Rollover!B48</f>
        <v>Tucson SUV AWD later release</v>
      </c>
      <c r="E48" s="70" t="s">
        <v>155</v>
      </c>
      <c r="F48" s="132">
        <f>Rollover!C48</f>
        <v>2022</v>
      </c>
      <c r="G48" s="50">
        <v>332.43799999999999</v>
      </c>
      <c r="H48" s="19">
        <v>24.739000000000001</v>
      </c>
      <c r="I48" s="19">
        <v>45.508000000000003</v>
      </c>
      <c r="J48" s="51">
        <v>27.707000000000001</v>
      </c>
      <c r="K48" s="51">
        <v>2733.33</v>
      </c>
      <c r="L48" s="52">
        <f t="shared" si="10"/>
        <v>1.3067808738810124E-2</v>
      </c>
      <c r="M48" s="59">
        <f t="shared" si="11"/>
        <v>2.3289906668315794E-2</v>
      </c>
      <c r="N48" s="52">
        <f t="shared" si="12"/>
        <v>3.5999999999999997E-2</v>
      </c>
      <c r="O48" s="10">
        <f t="shared" si="13"/>
        <v>0.24</v>
      </c>
      <c r="P48" s="25">
        <f t="shared" si="14"/>
        <v>5</v>
      </c>
      <c r="Q48" s="53">
        <f>ROUND((0.8*'Side MDB'!W48+0.2*'Side Pole'!N48),3)</f>
        <v>5.8999999999999997E-2</v>
      </c>
      <c r="R48" s="53">
        <f t="shared" si="15"/>
        <v>0.39</v>
      </c>
      <c r="S48" s="25">
        <f t="shared" si="16"/>
        <v>5</v>
      </c>
      <c r="T48" s="53">
        <f>ROUND(((0.8*'Side MDB'!W48+0.2*'Side Pole'!N48)+(IF('Side MDB'!X48="N/A",(0.8*'Side MDB'!W48+0.2*'Side Pole'!N48),'Side MDB'!X48)))/2,3)</f>
        <v>0.05</v>
      </c>
      <c r="U48" s="53">
        <f t="shared" si="17"/>
        <v>0.33</v>
      </c>
      <c r="V48" s="25">
        <f t="shared" si="18"/>
        <v>5</v>
      </c>
      <c r="W48" s="23"/>
      <c r="X48" s="36"/>
      <c r="Y48" s="36"/>
      <c r="Z48" s="36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4.1" customHeight="1">
      <c r="A49" s="130">
        <v>14058</v>
      </c>
      <c r="B49" s="130" t="s">
        <v>279</v>
      </c>
      <c r="C49" s="119" t="str">
        <f>Rollover!A49</f>
        <v>Hyundai</v>
      </c>
      <c r="D49" s="119" t="str">
        <f>Rollover!B49</f>
        <v>Tucson HEV SUV FWD later release</v>
      </c>
      <c r="E49" s="70" t="s">
        <v>155</v>
      </c>
      <c r="F49" s="132">
        <f>Rollover!C49</f>
        <v>2022</v>
      </c>
      <c r="G49" s="50">
        <v>332.43799999999999</v>
      </c>
      <c r="H49" s="19">
        <v>24.739000000000001</v>
      </c>
      <c r="I49" s="19">
        <v>45.508000000000003</v>
      </c>
      <c r="J49" s="51">
        <v>27.707000000000001</v>
      </c>
      <c r="K49" s="51">
        <v>2733.33</v>
      </c>
      <c r="L49" s="52">
        <f t="shared" si="10"/>
        <v>1.3067808738810124E-2</v>
      </c>
      <c r="M49" s="59">
        <f t="shared" si="11"/>
        <v>2.3289906668315794E-2</v>
      </c>
      <c r="N49" s="52">
        <f t="shared" si="12"/>
        <v>3.5999999999999997E-2</v>
      </c>
      <c r="O49" s="10">
        <f t="shared" si="13"/>
        <v>0.24</v>
      </c>
      <c r="P49" s="25">
        <f t="shared" si="14"/>
        <v>5</v>
      </c>
      <c r="Q49" s="53">
        <f>ROUND((0.8*'Side MDB'!W49+0.2*'Side Pole'!N49),3)</f>
        <v>5.8999999999999997E-2</v>
      </c>
      <c r="R49" s="53">
        <f t="shared" si="15"/>
        <v>0.39</v>
      </c>
      <c r="S49" s="25">
        <f t="shared" si="16"/>
        <v>5</v>
      </c>
      <c r="T49" s="53">
        <f>ROUND(((0.8*'Side MDB'!W49+0.2*'Side Pole'!N49)+(IF('Side MDB'!X49="N/A",(0.8*'Side MDB'!W49+0.2*'Side Pole'!N49),'Side MDB'!X49)))/2,3)</f>
        <v>0.05</v>
      </c>
      <c r="U49" s="53">
        <f t="shared" si="17"/>
        <v>0.33</v>
      </c>
      <c r="V49" s="25">
        <f t="shared" si="18"/>
        <v>5</v>
      </c>
      <c r="W49" s="23"/>
      <c r="X49" s="36"/>
      <c r="Y49" s="36"/>
      <c r="Z49" s="36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4.1" customHeight="1">
      <c r="A50" s="130">
        <v>14058</v>
      </c>
      <c r="B50" s="130" t="s">
        <v>279</v>
      </c>
      <c r="C50" s="119" t="str">
        <f>Rollover!A50</f>
        <v>Hyundai</v>
      </c>
      <c r="D50" s="119" t="str">
        <f>Rollover!B50</f>
        <v>Tucson HEV SUV AWD later release</v>
      </c>
      <c r="E50" s="70" t="s">
        <v>155</v>
      </c>
      <c r="F50" s="132">
        <f>Rollover!C50</f>
        <v>2022</v>
      </c>
      <c r="G50" s="50">
        <v>332.43799999999999</v>
      </c>
      <c r="H50" s="19">
        <v>24.739000000000001</v>
      </c>
      <c r="I50" s="19">
        <v>45.508000000000003</v>
      </c>
      <c r="J50" s="51">
        <v>27.707000000000001</v>
      </c>
      <c r="K50" s="51">
        <v>2733.33</v>
      </c>
      <c r="L50" s="52">
        <f t="shared" si="10"/>
        <v>1.3067808738810124E-2</v>
      </c>
      <c r="M50" s="59">
        <f t="shared" si="11"/>
        <v>2.3289906668315794E-2</v>
      </c>
      <c r="N50" s="52">
        <f t="shared" si="12"/>
        <v>3.5999999999999997E-2</v>
      </c>
      <c r="O50" s="10">
        <f t="shared" si="13"/>
        <v>0.24</v>
      </c>
      <c r="P50" s="25">
        <f t="shared" si="14"/>
        <v>5</v>
      </c>
      <c r="Q50" s="53">
        <f>ROUND((0.8*'Side MDB'!W50+0.2*'Side Pole'!N50),3)</f>
        <v>5.8999999999999997E-2</v>
      </c>
      <c r="R50" s="53">
        <f t="shared" si="15"/>
        <v>0.39</v>
      </c>
      <c r="S50" s="25">
        <f t="shared" si="16"/>
        <v>5</v>
      </c>
      <c r="T50" s="53">
        <f>ROUND(((0.8*'Side MDB'!W50+0.2*'Side Pole'!N50)+(IF('Side MDB'!X50="N/A",(0.8*'Side MDB'!W50+0.2*'Side Pole'!N50),'Side MDB'!X50)))/2,3)</f>
        <v>0.05</v>
      </c>
      <c r="U50" s="53">
        <f t="shared" si="17"/>
        <v>0.33</v>
      </c>
      <c r="V50" s="25">
        <f t="shared" si="18"/>
        <v>5</v>
      </c>
      <c r="W50" s="23"/>
      <c r="X50" s="36"/>
      <c r="Y50" s="36"/>
      <c r="Z50" s="36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4.1" customHeight="1">
      <c r="A51" s="130">
        <v>14064</v>
      </c>
      <c r="B51" s="130" t="s">
        <v>280</v>
      </c>
      <c r="C51" s="119" t="str">
        <f>Rollover!A51</f>
        <v>Jeep</v>
      </c>
      <c r="D51" s="119" t="str">
        <f>Rollover!B51</f>
        <v>Compass SUV FWD</v>
      </c>
      <c r="E51" s="70" t="s">
        <v>163</v>
      </c>
      <c r="F51" s="132">
        <f>Rollover!C51</f>
        <v>2022</v>
      </c>
      <c r="G51" s="50">
        <v>407.42899999999997</v>
      </c>
      <c r="H51" s="19">
        <v>20.343</v>
      </c>
      <c r="I51" s="19">
        <v>39.497999999999998</v>
      </c>
      <c r="J51" s="51">
        <v>15.442</v>
      </c>
      <c r="K51" s="51">
        <v>3078.5839999999998</v>
      </c>
      <c r="L51" s="52">
        <f t="shared" si="10"/>
        <v>2.5629779971838101E-2</v>
      </c>
      <c r="M51" s="59">
        <f t="shared" si="11"/>
        <v>3.1933936745021999E-2</v>
      </c>
      <c r="N51" s="52">
        <f t="shared" si="12"/>
        <v>5.7000000000000002E-2</v>
      </c>
      <c r="O51" s="10">
        <f t="shared" si="13"/>
        <v>0.38</v>
      </c>
      <c r="P51" s="25">
        <f t="shared" si="14"/>
        <v>5</v>
      </c>
      <c r="Q51" s="53">
        <f>ROUND((0.8*'Side MDB'!W51+0.2*'Side Pole'!N51),3)</f>
        <v>4.2999999999999997E-2</v>
      </c>
      <c r="R51" s="53">
        <f t="shared" si="15"/>
        <v>0.28999999999999998</v>
      </c>
      <c r="S51" s="25">
        <f t="shared" si="16"/>
        <v>5</v>
      </c>
      <c r="T51" s="53">
        <f>ROUND(((0.8*'Side MDB'!W51+0.2*'Side Pole'!N51)+(IF('Side MDB'!X51="N/A",(0.8*'Side MDB'!W51+0.2*'Side Pole'!N51),'Side MDB'!X51)))/2,3)</f>
        <v>0.05</v>
      </c>
      <c r="U51" s="53">
        <f t="shared" si="17"/>
        <v>0.33</v>
      </c>
      <c r="V51" s="25">
        <f t="shared" si="18"/>
        <v>5</v>
      </c>
      <c r="W51" s="23"/>
      <c r="X51" s="36"/>
      <c r="Y51" s="36"/>
      <c r="Z51" s="36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4.1" customHeight="1">
      <c r="A52" s="130">
        <v>14064</v>
      </c>
      <c r="B52" s="130" t="s">
        <v>280</v>
      </c>
      <c r="C52" s="131" t="str">
        <f>Rollover!A52</f>
        <v>Jeep</v>
      </c>
      <c r="D52" s="131" t="str">
        <f>Rollover!B52</f>
        <v>Compass SUV AWD</v>
      </c>
      <c r="E52" s="70" t="s">
        <v>163</v>
      </c>
      <c r="F52" s="132">
        <f>Rollover!C52</f>
        <v>2022</v>
      </c>
      <c r="G52" s="50">
        <v>407.42899999999997</v>
      </c>
      <c r="H52" s="19">
        <v>20.343</v>
      </c>
      <c r="I52" s="19">
        <v>39.497999999999998</v>
      </c>
      <c r="J52" s="51">
        <v>15.442</v>
      </c>
      <c r="K52" s="51">
        <v>3078.5839999999998</v>
      </c>
      <c r="L52" s="52">
        <f t="shared" si="10"/>
        <v>2.5629779971838101E-2</v>
      </c>
      <c r="M52" s="59">
        <f t="shared" si="11"/>
        <v>3.1933936745021999E-2</v>
      </c>
      <c r="N52" s="52">
        <f t="shared" si="12"/>
        <v>5.7000000000000002E-2</v>
      </c>
      <c r="O52" s="10">
        <f t="shared" si="13"/>
        <v>0.38</v>
      </c>
      <c r="P52" s="25">
        <f t="shared" si="14"/>
        <v>5</v>
      </c>
      <c r="Q52" s="53">
        <f>ROUND((0.8*'Side MDB'!W52+0.2*'Side Pole'!N52),3)</f>
        <v>4.2999999999999997E-2</v>
      </c>
      <c r="R52" s="53">
        <f t="shared" si="15"/>
        <v>0.28999999999999998</v>
      </c>
      <c r="S52" s="25">
        <f t="shared" si="16"/>
        <v>5</v>
      </c>
      <c r="T52" s="53">
        <f>ROUND(((0.8*'Side MDB'!W52+0.2*'Side Pole'!N52)+(IF('Side MDB'!X52="N/A",(0.8*'Side MDB'!W52+0.2*'Side Pole'!N52),'Side MDB'!X52)))/2,3)</f>
        <v>0.05</v>
      </c>
      <c r="U52" s="53">
        <f t="shared" si="17"/>
        <v>0.33</v>
      </c>
      <c r="V52" s="25">
        <f t="shared" si="18"/>
        <v>5</v>
      </c>
      <c r="W52" s="23"/>
      <c r="X52" s="36"/>
      <c r="Y52" s="36"/>
      <c r="Z52" s="36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4.1" customHeight="1">
      <c r="A53" s="130">
        <v>14249</v>
      </c>
      <c r="B53" s="130" t="s">
        <v>281</v>
      </c>
      <c r="C53" s="119" t="str">
        <f>Rollover!A53</f>
        <v>Jeep</v>
      </c>
      <c r="D53" s="119" t="str">
        <f>Rollover!B53</f>
        <v>Grand Cherokee L SUV 2WD</v>
      </c>
      <c r="E53" s="70" t="s">
        <v>163</v>
      </c>
      <c r="F53" s="132">
        <f>Rollover!C53</f>
        <v>2022</v>
      </c>
      <c r="G53" s="50">
        <v>376.43900000000002</v>
      </c>
      <c r="H53" s="19">
        <v>23.91</v>
      </c>
      <c r="I53" s="19">
        <v>31.498000000000001</v>
      </c>
      <c r="J53" s="51">
        <v>21.652999999999999</v>
      </c>
      <c r="K53" s="51">
        <v>1921.046</v>
      </c>
      <c r="L53" s="52">
        <f t="shared" si="10"/>
        <v>1.9881158367278041E-2</v>
      </c>
      <c r="M53" s="59">
        <f t="shared" si="11"/>
        <v>1.0990020807831475E-2</v>
      </c>
      <c r="N53" s="52">
        <f t="shared" si="12"/>
        <v>3.1E-2</v>
      </c>
      <c r="O53" s="10">
        <f t="shared" si="13"/>
        <v>0.21</v>
      </c>
      <c r="P53" s="25">
        <f t="shared" si="14"/>
        <v>5</v>
      </c>
      <c r="Q53" s="53">
        <f>ROUND((0.8*'Side MDB'!W53+0.2*'Side Pole'!N53),3)</f>
        <v>3.6999999999999998E-2</v>
      </c>
      <c r="R53" s="53">
        <f t="shared" si="15"/>
        <v>0.25</v>
      </c>
      <c r="S53" s="25">
        <f t="shared" si="16"/>
        <v>5</v>
      </c>
      <c r="T53" s="53">
        <f>ROUND(((0.8*'Side MDB'!W53+0.2*'Side Pole'!N53)+(IF('Side MDB'!X53="N/A",(0.8*'Side MDB'!W53+0.2*'Side Pole'!N53),'Side MDB'!X53)))/2,3)</f>
        <v>2.3E-2</v>
      </c>
      <c r="U53" s="53">
        <f t="shared" si="17"/>
        <v>0.15</v>
      </c>
      <c r="V53" s="25">
        <f t="shared" si="18"/>
        <v>5</v>
      </c>
      <c r="W53" s="23"/>
      <c r="X53" s="36"/>
      <c r="Y53" s="36"/>
      <c r="Z53" s="36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4.1" customHeight="1">
      <c r="A54" s="130">
        <v>14249</v>
      </c>
      <c r="B54" s="130" t="s">
        <v>281</v>
      </c>
      <c r="C54" s="119" t="str">
        <f>Rollover!A54</f>
        <v>Jeep</v>
      </c>
      <c r="D54" s="119" t="str">
        <f>Rollover!B54</f>
        <v>Grand Cherokee L SUV 4WD</v>
      </c>
      <c r="E54" s="70" t="s">
        <v>163</v>
      </c>
      <c r="F54" s="132">
        <f>Rollover!C54</f>
        <v>2022</v>
      </c>
      <c r="G54" s="50">
        <v>376.43900000000002</v>
      </c>
      <c r="H54" s="19">
        <v>23.91</v>
      </c>
      <c r="I54" s="19">
        <v>31.498000000000001</v>
      </c>
      <c r="J54" s="51">
        <v>21.652999999999999</v>
      </c>
      <c r="K54" s="51">
        <v>1921.046</v>
      </c>
      <c r="L54" s="52">
        <f t="shared" si="10"/>
        <v>1.9881158367278041E-2</v>
      </c>
      <c r="M54" s="59">
        <f t="shared" si="11"/>
        <v>1.0990020807831475E-2</v>
      </c>
      <c r="N54" s="52">
        <f t="shared" si="12"/>
        <v>3.1E-2</v>
      </c>
      <c r="O54" s="10">
        <f t="shared" si="13"/>
        <v>0.21</v>
      </c>
      <c r="P54" s="25">
        <f t="shared" si="14"/>
        <v>5</v>
      </c>
      <c r="Q54" s="53">
        <f>ROUND((0.8*'Side MDB'!W54+0.2*'Side Pole'!N54),3)</f>
        <v>3.6999999999999998E-2</v>
      </c>
      <c r="R54" s="53">
        <f t="shared" si="15"/>
        <v>0.25</v>
      </c>
      <c r="S54" s="25">
        <f t="shared" si="16"/>
        <v>5</v>
      </c>
      <c r="T54" s="53">
        <f>ROUND(((0.8*'Side MDB'!W54+0.2*'Side Pole'!N54)+(IF('Side MDB'!X54="N/A",(0.8*'Side MDB'!W54+0.2*'Side Pole'!N54),'Side MDB'!X54)))/2,3)</f>
        <v>2.3E-2</v>
      </c>
      <c r="U54" s="53">
        <f t="shared" si="17"/>
        <v>0.15</v>
      </c>
      <c r="V54" s="25">
        <f t="shared" si="18"/>
        <v>5</v>
      </c>
      <c r="W54" s="23"/>
      <c r="X54" s="36"/>
      <c r="Y54" s="36"/>
      <c r="Z54" s="36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4.1" customHeight="1">
      <c r="A55" s="135"/>
      <c r="B55" s="135"/>
      <c r="C55" s="131" t="str">
        <f>Rollover!A55</f>
        <v>Jeep</v>
      </c>
      <c r="D55" s="131" t="str">
        <f>Rollover!B55</f>
        <v>Grand Cherokee SUV 2WD</v>
      </c>
      <c r="E55" s="70"/>
      <c r="F55" s="132">
        <f>Rollover!C55</f>
        <v>2022</v>
      </c>
      <c r="G55" s="55"/>
      <c r="H55" s="28"/>
      <c r="I55" s="28"/>
      <c r="J55" s="56"/>
      <c r="K55" s="56"/>
      <c r="L55" s="52" t="e">
        <f t="shared" si="10"/>
        <v>#NUM!</v>
      </c>
      <c r="M55" s="59">
        <f t="shared" si="11"/>
        <v>1.8229037773026034E-3</v>
      </c>
      <c r="N55" s="52" t="e">
        <f t="shared" si="12"/>
        <v>#NUM!</v>
      </c>
      <c r="O55" s="10" t="e">
        <f t="shared" si="13"/>
        <v>#NUM!</v>
      </c>
      <c r="P55" s="25" t="e">
        <f t="shared" si="14"/>
        <v>#NUM!</v>
      </c>
      <c r="Q55" s="53" t="e">
        <f>ROUND((0.8*'Side MDB'!W55+0.2*'Side Pole'!N55),3)</f>
        <v>#NUM!</v>
      </c>
      <c r="R55" s="53" t="e">
        <f t="shared" si="15"/>
        <v>#NUM!</v>
      </c>
      <c r="S55" s="25" t="e">
        <f t="shared" si="16"/>
        <v>#NUM!</v>
      </c>
      <c r="T55" s="53" t="e">
        <f>ROUND(((0.8*'Side MDB'!W55+0.2*'Side Pole'!N55)+(IF('Side MDB'!X55="N/A",(0.8*'Side MDB'!W55+0.2*'Side Pole'!N55),'Side MDB'!X55)))/2,3)</f>
        <v>#NUM!</v>
      </c>
      <c r="U55" s="53" t="e">
        <f t="shared" si="17"/>
        <v>#NUM!</v>
      </c>
      <c r="V55" s="25" t="e">
        <f t="shared" si="18"/>
        <v>#NUM!</v>
      </c>
      <c r="W55" s="23"/>
      <c r="X55" s="36"/>
      <c r="Y55" s="36"/>
      <c r="Z55" s="36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4.1" customHeight="1">
      <c r="A56" s="130"/>
      <c r="B56" s="130"/>
      <c r="C56" s="131" t="str">
        <f>Rollover!A56</f>
        <v>Jeep</v>
      </c>
      <c r="D56" s="131" t="str">
        <f>Rollover!B56</f>
        <v>Grand Cherokee SUV 4WD</v>
      </c>
      <c r="E56" s="70"/>
      <c r="F56" s="132">
        <f>Rollover!C56</f>
        <v>2022</v>
      </c>
      <c r="G56" s="50"/>
      <c r="H56" s="19"/>
      <c r="I56" s="19"/>
      <c r="J56" s="51"/>
      <c r="K56" s="51"/>
      <c r="L56" s="52" t="e">
        <f t="shared" ref="L56:L72" si="19">NORMDIST(LN(G56),7.45231,0.73998,1)</f>
        <v>#NUM!</v>
      </c>
      <c r="M56" s="59">
        <f t="shared" ref="M56:M72" si="20">1/(1+EXP(6.3055-0.00094*K56))</f>
        <v>1.8229037773026034E-3</v>
      </c>
      <c r="N56" s="52" t="e">
        <f t="shared" ref="N56:N72" si="21">ROUND(1-(1-L56)*(1-M56),3)</f>
        <v>#NUM!</v>
      </c>
      <c r="O56" s="10" t="e">
        <f t="shared" ref="O56:O72" si="22">ROUND(N56/0.15,2)</f>
        <v>#NUM!</v>
      </c>
      <c r="P56" s="25" t="e">
        <f t="shared" ref="P56:P72" si="23">IF(O56&lt;0.67,5,IF(O56&lt;1,4,IF(O56&lt;1.33,3,IF(O56&lt;2.67,2,1))))</f>
        <v>#NUM!</v>
      </c>
      <c r="Q56" s="53" t="e">
        <f>ROUND((0.8*'Side MDB'!W56+0.2*'Side Pole'!N56),3)</f>
        <v>#NUM!</v>
      </c>
      <c r="R56" s="53" t="e">
        <f t="shared" ref="R56:R72" si="24">ROUND((Q56)/0.15,2)</f>
        <v>#NUM!</v>
      </c>
      <c r="S56" s="25" t="e">
        <f t="shared" ref="S56:S72" si="25">IF(R56&lt;0.67,5,IF(R56&lt;1,4,IF(R56&lt;1.33,3,IF(R56&lt;2.67,2,1))))</f>
        <v>#NUM!</v>
      </c>
      <c r="T56" s="53" t="e">
        <f>ROUND(((0.8*'Side MDB'!W56+0.2*'Side Pole'!N56)+(IF('Side MDB'!X56="N/A",(0.8*'Side MDB'!W56+0.2*'Side Pole'!N56),'Side MDB'!X56)))/2,3)</f>
        <v>#NUM!</v>
      </c>
      <c r="U56" s="53" t="e">
        <f t="shared" ref="U56:U72" si="26">ROUND((T56)/0.15,2)</f>
        <v>#NUM!</v>
      </c>
      <c r="V56" s="25" t="e">
        <f t="shared" ref="V56:V72" si="27">IF(U56&lt;0.67,5,IF(U56&lt;1,4,IF(U56&lt;1.33,3,IF(U56&lt;2.67,2,1))))</f>
        <v>#NUM!</v>
      </c>
      <c r="W56" s="23"/>
      <c r="X56" s="36"/>
      <c r="Y56" s="36"/>
      <c r="Z56" s="36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4.1" customHeight="1">
      <c r="A57" s="135">
        <v>14265</v>
      </c>
      <c r="B57" s="135" t="s">
        <v>282</v>
      </c>
      <c r="C57" s="119" t="str">
        <f>Rollover!A57</f>
        <v>Kia</v>
      </c>
      <c r="D57" s="119" t="str">
        <f>Rollover!B57</f>
        <v>EV6 SUV RWD</v>
      </c>
      <c r="E57" s="70" t="s">
        <v>157</v>
      </c>
      <c r="F57" s="132">
        <f>Rollover!C57</f>
        <v>2022</v>
      </c>
      <c r="G57" s="55">
        <v>361.779</v>
      </c>
      <c r="H57" s="28">
        <v>25.780999999999999</v>
      </c>
      <c r="I57" s="28">
        <v>57.826000000000001</v>
      </c>
      <c r="J57" s="56">
        <v>35.005000000000003</v>
      </c>
      <c r="K57" s="56">
        <v>3253.002</v>
      </c>
      <c r="L57" s="52">
        <f t="shared" ref="L57:L60" si="28">NORMDIST(LN(G57),7.45231,0.73998,1)</f>
        <v>1.7433911849326831E-2</v>
      </c>
      <c r="M57" s="59">
        <f t="shared" ref="M57:M60" si="29">1/(1+EXP(6.3055-0.00094*K57))</f>
        <v>3.7410410519033231E-2</v>
      </c>
      <c r="N57" s="52">
        <f t="shared" ref="N57:N60" si="30">ROUND(1-(1-L57)*(1-M57),3)</f>
        <v>5.3999999999999999E-2</v>
      </c>
      <c r="O57" s="10">
        <f t="shared" ref="O57:O60" si="31">ROUND(N57/0.15,2)</f>
        <v>0.36</v>
      </c>
      <c r="P57" s="25">
        <f t="shared" ref="P57:P60" si="32">IF(O57&lt;0.67,5,IF(O57&lt;1,4,IF(O57&lt;1.33,3,IF(O57&lt;2.67,2,1))))</f>
        <v>5</v>
      </c>
      <c r="Q57" s="53">
        <f>ROUND((0.8*'Side MDB'!W57+0.2*'Side Pole'!N57),3)</f>
        <v>7.5999999999999998E-2</v>
      </c>
      <c r="R57" s="53">
        <f t="shared" ref="R57:R60" si="33">ROUND((Q57)/0.15,2)</f>
        <v>0.51</v>
      </c>
      <c r="S57" s="25">
        <f t="shared" ref="S57:S60" si="34">IF(R57&lt;0.67,5,IF(R57&lt;1,4,IF(R57&lt;1.33,3,IF(R57&lt;2.67,2,1))))</f>
        <v>5</v>
      </c>
      <c r="T57" s="53">
        <f>ROUND(((0.8*'Side MDB'!W57+0.2*'Side Pole'!N57)+(IF('Side MDB'!X57="N/A",(0.8*'Side MDB'!W57+0.2*'Side Pole'!N57),'Side MDB'!X57)))/2,3)</f>
        <v>4.2000000000000003E-2</v>
      </c>
      <c r="U57" s="53">
        <f t="shared" ref="U57:U60" si="35">ROUND((T57)/0.15,2)</f>
        <v>0.28000000000000003</v>
      </c>
      <c r="V57" s="25">
        <f t="shared" ref="V57:V60" si="36">IF(U57&lt;0.67,5,IF(U57&lt;1,4,IF(U57&lt;1.33,3,IF(U57&lt;2.67,2,1))))</f>
        <v>5</v>
      </c>
      <c r="W57" s="23"/>
      <c r="X57" s="36"/>
      <c r="Y57" s="36"/>
      <c r="Z57" s="36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4.1" customHeight="1">
      <c r="A58" s="135">
        <v>14265</v>
      </c>
      <c r="B58" s="135" t="s">
        <v>282</v>
      </c>
      <c r="C58" s="119" t="str">
        <f>Rollover!A58</f>
        <v>Kia</v>
      </c>
      <c r="D58" s="119" t="str">
        <f>Rollover!B58</f>
        <v>EV6 SUV AWD</v>
      </c>
      <c r="E58" s="70" t="s">
        <v>157</v>
      </c>
      <c r="F58" s="132">
        <f>Rollover!C58</f>
        <v>2022</v>
      </c>
      <c r="G58" s="55">
        <v>361.779</v>
      </c>
      <c r="H58" s="28">
        <v>25.780999999999999</v>
      </c>
      <c r="I58" s="28">
        <v>57.826000000000001</v>
      </c>
      <c r="J58" s="56">
        <v>35.005000000000003</v>
      </c>
      <c r="K58" s="56">
        <v>3253.002</v>
      </c>
      <c r="L58" s="52">
        <f t="shared" si="28"/>
        <v>1.7433911849326831E-2</v>
      </c>
      <c r="M58" s="59">
        <f t="shared" si="29"/>
        <v>3.7410410519033231E-2</v>
      </c>
      <c r="N58" s="52">
        <f t="shared" si="30"/>
        <v>5.3999999999999999E-2</v>
      </c>
      <c r="O58" s="10">
        <f t="shared" si="31"/>
        <v>0.36</v>
      </c>
      <c r="P58" s="25">
        <f t="shared" si="32"/>
        <v>5</v>
      </c>
      <c r="Q58" s="53">
        <f>ROUND((0.8*'Side MDB'!W58+0.2*'Side Pole'!N58),3)</f>
        <v>7.5999999999999998E-2</v>
      </c>
      <c r="R58" s="53">
        <f t="shared" si="33"/>
        <v>0.51</v>
      </c>
      <c r="S58" s="25">
        <f t="shared" si="34"/>
        <v>5</v>
      </c>
      <c r="T58" s="53">
        <f>ROUND(((0.8*'Side MDB'!W58+0.2*'Side Pole'!N58)+(IF('Side MDB'!X58="N/A",(0.8*'Side MDB'!W58+0.2*'Side Pole'!N58),'Side MDB'!X58)))/2,3)</f>
        <v>4.2000000000000003E-2</v>
      </c>
      <c r="U58" s="53">
        <f t="shared" si="35"/>
        <v>0.28000000000000003</v>
      </c>
      <c r="V58" s="25">
        <f t="shared" si="36"/>
        <v>5</v>
      </c>
      <c r="W58" s="23"/>
      <c r="X58" s="36"/>
      <c r="Y58" s="36"/>
      <c r="Z58" s="36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4.1" customHeight="1">
      <c r="A59" s="135">
        <v>14057</v>
      </c>
      <c r="B59" s="135" t="s">
        <v>283</v>
      </c>
      <c r="C59" s="119" t="str">
        <f>Rollover!A59</f>
        <v>Kia</v>
      </c>
      <c r="D59" s="119" t="str">
        <f>Rollover!B59</f>
        <v>Niro Electric SUV FWD</v>
      </c>
      <c r="E59" s="70" t="s">
        <v>157</v>
      </c>
      <c r="F59" s="132">
        <f>Rollover!C59</f>
        <v>2022</v>
      </c>
      <c r="G59" s="55">
        <v>188.41900000000001</v>
      </c>
      <c r="H59" s="28">
        <v>20.353000000000002</v>
      </c>
      <c r="I59" s="28">
        <v>40.506</v>
      </c>
      <c r="J59" s="56">
        <v>19.352</v>
      </c>
      <c r="K59" s="56">
        <v>2782.9290000000001</v>
      </c>
      <c r="L59" s="52">
        <f t="shared" si="28"/>
        <v>1.388104152739133E-3</v>
      </c>
      <c r="M59" s="59">
        <f t="shared" si="29"/>
        <v>2.437437063287241E-2</v>
      </c>
      <c r="N59" s="52">
        <f t="shared" si="30"/>
        <v>2.5999999999999999E-2</v>
      </c>
      <c r="O59" s="10">
        <f t="shared" si="31"/>
        <v>0.17</v>
      </c>
      <c r="P59" s="25">
        <f t="shared" si="32"/>
        <v>5</v>
      </c>
      <c r="Q59" s="53">
        <f>ROUND((0.8*'Side MDB'!W59+0.2*'Side Pole'!N59),3)</f>
        <v>3.6999999999999998E-2</v>
      </c>
      <c r="R59" s="53">
        <f t="shared" si="33"/>
        <v>0.25</v>
      </c>
      <c r="S59" s="25">
        <f t="shared" si="34"/>
        <v>5</v>
      </c>
      <c r="T59" s="53">
        <f>ROUND(((0.8*'Side MDB'!W59+0.2*'Side Pole'!N59)+(IF('Side MDB'!X59="N/A",(0.8*'Side MDB'!W59+0.2*'Side Pole'!N59),'Side MDB'!X59)))/2,3)</f>
        <v>0.03</v>
      </c>
      <c r="U59" s="53">
        <f t="shared" si="35"/>
        <v>0.2</v>
      </c>
      <c r="V59" s="25">
        <f t="shared" si="36"/>
        <v>5</v>
      </c>
      <c r="W59" s="23"/>
      <c r="X59" s="36"/>
      <c r="Y59" s="36"/>
      <c r="Z59" s="36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4.1" customHeight="1">
      <c r="A60" s="130">
        <v>14052</v>
      </c>
      <c r="B60" s="130" t="s">
        <v>284</v>
      </c>
      <c r="C60" s="119" t="str">
        <f>Rollover!A60</f>
        <v>Mazda</v>
      </c>
      <c r="D60" s="119" t="str">
        <f>Rollover!B60</f>
        <v>MX-30 5HB FWD</v>
      </c>
      <c r="E60" s="70" t="s">
        <v>155</v>
      </c>
      <c r="F60" s="132">
        <f>Rollover!C60</f>
        <v>2022</v>
      </c>
      <c r="G60" s="50">
        <v>259.31700000000001</v>
      </c>
      <c r="H60" s="19">
        <v>21.367999999999999</v>
      </c>
      <c r="I60" s="19">
        <v>36.945999999999998</v>
      </c>
      <c r="J60" s="51">
        <v>18.106999999999999</v>
      </c>
      <c r="K60" s="51">
        <v>2048.6390000000001</v>
      </c>
      <c r="L60" s="52">
        <f t="shared" si="28"/>
        <v>5.2354411220543132E-3</v>
      </c>
      <c r="M60" s="59">
        <f t="shared" si="29"/>
        <v>1.2373110919004501E-2</v>
      </c>
      <c r="N60" s="52">
        <f t="shared" si="30"/>
        <v>1.7999999999999999E-2</v>
      </c>
      <c r="O60" s="10">
        <f t="shared" si="31"/>
        <v>0.12</v>
      </c>
      <c r="P60" s="25">
        <f t="shared" si="32"/>
        <v>5</v>
      </c>
      <c r="Q60" s="53">
        <f>ROUND((0.8*'Side MDB'!W60+0.2*'Side Pole'!N60),3)</f>
        <v>3.5999999999999997E-2</v>
      </c>
      <c r="R60" s="53">
        <f t="shared" si="33"/>
        <v>0.24</v>
      </c>
      <c r="S60" s="25">
        <f t="shared" si="34"/>
        <v>5</v>
      </c>
      <c r="T60" s="53">
        <f>ROUND(((0.8*'Side MDB'!W60+0.2*'Side Pole'!N60)+(IF('Side MDB'!X60="N/A",(0.8*'Side MDB'!W60+0.2*'Side Pole'!N60),'Side MDB'!X60)))/2,3)</f>
        <v>6.5000000000000002E-2</v>
      </c>
      <c r="U60" s="53">
        <f t="shared" si="35"/>
        <v>0.43</v>
      </c>
      <c r="V60" s="25">
        <f t="shared" si="36"/>
        <v>5</v>
      </c>
      <c r="W60" s="23"/>
      <c r="X60" s="36"/>
      <c r="Y60" s="36"/>
      <c r="Z60" s="36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 spans="1:37" ht="14.1" customHeight="1">
      <c r="A61" s="130">
        <v>10834</v>
      </c>
      <c r="B61" s="130" t="s">
        <v>285</v>
      </c>
      <c r="C61" s="119" t="str">
        <f>Rollover!A61</f>
        <v xml:space="preserve">Mitsubishi </v>
      </c>
      <c r="D61" s="119" t="str">
        <f>Rollover!B61</f>
        <v>Eclipse Cross SUV AWD</v>
      </c>
      <c r="E61" s="70" t="s">
        <v>157</v>
      </c>
      <c r="F61" s="132">
        <f>Rollover!C61</f>
        <v>2022</v>
      </c>
      <c r="G61" s="50">
        <v>357.64400000000001</v>
      </c>
      <c r="H61" s="19">
        <v>25.074000000000002</v>
      </c>
      <c r="I61" s="19">
        <v>44.167000000000002</v>
      </c>
      <c r="J61" s="51">
        <v>39.39</v>
      </c>
      <c r="K61" s="51">
        <v>2766.826</v>
      </c>
      <c r="L61" s="52">
        <f t="shared" ref="L61:L69" si="37">NORMDIST(LN(G61),7.45231,0.73998,1)</f>
        <v>1.6775586962925859E-2</v>
      </c>
      <c r="M61" s="59">
        <f t="shared" ref="M61:M69" si="38">1/(1+EXP(6.3055-0.00094*K61))</f>
        <v>2.4016992857706355E-2</v>
      </c>
      <c r="N61" s="52">
        <f t="shared" ref="N61:N69" si="39">ROUND(1-(1-L61)*(1-M61),3)</f>
        <v>0.04</v>
      </c>
      <c r="O61" s="10">
        <f t="shared" ref="O61:O69" si="40">ROUND(N61/0.15,2)</f>
        <v>0.27</v>
      </c>
      <c r="P61" s="25">
        <f t="shared" ref="P61:P69" si="41">IF(O61&lt;0.67,5,IF(O61&lt;1,4,IF(O61&lt;1.33,3,IF(O61&lt;2.67,2,1))))</f>
        <v>5</v>
      </c>
      <c r="Q61" s="53">
        <f>ROUND((0.8*'Side MDB'!W61+0.2*'Side Pole'!N61),3)</f>
        <v>2.9000000000000001E-2</v>
      </c>
      <c r="R61" s="53">
        <f t="shared" ref="R61:R69" si="42">ROUND((Q61)/0.15,2)</f>
        <v>0.19</v>
      </c>
      <c r="S61" s="25">
        <f t="shared" ref="S61:S69" si="43">IF(R61&lt;0.67,5,IF(R61&lt;1,4,IF(R61&lt;1.33,3,IF(R61&lt;2.67,2,1))))</f>
        <v>5</v>
      </c>
      <c r="T61" s="53">
        <f>ROUND(((0.8*'Side MDB'!W61+0.2*'Side Pole'!N61)+(IF('Side MDB'!X61="N/A",(0.8*'Side MDB'!W61+0.2*'Side Pole'!N61),'Side MDB'!X61)))/2,3)</f>
        <v>2.1000000000000001E-2</v>
      </c>
      <c r="U61" s="53">
        <f t="shared" ref="U61:U69" si="44">ROUND((T61)/0.15,2)</f>
        <v>0.14000000000000001</v>
      </c>
      <c r="V61" s="25">
        <f t="shared" ref="V61:V69" si="45">IF(U61&lt;0.67,5,IF(U61&lt;1,4,IF(U61&lt;1.33,3,IF(U61&lt;2.67,2,1))))</f>
        <v>5</v>
      </c>
      <c r="W61" s="23"/>
      <c r="X61" s="36"/>
      <c r="Y61" s="36"/>
      <c r="Z61" s="36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ht="14.1" customHeight="1">
      <c r="A62" s="138">
        <v>10834</v>
      </c>
      <c r="B62" s="130" t="s">
        <v>285</v>
      </c>
      <c r="C62" s="119" t="str">
        <f>Rollover!A62</f>
        <v xml:space="preserve">Mitsubishi </v>
      </c>
      <c r="D62" s="119" t="str">
        <f>Rollover!B62</f>
        <v>Eclipse Cross SUV FWD</v>
      </c>
      <c r="E62" s="70" t="s">
        <v>157</v>
      </c>
      <c r="F62" s="132">
        <f>Rollover!C62</f>
        <v>2022</v>
      </c>
      <c r="G62" s="50">
        <v>357.64400000000001</v>
      </c>
      <c r="H62" s="19">
        <v>25.074000000000002</v>
      </c>
      <c r="I62" s="19">
        <v>44.167000000000002</v>
      </c>
      <c r="J62" s="51">
        <v>39.39</v>
      </c>
      <c r="K62" s="51">
        <v>2766.826</v>
      </c>
      <c r="L62" s="52">
        <f t="shared" si="37"/>
        <v>1.6775586962925859E-2</v>
      </c>
      <c r="M62" s="59">
        <f t="shared" si="38"/>
        <v>2.4016992857706355E-2</v>
      </c>
      <c r="N62" s="52">
        <f t="shared" si="39"/>
        <v>0.04</v>
      </c>
      <c r="O62" s="10">
        <f t="shared" si="40"/>
        <v>0.27</v>
      </c>
      <c r="P62" s="25">
        <f t="shared" si="41"/>
        <v>5</v>
      </c>
      <c r="Q62" s="53">
        <f>ROUND((0.8*'Side MDB'!W62+0.2*'Side Pole'!N62),3)</f>
        <v>2.9000000000000001E-2</v>
      </c>
      <c r="R62" s="53">
        <f t="shared" si="42"/>
        <v>0.19</v>
      </c>
      <c r="S62" s="25">
        <f t="shared" si="43"/>
        <v>5</v>
      </c>
      <c r="T62" s="53">
        <f>ROUND(((0.8*'Side MDB'!W62+0.2*'Side Pole'!N62)+(IF('Side MDB'!X62="N/A",(0.8*'Side MDB'!W62+0.2*'Side Pole'!N62),'Side MDB'!X62)))/2,3)</f>
        <v>2.1000000000000001E-2</v>
      </c>
      <c r="U62" s="53">
        <f t="shared" si="44"/>
        <v>0.14000000000000001</v>
      </c>
      <c r="V62" s="25">
        <f t="shared" si="45"/>
        <v>5</v>
      </c>
      <c r="W62" s="23"/>
      <c r="X62" s="36"/>
      <c r="Y62" s="36"/>
      <c r="Z62" s="36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4.1" customHeight="1">
      <c r="A63" s="130">
        <v>14061</v>
      </c>
      <c r="B63" s="130" t="s">
        <v>286</v>
      </c>
      <c r="C63" s="119" t="str">
        <f>Rollover!A63</f>
        <v>Nissan</v>
      </c>
      <c r="D63" s="119" t="str">
        <f>Rollover!B63</f>
        <v>Altima 4DR FWD</v>
      </c>
      <c r="E63" s="70" t="s">
        <v>155</v>
      </c>
      <c r="F63" s="132">
        <f>Rollover!C63</f>
        <v>2022</v>
      </c>
      <c r="G63" s="50">
        <v>166.85499999999999</v>
      </c>
      <c r="H63" s="19">
        <v>24.131</v>
      </c>
      <c r="I63" s="19">
        <v>34.137999999999998</v>
      </c>
      <c r="J63" s="51">
        <v>19.248999999999999</v>
      </c>
      <c r="K63" s="51">
        <v>2653.913</v>
      </c>
      <c r="L63" s="52">
        <f t="shared" si="37"/>
        <v>8.0045621536349685E-4</v>
      </c>
      <c r="M63" s="59">
        <f t="shared" si="38"/>
        <v>2.1650852452170605E-2</v>
      </c>
      <c r="N63" s="52">
        <f t="shared" si="39"/>
        <v>2.1999999999999999E-2</v>
      </c>
      <c r="O63" s="10">
        <f t="shared" si="40"/>
        <v>0.15</v>
      </c>
      <c r="P63" s="25">
        <f t="shared" si="41"/>
        <v>5</v>
      </c>
      <c r="Q63" s="53">
        <f>ROUND((0.8*'Side MDB'!W63+0.2*'Side Pole'!N63),3)</f>
        <v>8.7999999999999995E-2</v>
      </c>
      <c r="R63" s="53">
        <f t="shared" si="42"/>
        <v>0.59</v>
      </c>
      <c r="S63" s="25">
        <f t="shared" si="43"/>
        <v>5</v>
      </c>
      <c r="T63" s="53">
        <f>ROUND(((0.8*'Side MDB'!W63+0.2*'Side Pole'!N63)+(IF('Side MDB'!X63="N/A",(0.8*'Side MDB'!W63+0.2*'Side Pole'!N63),'Side MDB'!X63)))/2,3)</f>
        <v>5.5E-2</v>
      </c>
      <c r="U63" s="53">
        <f t="shared" si="44"/>
        <v>0.37</v>
      </c>
      <c r="V63" s="25">
        <f t="shared" si="45"/>
        <v>5</v>
      </c>
      <c r="W63" s="23"/>
      <c r="X63" s="36"/>
      <c r="Y63" s="36"/>
      <c r="Z63" s="36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14.1" customHeight="1">
      <c r="A64" s="130">
        <v>14061</v>
      </c>
      <c r="B64" s="130" t="s">
        <v>286</v>
      </c>
      <c r="C64" s="131" t="str">
        <f>Rollover!A64</f>
        <v>Nissan</v>
      </c>
      <c r="D64" s="131" t="str">
        <f>Rollover!B64</f>
        <v>Altima 4DR AWD</v>
      </c>
      <c r="E64" s="70" t="s">
        <v>155</v>
      </c>
      <c r="F64" s="132">
        <f>Rollover!C64</f>
        <v>2022</v>
      </c>
      <c r="G64" s="50">
        <v>166.85499999999999</v>
      </c>
      <c r="H64" s="19">
        <v>24.131</v>
      </c>
      <c r="I64" s="19">
        <v>34.137999999999998</v>
      </c>
      <c r="J64" s="51">
        <v>19.248999999999999</v>
      </c>
      <c r="K64" s="51">
        <v>2653.913</v>
      </c>
      <c r="L64" s="52">
        <f t="shared" si="37"/>
        <v>8.0045621536349685E-4</v>
      </c>
      <c r="M64" s="59">
        <f t="shared" si="38"/>
        <v>2.1650852452170605E-2</v>
      </c>
      <c r="N64" s="52">
        <f t="shared" si="39"/>
        <v>2.1999999999999999E-2</v>
      </c>
      <c r="O64" s="10">
        <f t="shared" si="40"/>
        <v>0.15</v>
      </c>
      <c r="P64" s="25">
        <f t="shared" si="41"/>
        <v>5</v>
      </c>
      <c r="Q64" s="53">
        <f>ROUND((0.8*'Side MDB'!W64+0.2*'Side Pole'!N64),3)</f>
        <v>8.7999999999999995E-2</v>
      </c>
      <c r="R64" s="53">
        <f t="shared" si="42"/>
        <v>0.59</v>
      </c>
      <c r="S64" s="25">
        <f t="shared" si="43"/>
        <v>5</v>
      </c>
      <c r="T64" s="53">
        <f>ROUND(((0.8*'Side MDB'!W64+0.2*'Side Pole'!N64)+(IF('Side MDB'!X64="N/A",(0.8*'Side MDB'!W64+0.2*'Side Pole'!N64),'Side MDB'!X64)))/2,3)</f>
        <v>5.5E-2</v>
      </c>
      <c r="U64" s="53">
        <f t="shared" si="44"/>
        <v>0.37</v>
      </c>
      <c r="V64" s="25">
        <f t="shared" si="45"/>
        <v>5</v>
      </c>
      <c r="W64" s="23"/>
      <c r="X64" s="36"/>
      <c r="Y64" s="36"/>
      <c r="Z64" s="36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4.1" customHeight="1">
      <c r="A65" s="130">
        <v>14073</v>
      </c>
      <c r="B65" s="130" t="s">
        <v>287</v>
      </c>
      <c r="C65" s="119" t="str">
        <f>Rollover!A65</f>
        <v>Nissan</v>
      </c>
      <c r="D65" s="119" t="str">
        <f>Rollover!B65</f>
        <v>Frontier Crew Cab PU/CC RWD</v>
      </c>
      <c r="E65" s="70" t="s">
        <v>155</v>
      </c>
      <c r="F65" s="132">
        <f>Rollover!C65</f>
        <v>2022</v>
      </c>
      <c r="G65" s="50">
        <v>351.00299999999999</v>
      </c>
      <c r="H65" s="19">
        <v>23.491</v>
      </c>
      <c r="I65" s="19">
        <v>43.978000000000002</v>
      </c>
      <c r="J65" s="51">
        <v>18.788</v>
      </c>
      <c r="K65" s="51">
        <v>2995.7</v>
      </c>
      <c r="L65" s="52">
        <f t="shared" si="37"/>
        <v>1.5747795631950976E-2</v>
      </c>
      <c r="M65" s="59">
        <f t="shared" si="38"/>
        <v>2.9611261715457252E-2</v>
      </c>
      <c r="N65" s="52">
        <f t="shared" si="39"/>
        <v>4.4999999999999998E-2</v>
      </c>
      <c r="O65" s="10">
        <f t="shared" si="40"/>
        <v>0.3</v>
      </c>
      <c r="P65" s="25">
        <f t="shared" si="41"/>
        <v>5</v>
      </c>
      <c r="Q65" s="53">
        <f>ROUND((0.8*'Side MDB'!W65+0.2*'Side Pole'!N65),3)</f>
        <v>4.7E-2</v>
      </c>
      <c r="R65" s="53">
        <f t="shared" si="42"/>
        <v>0.31</v>
      </c>
      <c r="S65" s="25">
        <f t="shared" si="43"/>
        <v>5</v>
      </c>
      <c r="T65" s="53">
        <f>ROUND(((0.8*'Side MDB'!W65+0.2*'Side Pole'!N65)+(IF('Side MDB'!X65="N/A",(0.8*'Side MDB'!W65+0.2*'Side Pole'!N65),'Side MDB'!X65)))/2,3)</f>
        <v>4.8000000000000001E-2</v>
      </c>
      <c r="U65" s="53">
        <f t="shared" si="44"/>
        <v>0.32</v>
      </c>
      <c r="V65" s="25">
        <f t="shared" si="45"/>
        <v>5</v>
      </c>
      <c r="W65" s="23"/>
      <c r="X65" s="36"/>
      <c r="Y65" s="36"/>
      <c r="Z65" s="36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4.1" customHeight="1">
      <c r="A66" s="130">
        <v>14073</v>
      </c>
      <c r="B66" s="135" t="s">
        <v>287</v>
      </c>
      <c r="C66" s="119" t="str">
        <f>Rollover!A66</f>
        <v>Nissan</v>
      </c>
      <c r="D66" s="119" t="str">
        <f>Rollover!B66</f>
        <v>Frontier Crew Cab PU/CC 4WD</v>
      </c>
      <c r="E66" s="70" t="s">
        <v>155</v>
      </c>
      <c r="F66" s="132">
        <f>Rollover!C66</f>
        <v>2022</v>
      </c>
      <c r="G66" s="50">
        <v>351.00299999999999</v>
      </c>
      <c r="H66" s="19">
        <v>23.491</v>
      </c>
      <c r="I66" s="19">
        <v>43.978000000000002</v>
      </c>
      <c r="J66" s="51">
        <v>18.788</v>
      </c>
      <c r="K66" s="51">
        <v>2995.7</v>
      </c>
      <c r="L66" s="52">
        <f t="shared" si="37"/>
        <v>1.5747795631950976E-2</v>
      </c>
      <c r="M66" s="59">
        <f t="shared" si="38"/>
        <v>2.9611261715457252E-2</v>
      </c>
      <c r="N66" s="52">
        <f t="shared" si="39"/>
        <v>4.4999999999999998E-2</v>
      </c>
      <c r="O66" s="10">
        <f t="shared" si="40"/>
        <v>0.3</v>
      </c>
      <c r="P66" s="25">
        <f t="shared" si="41"/>
        <v>5</v>
      </c>
      <c r="Q66" s="53">
        <f>ROUND((0.8*'Side MDB'!W66+0.2*'Side Pole'!N66),3)</f>
        <v>4.7E-2</v>
      </c>
      <c r="R66" s="53">
        <f t="shared" si="42"/>
        <v>0.31</v>
      </c>
      <c r="S66" s="25">
        <f t="shared" si="43"/>
        <v>5</v>
      </c>
      <c r="T66" s="53">
        <f>ROUND(((0.8*'Side MDB'!W66+0.2*'Side Pole'!N66)+(IF('Side MDB'!X66="N/A",(0.8*'Side MDB'!W66+0.2*'Side Pole'!N66),'Side MDB'!X66)))/2,3)</f>
        <v>4.8000000000000001E-2</v>
      </c>
      <c r="U66" s="53">
        <f t="shared" si="44"/>
        <v>0.32</v>
      </c>
      <c r="V66" s="25">
        <f t="shared" si="45"/>
        <v>5</v>
      </c>
      <c r="W66" s="23"/>
      <c r="X66" s="36"/>
      <c r="Y66" s="36"/>
      <c r="Z66" s="36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4.1" customHeight="1">
      <c r="A67" s="130"/>
      <c r="B67" s="130"/>
      <c r="C67" s="131" t="str">
        <f>Rollover!A67</f>
        <v>Nissan</v>
      </c>
      <c r="D67" s="131" t="str">
        <f>Rollover!B67</f>
        <v>Frontier King Cab PU/EC RWD</v>
      </c>
      <c r="E67" s="70"/>
      <c r="F67" s="132">
        <f>Rollover!C67</f>
        <v>2022</v>
      </c>
      <c r="G67" s="50"/>
      <c r="H67" s="19"/>
      <c r="I67" s="19"/>
      <c r="J67" s="51"/>
      <c r="K67" s="51"/>
      <c r="L67" s="52" t="e">
        <f t="shared" si="37"/>
        <v>#NUM!</v>
      </c>
      <c r="M67" s="59">
        <f t="shared" si="38"/>
        <v>1.8229037773026034E-3</v>
      </c>
      <c r="N67" s="52" t="e">
        <f t="shared" si="39"/>
        <v>#NUM!</v>
      </c>
      <c r="O67" s="10" t="e">
        <f t="shared" si="40"/>
        <v>#NUM!</v>
      </c>
      <c r="P67" s="25" t="e">
        <f t="shared" si="41"/>
        <v>#NUM!</v>
      </c>
      <c r="Q67" s="53" t="e">
        <f>ROUND((0.8*'Side MDB'!W67+0.2*'Side Pole'!N67),3)</f>
        <v>#NUM!</v>
      </c>
      <c r="R67" s="53" t="e">
        <f t="shared" si="42"/>
        <v>#NUM!</v>
      </c>
      <c r="S67" s="25" t="e">
        <f t="shared" si="43"/>
        <v>#NUM!</v>
      </c>
      <c r="T67" s="53" t="e">
        <f>ROUND(((0.8*'Side MDB'!W67+0.2*'Side Pole'!N67)+(IF('Side MDB'!X67="N/A",(0.8*'Side MDB'!W67+0.2*'Side Pole'!N67),'Side MDB'!X67)))/2,3)</f>
        <v>#NUM!</v>
      </c>
      <c r="U67" s="53" t="e">
        <f t="shared" si="44"/>
        <v>#NUM!</v>
      </c>
      <c r="V67" s="25" t="e">
        <f t="shared" si="45"/>
        <v>#NUM!</v>
      </c>
      <c r="W67" s="23"/>
      <c r="X67" s="36"/>
      <c r="Y67" s="36"/>
      <c r="Z67" s="36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4.1" customHeight="1">
      <c r="A68" s="130"/>
      <c r="B68" s="130"/>
      <c r="C68" s="131" t="str">
        <f>Rollover!A68</f>
        <v>Nissan</v>
      </c>
      <c r="D68" s="131" t="str">
        <f>Rollover!B68</f>
        <v>Frontier King Cab PU/EC 4WD</v>
      </c>
      <c r="E68" s="70"/>
      <c r="F68" s="132">
        <f>Rollover!C68</f>
        <v>2022</v>
      </c>
      <c r="G68" s="50"/>
      <c r="H68" s="19"/>
      <c r="I68" s="19"/>
      <c r="J68" s="51"/>
      <c r="K68" s="51"/>
      <c r="L68" s="52" t="e">
        <f t="shared" si="37"/>
        <v>#NUM!</v>
      </c>
      <c r="M68" s="59">
        <f t="shared" si="38"/>
        <v>1.8229037773026034E-3</v>
      </c>
      <c r="N68" s="52" t="e">
        <f t="shared" si="39"/>
        <v>#NUM!</v>
      </c>
      <c r="O68" s="10" t="e">
        <f t="shared" si="40"/>
        <v>#NUM!</v>
      </c>
      <c r="P68" s="25" t="e">
        <f t="shared" si="41"/>
        <v>#NUM!</v>
      </c>
      <c r="Q68" s="53" t="e">
        <f>ROUND((0.8*'Side MDB'!W68+0.2*'Side Pole'!N68),3)</f>
        <v>#NUM!</v>
      </c>
      <c r="R68" s="53" t="e">
        <f t="shared" si="42"/>
        <v>#NUM!</v>
      </c>
      <c r="S68" s="25" t="e">
        <f t="shared" si="43"/>
        <v>#NUM!</v>
      </c>
      <c r="T68" s="53" t="e">
        <f>ROUND(((0.8*'Side MDB'!W68+0.2*'Side Pole'!N68)+(IF('Side MDB'!X68="N/A",(0.8*'Side MDB'!W68+0.2*'Side Pole'!N68),'Side MDB'!X68)))/2,3)</f>
        <v>#NUM!</v>
      </c>
      <c r="U68" s="53" t="e">
        <f t="shared" si="44"/>
        <v>#NUM!</v>
      </c>
      <c r="V68" s="25" t="e">
        <f t="shared" si="45"/>
        <v>#NUM!</v>
      </c>
      <c r="W68" s="23"/>
      <c r="X68" s="36"/>
      <c r="Y68" s="36"/>
      <c r="Z68" s="36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4.1" customHeight="1">
      <c r="A69" s="130">
        <v>14088</v>
      </c>
      <c r="B69" s="130" t="s">
        <v>288</v>
      </c>
      <c r="C69" s="119" t="str">
        <f>Rollover!A69</f>
        <v>Nissan</v>
      </c>
      <c r="D69" s="119" t="str">
        <f>Rollover!B69</f>
        <v>Pathfinder SUV FWD</v>
      </c>
      <c r="E69" s="70" t="s">
        <v>157</v>
      </c>
      <c r="F69" s="132">
        <f>Rollover!C69</f>
        <v>2022</v>
      </c>
      <c r="G69" s="50">
        <v>234.13300000000001</v>
      </c>
      <c r="H69" s="19">
        <v>19.576000000000001</v>
      </c>
      <c r="I69" s="19">
        <v>37.15</v>
      </c>
      <c r="J69" s="51">
        <v>16.806999999999999</v>
      </c>
      <c r="K69" s="51">
        <v>2073.1550000000002</v>
      </c>
      <c r="L69" s="52">
        <f t="shared" si="37"/>
        <v>3.4885144773043413E-3</v>
      </c>
      <c r="M69" s="59">
        <f t="shared" si="38"/>
        <v>1.265790948669347E-2</v>
      </c>
      <c r="N69" s="52">
        <f t="shared" si="39"/>
        <v>1.6E-2</v>
      </c>
      <c r="O69" s="10">
        <f t="shared" si="40"/>
        <v>0.11</v>
      </c>
      <c r="P69" s="25">
        <f t="shared" si="41"/>
        <v>5</v>
      </c>
      <c r="Q69" s="53">
        <f>ROUND((0.8*'Side MDB'!W69+0.2*'Side Pole'!N69),3)</f>
        <v>4.1000000000000002E-2</v>
      </c>
      <c r="R69" s="53">
        <f t="shared" si="42"/>
        <v>0.27</v>
      </c>
      <c r="S69" s="25">
        <f t="shared" si="43"/>
        <v>5</v>
      </c>
      <c r="T69" s="53">
        <f>ROUND(((0.8*'Side MDB'!W69+0.2*'Side Pole'!N69)+(IF('Side MDB'!X69="N/A",(0.8*'Side MDB'!W69+0.2*'Side Pole'!N69),'Side MDB'!X69)))/2,3)</f>
        <v>2.5999999999999999E-2</v>
      </c>
      <c r="U69" s="53">
        <f t="shared" si="44"/>
        <v>0.17</v>
      </c>
      <c r="V69" s="25">
        <f t="shared" si="45"/>
        <v>5</v>
      </c>
      <c r="W69" s="23"/>
      <c r="X69" s="36"/>
      <c r="Y69" s="36"/>
      <c r="Z69" s="36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4.1" customHeight="1">
      <c r="A70" s="135">
        <v>14088</v>
      </c>
      <c r="B70" s="135" t="s">
        <v>288</v>
      </c>
      <c r="C70" s="131" t="str">
        <f>Rollover!A70</f>
        <v>Nissan</v>
      </c>
      <c r="D70" s="131" t="str">
        <f>Rollover!B70</f>
        <v>Pathfinder SUV AWD</v>
      </c>
      <c r="E70" s="70" t="s">
        <v>157</v>
      </c>
      <c r="F70" s="132">
        <f>Rollover!C70</f>
        <v>2022</v>
      </c>
      <c r="G70" s="50">
        <v>234.13300000000001</v>
      </c>
      <c r="H70" s="19">
        <v>19.576000000000001</v>
      </c>
      <c r="I70" s="19">
        <v>37.15</v>
      </c>
      <c r="J70" s="51">
        <v>16.806999999999999</v>
      </c>
      <c r="K70" s="51">
        <v>2073.1550000000002</v>
      </c>
      <c r="L70" s="52">
        <f t="shared" si="19"/>
        <v>3.4885144773043413E-3</v>
      </c>
      <c r="M70" s="59">
        <f t="shared" si="20"/>
        <v>1.265790948669347E-2</v>
      </c>
      <c r="N70" s="52">
        <f t="shared" si="21"/>
        <v>1.6E-2</v>
      </c>
      <c r="O70" s="10">
        <f t="shared" si="22"/>
        <v>0.11</v>
      </c>
      <c r="P70" s="25">
        <f t="shared" si="23"/>
        <v>5</v>
      </c>
      <c r="Q70" s="53">
        <f>ROUND((0.8*'Side MDB'!W70+0.2*'Side Pole'!N70),3)</f>
        <v>4.1000000000000002E-2</v>
      </c>
      <c r="R70" s="53">
        <f t="shared" si="24"/>
        <v>0.27</v>
      </c>
      <c r="S70" s="25">
        <f t="shared" si="25"/>
        <v>5</v>
      </c>
      <c r="T70" s="53">
        <f>ROUND(((0.8*'Side MDB'!W70+0.2*'Side Pole'!N70)+(IF('Side MDB'!X70="N/A",(0.8*'Side MDB'!W70+0.2*'Side Pole'!N70),'Side MDB'!X70)))/2,3)</f>
        <v>2.5999999999999999E-2</v>
      </c>
      <c r="U70" s="53">
        <f t="shared" si="26"/>
        <v>0.17</v>
      </c>
      <c r="V70" s="25">
        <f t="shared" si="27"/>
        <v>5</v>
      </c>
      <c r="W70" s="23"/>
      <c r="X70" s="36"/>
      <c r="Y70" s="36"/>
      <c r="Z70" s="36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4.1" customHeight="1">
      <c r="A71" s="135">
        <v>14088</v>
      </c>
      <c r="B71" s="135" t="s">
        <v>288</v>
      </c>
      <c r="C71" s="131" t="str">
        <f>Rollover!A71</f>
        <v xml:space="preserve">Infiniti </v>
      </c>
      <c r="D71" s="131" t="str">
        <f>Rollover!B71</f>
        <v>QX60 SUV FWD</v>
      </c>
      <c r="E71" s="139" t="s">
        <v>157</v>
      </c>
      <c r="F71" s="132">
        <v>2017</v>
      </c>
      <c r="G71" s="50">
        <v>234.13300000000001</v>
      </c>
      <c r="H71" s="19">
        <v>19.576000000000001</v>
      </c>
      <c r="I71" s="19">
        <v>37.15</v>
      </c>
      <c r="J71" s="51">
        <v>16.806999999999999</v>
      </c>
      <c r="K71" s="51">
        <v>2073.1550000000002</v>
      </c>
      <c r="L71" s="52">
        <f t="shared" si="19"/>
        <v>3.4885144773043413E-3</v>
      </c>
      <c r="M71" s="59">
        <f t="shared" si="20"/>
        <v>1.265790948669347E-2</v>
      </c>
      <c r="N71" s="52">
        <f t="shared" si="21"/>
        <v>1.6E-2</v>
      </c>
      <c r="O71" s="10">
        <f t="shared" si="22"/>
        <v>0.11</v>
      </c>
      <c r="P71" s="25">
        <f t="shared" si="23"/>
        <v>5</v>
      </c>
      <c r="Q71" s="53">
        <f>ROUND((0.8*'Side MDB'!W71+0.2*'Side Pole'!N71),3)</f>
        <v>4.1000000000000002E-2</v>
      </c>
      <c r="R71" s="53">
        <f t="shared" si="24"/>
        <v>0.27</v>
      </c>
      <c r="S71" s="25">
        <f t="shared" si="25"/>
        <v>5</v>
      </c>
      <c r="T71" s="53">
        <f>ROUND(((0.8*'Side MDB'!W71+0.2*'Side Pole'!N71)+(IF('Side MDB'!X71="N/A",(0.8*'Side MDB'!W71+0.2*'Side Pole'!N71),'Side MDB'!X71)))/2,3)</f>
        <v>2.5999999999999999E-2</v>
      </c>
      <c r="U71" s="53">
        <f t="shared" si="26"/>
        <v>0.17</v>
      </c>
      <c r="V71" s="25">
        <f t="shared" si="27"/>
        <v>5</v>
      </c>
      <c r="W71" s="23"/>
      <c r="X71" s="36"/>
      <c r="Y71" s="36"/>
      <c r="Z71" s="36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4.1" customHeight="1">
      <c r="A72" s="130">
        <v>14088</v>
      </c>
      <c r="B72" s="130" t="s">
        <v>288</v>
      </c>
      <c r="C72" s="131" t="str">
        <f>Rollover!A72</f>
        <v xml:space="preserve">Infiniti </v>
      </c>
      <c r="D72" s="131" t="str">
        <f>Rollover!B72</f>
        <v>QX60 SUV AWD</v>
      </c>
      <c r="E72" s="70" t="s">
        <v>157</v>
      </c>
      <c r="F72" s="132">
        <f>Rollover!C72</f>
        <v>2022</v>
      </c>
      <c r="G72" s="50">
        <v>234.13300000000001</v>
      </c>
      <c r="H72" s="19">
        <v>19.576000000000001</v>
      </c>
      <c r="I72" s="19">
        <v>37.15</v>
      </c>
      <c r="J72" s="51">
        <v>16.806999999999999</v>
      </c>
      <c r="K72" s="51">
        <v>2073.1550000000002</v>
      </c>
      <c r="L72" s="52">
        <f t="shared" si="19"/>
        <v>3.4885144773043413E-3</v>
      </c>
      <c r="M72" s="59">
        <f t="shared" si="20"/>
        <v>1.265790948669347E-2</v>
      </c>
      <c r="N72" s="52">
        <f t="shared" si="21"/>
        <v>1.6E-2</v>
      </c>
      <c r="O72" s="10">
        <f t="shared" si="22"/>
        <v>0.11</v>
      </c>
      <c r="P72" s="25">
        <f t="shared" si="23"/>
        <v>5</v>
      </c>
      <c r="Q72" s="53">
        <f>ROUND((0.8*'Side MDB'!W72+0.2*'Side Pole'!N72),3)</f>
        <v>4.1000000000000002E-2</v>
      </c>
      <c r="R72" s="53">
        <f t="shared" si="24"/>
        <v>0.27</v>
      </c>
      <c r="S72" s="25">
        <f t="shared" si="25"/>
        <v>5</v>
      </c>
      <c r="T72" s="53">
        <f>ROUND(((0.8*'Side MDB'!W72+0.2*'Side Pole'!N72)+(IF('Side MDB'!X72="N/A",(0.8*'Side MDB'!W72+0.2*'Side Pole'!N72),'Side MDB'!X72)))/2,3)</f>
        <v>2.5999999999999999E-2</v>
      </c>
      <c r="U72" s="53">
        <f t="shared" si="26"/>
        <v>0.17</v>
      </c>
      <c r="V72" s="25">
        <f t="shared" si="27"/>
        <v>5</v>
      </c>
      <c r="W72" s="23"/>
      <c r="X72" s="36"/>
      <c r="Y72" s="36"/>
      <c r="Z72" s="36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4.1" customHeight="1">
      <c r="A73" s="134">
        <v>11344</v>
      </c>
      <c r="B73" s="135" t="s">
        <v>289</v>
      </c>
      <c r="C73" s="131" t="str">
        <f>Rollover!A73</f>
        <v>Nissan</v>
      </c>
      <c r="D73" s="131" t="str">
        <f>Rollover!B73</f>
        <v>Rogue AWD (Later Release)</v>
      </c>
      <c r="E73" s="70" t="s">
        <v>157</v>
      </c>
      <c r="F73" s="132">
        <f>Rollover!C73</f>
        <v>2022</v>
      </c>
      <c r="G73" s="50">
        <v>161.607</v>
      </c>
      <c r="H73" s="19">
        <v>17.387</v>
      </c>
      <c r="I73" s="19" t="s">
        <v>290</v>
      </c>
      <c r="J73" s="51">
        <v>18.036999999999999</v>
      </c>
      <c r="K73" s="20">
        <v>1770.261</v>
      </c>
      <c r="L73" s="52">
        <f t="shared" ref="L73:L74" si="46">NORMDIST(LN(G73),7.45231,0.73998,1)</f>
        <v>6.8969872624144272E-4</v>
      </c>
      <c r="M73" s="59">
        <f t="shared" ref="M73:M74" si="47">1/(1+EXP(6.3055-0.00094*K73))</f>
        <v>9.5515473073525935E-3</v>
      </c>
      <c r="N73" s="52">
        <f t="shared" ref="N73:N74" si="48">ROUND(1-(1-L73)*(1-M73),3)</f>
        <v>0.01</v>
      </c>
      <c r="O73" s="10">
        <f t="shared" ref="O73:O74" si="49">ROUND(N73/0.15,2)</f>
        <v>7.0000000000000007E-2</v>
      </c>
      <c r="P73" s="25">
        <f t="shared" ref="P73:P74" si="50">IF(O73&lt;0.67,5,IF(O73&lt;1,4,IF(O73&lt;1.33,3,IF(O73&lt;2.67,2,1))))</f>
        <v>5</v>
      </c>
      <c r="Q73" s="53">
        <f>ROUND((0.8*'Side MDB'!W73+0.2*'Side Pole'!N73),3)</f>
        <v>1.7000000000000001E-2</v>
      </c>
      <c r="R73" s="53">
        <f t="shared" ref="R73:R74" si="51">ROUND((Q73)/0.15,2)</f>
        <v>0.11</v>
      </c>
      <c r="S73" s="25">
        <f t="shared" ref="S73:S74" si="52">IF(R73&lt;0.67,5,IF(R73&lt;1,4,IF(R73&lt;1.33,3,IF(R73&lt;2.67,2,1))))</f>
        <v>5</v>
      </c>
      <c r="T73" s="53">
        <f>ROUND(((0.8*'Side MDB'!W73+0.2*'Side Pole'!N73)+(IF('Side MDB'!X73="N/A",(0.8*'Side MDB'!W73+0.2*'Side Pole'!N73),'Side MDB'!X73)))/2,3)</f>
        <v>1.7000000000000001E-2</v>
      </c>
      <c r="U73" s="53">
        <f t="shared" ref="U73:U74" si="53">ROUND((T73)/0.15,2)</f>
        <v>0.11</v>
      </c>
      <c r="V73" s="25">
        <f t="shared" ref="V73:V74" si="54">IF(U73&lt;0.67,5,IF(U73&lt;1,4,IF(U73&lt;1.33,3,IF(U73&lt;2.67,2,1))))</f>
        <v>5</v>
      </c>
      <c r="W73" s="23"/>
      <c r="X73" s="36"/>
      <c r="Y73" s="36"/>
      <c r="Z73" s="36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4.1" customHeight="1">
      <c r="A74" s="134">
        <v>11344</v>
      </c>
      <c r="B74" s="135" t="s">
        <v>289</v>
      </c>
      <c r="C74" s="119" t="str">
        <f>Rollover!A74</f>
        <v>Nissan</v>
      </c>
      <c r="D74" s="119" t="str">
        <f>Rollover!B74</f>
        <v>Rogue FWD (Later Release)</v>
      </c>
      <c r="E74" s="70" t="s">
        <v>157</v>
      </c>
      <c r="F74" s="132">
        <f>Rollover!C74</f>
        <v>2022</v>
      </c>
      <c r="G74" s="50">
        <v>161.607</v>
      </c>
      <c r="H74" s="19">
        <v>17.387</v>
      </c>
      <c r="I74" s="19" t="s">
        <v>290</v>
      </c>
      <c r="J74" s="51">
        <v>18.036999999999999</v>
      </c>
      <c r="K74" s="20">
        <v>1770.261</v>
      </c>
      <c r="L74" s="52">
        <f t="shared" si="46"/>
        <v>6.8969872624144272E-4</v>
      </c>
      <c r="M74" s="59">
        <f t="shared" si="47"/>
        <v>9.5515473073525935E-3</v>
      </c>
      <c r="N74" s="52">
        <f t="shared" si="48"/>
        <v>0.01</v>
      </c>
      <c r="O74" s="10">
        <f t="shared" si="49"/>
        <v>7.0000000000000007E-2</v>
      </c>
      <c r="P74" s="25">
        <f t="shared" si="50"/>
        <v>5</v>
      </c>
      <c r="Q74" s="53">
        <f>ROUND((0.8*'Side MDB'!W74+0.2*'Side Pole'!N74),3)</f>
        <v>1.7000000000000001E-2</v>
      </c>
      <c r="R74" s="53">
        <f t="shared" si="51"/>
        <v>0.11</v>
      </c>
      <c r="S74" s="25">
        <f t="shared" si="52"/>
        <v>5</v>
      </c>
      <c r="T74" s="53">
        <f>ROUND(((0.8*'Side MDB'!W74+0.2*'Side Pole'!N74)+(IF('Side MDB'!X74="N/A",(0.8*'Side MDB'!W74+0.2*'Side Pole'!N74),'Side MDB'!X74)))/2,3)</f>
        <v>1.7000000000000001E-2</v>
      </c>
      <c r="U74" s="53">
        <f t="shared" si="53"/>
        <v>0.11</v>
      </c>
      <c r="V74" s="25">
        <f t="shared" si="54"/>
        <v>5</v>
      </c>
      <c r="W74" s="23"/>
      <c r="X74" s="36"/>
      <c r="Y74" s="36"/>
      <c r="Z74" s="36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4.1" customHeight="1">
      <c r="A75" s="130">
        <v>14220</v>
      </c>
      <c r="B75" s="130" t="s">
        <v>291</v>
      </c>
      <c r="C75" s="119" t="str">
        <f>Rollover!A75</f>
        <v>Nissan</v>
      </c>
      <c r="D75" s="119" t="str">
        <f>Rollover!B75</f>
        <v>Rogue Sport SUV FWD</v>
      </c>
      <c r="E75" s="70" t="s">
        <v>155</v>
      </c>
      <c r="F75" s="132">
        <f>Rollover!C75</f>
        <v>2022</v>
      </c>
      <c r="G75" s="50">
        <v>280.45800000000003</v>
      </c>
      <c r="H75" s="19">
        <v>19.98</v>
      </c>
      <c r="I75" s="19">
        <v>45.981999999999999</v>
      </c>
      <c r="J75" s="51">
        <v>17.164000000000001</v>
      </c>
      <c r="K75" s="51">
        <v>2195.4830000000002</v>
      </c>
      <c r="L75" s="52">
        <f t="shared" ref="L75:L87" si="55">NORMDIST(LN(G75),7.45231,0.73998,1)</f>
        <v>7.0645101334061034E-3</v>
      </c>
      <c r="M75" s="59">
        <f t="shared" ref="M75:M88" si="56">1/(1+EXP(6.3055-0.00094*K75))</f>
        <v>1.4178536215883665E-2</v>
      </c>
      <c r="N75" s="52">
        <f t="shared" ref="N75:N88" si="57">ROUND(1-(1-L75)*(1-M75),3)</f>
        <v>2.1000000000000001E-2</v>
      </c>
      <c r="O75" s="10">
        <f t="shared" ref="O75:O88" si="58">ROUND(N75/0.15,2)</f>
        <v>0.14000000000000001</v>
      </c>
      <c r="P75" s="25">
        <f t="shared" ref="P75:P88" si="59">IF(O75&lt;0.67,5,IF(O75&lt;1,4,IF(O75&lt;1.33,3,IF(O75&lt;2.67,2,1))))</f>
        <v>5</v>
      </c>
      <c r="Q75" s="53">
        <f>ROUND((0.8*'Side MDB'!W75+0.2*'Side Pole'!N75),3)</f>
        <v>7.9000000000000001E-2</v>
      </c>
      <c r="R75" s="53">
        <f t="shared" ref="R75:R88" si="60">ROUND((Q75)/0.15,2)</f>
        <v>0.53</v>
      </c>
      <c r="S75" s="25">
        <f t="shared" ref="S75:S88" si="61">IF(R75&lt;0.67,5,IF(R75&lt;1,4,IF(R75&lt;1.33,3,IF(R75&lt;2.67,2,1))))</f>
        <v>5</v>
      </c>
      <c r="T75" s="53">
        <f>ROUND(((0.8*'Side MDB'!W75+0.2*'Side Pole'!N75)+(IF('Side MDB'!X75="N/A",(0.8*'Side MDB'!W75+0.2*'Side Pole'!N75),'Side MDB'!X75)))/2,3)</f>
        <v>4.8000000000000001E-2</v>
      </c>
      <c r="U75" s="53">
        <f t="shared" ref="U75:U88" si="62">ROUND((T75)/0.15,2)</f>
        <v>0.32</v>
      </c>
      <c r="V75" s="25">
        <f t="shared" ref="V75:V88" si="63">IF(U75&lt;0.67,5,IF(U75&lt;1,4,IF(U75&lt;1.33,3,IF(U75&lt;2.67,2,1))))</f>
        <v>5</v>
      </c>
      <c r="W75" s="23"/>
      <c r="X75" s="36"/>
      <c r="Y75" s="36"/>
      <c r="Z75" s="36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14.1" customHeight="1">
      <c r="A76" s="130">
        <v>14220</v>
      </c>
      <c r="B76" s="130" t="s">
        <v>291</v>
      </c>
      <c r="C76" s="119" t="str">
        <f>Rollover!A76</f>
        <v>Nissan</v>
      </c>
      <c r="D76" s="119" t="str">
        <f>Rollover!B76</f>
        <v>Rogue Sport SUV AWD</v>
      </c>
      <c r="E76" s="70" t="s">
        <v>155</v>
      </c>
      <c r="F76" s="132">
        <f>Rollover!C76</f>
        <v>2022</v>
      </c>
      <c r="G76" s="50">
        <v>280.45800000000003</v>
      </c>
      <c r="H76" s="19">
        <v>19.98</v>
      </c>
      <c r="I76" s="19">
        <v>45.981999999999999</v>
      </c>
      <c r="J76" s="51">
        <v>17.164000000000001</v>
      </c>
      <c r="K76" s="51">
        <v>2195.4830000000002</v>
      </c>
      <c r="L76" s="52">
        <f t="shared" si="55"/>
        <v>7.0645101334061034E-3</v>
      </c>
      <c r="M76" s="59">
        <f t="shared" si="56"/>
        <v>1.4178536215883665E-2</v>
      </c>
      <c r="N76" s="52">
        <f t="shared" si="57"/>
        <v>2.1000000000000001E-2</v>
      </c>
      <c r="O76" s="10">
        <f t="shared" si="58"/>
        <v>0.14000000000000001</v>
      </c>
      <c r="P76" s="25">
        <f t="shared" si="59"/>
        <v>5</v>
      </c>
      <c r="Q76" s="53">
        <f>ROUND((0.8*'Side MDB'!W76+0.2*'Side Pole'!N76),3)</f>
        <v>7.9000000000000001E-2</v>
      </c>
      <c r="R76" s="53">
        <f t="shared" si="60"/>
        <v>0.53</v>
      </c>
      <c r="S76" s="25">
        <f t="shared" si="61"/>
        <v>5</v>
      </c>
      <c r="T76" s="53">
        <f>ROUND(((0.8*'Side MDB'!W76+0.2*'Side Pole'!N76)+(IF('Side MDB'!X76="N/A",(0.8*'Side MDB'!W76+0.2*'Side Pole'!N76),'Side MDB'!X76)))/2,3)</f>
        <v>4.8000000000000001E-2</v>
      </c>
      <c r="U76" s="53">
        <f t="shared" si="62"/>
        <v>0.32</v>
      </c>
      <c r="V76" s="25">
        <f t="shared" si="63"/>
        <v>5</v>
      </c>
      <c r="W76" s="23"/>
      <c r="X76" s="36"/>
      <c r="Y76" s="36"/>
      <c r="Z76" s="36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4.1" customHeight="1">
      <c r="A77" s="130">
        <v>14215</v>
      </c>
      <c r="B77" s="130" t="s">
        <v>292</v>
      </c>
      <c r="C77" s="119" t="str">
        <f>Rollover!A77</f>
        <v>Polestar</v>
      </c>
      <c r="D77" s="119" t="str">
        <f>Rollover!B77</f>
        <v>Polestar 2 5HB FWD</v>
      </c>
      <c r="E77" s="70" t="s">
        <v>157</v>
      </c>
      <c r="F77" s="132">
        <f>Rollover!C77</f>
        <v>2022</v>
      </c>
      <c r="G77" s="50">
        <v>252.05099999999999</v>
      </c>
      <c r="H77" s="19">
        <v>19.645</v>
      </c>
      <c r="I77" s="19">
        <v>34.981999999999999</v>
      </c>
      <c r="J77" s="51">
        <v>17.806999999999999</v>
      </c>
      <c r="K77" s="51">
        <v>3123.8649999999998</v>
      </c>
      <c r="L77" s="52">
        <f t="shared" ref="L77" si="64">NORMDIST(LN(G77),7.45231,0.73998,1)</f>
        <v>4.6845418660868641E-3</v>
      </c>
      <c r="M77" s="59">
        <f t="shared" ref="M77" si="65">1/(1+EXP(6.3055-0.00094*K77))</f>
        <v>3.3276312664236404E-2</v>
      </c>
      <c r="N77" s="52">
        <f t="shared" ref="N77" si="66">ROUND(1-(1-L77)*(1-M77),3)</f>
        <v>3.7999999999999999E-2</v>
      </c>
      <c r="O77" s="10">
        <f t="shared" ref="O77" si="67">ROUND(N77/0.15,2)</f>
        <v>0.25</v>
      </c>
      <c r="P77" s="25">
        <f t="shared" ref="P77" si="68">IF(O77&lt;0.67,5,IF(O77&lt;1,4,IF(O77&lt;1.33,3,IF(O77&lt;2.67,2,1))))</f>
        <v>5</v>
      </c>
      <c r="Q77" s="53">
        <f>ROUND((0.8*'Side MDB'!W77+0.2*'Side Pole'!N77),3)</f>
        <v>3.5000000000000003E-2</v>
      </c>
      <c r="R77" s="53">
        <f t="shared" ref="R77" si="69">ROUND((Q77)/0.15,2)</f>
        <v>0.23</v>
      </c>
      <c r="S77" s="25">
        <f t="shared" ref="S77" si="70">IF(R77&lt;0.67,5,IF(R77&lt;1,4,IF(R77&lt;1.33,3,IF(R77&lt;2.67,2,1))))</f>
        <v>5</v>
      </c>
      <c r="T77" s="53">
        <f>ROUND(((0.8*'Side MDB'!W77+0.2*'Side Pole'!N77)+(IF('Side MDB'!X77="N/A",(0.8*'Side MDB'!W77+0.2*'Side Pole'!N77),'Side MDB'!X77)))/2,3)</f>
        <v>0.04</v>
      </c>
      <c r="U77" s="53">
        <f t="shared" ref="U77" si="71">ROUND((T77)/0.15,2)</f>
        <v>0.27</v>
      </c>
      <c r="V77" s="25">
        <f t="shared" ref="V77" si="72">IF(U77&lt;0.67,5,IF(U77&lt;1,4,IF(U77&lt;1.33,3,IF(U77&lt;2.67,2,1))))</f>
        <v>5</v>
      </c>
      <c r="W77" s="23"/>
      <c r="X77" s="36"/>
      <c r="Y77" s="36"/>
      <c r="Z77" s="36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4.1" customHeight="1">
      <c r="A78" s="130">
        <v>14215</v>
      </c>
      <c r="B78" s="130" t="s">
        <v>292</v>
      </c>
      <c r="C78" s="119" t="str">
        <f>Rollover!A78</f>
        <v>Polestar</v>
      </c>
      <c r="D78" s="119" t="str">
        <f>Rollover!B78</f>
        <v>Polestar 2 5HB AWD</v>
      </c>
      <c r="E78" s="70" t="s">
        <v>157</v>
      </c>
      <c r="F78" s="132">
        <f>Rollover!C78</f>
        <v>2022</v>
      </c>
      <c r="G78" s="50">
        <v>252.05099999999999</v>
      </c>
      <c r="H78" s="19">
        <v>19.645</v>
      </c>
      <c r="I78" s="19">
        <v>34.981999999999999</v>
      </c>
      <c r="J78" s="51">
        <v>17.806999999999999</v>
      </c>
      <c r="K78" s="51">
        <v>3123.8649999999998</v>
      </c>
      <c r="L78" s="52">
        <f t="shared" ref="L78:L81" si="73">NORMDIST(LN(G78),7.45231,0.73998,1)</f>
        <v>4.6845418660868641E-3</v>
      </c>
      <c r="M78" s="59">
        <f t="shared" ref="M78:M81" si="74">1/(1+EXP(6.3055-0.00094*K78))</f>
        <v>3.3276312664236404E-2</v>
      </c>
      <c r="N78" s="52">
        <f t="shared" ref="N78:N81" si="75">ROUND(1-(1-L78)*(1-M78),3)</f>
        <v>3.7999999999999999E-2</v>
      </c>
      <c r="O78" s="10">
        <f t="shared" ref="O78:O81" si="76">ROUND(N78/0.15,2)</f>
        <v>0.25</v>
      </c>
      <c r="P78" s="25">
        <f t="shared" ref="P78:P81" si="77">IF(O78&lt;0.67,5,IF(O78&lt;1,4,IF(O78&lt;1.33,3,IF(O78&lt;2.67,2,1))))</f>
        <v>5</v>
      </c>
      <c r="Q78" s="53">
        <f>ROUND((0.8*'Side MDB'!W78+0.2*'Side Pole'!N78),3)</f>
        <v>3.5000000000000003E-2</v>
      </c>
      <c r="R78" s="53">
        <f t="shared" ref="R78:R81" si="78">ROUND((Q78)/0.15,2)</f>
        <v>0.23</v>
      </c>
      <c r="S78" s="25">
        <f t="shared" ref="S78:S81" si="79">IF(R78&lt;0.67,5,IF(R78&lt;1,4,IF(R78&lt;1.33,3,IF(R78&lt;2.67,2,1))))</f>
        <v>5</v>
      </c>
      <c r="T78" s="53">
        <f>ROUND(((0.8*'Side MDB'!W78+0.2*'Side Pole'!N78)+(IF('Side MDB'!X78="N/A",(0.8*'Side MDB'!W78+0.2*'Side Pole'!N78),'Side MDB'!X78)))/2,3)</f>
        <v>0.04</v>
      </c>
      <c r="U78" s="53">
        <f t="shared" ref="U78:U81" si="80">ROUND((T78)/0.15,2)</f>
        <v>0.27</v>
      </c>
      <c r="V78" s="25">
        <f t="shared" ref="V78:V81" si="81">IF(U78&lt;0.67,5,IF(U78&lt;1,4,IF(U78&lt;1.33,3,IF(U78&lt;2.67,2,1))))</f>
        <v>5</v>
      </c>
      <c r="W78" s="23"/>
      <c r="X78" s="36"/>
      <c r="Y78" s="36"/>
      <c r="Z78" s="36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4.1" customHeight="1">
      <c r="A79" s="130">
        <v>14267</v>
      </c>
      <c r="B79" s="130" t="s">
        <v>293</v>
      </c>
      <c r="C79" s="17" t="str">
        <f>Rollover!A79</f>
        <v>Subaru</v>
      </c>
      <c r="D79" s="17" t="str">
        <f>Rollover!B79</f>
        <v>WRX 4DR AWD</v>
      </c>
      <c r="E79" s="10" t="s">
        <v>190</v>
      </c>
      <c r="F79" s="25">
        <f>Rollover!C79</f>
        <v>2022</v>
      </c>
      <c r="G79" s="50">
        <v>208.01499999999999</v>
      </c>
      <c r="H79" s="19">
        <v>16.382999999999999</v>
      </c>
      <c r="I79" s="19">
        <v>47.826000000000001</v>
      </c>
      <c r="J79" s="51">
        <v>26.228999999999999</v>
      </c>
      <c r="K79" s="51">
        <v>3640.9250000000002</v>
      </c>
      <c r="L79" s="52">
        <f>NORMDIST(LN(G79),7.45231,0.73998,1)</f>
        <v>2.1330824517642264E-3</v>
      </c>
      <c r="M79" s="59">
        <f>1/(1+EXP(6.3055-0.00094*K79))</f>
        <v>5.2998829539709066E-2</v>
      </c>
      <c r="N79" s="52">
        <f>ROUND(1-(1-L79)*(1-M79),3)</f>
        <v>5.5E-2</v>
      </c>
      <c r="O79" s="10">
        <f>ROUND(N79/0.15,2)</f>
        <v>0.37</v>
      </c>
      <c r="P79" s="25">
        <f>IF(O79&lt;0.67,5,IF(O79&lt;1,4,IF(O79&lt;1.33,3,IF(O79&lt;2.67,2,1))))</f>
        <v>5</v>
      </c>
      <c r="Q79" s="53">
        <f>ROUND((0.8*'Side MDB'!W79+0.2*'Side Pole'!N79),3)</f>
        <v>5.6000000000000001E-2</v>
      </c>
      <c r="R79" s="53">
        <f>ROUND((Q79)/0.15,2)</f>
        <v>0.37</v>
      </c>
      <c r="S79" s="25">
        <f>IF(R79&lt;0.67,5,IF(R79&lt;1,4,IF(R79&lt;1.33,3,IF(R79&lt;2.67,2,1))))</f>
        <v>5</v>
      </c>
      <c r="T79" s="53">
        <f>ROUND(((0.8*'Side MDB'!W79+0.2*'Side Pole'!N79)+(IF('Side MDB'!X79="N/A",(0.8*'Side MDB'!W79+0.2*'Side Pole'!N79),'Side MDB'!X79)))/2,3)</f>
        <v>6.4000000000000001E-2</v>
      </c>
      <c r="U79" s="53">
        <f>ROUND((T79)/0.15,2)</f>
        <v>0.43</v>
      </c>
      <c r="V79" s="25">
        <f>IF(U79&lt;0.67,5,IF(U79&lt;1,4,IF(U79&lt;1.33,3,IF(U79&lt;2.67,2,1))))</f>
        <v>5</v>
      </c>
      <c r="W79" s="136"/>
      <c r="X79" s="137"/>
      <c r="Y79" s="137"/>
      <c r="Z79" s="137"/>
    </row>
    <row r="80" spans="1:37" ht="14.1" customHeight="1">
      <c r="A80" s="130">
        <v>14256</v>
      </c>
      <c r="B80" s="130" t="s">
        <v>294</v>
      </c>
      <c r="C80" s="119" t="str">
        <f>Rollover!A80</f>
        <v>Toyota</v>
      </c>
      <c r="D80" s="119" t="str">
        <f>Rollover!B80</f>
        <v>Corolla Cross SUV FWD</v>
      </c>
      <c r="E80" s="70" t="s">
        <v>155</v>
      </c>
      <c r="F80" s="132">
        <f>Rollover!C80</f>
        <v>2022</v>
      </c>
      <c r="G80" s="50">
        <v>299.72899999999998</v>
      </c>
      <c r="H80" s="19">
        <v>13.305999999999999</v>
      </c>
      <c r="I80" s="19">
        <v>41.595999999999997</v>
      </c>
      <c r="J80" s="51">
        <v>24.132000000000001</v>
      </c>
      <c r="K80" s="51">
        <v>3432.2460000000001</v>
      </c>
      <c r="L80" s="52">
        <f t="shared" si="73"/>
        <v>9.0354981387452318E-3</v>
      </c>
      <c r="M80" s="59">
        <f t="shared" si="74"/>
        <v>4.3973907476253273E-2</v>
      </c>
      <c r="N80" s="52">
        <f t="shared" si="75"/>
        <v>5.2999999999999999E-2</v>
      </c>
      <c r="O80" s="10">
        <f t="shared" si="76"/>
        <v>0.35</v>
      </c>
      <c r="P80" s="25">
        <f t="shared" si="77"/>
        <v>5</v>
      </c>
      <c r="Q80" s="53">
        <f>ROUND((0.8*'Side MDB'!W80+0.2*'Side Pole'!N80),3)</f>
        <v>2.8000000000000001E-2</v>
      </c>
      <c r="R80" s="53">
        <f t="shared" si="78"/>
        <v>0.19</v>
      </c>
      <c r="S80" s="25">
        <f t="shared" si="79"/>
        <v>5</v>
      </c>
      <c r="T80" s="53">
        <f>ROUND(((0.8*'Side MDB'!W80+0.2*'Side Pole'!N80)+(IF('Side MDB'!X80="N/A",(0.8*'Side MDB'!W80+0.2*'Side Pole'!N80),'Side MDB'!X80)))/2,3)</f>
        <v>0.02</v>
      </c>
      <c r="U80" s="53">
        <f t="shared" si="80"/>
        <v>0.13</v>
      </c>
      <c r="V80" s="25">
        <f t="shared" si="81"/>
        <v>5</v>
      </c>
      <c r="W80" s="23"/>
      <c r="X80" s="36"/>
      <c r="Y80" s="36"/>
      <c r="Z80" s="36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1:37" ht="14.1" customHeight="1">
      <c r="A81" s="130">
        <v>14256</v>
      </c>
      <c r="B81" s="130" t="s">
        <v>294</v>
      </c>
      <c r="C81" s="119" t="str">
        <f>Rollover!A81</f>
        <v>Toyota</v>
      </c>
      <c r="D81" s="119" t="str">
        <f>Rollover!B81</f>
        <v>Corolla Cross SUV AWD</v>
      </c>
      <c r="E81" s="70" t="s">
        <v>155</v>
      </c>
      <c r="F81" s="132">
        <f>Rollover!C81</f>
        <v>2022</v>
      </c>
      <c r="G81" s="50">
        <v>299.72899999999998</v>
      </c>
      <c r="H81" s="19">
        <v>13.305999999999999</v>
      </c>
      <c r="I81" s="19">
        <v>41.595999999999997</v>
      </c>
      <c r="J81" s="51">
        <v>24.132000000000001</v>
      </c>
      <c r="K81" s="51">
        <v>3432.2460000000001</v>
      </c>
      <c r="L81" s="52">
        <f t="shared" si="73"/>
        <v>9.0354981387452318E-3</v>
      </c>
      <c r="M81" s="59">
        <f t="shared" si="74"/>
        <v>4.3973907476253273E-2</v>
      </c>
      <c r="N81" s="52">
        <f t="shared" si="75"/>
        <v>5.2999999999999999E-2</v>
      </c>
      <c r="O81" s="10">
        <f t="shared" si="76"/>
        <v>0.35</v>
      </c>
      <c r="P81" s="25">
        <f t="shared" si="77"/>
        <v>5</v>
      </c>
      <c r="Q81" s="53">
        <f>ROUND((0.8*'Side MDB'!W81+0.2*'Side Pole'!N81),3)</f>
        <v>2.8000000000000001E-2</v>
      </c>
      <c r="R81" s="53">
        <f t="shared" si="78"/>
        <v>0.19</v>
      </c>
      <c r="S81" s="25">
        <f t="shared" si="79"/>
        <v>5</v>
      </c>
      <c r="T81" s="53">
        <f>ROUND(((0.8*'Side MDB'!W81+0.2*'Side Pole'!N81)+(IF('Side MDB'!X81="N/A",(0.8*'Side MDB'!W81+0.2*'Side Pole'!N81),'Side MDB'!X81)))/2,3)</f>
        <v>0.02</v>
      </c>
      <c r="U81" s="53">
        <f t="shared" si="80"/>
        <v>0.13</v>
      </c>
      <c r="V81" s="25">
        <f t="shared" si="81"/>
        <v>5</v>
      </c>
      <c r="W81" s="23"/>
      <c r="X81" s="36"/>
      <c r="Y81" s="36"/>
      <c r="Z81" s="36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4.1" customHeight="1">
      <c r="A82" s="130"/>
      <c r="B82" s="130"/>
      <c r="C82" s="119" t="str">
        <f>Rollover!A82</f>
        <v>Toyota</v>
      </c>
      <c r="D82" s="119" t="str">
        <f>Rollover!B82</f>
        <v>RAV4 Prime SUV AWD</v>
      </c>
      <c r="E82" s="70"/>
      <c r="F82" s="132">
        <f>Rollover!C82</f>
        <v>2022</v>
      </c>
      <c r="G82" s="50"/>
      <c r="H82" s="19"/>
      <c r="I82" s="19"/>
      <c r="J82" s="51"/>
      <c r="K82" s="51"/>
      <c r="L82" s="52" t="e">
        <f t="shared" si="55"/>
        <v>#NUM!</v>
      </c>
      <c r="M82" s="59">
        <f t="shared" si="56"/>
        <v>1.8229037773026034E-3</v>
      </c>
      <c r="N82" s="52" t="e">
        <f t="shared" si="57"/>
        <v>#NUM!</v>
      </c>
      <c r="O82" s="10" t="e">
        <f t="shared" si="58"/>
        <v>#NUM!</v>
      </c>
      <c r="P82" s="25" t="e">
        <f t="shared" si="59"/>
        <v>#NUM!</v>
      </c>
      <c r="Q82" s="53" t="e">
        <f>ROUND((0.8*'Side MDB'!W82+0.2*'Side Pole'!N82),3)</f>
        <v>#NUM!</v>
      </c>
      <c r="R82" s="53" t="e">
        <f t="shared" si="60"/>
        <v>#NUM!</v>
      </c>
      <c r="S82" s="25" t="e">
        <f t="shared" si="61"/>
        <v>#NUM!</v>
      </c>
      <c r="T82" s="53" t="e">
        <f>ROUND(((0.8*'Side MDB'!W82+0.2*'Side Pole'!N82)+(IF('Side MDB'!X82="N/A",(0.8*'Side MDB'!W82+0.2*'Side Pole'!N82),'Side MDB'!X82)))/2,3)</f>
        <v>#NUM!</v>
      </c>
      <c r="U82" s="53" t="e">
        <f t="shared" si="62"/>
        <v>#NUM!</v>
      </c>
      <c r="V82" s="25" t="e">
        <f t="shared" si="63"/>
        <v>#NUM!</v>
      </c>
      <c r="W82" s="23"/>
      <c r="X82" s="36"/>
      <c r="Y82" s="36"/>
      <c r="Z82" s="36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ht="14.1" customHeight="1">
      <c r="A83" s="130">
        <v>14254</v>
      </c>
      <c r="B83" s="130" t="s">
        <v>295</v>
      </c>
      <c r="C83" s="119" t="str">
        <f>Rollover!A83</f>
        <v>Toyota</v>
      </c>
      <c r="D83" s="119" t="str">
        <f>Rollover!B83</f>
        <v>Tundra PU/CC 2WD</v>
      </c>
      <c r="E83" s="70" t="s">
        <v>190</v>
      </c>
      <c r="F83" s="132">
        <f>Rollover!C83</f>
        <v>2022</v>
      </c>
      <c r="G83" s="50">
        <v>448.80099999999999</v>
      </c>
      <c r="H83" s="19">
        <v>22.236000000000001</v>
      </c>
      <c r="I83" s="19">
        <v>33.149000000000001</v>
      </c>
      <c r="J83" s="51">
        <v>25.111000000000001</v>
      </c>
      <c r="K83" s="51">
        <v>3337.9670000000001</v>
      </c>
      <c r="L83" s="52">
        <f t="shared" si="55"/>
        <v>3.4485951137262508E-2</v>
      </c>
      <c r="M83" s="59">
        <f t="shared" si="56"/>
        <v>4.0395182440558688E-2</v>
      </c>
      <c r="N83" s="52">
        <f t="shared" si="57"/>
        <v>7.2999999999999995E-2</v>
      </c>
      <c r="O83" s="10">
        <f t="shared" si="58"/>
        <v>0.49</v>
      </c>
      <c r="P83" s="25">
        <f t="shared" si="59"/>
        <v>5</v>
      </c>
      <c r="Q83" s="53">
        <f>ROUND((0.8*'Side MDB'!W83+0.2*'Side Pole'!N83),3)</f>
        <v>3.5000000000000003E-2</v>
      </c>
      <c r="R83" s="53">
        <f t="shared" si="60"/>
        <v>0.23</v>
      </c>
      <c r="S83" s="25">
        <f t="shared" si="61"/>
        <v>5</v>
      </c>
      <c r="T83" s="53">
        <f>ROUND(((0.8*'Side MDB'!W83+0.2*'Side Pole'!N83)+(IF('Side MDB'!X83="N/A",(0.8*'Side MDB'!W83+0.2*'Side Pole'!N83),'Side MDB'!X83)))/2,3)</f>
        <v>1.9E-2</v>
      </c>
      <c r="U83" s="53">
        <f t="shared" si="62"/>
        <v>0.13</v>
      </c>
      <c r="V83" s="25">
        <f t="shared" si="63"/>
        <v>5</v>
      </c>
      <c r="W83" s="23"/>
      <c r="X83" s="36"/>
      <c r="Y83" s="36"/>
      <c r="Z83" s="36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4.1" customHeight="1">
      <c r="A84" s="130">
        <v>14254</v>
      </c>
      <c r="B84" s="130" t="s">
        <v>295</v>
      </c>
      <c r="C84" s="119" t="str">
        <f>Rollover!A84</f>
        <v>Toyota</v>
      </c>
      <c r="D84" s="119" t="str">
        <f>Rollover!B84</f>
        <v>Tundra PU/CC 4WD</v>
      </c>
      <c r="E84" s="70" t="s">
        <v>190</v>
      </c>
      <c r="F84" s="132">
        <f>Rollover!C84</f>
        <v>2022</v>
      </c>
      <c r="G84" s="50">
        <v>448.80099999999999</v>
      </c>
      <c r="H84" s="19">
        <v>22.236000000000001</v>
      </c>
      <c r="I84" s="19">
        <v>33.149000000000001</v>
      </c>
      <c r="J84" s="51">
        <v>25.111000000000001</v>
      </c>
      <c r="K84" s="51">
        <v>3337.9670000000001</v>
      </c>
      <c r="L84" s="52">
        <f>NORMDIST(LN(G84),7.45231,0.73998,1)</f>
        <v>3.4485951137262508E-2</v>
      </c>
      <c r="M84" s="59">
        <f t="shared" si="56"/>
        <v>4.0395182440558688E-2</v>
      </c>
      <c r="N84" s="52">
        <f t="shared" si="57"/>
        <v>7.2999999999999995E-2</v>
      </c>
      <c r="O84" s="10">
        <f t="shared" si="58"/>
        <v>0.49</v>
      </c>
      <c r="P84" s="25">
        <f t="shared" si="59"/>
        <v>5</v>
      </c>
      <c r="Q84" s="53">
        <f>ROUND((0.8*'Side MDB'!W84+0.2*'Side Pole'!N84),3)</f>
        <v>3.5000000000000003E-2</v>
      </c>
      <c r="R84" s="53">
        <f t="shared" si="60"/>
        <v>0.23</v>
      </c>
      <c r="S84" s="25">
        <f t="shared" si="61"/>
        <v>5</v>
      </c>
      <c r="T84" s="53">
        <f>ROUND(((0.8*'Side MDB'!W84+0.2*'Side Pole'!N84)+(IF('Side MDB'!X84="N/A",(0.8*'Side MDB'!W84+0.2*'Side Pole'!N84),'Side MDB'!X84)))/2,3)</f>
        <v>1.9E-2</v>
      </c>
      <c r="U84" s="53">
        <f t="shared" si="62"/>
        <v>0.13</v>
      </c>
      <c r="V84" s="25">
        <f t="shared" si="63"/>
        <v>5</v>
      </c>
      <c r="W84" s="23"/>
      <c r="X84" s="36"/>
      <c r="Y84" s="36"/>
      <c r="Z84" s="36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4.1" customHeight="1">
      <c r="A85" s="130"/>
      <c r="B85" s="130"/>
      <c r="C85" s="131" t="str">
        <f>Rollover!A85</f>
        <v>Toyota</v>
      </c>
      <c r="D85" s="131" t="str">
        <f>Rollover!B85</f>
        <v>Tundra HEV PU/CC 2WD</v>
      </c>
      <c r="E85" s="70"/>
      <c r="F85" s="132">
        <f>Rollover!C85</f>
        <v>2022</v>
      </c>
      <c r="G85" s="50">
        <v>448.80099999999999</v>
      </c>
      <c r="H85" s="19">
        <v>22.236000000000001</v>
      </c>
      <c r="I85" s="19">
        <v>33.149000000000001</v>
      </c>
      <c r="J85" s="51">
        <v>25.111000000000001</v>
      </c>
      <c r="K85" s="51">
        <v>3337.9670000000001</v>
      </c>
      <c r="L85" s="52">
        <f t="shared" ref="L85:L86" si="82">NORMDIST(LN(G85),7.45231,0.73998,1)</f>
        <v>3.4485951137262508E-2</v>
      </c>
      <c r="M85" s="59">
        <f t="shared" ref="M85:M86" si="83">1/(1+EXP(6.3055-0.00094*K85))</f>
        <v>4.0395182440558688E-2</v>
      </c>
      <c r="N85" s="52">
        <f t="shared" ref="N85:N86" si="84">ROUND(1-(1-L85)*(1-M85),3)</f>
        <v>7.2999999999999995E-2</v>
      </c>
      <c r="O85" s="10">
        <f t="shared" ref="O85:O86" si="85">ROUND(N85/0.15,2)</f>
        <v>0.49</v>
      </c>
      <c r="P85" s="25">
        <f t="shared" ref="P85:P86" si="86">IF(O85&lt;0.67,5,IF(O85&lt;1,4,IF(O85&lt;1.33,3,IF(O85&lt;2.67,2,1))))</f>
        <v>5</v>
      </c>
      <c r="Q85" s="53">
        <f>ROUND((0.8*'Side MDB'!W85+0.2*'Side Pole'!N85),3)</f>
        <v>3.5000000000000003E-2</v>
      </c>
      <c r="R85" s="53">
        <f t="shared" ref="R85:R86" si="87">ROUND((Q85)/0.15,2)</f>
        <v>0.23</v>
      </c>
      <c r="S85" s="25">
        <f t="shared" ref="S85:S86" si="88">IF(R85&lt;0.67,5,IF(R85&lt;1,4,IF(R85&lt;1.33,3,IF(R85&lt;2.67,2,1))))</f>
        <v>5</v>
      </c>
      <c r="T85" s="53">
        <f>ROUND(((0.8*'Side MDB'!W85+0.2*'Side Pole'!N85)+(IF('Side MDB'!X85="N/A",(0.8*'Side MDB'!W85+0.2*'Side Pole'!N85),'Side MDB'!X85)))/2,3)</f>
        <v>1.9E-2</v>
      </c>
      <c r="U85" s="53">
        <f t="shared" ref="U85:U86" si="89">ROUND((T85)/0.15,2)</f>
        <v>0.13</v>
      </c>
      <c r="V85" s="25">
        <f t="shared" ref="V85:V86" si="90">IF(U85&lt;0.67,5,IF(U85&lt;1,4,IF(U85&lt;1.33,3,IF(U85&lt;2.67,2,1))))</f>
        <v>5</v>
      </c>
      <c r="W85" s="23"/>
      <c r="X85" s="36"/>
      <c r="Y85" s="36"/>
      <c r="Z85" s="36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4.1" customHeight="1">
      <c r="A86" s="130"/>
      <c r="B86" s="130"/>
      <c r="C86" s="131" t="str">
        <f>Rollover!A86</f>
        <v>Toyota</v>
      </c>
      <c r="D86" s="131" t="str">
        <f>Rollover!B86</f>
        <v>Tundra HEV PU/CC 4WD</v>
      </c>
      <c r="E86" s="70"/>
      <c r="F86" s="132">
        <f>Rollover!C86</f>
        <v>2022</v>
      </c>
      <c r="G86" s="50">
        <v>448.80099999999999</v>
      </c>
      <c r="H86" s="19">
        <v>22.236000000000001</v>
      </c>
      <c r="I86" s="19">
        <v>33.149000000000001</v>
      </c>
      <c r="J86" s="51">
        <v>25.111000000000001</v>
      </c>
      <c r="K86" s="51">
        <v>3337.9670000000001</v>
      </c>
      <c r="L86" s="52">
        <f t="shared" si="82"/>
        <v>3.4485951137262508E-2</v>
      </c>
      <c r="M86" s="59">
        <f t="shared" si="83"/>
        <v>4.0395182440558688E-2</v>
      </c>
      <c r="N86" s="52">
        <f t="shared" si="84"/>
        <v>7.2999999999999995E-2</v>
      </c>
      <c r="O86" s="10">
        <f t="shared" si="85"/>
        <v>0.49</v>
      </c>
      <c r="P86" s="25">
        <f t="shared" si="86"/>
        <v>5</v>
      </c>
      <c r="Q86" s="53">
        <f>ROUND((0.8*'Side MDB'!W86+0.2*'Side Pole'!N86),3)</f>
        <v>3.5000000000000003E-2</v>
      </c>
      <c r="R86" s="53">
        <f t="shared" si="87"/>
        <v>0.23</v>
      </c>
      <c r="S86" s="25">
        <f t="shared" si="88"/>
        <v>5</v>
      </c>
      <c r="T86" s="53">
        <f>ROUND(((0.8*'Side MDB'!W86+0.2*'Side Pole'!N86)+(IF('Side MDB'!X86="N/A",(0.8*'Side MDB'!W86+0.2*'Side Pole'!N86),'Side MDB'!X86)))/2,3)</f>
        <v>1.9E-2</v>
      </c>
      <c r="U86" s="53">
        <f t="shared" si="89"/>
        <v>0.13</v>
      </c>
      <c r="V86" s="25">
        <f t="shared" si="90"/>
        <v>5</v>
      </c>
      <c r="W86" s="23"/>
      <c r="X86" s="36"/>
      <c r="Y86" s="36"/>
      <c r="Z86" s="36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4.1" customHeight="1">
      <c r="A87" s="130"/>
      <c r="B87" s="130"/>
      <c r="C87" s="131" t="str">
        <f>Rollover!A87</f>
        <v>Toyota</v>
      </c>
      <c r="D87" s="131" t="str">
        <f>Rollover!B87</f>
        <v>Tundra PU/EC 2WD</v>
      </c>
      <c r="E87" s="70"/>
      <c r="F87" s="132">
        <f>Rollover!C87</f>
        <v>2022</v>
      </c>
      <c r="G87" s="50"/>
      <c r="H87" s="19"/>
      <c r="I87" s="19"/>
      <c r="J87" s="51"/>
      <c r="K87" s="51"/>
      <c r="L87" s="52" t="e">
        <f t="shared" si="55"/>
        <v>#NUM!</v>
      </c>
      <c r="M87" s="59">
        <f t="shared" si="56"/>
        <v>1.8229037773026034E-3</v>
      </c>
      <c r="N87" s="52" t="e">
        <f t="shared" si="57"/>
        <v>#NUM!</v>
      </c>
      <c r="O87" s="10" t="e">
        <f t="shared" si="58"/>
        <v>#NUM!</v>
      </c>
      <c r="P87" s="25" t="e">
        <f t="shared" si="59"/>
        <v>#NUM!</v>
      </c>
      <c r="Q87" s="53" t="e">
        <f>ROUND((0.8*'Side MDB'!W87+0.2*'Side Pole'!N87),3)</f>
        <v>#NUM!</v>
      </c>
      <c r="R87" s="53" t="e">
        <f t="shared" si="60"/>
        <v>#NUM!</v>
      </c>
      <c r="S87" s="25" t="e">
        <f t="shared" si="61"/>
        <v>#NUM!</v>
      </c>
      <c r="T87" s="53" t="e">
        <f>ROUND(((0.8*'Side MDB'!W87+0.2*'Side Pole'!N87)+(IF('Side MDB'!X87="N/A",(0.8*'Side MDB'!W87+0.2*'Side Pole'!N87),'Side MDB'!X87)))/2,3)</f>
        <v>#NUM!</v>
      </c>
      <c r="U87" s="53" t="e">
        <f t="shared" si="62"/>
        <v>#NUM!</v>
      </c>
      <c r="V87" s="25" t="e">
        <f t="shared" si="63"/>
        <v>#NUM!</v>
      </c>
      <c r="W87" s="23"/>
      <c r="X87" s="36"/>
      <c r="Y87" s="36"/>
      <c r="Z87" s="36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4.1" customHeight="1">
      <c r="A88" s="130"/>
      <c r="B88" s="130"/>
      <c r="C88" s="131" t="str">
        <f>Rollover!A88</f>
        <v>Toyota</v>
      </c>
      <c r="D88" s="131" t="str">
        <f>Rollover!B88</f>
        <v>Tundra PU/EC 4WD</v>
      </c>
      <c r="E88" s="70"/>
      <c r="F88" s="132">
        <f>Rollover!C88</f>
        <v>2022</v>
      </c>
      <c r="G88" s="50"/>
      <c r="H88" s="19"/>
      <c r="I88" s="19"/>
      <c r="J88" s="51"/>
      <c r="K88" s="51"/>
      <c r="L88" s="52" t="e">
        <f>NORMDIST(LN(G88),7.45231,0.73998,1)</f>
        <v>#NUM!</v>
      </c>
      <c r="M88" s="59">
        <f t="shared" si="56"/>
        <v>1.8229037773026034E-3</v>
      </c>
      <c r="N88" s="52" t="e">
        <f t="shared" si="57"/>
        <v>#NUM!</v>
      </c>
      <c r="O88" s="10" t="e">
        <f t="shared" si="58"/>
        <v>#NUM!</v>
      </c>
      <c r="P88" s="25" t="e">
        <f t="shared" si="59"/>
        <v>#NUM!</v>
      </c>
      <c r="Q88" s="53" t="e">
        <f>ROUND((0.8*'Side MDB'!W88+0.2*'Side Pole'!N88),3)</f>
        <v>#NUM!</v>
      </c>
      <c r="R88" s="53" t="e">
        <f t="shared" si="60"/>
        <v>#NUM!</v>
      </c>
      <c r="S88" s="25" t="e">
        <f t="shared" si="61"/>
        <v>#NUM!</v>
      </c>
      <c r="T88" s="53" t="e">
        <f>ROUND(((0.8*'Side MDB'!W88+0.2*'Side Pole'!N88)+(IF('Side MDB'!X88="N/A",(0.8*'Side MDB'!W88+0.2*'Side Pole'!N88),'Side MDB'!X88)))/2,3)</f>
        <v>#NUM!</v>
      </c>
      <c r="U88" s="53" t="e">
        <f t="shared" si="62"/>
        <v>#NUM!</v>
      </c>
      <c r="V88" s="25" t="e">
        <f t="shared" si="63"/>
        <v>#NUM!</v>
      </c>
      <c r="W88" s="23"/>
      <c r="X88" s="36"/>
      <c r="Y88" s="36"/>
      <c r="Z88" s="36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4.1" customHeight="1">
      <c r="A89" s="138">
        <v>10662</v>
      </c>
      <c r="B89" s="130" t="s">
        <v>296</v>
      </c>
      <c r="C89" s="119" t="str">
        <f>Rollover!A89</f>
        <v>Volkswagen</v>
      </c>
      <c r="D89" s="119" t="str">
        <f>Rollover!B89</f>
        <v>Jetta 4DR FWD</v>
      </c>
      <c r="E89" s="70" t="s">
        <v>157</v>
      </c>
      <c r="F89" s="132">
        <f>Rollover!C89</f>
        <v>2022</v>
      </c>
      <c r="G89" s="50">
        <v>239.20500000000001</v>
      </c>
      <c r="H89" s="19">
        <v>23.585999999999999</v>
      </c>
      <c r="I89" s="19">
        <v>37.648000000000003</v>
      </c>
      <c r="J89" s="51">
        <v>28.818999999999999</v>
      </c>
      <c r="K89" s="20">
        <v>2790.1849999999999</v>
      </c>
      <c r="L89" s="52">
        <f t="shared" ref="L89:L91" si="91">NORMDIST(LN(G89),7.45231,0.73998,1)</f>
        <v>3.804141042345967E-3</v>
      </c>
      <c r="M89" s="59">
        <f t="shared" ref="M89:M91" si="92">1/(1+EXP(6.3055-0.00094*K89))</f>
        <v>2.4537094487065852E-2</v>
      </c>
      <c r="N89" s="52">
        <f t="shared" ref="N89:N91" si="93">ROUND(1-(1-L89)*(1-M89),3)</f>
        <v>2.8000000000000001E-2</v>
      </c>
      <c r="O89" s="10">
        <f t="shared" ref="O89:O92" si="94">ROUND(N89/0.15,2)</f>
        <v>0.19</v>
      </c>
      <c r="P89" s="25">
        <f t="shared" ref="P89:P92" si="95">IF(O89&lt;0.67,5,IF(O89&lt;1,4,IF(O89&lt;1.33,3,IF(O89&lt;2.67,2,1))))</f>
        <v>5</v>
      </c>
      <c r="Q89" s="53">
        <f>ROUND((0.8*'Side MDB'!W89+0.2*'Side Pole'!N89),3)</f>
        <v>0.05</v>
      </c>
      <c r="R89" s="53">
        <f t="shared" ref="R89:R92" si="96">ROUND((Q89)/0.15,2)</f>
        <v>0.33</v>
      </c>
      <c r="S89" s="25">
        <f t="shared" ref="S89:S92" si="97">IF(R89&lt;0.67,5,IF(R89&lt;1,4,IF(R89&lt;1.33,3,IF(R89&lt;2.67,2,1))))</f>
        <v>5</v>
      </c>
      <c r="T89" s="53">
        <f>ROUND(((0.8*'Side MDB'!W89+0.2*'Side Pole'!N89)+(IF('Side MDB'!X89="N/A",(0.8*'Side MDB'!W89+0.2*'Side Pole'!N89),'Side MDB'!X89)))/2,3)</f>
        <v>3.9E-2</v>
      </c>
      <c r="U89" s="53">
        <f t="shared" ref="U89:U92" si="98">ROUND((T89)/0.15,2)</f>
        <v>0.26</v>
      </c>
      <c r="V89" s="25">
        <f t="shared" ref="V89:V92" si="99">IF(U89&lt;0.67,5,IF(U89&lt;1,4,IF(U89&lt;1.33,3,IF(U89&lt;2.67,2,1))))</f>
        <v>5</v>
      </c>
      <c r="W89" s="23"/>
      <c r="X89" s="36"/>
      <c r="Y89" s="36"/>
      <c r="Z89" s="36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ht="14.1" customHeight="1">
      <c r="A90" s="138">
        <v>10662</v>
      </c>
      <c r="B90" s="130" t="s">
        <v>296</v>
      </c>
      <c r="C90" s="131" t="str">
        <f>Rollover!A90</f>
        <v>Volkswagen</v>
      </c>
      <c r="D90" s="131" t="str">
        <f>Rollover!B90</f>
        <v>Jetta GLI 4DR FWD</v>
      </c>
      <c r="E90" s="70" t="s">
        <v>157</v>
      </c>
      <c r="F90" s="132">
        <f>Rollover!C90</f>
        <v>2022</v>
      </c>
      <c r="G90" s="50">
        <v>239.20500000000001</v>
      </c>
      <c r="H90" s="19">
        <v>23.585999999999999</v>
      </c>
      <c r="I90" s="19">
        <v>37.648000000000003</v>
      </c>
      <c r="J90" s="51">
        <v>28.818999999999999</v>
      </c>
      <c r="K90" s="20">
        <v>2790.1849999999999</v>
      </c>
      <c r="L90" s="52">
        <f t="shared" si="91"/>
        <v>3.804141042345967E-3</v>
      </c>
      <c r="M90" s="59">
        <f t="shared" si="92"/>
        <v>2.4537094487065852E-2</v>
      </c>
      <c r="N90" s="52">
        <f t="shared" si="93"/>
        <v>2.8000000000000001E-2</v>
      </c>
      <c r="O90" s="10">
        <f t="shared" si="94"/>
        <v>0.19</v>
      </c>
      <c r="P90" s="25">
        <f t="shared" si="95"/>
        <v>5</v>
      </c>
      <c r="Q90" s="53">
        <f>ROUND((0.8*'Side MDB'!W90+0.2*'Side Pole'!N90),3)</f>
        <v>0.05</v>
      </c>
      <c r="R90" s="53">
        <f t="shared" si="96"/>
        <v>0.33</v>
      </c>
      <c r="S90" s="25">
        <f t="shared" si="97"/>
        <v>5</v>
      </c>
      <c r="T90" s="53">
        <f>ROUND(((0.8*'Side MDB'!W90+0.2*'Side Pole'!N90)+(IF('Side MDB'!X90="N/A",(0.8*'Side MDB'!W90+0.2*'Side Pole'!N90),'Side MDB'!X90)))/2,3)</f>
        <v>3.9E-2</v>
      </c>
      <c r="U90" s="53">
        <f t="shared" si="98"/>
        <v>0.26</v>
      </c>
      <c r="V90" s="25">
        <f t="shared" si="99"/>
        <v>5</v>
      </c>
      <c r="W90" s="23"/>
      <c r="X90" s="36"/>
      <c r="Y90" s="36"/>
      <c r="Z90" s="36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4.1" customHeight="1">
      <c r="A91" s="130">
        <v>14083</v>
      </c>
      <c r="B91" s="130" t="s">
        <v>297</v>
      </c>
      <c r="C91" s="119" t="str">
        <f>Rollover!A91</f>
        <v>Volkswagen</v>
      </c>
      <c r="D91" s="119" t="str">
        <f>Rollover!B91</f>
        <v>Taos SUV FWD</v>
      </c>
      <c r="E91" s="70" t="s">
        <v>190</v>
      </c>
      <c r="F91" s="132">
        <f>Rollover!C91</f>
        <v>2022</v>
      </c>
      <c r="G91" s="50">
        <v>337.608</v>
      </c>
      <c r="H91" s="19">
        <v>26.867000000000001</v>
      </c>
      <c r="I91" s="19">
        <v>46.320999999999998</v>
      </c>
      <c r="J91" s="51">
        <v>36.298999999999999</v>
      </c>
      <c r="K91" s="51">
        <v>4175.3689999999997</v>
      </c>
      <c r="L91" s="52">
        <f t="shared" si="91"/>
        <v>1.3785539244020106E-2</v>
      </c>
      <c r="M91" s="59">
        <f t="shared" si="92"/>
        <v>8.4659938460111619E-2</v>
      </c>
      <c r="N91" s="52">
        <f t="shared" si="93"/>
        <v>9.7000000000000003E-2</v>
      </c>
      <c r="O91" s="10">
        <f t="shared" si="94"/>
        <v>0.65</v>
      </c>
      <c r="P91" s="25">
        <f t="shared" si="95"/>
        <v>5</v>
      </c>
      <c r="Q91" s="53">
        <f>ROUND((0.8*'Side MDB'!W91+0.2*'Side Pole'!N91),3)</f>
        <v>4.2999999999999997E-2</v>
      </c>
      <c r="R91" s="53">
        <f t="shared" si="96"/>
        <v>0.28999999999999998</v>
      </c>
      <c r="S91" s="25">
        <f t="shared" si="97"/>
        <v>5</v>
      </c>
      <c r="T91" s="53">
        <f>ROUND(((0.8*'Side MDB'!W91+0.2*'Side Pole'!N91)+(IF('Side MDB'!X91="N/A",(0.8*'Side MDB'!W91+0.2*'Side Pole'!N91),'Side MDB'!X91)))/2,3)</f>
        <v>4.8000000000000001E-2</v>
      </c>
      <c r="U91" s="53">
        <f t="shared" si="98"/>
        <v>0.32</v>
      </c>
      <c r="V91" s="25">
        <f t="shared" si="99"/>
        <v>5</v>
      </c>
      <c r="W91" s="23"/>
      <c r="X91" s="36"/>
      <c r="Y91" s="36"/>
      <c r="Z91" s="36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14.1" customHeight="1">
      <c r="A92" s="130">
        <v>14083</v>
      </c>
      <c r="B92" s="130" t="s">
        <v>297</v>
      </c>
      <c r="C92" s="119" t="str">
        <f>Rollover!A92</f>
        <v>Volkswagen</v>
      </c>
      <c r="D92" s="119" t="str">
        <f>Rollover!B92</f>
        <v>Taos SUV AWD</v>
      </c>
      <c r="E92" s="70" t="s">
        <v>190</v>
      </c>
      <c r="F92" s="132">
        <f>Rollover!C92</f>
        <v>2022</v>
      </c>
      <c r="G92" s="50">
        <v>337.608</v>
      </c>
      <c r="H92" s="19">
        <v>26.867000000000001</v>
      </c>
      <c r="I92" s="19">
        <v>46.320999999999998</v>
      </c>
      <c r="J92" s="51">
        <v>36.298999999999999</v>
      </c>
      <c r="K92" s="51">
        <v>4175.3689999999997</v>
      </c>
      <c r="L92" s="52">
        <f>NORMDIST(LN(G92),7.45231,0.73998,1)</f>
        <v>1.3785539244020106E-2</v>
      </c>
      <c r="M92" s="59">
        <f>1/(1+EXP(6.3055-0.00094*K92))</f>
        <v>8.4659938460111619E-2</v>
      </c>
      <c r="N92" s="52">
        <f>ROUND(1-(1-L92)*(1-M92),3)</f>
        <v>9.7000000000000003E-2</v>
      </c>
      <c r="O92" s="10">
        <f t="shared" si="94"/>
        <v>0.65</v>
      </c>
      <c r="P92" s="25">
        <f t="shared" si="95"/>
        <v>5</v>
      </c>
      <c r="Q92" s="53">
        <f>ROUND((0.8*'Side MDB'!W92+0.2*'Side Pole'!N92),3)</f>
        <v>4.2999999999999997E-2</v>
      </c>
      <c r="R92" s="53">
        <f t="shared" si="96"/>
        <v>0.28999999999999998</v>
      </c>
      <c r="S92" s="25">
        <f t="shared" si="97"/>
        <v>5</v>
      </c>
      <c r="T92" s="53">
        <f>ROUND(((0.8*'Side MDB'!W92+0.2*'Side Pole'!N92)+(IF('Side MDB'!X92="N/A",(0.8*'Side MDB'!W92+0.2*'Side Pole'!N92),'Side MDB'!X92)))/2,3)</f>
        <v>4.8000000000000001E-2</v>
      </c>
      <c r="U92" s="53">
        <f t="shared" si="98"/>
        <v>0.32</v>
      </c>
      <c r="V92" s="25">
        <f t="shared" si="99"/>
        <v>5</v>
      </c>
      <c r="W92" s="23"/>
      <c r="X92" s="36"/>
      <c r="Y92" s="36"/>
      <c r="Z92" s="36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4.1" customHeight="1">
      <c r="N93" s="133"/>
      <c r="O93" s="133"/>
      <c r="P93" s="141"/>
      <c r="Q93" s="133"/>
    </row>
    <row r="94" spans="1:37" ht="14.1" customHeight="1">
      <c r="N94" s="133"/>
      <c r="O94" s="133"/>
      <c r="P94" s="141"/>
      <c r="Q94" s="133"/>
    </row>
    <row r="95" spans="1:37" ht="14.1" customHeight="1">
      <c r="N95" s="133"/>
      <c r="O95" s="133"/>
      <c r="P95" s="141"/>
      <c r="Q95" s="133"/>
    </row>
    <row r="96" spans="1:37" ht="14.1" customHeight="1">
      <c r="N96" s="133"/>
      <c r="O96" s="133"/>
      <c r="P96" s="141"/>
      <c r="Q96" s="133"/>
    </row>
    <row r="97" spans="14:17" ht="14.1" customHeight="1">
      <c r="N97" s="133"/>
      <c r="O97" s="133"/>
      <c r="P97" s="141"/>
      <c r="Q97" s="133"/>
    </row>
    <row r="98" spans="14:17" ht="14.1" customHeight="1">
      <c r="N98" s="133"/>
      <c r="O98" s="133"/>
      <c r="P98" s="141"/>
      <c r="Q98" s="133"/>
    </row>
    <row r="99" spans="14:17" ht="14.1" customHeight="1">
      <c r="N99" s="133"/>
      <c r="O99" s="133"/>
      <c r="P99" s="141"/>
      <c r="Q99" s="133"/>
    </row>
    <row r="100" spans="14:17" ht="14.1" customHeight="1">
      <c r="N100" s="133"/>
      <c r="O100" s="133"/>
      <c r="P100" s="141"/>
      <c r="Q100" s="133"/>
    </row>
    <row r="101" spans="14:17" ht="14.1" customHeight="1">
      <c r="N101" s="133"/>
      <c r="O101" s="133"/>
      <c r="P101" s="141"/>
      <c r="Q101" s="133"/>
    </row>
    <row r="102" spans="14:17" ht="14.1" customHeight="1">
      <c r="N102" s="133"/>
      <c r="O102" s="133"/>
      <c r="P102" s="141"/>
      <c r="Q102" s="133"/>
    </row>
    <row r="103" spans="14:17" ht="14.1" customHeight="1">
      <c r="N103" s="133"/>
      <c r="O103" s="133"/>
      <c r="P103" s="141"/>
      <c r="Q103" s="133"/>
    </row>
    <row r="104" spans="14:17" ht="14.1" customHeight="1">
      <c r="N104" s="133"/>
      <c r="O104" s="133"/>
      <c r="P104" s="141"/>
      <c r="Q104" s="133"/>
    </row>
    <row r="105" spans="14:17" ht="14.1" customHeight="1">
      <c r="N105" s="133"/>
      <c r="O105" s="133"/>
      <c r="P105" s="141"/>
      <c r="Q105" s="133"/>
    </row>
    <row r="106" spans="14:17" ht="14.1" customHeight="1">
      <c r="N106" s="133"/>
      <c r="O106" s="133"/>
      <c r="P106" s="141"/>
      <c r="Q106" s="133"/>
    </row>
    <row r="107" spans="14:17" ht="14.1" customHeight="1">
      <c r="N107" s="133"/>
      <c r="O107" s="133"/>
      <c r="P107" s="141"/>
      <c r="Q107" s="133"/>
    </row>
    <row r="108" spans="14:17" ht="14.1" customHeight="1">
      <c r="N108" s="133"/>
      <c r="O108" s="133"/>
      <c r="P108" s="141"/>
      <c r="Q108" s="133"/>
    </row>
    <row r="109" spans="14:17" ht="14.1" customHeight="1">
      <c r="N109" s="133"/>
      <c r="O109" s="133"/>
      <c r="P109" s="141"/>
      <c r="Q109" s="133"/>
    </row>
    <row r="110" spans="14:17" ht="14.1" customHeight="1">
      <c r="N110" s="133"/>
      <c r="O110" s="133"/>
      <c r="P110" s="141"/>
      <c r="Q110" s="133"/>
    </row>
    <row r="111" spans="14:17" ht="14.1" customHeight="1">
      <c r="N111" s="133"/>
      <c r="O111" s="133"/>
      <c r="P111" s="141"/>
      <c r="Q111" s="133"/>
    </row>
    <row r="112" spans="14:17" ht="14.1" customHeight="1">
      <c r="N112" s="133"/>
      <c r="O112" s="133"/>
      <c r="P112" s="141"/>
      <c r="Q112" s="133"/>
    </row>
    <row r="113" spans="14:17" ht="14.1" customHeight="1">
      <c r="N113" s="133"/>
      <c r="O113" s="133"/>
      <c r="P113" s="141"/>
      <c r="Q113" s="133"/>
    </row>
    <row r="114" spans="14:17" ht="14.1" customHeight="1">
      <c r="N114" s="133"/>
      <c r="O114" s="133"/>
      <c r="P114" s="141"/>
      <c r="Q114" s="133"/>
    </row>
    <row r="115" spans="14:17" ht="14.1" customHeight="1">
      <c r="N115" s="133"/>
      <c r="O115" s="133"/>
      <c r="P115" s="141"/>
      <c r="Q115" s="133"/>
    </row>
    <row r="116" spans="14:17" ht="14.1" customHeight="1">
      <c r="N116" s="133"/>
      <c r="O116" s="133"/>
      <c r="P116" s="141"/>
      <c r="Q116" s="133"/>
    </row>
    <row r="117" spans="14:17" ht="14.1" customHeight="1">
      <c r="N117" s="133"/>
      <c r="O117" s="133"/>
      <c r="P117" s="141"/>
      <c r="Q117" s="133"/>
    </row>
    <row r="118" spans="14:17" ht="14.1" customHeight="1">
      <c r="N118" s="133"/>
      <c r="O118" s="133"/>
      <c r="P118" s="141"/>
      <c r="Q118" s="133"/>
    </row>
    <row r="119" spans="14:17" ht="14.1" customHeight="1">
      <c r="N119" s="133"/>
      <c r="O119" s="133"/>
      <c r="P119" s="141"/>
      <c r="Q119" s="133"/>
    </row>
    <row r="120" spans="14:17" ht="14.1" customHeight="1">
      <c r="N120" s="133"/>
      <c r="O120" s="133"/>
      <c r="P120" s="141"/>
      <c r="Q120" s="133"/>
    </row>
    <row r="121" spans="14:17" ht="14.1" customHeight="1">
      <c r="N121" s="133"/>
      <c r="O121" s="133"/>
      <c r="P121" s="141"/>
      <c r="Q121" s="133"/>
    </row>
    <row r="122" spans="14:17" ht="14.1" customHeight="1">
      <c r="N122" s="133"/>
      <c r="O122" s="133"/>
      <c r="P122" s="141"/>
      <c r="Q122" s="133"/>
    </row>
    <row r="123" spans="14:17" ht="14.1" customHeight="1">
      <c r="N123" s="133"/>
      <c r="O123" s="133"/>
      <c r="P123" s="141"/>
      <c r="Q123" s="133"/>
    </row>
    <row r="124" spans="14:17" ht="14.1" customHeight="1">
      <c r="N124" s="133"/>
      <c r="O124" s="133"/>
      <c r="P124" s="141"/>
      <c r="Q124" s="133"/>
    </row>
    <row r="125" spans="14:17" ht="14.1" customHeight="1">
      <c r="N125" s="133"/>
      <c r="O125" s="133"/>
      <c r="P125" s="141"/>
      <c r="Q125" s="133"/>
    </row>
    <row r="126" spans="14:17" ht="14.1" customHeight="1">
      <c r="N126" s="133"/>
      <c r="O126" s="133"/>
      <c r="P126" s="141"/>
      <c r="Q126" s="133"/>
    </row>
    <row r="127" spans="14:17" ht="14.1" customHeight="1">
      <c r="N127" s="133"/>
      <c r="O127" s="133"/>
      <c r="P127" s="141"/>
      <c r="Q127" s="133"/>
    </row>
    <row r="128" spans="14:17" ht="14.1" customHeight="1">
      <c r="N128" s="133"/>
      <c r="O128" s="133"/>
      <c r="P128" s="141"/>
      <c r="Q128" s="133"/>
    </row>
    <row r="129" spans="14:17" ht="14.1" customHeight="1">
      <c r="N129" s="133"/>
      <c r="O129" s="133"/>
      <c r="P129" s="141"/>
      <c r="Q129" s="133"/>
    </row>
    <row r="130" spans="14:17" ht="14.1" customHeight="1">
      <c r="N130" s="133"/>
      <c r="O130" s="133"/>
      <c r="P130" s="141"/>
      <c r="Q130" s="133"/>
    </row>
    <row r="131" spans="14:17" ht="14.1" customHeight="1">
      <c r="N131" s="133"/>
      <c r="O131" s="133"/>
      <c r="P131" s="141"/>
      <c r="Q131" s="133"/>
    </row>
    <row r="132" spans="14:17" ht="14.1" customHeight="1">
      <c r="N132" s="133"/>
      <c r="O132" s="133"/>
      <c r="P132" s="141"/>
      <c r="Q132" s="133"/>
    </row>
    <row r="133" spans="14:17" ht="14.1" customHeight="1">
      <c r="N133" s="133"/>
      <c r="O133" s="133"/>
      <c r="P133" s="141"/>
      <c r="Q133" s="133"/>
    </row>
    <row r="134" spans="14:17" ht="14.1" customHeight="1">
      <c r="N134" s="133"/>
      <c r="O134" s="133"/>
      <c r="P134" s="141"/>
      <c r="Q134" s="133"/>
    </row>
    <row r="135" spans="14:17" ht="14.1" customHeight="1">
      <c r="N135" s="133"/>
      <c r="O135" s="133"/>
      <c r="P135" s="141"/>
      <c r="Q135" s="133"/>
    </row>
    <row r="136" spans="14:17" ht="14.1" customHeight="1">
      <c r="N136" s="133"/>
      <c r="O136" s="133"/>
      <c r="P136" s="141"/>
      <c r="Q136" s="133"/>
    </row>
    <row r="137" spans="14:17" ht="14.1" customHeight="1">
      <c r="N137" s="133"/>
      <c r="O137" s="133"/>
      <c r="P137" s="141"/>
      <c r="Q137" s="133"/>
    </row>
    <row r="138" spans="14:17" ht="14.1" customHeight="1">
      <c r="N138" s="133"/>
      <c r="O138" s="133"/>
      <c r="P138" s="141"/>
      <c r="Q138" s="133"/>
    </row>
    <row r="139" spans="14:17" ht="14.1" customHeight="1">
      <c r="N139" s="133"/>
      <c r="O139" s="133"/>
      <c r="P139" s="141"/>
      <c r="Q139" s="133"/>
    </row>
    <row r="140" spans="14:17" ht="14.1" customHeight="1">
      <c r="N140" s="133"/>
      <c r="O140" s="133"/>
      <c r="P140" s="141"/>
      <c r="Q140" s="133"/>
    </row>
    <row r="141" spans="14:17" ht="14.1" customHeight="1">
      <c r="N141" s="133"/>
      <c r="O141" s="133"/>
      <c r="P141" s="141"/>
      <c r="Q141" s="133"/>
    </row>
    <row r="142" spans="14:17" ht="14.1" customHeight="1">
      <c r="N142" s="133"/>
      <c r="O142" s="133"/>
      <c r="P142" s="141"/>
      <c r="Q142" s="133"/>
    </row>
    <row r="143" spans="14:17" ht="14.1" customHeight="1">
      <c r="N143" s="133"/>
      <c r="O143" s="133"/>
      <c r="P143" s="141"/>
      <c r="Q143" s="133"/>
    </row>
    <row r="144" spans="14:17" ht="14.1" customHeight="1">
      <c r="N144" s="133"/>
      <c r="O144" s="133"/>
      <c r="P144" s="141"/>
      <c r="Q144" s="133"/>
    </row>
    <row r="145" spans="14:17" ht="14.1" customHeight="1">
      <c r="N145" s="133"/>
      <c r="O145" s="133"/>
      <c r="P145" s="141"/>
      <c r="Q145" s="133"/>
    </row>
    <row r="146" spans="14:17" ht="14.1" customHeight="1">
      <c r="N146" s="133"/>
      <c r="O146" s="133"/>
      <c r="P146" s="141"/>
      <c r="Q146" s="133"/>
    </row>
    <row r="147" spans="14:17" ht="14.1" customHeight="1">
      <c r="N147" s="133"/>
      <c r="O147" s="133"/>
      <c r="P147" s="141"/>
      <c r="Q147" s="133"/>
    </row>
    <row r="148" spans="14:17" ht="14.1" customHeight="1">
      <c r="N148" s="133"/>
      <c r="O148" s="133"/>
      <c r="P148" s="141"/>
      <c r="Q148" s="133"/>
    </row>
    <row r="149" spans="14:17" ht="14.1" customHeight="1">
      <c r="N149" s="133"/>
      <c r="O149" s="133"/>
      <c r="P149" s="141"/>
      <c r="Q149" s="133"/>
    </row>
    <row r="150" spans="14:17" ht="14.1" customHeight="1">
      <c r="N150" s="133"/>
      <c r="O150" s="133"/>
      <c r="P150" s="141"/>
      <c r="Q150" s="133"/>
    </row>
    <row r="151" spans="14:17" ht="14.1" customHeight="1">
      <c r="N151" s="133"/>
      <c r="O151" s="133"/>
      <c r="P151" s="141"/>
      <c r="Q151" s="133"/>
    </row>
    <row r="152" spans="14:17" ht="14.1" customHeight="1">
      <c r="N152" s="133"/>
      <c r="O152" s="133"/>
      <c r="P152" s="141"/>
      <c r="Q152" s="133"/>
    </row>
    <row r="153" spans="14:17" ht="14.1" customHeight="1">
      <c r="N153" s="133"/>
      <c r="O153" s="133"/>
      <c r="P153" s="141"/>
      <c r="Q153" s="133"/>
    </row>
    <row r="154" spans="14:17" ht="14.1" customHeight="1">
      <c r="N154" s="133"/>
      <c r="O154" s="133"/>
      <c r="P154" s="141"/>
      <c r="Q154" s="133"/>
    </row>
    <row r="155" spans="14:17" ht="14.1" customHeight="1">
      <c r="N155" s="133"/>
      <c r="O155" s="133"/>
      <c r="P155" s="141"/>
      <c r="Q155" s="133"/>
    </row>
    <row r="156" spans="14:17" ht="14.1" customHeight="1">
      <c r="N156" s="133"/>
      <c r="O156" s="133"/>
      <c r="P156" s="141"/>
      <c r="Q156" s="133"/>
    </row>
    <row r="157" spans="14:17" ht="14.1" customHeight="1">
      <c r="N157" s="133"/>
      <c r="O157" s="133"/>
      <c r="P157" s="141"/>
      <c r="Q157" s="133"/>
    </row>
    <row r="158" spans="14:17" ht="14.1" customHeight="1">
      <c r="N158" s="133"/>
      <c r="O158" s="133"/>
      <c r="P158" s="141"/>
      <c r="Q158" s="133"/>
    </row>
    <row r="159" spans="14:17" ht="14.1" customHeight="1">
      <c r="N159" s="133"/>
      <c r="O159" s="133"/>
      <c r="P159" s="141"/>
      <c r="Q159" s="133"/>
    </row>
    <row r="160" spans="14:17" ht="14.1" customHeight="1">
      <c r="N160" s="133"/>
      <c r="O160" s="133"/>
      <c r="P160" s="141"/>
      <c r="Q160" s="133"/>
    </row>
    <row r="161" spans="14:17" ht="14.1" customHeight="1">
      <c r="N161" s="133"/>
      <c r="O161" s="133"/>
      <c r="P161" s="141"/>
      <c r="Q161" s="133"/>
    </row>
    <row r="162" spans="14:17" ht="14.1" customHeight="1">
      <c r="N162" s="133"/>
      <c r="O162" s="133"/>
      <c r="P162" s="141"/>
      <c r="Q162" s="133"/>
    </row>
    <row r="163" spans="14:17" ht="14.1" customHeight="1">
      <c r="N163" s="133"/>
      <c r="O163" s="133"/>
      <c r="P163" s="141"/>
      <c r="Q163" s="133"/>
    </row>
    <row r="164" spans="14:17" ht="14.1" customHeight="1">
      <c r="N164" s="133"/>
      <c r="O164" s="133"/>
      <c r="P164" s="141"/>
      <c r="Q164" s="133"/>
    </row>
    <row r="165" spans="14:17" ht="14.1" customHeight="1">
      <c r="N165" s="133"/>
      <c r="O165" s="133"/>
      <c r="P165" s="141"/>
      <c r="Q165" s="133"/>
    </row>
    <row r="166" spans="14:17" ht="14.1" customHeight="1">
      <c r="N166" s="133"/>
      <c r="O166" s="133"/>
      <c r="P166" s="141"/>
      <c r="Q166" s="133"/>
    </row>
    <row r="167" spans="14:17" ht="14.1" customHeight="1">
      <c r="N167" s="133"/>
      <c r="O167" s="133"/>
      <c r="P167" s="141"/>
      <c r="Q167" s="133"/>
    </row>
    <row r="168" spans="14:17" ht="14.1" customHeight="1">
      <c r="N168" s="133"/>
      <c r="O168" s="133"/>
      <c r="P168" s="141"/>
      <c r="Q168" s="133"/>
    </row>
    <row r="169" spans="14:17" ht="14.1" customHeight="1">
      <c r="N169" s="133"/>
      <c r="O169" s="133"/>
      <c r="P169" s="141"/>
      <c r="Q169" s="133"/>
    </row>
    <row r="170" spans="14:17" ht="14.1" customHeight="1">
      <c r="N170" s="133"/>
      <c r="O170" s="133"/>
      <c r="P170" s="141"/>
      <c r="Q170" s="133"/>
    </row>
    <row r="171" spans="14:17" ht="14.1" customHeight="1">
      <c r="N171" s="133"/>
      <c r="O171" s="133"/>
      <c r="P171" s="141"/>
      <c r="Q171" s="133"/>
    </row>
    <row r="172" spans="14:17" ht="14.1" customHeight="1">
      <c r="N172" s="133"/>
      <c r="O172" s="133"/>
      <c r="P172" s="141"/>
      <c r="Q172" s="133"/>
    </row>
    <row r="173" spans="14:17" ht="14.1" customHeight="1">
      <c r="N173" s="133"/>
      <c r="O173" s="133"/>
      <c r="P173" s="141"/>
      <c r="Q173" s="133"/>
    </row>
    <row r="174" spans="14:17" ht="14.1" customHeight="1">
      <c r="N174" s="133"/>
      <c r="O174" s="133"/>
      <c r="P174" s="141"/>
      <c r="Q174" s="133"/>
    </row>
    <row r="175" spans="14:17" ht="14.1" customHeight="1">
      <c r="N175" s="133"/>
      <c r="O175" s="133"/>
      <c r="P175" s="141"/>
      <c r="Q175" s="133"/>
    </row>
    <row r="176" spans="14:17" ht="14.1" customHeight="1">
      <c r="N176" s="133"/>
      <c r="O176" s="133"/>
      <c r="P176" s="141"/>
      <c r="Q176" s="133"/>
    </row>
    <row r="177" spans="14:17" ht="14.1" customHeight="1">
      <c r="N177" s="133"/>
      <c r="O177" s="133"/>
      <c r="P177" s="141"/>
      <c r="Q177" s="133"/>
    </row>
    <row r="178" spans="14:17" ht="14.1" customHeight="1">
      <c r="N178" s="133"/>
      <c r="O178" s="133"/>
      <c r="P178" s="141"/>
      <c r="Q178" s="133"/>
    </row>
    <row r="179" spans="14:17" ht="14.1" customHeight="1">
      <c r="N179" s="133"/>
      <c r="O179" s="133"/>
      <c r="P179" s="141"/>
      <c r="Q179" s="133"/>
    </row>
    <row r="180" spans="14:17" ht="14.1" customHeight="1">
      <c r="N180" s="133"/>
      <c r="O180" s="133"/>
      <c r="P180" s="141"/>
      <c r="Q180" s="133"/>
    </row>
    <row r="181" spans="14:17" ht="14.1" customHeight="1">
      <c r="N181" s="133"/>
      <c r="O181" s="133"/>
      <c r="P181" s="141"/>
      <c r="Q181" s="133"/>
    </row>
    <row r="182" spans="14:17" ht="14.1" customHeight="1">
      <c r="N182" s="133"/>
      <c r="O182" s="133"/>
      <c r="P182" s="141"/>
      <c r="Q182" s="133"/>
    </row>
    <row r="183" spans="14:17" ht="14.1" customHeight="1">
      <c r="N183" s="133"/>
      <c r="O183" s="133"/>
      <c r="P183" s="141"/>
      <c r="Q183" s="133"/>
    </row>
    <row r="184" spans="14:17" ht="14.1" customHeight="1">
      <c r="N184" s="133"/>
      <c r="O184" s="133"/>
      <c r="P184" s="141"/>
      <c r="Q184" s="133"/>
    </row>
    <row r="185" spans="14:17" ht="14.1" customHeight="1">
      <c r="N185" s="133"/>
      <c r="O185" s="133"/>
      <c r="P185" s="141"/>
      <c r="Q185" s="133"/>
    </row>
    <row r="186" spans="14:17" ht="14.1" customHeight="1">
      <c r="N186" s="133"/>
      <c r="O186" s="133"/>
      <c r="P186" s="141"/>
      <c r="Q186" s="133"/>
    </row>
    <row r="187" spans="14:17" ht="14.1" customHeight="1">
      <c r="N187" s="133"/>
      <c r="O187" s="133"/>
      <c r="P187" s="141"/>
      <c r="Q187" s="133"/>
    </row>
    <row r="188" spans="14:17" ht="14.1" customHeight="1">
      <c r="N188" s="133"/>
      <c r="O188" s="133"/>
      <c r="P188" s="141"/>
      <c r="Q188" s="133"/>
    </row>
    <row r="189" spans="14:17" ht="14.1" customHeight="1">
      <c r="N189" s="133"/>
      <c r="O189" s="133"/>
      <c r="P189" s="141"/>
      <c r="Q189" s="133"/>
    </row>
    <row r="190" spans="14:17" ht="14.1" customHeight="1">
      <c r="N190" s="133"/>
      <c r="O190" s="133"/>
      <c r="P190" s="141"/>
      <c r="Q190" s="133"/>
    </row>
    <row r="191" spans="14:17" ht="14.1" customHeight="1">
      <c r="N191" s="133"/>
      <c r="O191" s="133"/>
      <c r="P191" s="141"/>
      <c r="Q191" s="133"/>
    </row>
    <row r="192" spans="14:17" ht="14.1" customHeight="1">
      <c r="N192" s="133"/>
      <c r="O192" s="133"/>
      <c r="P192" s="141"/>
      <c r="Q192" s="133"/>
    </row>
    <row r="193" spans="14:17" ht="14.1" customHeight="1">
      <c r="N193" s="133"/>
      <c r="O193" s="133"/>
      <c r="P193" s="141"/>
      <c r="Q193" s="133"/>
    </row>
    <row r="194" spans="14:17" ht="14.1" customHeight="1">
      <c r="N194" s="133"/>
      <c r="O194" s="133"/>
      <c r="P194" s="141"/>
      <c r="Q194" s="133"/>
    </row>
    <row r="195" spans="14:17" ht="14.1" customHeight="1">
      <c r="N195" s="133"/>
      <c r="O195" s="133"/>
      <c r="P195" s="141"/>
      <c r="Q195" s="133"/>
    </row>
    <row r="196" spans="14:17" ht="14.1" customHeight="1">
      <c r="N196" s="133"/>
      <c r="O196" s="133"/>
      <c r="P196" s="141"/>
      <c r="Q196" s="133"/>
    </row>
    <row r="197" spans="14:17" ht="14.1" customHeight="1">
      <c r="N197" s="133"/>
      <c r="O197" s="133"/>
      <c r="P197" s="141"/>
      <c r="Q197" s="133"/>
    </row>
    <row r="198" spans="14:17" ht="14.1" customHeight="1">
      <c r="N198" s="133"/>
      <c r="O198" s="133"/>
      <c r="P198" s="141"/>
      <c r="Q198" s="133"/>
    </row>
    <row r="199" spans="14:17" ht="14.1" customHeight="1">
      <c r="N199" s="133"/>
      <c r="O199" s="133"/>
      <c r="P199" s="141"/>
      <c r="Q199" s="133"/>
    </row>
    <row r="200" spans="14:17" ht="14.1" customHeight="1">
      <c r="N200" s="133"/>
      <c r="O200" s="133"/>
      <c r="P200" s="141"/>
      <c r="Q200" s="133"/>
    </row>
    <row r="201" spans="14:17" ht="14.1" customHeight="1">
      <c r="N201" s="133"/>
      <c r="O201" s="133"/>
      <c r="P201" s="141"/>
      <c r="Q201" s="133"/>
    </row>
    <row r="202" spans="14:17" ht="14.1" customHeight="1">
      <c r="N202" s="133"/>
      <c r="O202" s="133"/>
      <c r="P202" s="141"/>
      <c r="Q202" s="133"/>
    </row>
    <row r="203" spans="14:17" ht="14.1" customHeight="1">
      <c r="N203" s="133"/>
      <c r="O203" s="133"/>
      <c r="P203" s="141"/>
      <c r="Q203" s="133"/>
    </row>
    <row r="204" spans="14:17" ht="14.1" customHeight="1">
      <c r="N204" s="133"/>
      <c r="O204" s="133"/>
      <c r="P204" s="141"/>
      <c r="Q204" s="133"/>
    </row>
    <row r="205" spans="14:17" ht="14.1" customHeight="1">
      <c r="N205" s="133"/>
      <c r="O205" s="133"/>
      <c r="P205" s="141"/>
      <c r="Q205" s="133"/>
    </row>
    <row r="206" spans="14:17" ht="14.1" customHeight="1">
      <c r="N206" s="133"/>
      <c r="O206" s="133"/>
      <c r="P206" s="141"/>
      <c r="Q206" s="133"/>
    </row>
    <row r="207" spans="14:17" ht="14.1" customHeight="1">
      <c r="N207" s="133"/>
      <c r="O207" s="133"/>
      <c r="P207" s="141"/>
      <c r="Q207" s="133"/>
    </row>
    <row r="208" spans="14:17" ht="14.1" customHeight="1">
      <c r="N208" s="133"/>
      <c r="O208" s="133"/>
      <c r="P208" s="141"/>
      <c r="Q208" s="133"/>
    </row>
    <row r="209" spans="14:17" ht="14.1" customHeight="1">
      <c r="N209" s="133"/>
      <c r="O209" s="133"/>
      <c r="P209" s="141"/>
      <c r="Q209" s="133"/>
    </row>
    <row r="210" spans="14:17" ht="14.1" customHeight="1">
      <c r="N210" s="133"/>
      <c r="O210" s="133"/>
      <c r="P210" s="141"/>
      <c r="Q210" s="133"/>
    </row>
    <row r="211" spans="14:17" ht="14.1" customHeight="1">
      <c r="N211" s="133"/>
      <c r="O211" s="133"/>
      <c r="P211" s="141"/>
      <c r="Q211" s="133"/>
    </row>
    <row r="212" spans="14:17" ht="14.1" customHeight="1">
      <c r="N212" s="133"/>
      <c r="O212" s="133"/>
      <c r="P212" s="141"/>
      <c r="Q212" s="133"/>
    </row>
    <row r="213" spans="14:17" ht="14.1" customHeight="1">
      <c r="N213" s="133"/>
      <c r="O213" s="133"/>
      <c r="P213" s="141"/>
      <c r="Q213" s="133"/>
    </row>
    <row r="214" spans="14:17" ht="14.1" customHeight="1">
      <c r="N214" s="133"/>
      <c r="O214" s="133"/>
      <c r="P214" s="141"/>
      <c r="Q214" s="133"/>
    </row>
    <row r="215" spans="14:17" ht="14.1" customHeight="1">
      <c r="N215" s="133"/>
      <c r="O215" s="133"/>
      <c r="P215" s="141"/>
      <c r="Q215" s="133"/>
    </row>
    <row r="216" spans="14:17" ht="14.1" customHeight="1">
      <c r="N216" s="133"/>
      <c r="O216" s="133"/>
      <c r="P216" s="141"/>
      <c r="Q216" s="133"/>
    </row>
    <row r="217" spans="14:17" ht="14.1" customHeight="1">
      <c r="N217" s="133"/>
      <c r="O217" s="133"/>
      <c r="P217" s="141"/>
      <c r="Q217" s="133"/>
    </row>
    <row r="218" spans="14:17" ht="14.1" customHeight="1">
      <c r="N218" s="133"/>
      <c r="O218" s="133"/>
      <c r="P218" s="141"/>
      <c r="Q218" s="133"/>
    </row>
    <row r="219" spans="14:17" ht="14.1" customHeight="1">
      <c r="N219" s="133"/>
      <c r="O219" s="133"/>
      <c r="P219" s="141"/>
      <c r="Q219" s="133"/>
    </row>
    <row r="220" spans="14:17" ht="14.1" customHeight="1">
      <c r="N220" s="133"/>
      <c r="O220" s="133"/>
      <c r="P220" s="141"/>
      <c r="Q220" s="133"/>
    </row>
    <row r="221" spans="14:17" ht="14.1" customHeight="1">
      <c r="N221" s="133"/>
      <c r="O221" s="133"/>
      <c r="P221" s="141"/>
      <c r="Q221" s="133"/>
    </row>
    <row r="222" spans="14:17" ht="14.1" customHeight="1">
      <c r="N222" s="133"/>
      <c r="O222" s="133"/>
      <c r="P222" s="141"/>
      <c r="Q222" s="133"/>
    </row>
    <row r="223" spans="14:17" ht="14.1" customHeight="1">
      <c r="N223" s="133"/>
      <c r="O223" s="133"/>
      <c r="P223" s="141"/>
      <c r="Q223" s="133"/>
    </row>
    <row r="224" spans="14:17" ht="14.1" customHeight="1">
      <c r="N224" s="133"/>
      <c r="O224" s="133"/>
      <c r="P224" s="141"/>
      <c r="Q224" s="133"/>
    </row>
  </sheetData>
  <mergeCells count="2">
    <mergeCell ref="G1:K1"/>
    <mergeCell ref="L1:M1"/>
  </mergeCells>
  <phoneticPr fontId="2" type="noConversion"/>
  <conditionalFormatting sqref="H62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2"/>
  <sheetViews>
    <sheetView tabSelected="1" zoomScale="130" zoomScaleNormal="130" workbookViewId="0">
      <pane xSplit="4" ySplit="2" topLeftCell="E3" activePane="bottomRight" state="frozen"/>
      <selection pane="topRight"/>
      <selection pane="bottomLeft"/>
      <selection pane="bottomRight" sqref="A1:A2"/>
    </sheetView>
  </sheetViews>
  <sheetFormatPr defaultColWidth="9.140625" defaultRowHeight="14.45" customHeight="1"/>
  <cols>
    <col min="1" max="1" width="9.42578125" style="64" customWidth="1"/>
    <col min="2" max="2" width="11.140625" style="108" customWidth="1"/>
    <col min="3" max="3" width="28.85546875" style="108" customWidth="1"/>
    <col min="4" max="4" width="5.85546875" style="108" customWidth="1"/>
    <col min="5" max="5" width="7.42578125" style="109" customWidth="1"/>
    <col min="6" max="6" width="7.28515625" style="110" customWidth="1"/>
    <col min="7" max="8" width="6.42578125" style="110" customWidth="1"/>
    <col min="9" max="9" width="5.5703125" style="110" bestFit="1" customWidth="1"/>
    <col min="10" max="10" width="7.140625" style="110" customWidth="1"/>
    <col min="11" max="12" width="9.42578125" style="67" customWidth="1"/>
    <col min="13" max="13" width="10" style="67" customWidth="1"/>
    <col min="14" max="14" width="8.7109375" style="109" customWidth="1"/>
    <col min="15" max="15" width="9" style="113" customWidth="1"/>
    <col min="16" max="16" width="9.5703125" style="64" customWidth="1"/>
    <col min="17" max="16384" width="9.140625" style="64"/>
  </cols>
  <sheetData>
    <row r="1" spans="1:16" s="93" customFormat="1" ht="24" customHeight="1">
      <c r="A1" s="81" t="s">
        <v>298</v>
      </c>
      <c r="B1" s="82"/>
      <c r="C1" s="82"/>
      <c r="D1" s="83"/>
      <c r="E1" s="84" t="s">
        <v>299</v>
      </c>
      <c r="F1" s="85"/>
      <c r="G1" s="86"/>
      <c r="H1" s="84" t="s">
        <v>300</v>
      </c>
      <c r="I1" s="87"/>
      <c r="J1" s="88"/>
      <c r="K1" s="89" t="s">
        <v>301</v>
      </c>
      <c r="L1" s="89" t="s">
        <v>302</v>
      </c>
      <c r="M1" s="89" t="s">
        <v>303</v>
      </c>
      <c r="N1" s="90" t="s">
        <v>304</v>
      </c>
      <c r="O1" s="91" t="s">
        <v>199</v>
      </c>
      <c r="P1" s="92" t="s">
        <v>199</v>
      </c>
    </row>
    <row r="2" spans="1:16" s="100" customFormat="1" ht="20.100000000000001" customHeight="1">
      <c r="A2" s="81"/>
      <c r="B2" s="68" t="s">
        <v>1</v>
      </c>
      <c r="C2" s="68" t="s">
        <v>2</v>
      </c>
      <c r="D2" s="94" t="s">
        <v>3</v>
      </c>
      <c r="E2" s="95" t="s">
        <v>126</v>
      </c>
      <c r="F2" s="68" t="s">
        <v>305</v>
      </c>
      <c r="G2" s="43" t="s">
        <v>200</v>
      </c>
      <c r="H2" s="95" t="s">
        <v>126</v>
      </c>
      <c r="I2" s="68" t="s">
        <v>305</v>
      </c>
      <c r="J2" s="43" t="s">
        <v>200</v>
      </c>
      <c r="K2" s="96" t="s">
        <v>126</v>
      </c>
      <c r="L2" s="96" t="s">
        <v>126</v>
      </c>
      <c r="M2" s="96" t="s">
        <v>199</v>
      </c>
      <c r="N2" s="97"/>
      <c r="O2" s="98" t="s">
        <v>306</v>
      </c>
      <c r="P2" s="99" t="s">
        <v>307</v>
      </c>
    </row>
    <row r="3" spans="1:16" ht="14.45" customHeight="1">
      <c r="A3" s="101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102">
        <f>Front!AW3</f>
        <v>4</v>
      </c>
      <c r="F3" s="17">
        <f>Front!AX3</f>
        <v>4</v>
      </c>
      <c r="G3" s="17">
        <f>Front!AY3</f>
        <v>4</v>
      </c>
      <c r="H3" s="102">
        <f>'Side MDB'!AC3</f>
        <v>5</v>
      </c>
      <c r="I3" s="102">
        <f>'Side MDB'!AD3</f>
        <v>5</v>
      </c>
      <c r="J3" s="102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 t="e">
        <f>Rollover!J3</f>
        <v>#NUM!</v>
      </c>
      <c r="O3" s="105" t="e">
        <f>ROUND(5/12*Front!AV3+4/12*'Side Pole'!U3+3/12*Rollover!I3,2)</f>
        <v>#NUM!</v>
      </c>
      <c r="P3" s="106" t="e">
        <f t="shared" ref="P3:P16" si="0">IF(O3&lt;0.67,5,IF(O3&lt;1,4,IF(O3&lt;1.33,3,IF(O3&lt;2.67,2,1))))</f>
        <v>#NUM!</v>
      </c>
    </row>
    <row r="4" spans="1:16" ht="14.45" customHeight="1">
      <c r="A4" s="101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102">
        <f>Front!AW4</f>
        <v>4</v>
      </c>
      <c r="F4" s="17">
        <f>Front!AX4</f>
        <v>4</v>
      </c>
      <c r="G4" s="17">
        <f>Front!AY4</f>
        <v>4</v>
      </c>
      <c r="H4" s="102">
        <f>'Side MDB'!AC4</f>
        <v>5</v>
      </c>
      <c r="I4" s="102">
        <f>'Side MDB'!AD4</f>
        <v>5</v>
      </c>
      <c r="J4" s="102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0.57999999999999996</v>
      </c>
      <c r="P4" s="106">
        <f t="shared" si="0"/>
        <v>5</v>
      </c>
    </row>
    <row r="5" spans="1:16" ht="14.45" customHeight="1">
      <c r="A5" s="107">
        <v>44994</v>
      </c>
      <c r="B5" s="17" t="str">
        <f>Rollover!A5</f>
        <v xml:space="preserve">Audi </v>
      </c>
      <c r="C5" s="17" t="str">
        <f>Rollover!B5</f>
        <v>Q4 e-tron SUV AWD</v>
      </c>
      <c r="D5" s="16">
        <f>Rollover!C5</f>
        <v>2022</v>
      </c>
      <c r="E5" s="102">
        <f>Front!AW5</f>
        <v>5</v>
      </c>
      <c r="F5" s="17">
        <f>Front!AX5</f>
        <v>4</v>
      </c>
      <c r="G5" s="17">
        <f>Front!AY5</f>
        <v>4</v>
      </c>
      <c r="H5" s="102">
        <f>'Side MDB'!AC5</f>
        <v>5</v>
      </c>
      <c r="I5" s="102">
        <f>'Side MDB'!AD5</f>
        <v>5</v>
      </c>
      <c r="J5" s="102">
        <f>'Side MDB'!AE5</f>
        <v>5</v>
      </c>
      <c r="K5" s="103">
        <f>'Side Pole'!P5</f>
        <v>3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0.56999999999999995</v>
      </c>
      <c r="P5" s="106">
        <f t="shared" si="0"/>
        <v>5</v>
      </c>
    </row>
    <row r="6" spans="1:16" ht="14.45" customHeight="1">
      <c r="A6" s="107">
        <v>44994</v>
      </c>
      <c r="B6" s="17" t="str">
        <f>Rollover!A6</f>
        <v xml:space="preserve">Audi </v>
      </c>
      <c r="C6" s="17" t="str">
        <f>Rollover!B6</f>
        <v>Q4 e-tronSportback SUV AWD</v>
      </c>
      <c r="D6" s="16">
        <f>Rollover!C6</f>
        <v>2022</v>
      </c>
      <c r="E6" s="102">
        <f>Front!AW6</f>
        <v>5</v>
      </c>
      <c r="F6" s="17">
        <f>Front!AX6</f>
        <v>4</v>
      </c>
      <c r="G6" s="17">
        <f>Front!AY6</f>
        <v>4</v>
      </c>
      <c r="H6" s="102">
        <f>'Side MDB'!AC6</f>
        <v>5</v>
      </c>
      <c r="I6" s="102">
        <f>'Side MDB'!AD6</f>
        <v>5</v>
      </c>
      <c r="J6" s="102">
        <f>'Side MDB'!AE6</f>
        <v>5</v>
      </c>
      <c r="K6" s="103">
        <f>'Side Pole'!P6</f>
        <v>3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0.56999999999999995</v>
      </c>
      <c r="P6" s="106">
        <f t="shared" si="0"/>
        <v>5</v>
      </c>
    </row>
    <row r="7" spans="1:16" ht="14.45" customHeight="1">
      <c r="A7" s="107">
        <v>44862</v>
      </c>
      <c r="B7" s="17" t="str">
        <f>Rollover!A7</f>
        <v>Chevrolet</v>
      </c>
      <c r="C7" s="17" t="str">
        <f>Rollover!B7</f>
        <v>Bolt EUV SUV FWD</v>
      </c>
      <c r="D7" s="16">
        <f>Rollover!C7</f>
        <v>2022</v>
      </c>
      <c r="E7" s="102">
        <f>Front!AW7</f>
        <v>5</v>
      </c>
      <c r="F7" s="17">
        <f>Front!AX7</f>
        <v>5</v>
      </c>
      <c r="G7" s="17">
        <f>Front!AY7</f>
        <v>5</v>
      </c>
      <c r="H7" s="102">
        <f>'Side MDB'!AC7</f>
        <v>5</v>
      </c>
      <c r="I7" s="102">
        <f>'Side MDB'!AD7</f>
        <v>5</v>
      </c>
      <c r="J7" s="102">
        <f>'Side MDB'!AE7</f>
        <v>5</v>
      </c>
      <c r="K7" s="103">
        <f>'Side Pole'!P7</f>
        <v>5</v>
      </c>
      <c r="L7" s="103">
        <f>'Side Pole'!S7</f>
        <v>5</v>
      </c>
      <c r="M7" s="103">
        <f>'Side Pole'!V7</f>
        <v>5</v>
      </c>
      <c r="N7" s="104">
        <f>Rollover!J7</f>
        <v>4</v>
      </c>
      <c r="O7" s="105">
        <f>ROUND(5/12*Front!AV7+4/12*'Side Pole'!U7+3/12*Rollover!I7,2)</f>
        <v>0.49</v>
      </c>
      <c r="P7" s="106">
        <f t="shared" si="0"/>
        <v>5</v>
      </c>
    </row>
    <row r="8" spans="1:16" ht="14.45" customHeight="1">
      <c r="A8" s="107">
        <v>44917</v>
      </c>
      <c r="B8" s="17" t="str">
        <f>Rollover!A8</f>
        <v>Chevrolet</v>
      </c>
      <c r="C8" s="17" t="str">
        <f>Rollover!B8</f>
        <v>Bolt EV 5HB FWD</v>
      </c>
      <c r="D8" s="16">
        <f>Rollover!C8</f>
        <v>2022</v>
      </c>
      <c r="E8" s="102">
        <f>Front!AW8</f>
        <v>5</v>
      </c>
      <c r="F8" s="17">
        <f>Front!AX8</f>
        <v>4</v>
      </c>
      <c r="G8" s="17">
        <f>Front!AY8</f>
        <v>5</v>
      </c>
      <c r="H8" s="102">
        <f>'Side MDB'!AC8</f>
        <v>5</v>
      </c>
      <c r="I8" s="102">
        <f>'Side MDB'!AD8</f>
        <v>5</v>
      </c>
      <c r="J8" s="102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5</v>
      </c>
      <c r="O8" s="105">
        <f>ROUND(5/12*Front!AV8+4/12*'Side Pole'!U8+3/12*Rollover!I8,2)</f>
        <v>0.56000000000000005</v>
      </c>
      <c r="P8" s="106">
        <f t="shared" si="0"/>
        <v>5</v>
      </c>
    </row>
    <row r="9" spans="1:16" ht="14.45" customHeight="1">
      <c r="A9" s="107">
        <v>44784</v>
      </c>
      <c r="B9" s="17" t="str">
        <f>Rollover!A9</f>
        <v>Chevrolet</v>
      </c>
      <c r="C9" s="17" t="str">
        <f>Rollover!B9</f>
        <v>Silverado 1500 PU/CC 2WD</v>
      </c>
      <c r="D9" s="16">
        <f>Rollover!C9</f>
        <v>2022</v>
      </c>
      <c r="E9" s="102">
        <f>Front!AW9</f>
        <v>5</v>
      </c>
      <c r="F9" s="17">
        <f>Front!AX9</f>
        <v>4</v>
      </c>
      <c r="G9" s="17">
        <f>Front!AY9</f>
        <v>4</v>
      </c>
      <c r="H9" s="102">
        <f>'Side MDB'!AC9</f>
        <v>5</v>
      </c>
      <c r="I9" s="102">
        <f>'Side MDB'!AD9</f>
        <v>5</v>
      </c>
      <c r="J9" s="102">
        <f>'Side MDB'!AE9</f>
        <v>5</v>
      </c>
      <c r="K9" s="103">
        <f>'Side Pole'!P9</f>
        <v>5</v>
      </c>
      <c r="L9" s="103">
        <f>'Side Pole'!S9</f>
        <v>5</v>
      </c>
      <c r="M9" s="103">
        <f>'Side Pole'!V9</f>
        <v>5</v>
      </c>
      <c r="N9" s="104">
        <f>Rollover!J9</f>
        <v>4</v>
      </c>
      <c r="O9" s="105">
        <f>ROUND(5/12*Front!AV9+4/12*'Side Pole'!U9+3/12*Rollover!I9,2)</f>
        <v>0.64</v>
      </c>
      <c r="P9" s="106">
        <f t="shared" si="0"/>
        <v>5</v>
      </c>
    </row>
    <row r="10" spans="1:16" ht="14.45" customHeight="1">
      <c r="A10" s="107">
        <v>44784</v>
      </c>
      <c r="B10" s="17" t="str">
        <f>Rollover!A10</f>
        <v>Chevrolet</v>
      </c>
      <c r="C10" s="17" t="str">
        <f>Rollover!B10</f>
        <v>Silverado 1500 PU/CC 4WD</v>
      </c>
      <c r="D10" s="16">
        <f>Rollover!C10</f>
        <v>2022</v>
      </c>
      <c r="E10" s="102">
        <f>Front!AW10</f>
        <v>5</v>
      </c>
      <c r="F10" s="17">
        <f>Front!AX10</f>
        <v>4</v>
      </c>
      <c r="G10" s="17">
        <f>Front!AY10</f>
        <v>4</v>
      </c>
      <c r="H10" s="102">
        <f>'Side MDB'!AC10</f>
        <v>5</v>
      </c>
      <c r="I10" s="102">
        <f>'Side MDB'!AD10</f>
        <v>5</v>
      </c>
      <c r="J10" s="102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0.65</v>
      </c>
      <c r="P10" s="106">
        <f t="shared" si="0"/>
        <v>5</v>
      </c>
    </row>
    <row r="11" spans="1:16" ht="14.45" customHeight="1">
      <c r="A11" s="107">
        <v>44784</v>
      </c>
      <c r="B11" s="16" t="str">
        <f>Rollover!A11</f>
        <v>GMC</v>
      </c>
      <c r="C11" s="16" t="str">
        <f>Rollover!B11</f>
        <v>Sierra 1500 PU/CC 2WD</v>
      </c>
      <c r="D11" s="16">
        <f>Rollover!C11</f>
        <v>2022</v>
      </c>
      <c r="E11" s="102">
        <f>Front!AW11</f>
        <v>5</v>
      </c>
      <c r="F11" s="17">
        <f>Front!AX11</f>
        <v>4</v>
      </c>
      <c r="G11" s="17">
        <f>Front!AY11</f>
        <v>4</v>
      </c>
      <c r="H11" s="102">
        <f>'Side MDB'!AC11</f>
        <v>5</v>
      </c>
      <c r="I11" s="102">
        <f>'Side MDB'!AD11</f>
        <v>5</v>
      </c>
      <c r="J11" s="102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0.64</v>
      </c>
      <c r="P11" s="106">
        <f t="shared" si="0"/>
        <v>5</v>
      </c>
    </row>
    <row r="12" spans="1:16" ht="14.45" customHeight="1">
      <c r="A12" s="107">
        <v>44784</v>
      </c>
      <c r="B12" s="16" t="str">
        <f>Rollover!A12</f>
        <v>GMC</v>
      </c>
      <c r="C12" s="16" t="str">
        <f>Rollover!B12</f>
        <v>Sierra 1500 PU/CC 4WD</v>
      </c>
      <c r="D12" s="16">
        <f>Rollover!C12</f>
        <v>2022</v>
      </c>
      <c r="E12" s="102">
        <f>Front!AW12</f>
        <v>5</v>
      </c>
      <c r="F12" s="17">
        <f>Front!AX12</f>
        <v>4</v>
      </c>
      <c r="G12" s="17">
        <f>Front!AY12</f>
        <v>4</v>
      </c>
      <c r="H12" s="102">
        <f>'Side MDB'!AC12</f>
        <v>5</v>
      </c>
      <c r="I12" s="102">
        <f>'Side MDB'!AD12</f>
        <v>5</v>
      </c>
      <c r="J12" s="102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0.65</v>
      </c>
      <c r="P12" s="106">
        <f t="shared" si="0"/>
        <v>5</v>
      </c>
    </row>
    <row r="13" spans="1:16" ht="14.45" customHeight="1">
      <c r="A13" s="107">
        <v>44950</v>
      </c>
      <c r="B13" s="17" t="str">
        <f>Rollover!A13</f>
        <v>Chevrolet</v>
      </c>
      <c r="C13" s="17" t="str">
        <f>Rollover!B13</f>
        <v>Traverse SUV AWD</v>
      </c>
      <c r="D13" s="16">
        <f>Rollover!C13</f>
        <v>2022</v>
      </c>
      <c r="E13" s="102">
        <f>Front!AW13</f>
        <v>5</v>
      </c>
      <c r="F13" s="17">
        <f>Front!AX13</f>
        <v>5</v>
      </c>
      <c r="G13" s="17">
        <f>Front!AY13</f>
        <v>5</v>
      </c>
      <c r="H13" s="102">
        <f>'Side MDB'!AC13</f>
        <v>5</v>
      </c>
      <c r="I13" s="102">
        <f>'Side MDB'!AD13</f>
        <v>4</v>
      </c>
      <c r="J13" s="102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0.66</v>
      </c>
      <c r="P13" s="106">
        <f t="shared" si="0"/>
        <v>5</v>
      </c>
    </row>
    <row r="14" spans="1:16" ht="14.45" customHeight="1">
      <c r="A14" s="107">
        <v>44950</v>
      </c>
      <c r="B14" s="17" t="str">
        <f>Rollover!A14</f>
        <v>Chevrolet</v>
      </c>
      <c r="C14" s="17" t="str">
        <f>Rollover!B14</f>
        <v>Traverse SUV FWD</v>
      </c>
      <c r="D14" s="16">
        <f>Rollover!C14</f>
        <v>2022</v>
      </c>
      <c r="E14" s="102">
        <f>Front!AW14</f>
        <v>5</v>
      </c>
      <c r="F14" s="17">
        <f>Front!AX14</f>
        <v>5</v>
      </c>
      <c r="G14" s="17">
        <f>Front!AY14</f>
        <v>5</v>
      </c>
      <c r="H14" s="102">
        <f>'Side MDB'!AC14</f>
        <v>5</v>
      </c>
      <c r="I14" s="102">
        <f>'Side MDB'!AD14</f>
        <v>4</v>
      </c>
      <c r="J14" s="102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>
        <f>Rollover!J14</f>
        <v>4</v>
      </c>
      <c r="O14" s="105">
        <f>ROUND(5/12*Front!AV14+4/12*'Side Pole'!U14+3/12*Rollover!I14,2)</f>
        <v>0.69</v>
      </c>
      <c r="P14" s="106">
        <f t="shared" si="0"/>
        <v>4</v>
      </c>
    </row>
    <row r="15" spans="1:16" ht="14.45" customHeight="1">
      <c r="A15" s="107">
        <v>44950</v>
      </c>
      <c r="B15" s="16" t="str">
        <f>Rollover!A15</f>
        <v>Buick</v>
      </c>
      <c r="C15" s="16" t="str">
        <f>Rollover!B15</f>
        <v>Enclave SUV AWD</v>
      </c>
      <c r="D15" s="16">
        <f>Rollover!C15</f>
        <v>2022</v>
      </c>
      <c r="E15" s="102">
        <f>Front!AW15</f>
        <v>5</v>
      </c>
      <c r="F15" s="17">
        <f>Front!AX15</f>
        <v>5</v>
      </c>
      <c r="G15" s="17">
        <f>Front!AY15</f>
        <v>5</v>
      </c>
      <c r="H15" s="102">
        <f>'Side MDB'!AC15</f>
        <v>5</v>
      </c>
      <c r="I15" s="102">
        <f>'Side MDB'!AD15</f>
        <v>4</v>
      </c>
      <c r="J15" s="102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4</v>
      </c>
      <c r="O15" s="105">
        <f>ROUND(5/12*Front!AV15+4/12*'Side Pole'!U15+3/12*Rollover!I15,2)</f>
        <v>0.66</v>
      </c>
      <c r="P15" s="106">
        <f t="shared" si="0"/>
        <v>5</v>
      </c>
    </row>
    <row r="16" spans="1:16" ht="14.45" customHeight="1">
      <c r="A16" s="107">
        <v>44950</v>
      </c>
      <c r="B16" s="16" t="str">
        <f>Rollover!A16</f>
        <v>Buick</v>
      </c>
      <c r="C16" s="16" t="str">
        <f>Rollover!B16</f>
        <v>Enclave SUV FWD</v>
      </c>
      <c r="D16" s="16">
        <f>Rollover!C16</f>
        <v>2022</v>
      </c>
      <c r="E16" s="102">
        <f>Front!AW16</f>
        <v>5</v>
      </c>
      <c r="F16" s="17">
        <f>Front!AX16</f>
        <v>5</v>
      </c>
      <c r="G16" s="17">
        <f>Front!AY16</f>
        <v>5</v>
      </c>
      <c r="H16" s="102">
        <f>'Side MDB'!AC16</f>
        <v>5</v>
      </c>
      <c r="I16" s="102">
        <f>'Side MDB'!AD16</f>
        <v>4</v>
      </c>
      <c r="J16" s="102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4</v>
      </c>
      <c r="O16" s="105">
        <f>ROUND(5/12*Front!AV16+4/12*'Side Pole'!U16+3/12*Rollover!I16,2)</f>
        <v>0.69</v>
      </c>
      <c r="P16" s="106">
        <f t="shared" si="0"/>
        <v>4</v>
      </c>
    </row>
    <row r="17" spans="1:16" ht="14.45" customHeight="1">
      <c r="A17" s="101">
        <v>44678</v>
      </c>
      <c r="B17" s="17" t="str">
        <f>Rollover!A17</f>
        <v>Ford</v>
      </c>
      <c r="C17" s="17" t="str">
        <f>Rollover!B17</f>
        <v>Bronco 4 DR SUV 4WD</v>
      </c>
      <c r="D17" s="16">
        <f>Rollover!C17</f>
        <v>2022</v>
      </c>
      <c r="E17" s="102">
        <f>Front!AW17</f>
        <v>4</v>
      </c>
      <c r="F17" s="17">
        <f>Front!AX17</f>
        <v>5</v>
      </c>
      <c r="G17" s="17">
        <f>Front!AY17</f>
        <v>4</v>
      </c>
      <c r="H17" s="102" t="e">
        <f>'Side MDB'!AC17</f>
        <v>#NUM!</v>
      </c>
      <c r="I17" s="102" t="e">
        <f>'Side MDB'!AD17</f>
        <v>#NUM!</v>
      </c>
      <c r="J17" s="102" t="e">
        <f>'Side MDB'!AE17</f>
        <v>#NUM!</v>
      </c>
      <c r="K17" s="103" t="e">
        <f>'Side Pole'!P17</f>
        <v>#NUM!</v>
      </c>
      <c r="L17" s="103" t="e">
        <f>'Side Pole'!S17</f>
        <v>#NUM!</v>
      </c>
      <c r="M17" s="103" t="e">
        <f>'Side Pole'!V17</f>
        <v>#NUM!</v>
      </c>
      <c r="N17" s="104">
        <f>Rollover!J17</f>
        <v>3</v>
      </c>
      <c r="O17" s="105" t="e">
        <f>ROUND(5/12*Front!AV17+4/12*'Side Pole'!U17+3/12*Rollover!I17,2)</f>
        <v>#NUM!</v>
      </c>
      <c r="P17" s="106" t="e">
        <f t="shared" ref="P17:P81" si="1">IF(O17&lt;0.67,5,IF(O17&lt;1,4,IF(O17&lt;1.33,3,IF(O17&lt;2.67,2,1))))</f>
        <v>#NUM!</v>
      </c>
    </row>
    <row r="18" spans="1:16" ht="14.45" customHeight="1">
      <c r="A18" s="101">
        <v>44722</v>
      </c>
      <c r="B18" s="17" t="str">
        <f>Rollover!A18</f>
        <v>Ford</v>
      </c>
      <c r="C18" s="17" t="str">
        <f>Rollover!B18</f>
        <v>Escape PHEV SUV FWD</v>
      </c>
      <c r="D18" s="16">
        <f>Rollover!C18</f>
        <v>2022</v>
      </c>
      <c r="E18" s="102">
        <f>Front!AW18</f>
        <v>4</v>
      </c>
      <c r="F18" s="17">
        <f>Front!AX18</f>
        <v>5</v>
      </c>
      <c r="G18" s="17">
        <f>Front!AY18</f>
        <v>4</v>
      </c>
      <c r="H18" s="102">
        <f>'Side MDB'!AC18</f>
        <v>5</v>
      </c>
      <c r="I18" s="102">
        <f>'Side MDB'!AD18</f>
        <v>5</v>
      </c>
      <c r="J18" s="102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4</v>
      </c>
      <c r="O18" s="105">
        <f>ROUND(5/12*Front!AV18+4/12*'Side Pole'!U18+3/12*Rollover!I18,2)</f>
        <v>0.59</v>
      </c>
      <c r="P18" s="106">
        <f t="shared" si="1"/>
        <v>5</v>
      </c>
    </row>
    <row r="19" spans="1:16" ht="14.45" customHeight="1">
      <c r="A19" s="101">
        <v>44721</v>
      </c>
      <c r="B19" s="16" t="str">
        <f>Rollover!A19</f>
        <v>Lincoln</v>
      </c>
      <c r="C19" s="16" t="str">
        <f>Rollover!B19</f>
        <v>Corsair PHEV SUV AWD</v>
      </c>
      <c r="D19" s="16">
        <f>Rollover!C19</f>
        <v>2022</v>
      </c>
      <c r="E19" s="102">
        <f>Front!AW19</f>
        <v>4</v>
      </c>
      <c r="F19" s="17">
        <f>Front!AX19</f>
        <v>5</v>
      </c>
      <c r="G19" s="17">
        <f>Front!AY19</f>
        <v>4</v>
      </c>
      <c r="H19" s="102">
        <f>'Side MDB'!AC19</f>
        <v>5</v>
      </c>
      <c r="I19" s="102">
        <f>'Side MDB'!AD19</f>
        <v>5</v>
      </c>
      <c r="J19" s="102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 t="e">
        <f>Rollover!J19</f>
        <v>#NUM!</v>
      </c>
      <c r="O19" s="105" t="e">
        <f>ROUND(5/12*Front!AV19+4/12*'Side Pole'!U19+3/12*Rollover!I19,2)</f>
        <v>#NUM!</v>
      </c>
      <c r="P19" s="106" t="e">
        <f t="shared" si="1"/>
        <v>#NUM!</v>
      </c>
    </row>
    <row r="20" spans="1:16" ht="14.45" customHeight="1">
      <c r="A20" s="107">
        <v>44788</v>
      </c>
      <c r="B20" s="17" t="str">
        <f>Rollover!A20</f>
        <v>Ford</v>
      </c>
      <c r="C20" s="17" t="str">
        <f>Rollover!B20</f>
        <v>Expedition SUV 2WD</v>
      </c>
      <c r="D20" s="16">
        <f>Rollover!C20</f>
        <v>2022</v>
      </c>
      <c r="E20" s="102">
        <f>Front!AW20</f>
        <v>5</v>
      </c>
      <c r="F20" s="17">
        <f>Front!AX20</f>
        <v>5</v>
      </c>
      <c r="G20" s="17">
        <f>Front!AY20</f>
        <v>5</v>
      </c>
      <c r="H20" s="102">
        <f>'Side MDB'!AC20</f>
        <v>5</v>
      </c>
      <c r="I20" s="102">
        <f>'Side MDB'!AD20</f>
        <v>5</v>
      </c>
      <c r="J20" s="102">
        <f>'Side MDB'!AE20</f>
        <v>5</v>
      </c>
      <c r="K20" s="103">
        <f>'Side Pole'!P20</f>
        <v>5</v>
      </c>
      <c r="L20" s="103">
        <f>'Side Pole'!S20</f>
        <v>5</v>
      </c>
      <c r="M20" s="103">
        <f>'Side Pole'!V20</f>
        <v>5</v>
      </c>
      <c r="N20" s="104">
        <f>Rollover!J20</f>
        <v>3</v>
      </c>
      <c r="O20" s="105">
        <f>ROUND(5/12*Front!AV20+4/12*'Side Pole'!U20+3/12*Rollover!I20,2)</f>
        <v>0.6</v>
      </c>
      <c r="P20" s="106">
        <f t="shared" si="1"/>
        <v>5</v>
      </c>
    </row>
    <row r="21" spans="1:16" ht="14.45" customHeight="1">
      <c r="A21" s="107">
        <v>44788</v>
      </c>
      <c r="B21" s="17" t="str">
        <f>Rollover!A21</f>
        <v>Ford</v>
      </c>
      <c r="C21" s="17" t="str">
        <f>Rollover!B21</f>
        <v>Expedition SUV 4WD</v>
      </c>
      <c r="D21" s="16">
        <f>Rollover!C21</f>
        <v>2022</v>
      </c>
      <c r="E21" s="102">
        <f>Front!AW21</f>
        <v>5</v>
      </c>
      <c r="F21" s="17">
        <f>Front!AX21</f>
        <v>5</v>
      </c>
      <c r="G21" s="17">
        <f>Front!AY21</f>
        <v>5</v>
      </c>
      <c r="H21" s="102">
        <f>'Side MDB'!AC21</f>
        <v>5</v>
      </c>
      <c r="I21" s="102">
        <f>'Side MDB'!AD21</f>
        <v>5</v>
      </c>
      <c r="J21" s="102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0.56999999999999995</v>
      </c>
      <c r="P21" s="106">
        <f t="shared" si="1"/>
        <v>5</v>
      </c>
    </row>
    <row r="22" spans="1:16" ht="14.45" customHeight="1">
      <c r="A22" s="107">
        <v>44788</v>
      </c>
      <c r="B22" s="16" t="str">
        <f>Rollover!A22</f>
        <v>Ford</v>
      </c>
      <c r="C22" s="16" t="str">
        <f>Rollover!B22</f>
        <v>Expedition EL SUV 2WD</v>
      </c>
      <c r="D22" s="16">
        <f>Rollover!C22</f>
        <v>2022</v>
      </c>
      <c r="E22" s="102">
        <f>Front!AW22</f>
        <v>5</v>
      </c>
      <c r="F22" s="17">
        <f>Front!AX22</f>
        <v>5</v>
      </c>
      <c r="G22" s="17">
        <f>Front!AY22</f>
        <v>5</v>
      </c>
      <c r="H22" s="102">
        <f>'Side MDB'!AC22</f>
        <v>5</v>
      </c>
      <c r="I22" s="102">
        <f>'Side MDB'!AD22</f>
        <v>5</v>
      </c>
      <c r="J22" s="102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>
        <f>Rollover!J22</f>
        <v>3</v>
      </c>
      <c r="O22" s="105">
        <f>ROUND(5/12*Front!AV22+4/12*'Side Pole'!U22+3/12*Rollover!I22,2)</f>
        <v>0.6</v>
      </c>
      <c r="P22" s="106">
        <f t="shared" si="1"/>
        <v>5</v>
      </c>
    </row>
    <row r="23" spans="1:16" ht="14.45" customHeight="1">
      <c r="A23" s="107">
        <v>44788</v>
      </c>
      <c r="B23" s="16" t="str">
        <f>Rollover!A23</f>
        <v>Ford</v>
      </c>
      <c r="C23" s="16" t="str">
        <f>Rollover!B23</f>
        <v>Expedition EL SUV 4WD</v>
      </c>
      <c r="D23" s="16">
        <f>Rollover!C23</f>
        <v>2022</v>
      </c>
      <c r="E23" s="102">
        <f>Front!AW23</f>
        <v>5</v>
      </c>
      <c r="F23" s="17">
        <f>Front!AX23</f>
        <v>5</v>
      </c>
      <c r="G23" s="17">
        <f>Front!AY23</f>
        <v>5</v>
      </c>
      <c r="H23" s="102">
        <f>'Side MDB'!AC23</f>
        <v>5</v>
      </c>
      <c r="I23" s="102">
        <f>'Side MDB'!AD23</f>
        <v>5</v>
      </c>
      <c r="J23" s="102">
        <f>'Side MDB'!AE23</f>
        <v>5</v>
      </c>
      <c r="K23" s="103">
        <f>'Side Pole'!P23</f>
        <v>5</v>
      </c>
      <c r="L23" s="103">
        <f>'Side Pole'!S23</f>
        <v>5</v>
      </c>
      <c r="M23" s="103">
        <f>'Side Pole'!V23</f>
        <v>5</v>
      </c>
      <c r="N23" s="104">
        <f>Rollover!J23</f>
        <v>4</v>
      </c>
      <c r="O23" s="105">
        <f>ROUND(5/12*Front!AV23+4/12*'Side Pole'!U23+3/12*Rollover!I23,2)</f>
        <v>0.56999999999999995</v>
      </c>
      <c r="P23" s="106">
        <f t="shared" si="1"/>
        <v>5</v>
      </c>
    </row>
    <row r="24" spans="1:16" ht="14.45" customHeight="1">
      <c r="A24" s="107">
        <v>44788</v>
      </c>
      <c r="B24" s="16" t="str">
        <f>Rollover!A24</f>
        <v>Lincoln</v>
      </c>
      <c r="C24" s="16" t="str">
        <f>Rollover!B24</f>
        <v>Navigator SUV 2WD</v>
      </c>
      <c r="D24" s="16">
        <f>Rollover!C24</f>
        <v>2022</v>
      </c>
      <c r="E24" s="102">
        <f>Front!AW24</f>
        <v>5</v>
      </c>
      <c r="F24" s="17">
        <f>Front!AX24</f>
        <v>5</v>
      </c>
      <c r="G24" s="17">
        <f>Front!AY24</f>
        <v>5</v>
      </c>
      <c r="H24" s="102">
        <f>'Side MDB'!AC24</f>
        <v>5</v>
      </c>
      <c r="I24" s="102">
        <f>'Side MDB'!AD24</f>
        <v>5</v>
      </c>
      <c r="J24" s="102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3</v>
      </c>
      <c r="O24" s="105">
        <f>ROUND(5/12*Front!AV24+4/12*'Side Pole'!U24+3/12*Rollover!I24,2)</f>
        <v>0.6</v>
      </c>
      <c r="P24" s="106">
        <f>IF(O24&lt;0.67,5,IF(O24&lt;1,4,IF(O24&lt;1.33,3,IF(O24&lt;2.67,2,1))))</f>
        <v>5</v>
      </c>
    </row>
    <row r="25" spans="1:16" ht="14.45" customHeight="1">
      <c r="A25" s="107">
        <v>44788</v>
      </c>
      <c r="B25" s="16" t="str">
        <f>Rollover!A25</f>
        <v>Lincoln</v>
      </c>
      <c r="C25" s="16" t="str">
        <f>Rollover!B25</f>
        <v>Navigator SUV 4WD</v>
      </c>
      <c r="D25" s="16">
        <f>Rollover!C25</f>
        <v>2022</v>
      </c>
      <c r="E25" s="102">
        <f>Front!AW25</f>
        <v>5</v>
      </c>
      <c r="F25" s="17">
        <f>Front!AX25</f>
        <v>5</v>
      </c>
      <c r="G25" s="17">
        <f>Front!AY25</f>
        <v>5</v>
      </c>
      <c r="H25" s="102">
        <f>'Side MDB'!AC25</f>
        <v>5</v>
      </c>
      <c r="I25" s="102">
        <f>'Side MDB'!AD25</f>
        <v>5</v>
      </c>
      <c r="J25" s="102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4</v>
      </c>
      <c r="O25" s="105">
        <f>ROUND(5/12*Front!AV25+4/12*'Side Pole'!U25+3/12*Rollover!I25,2)</f>
        <v>0.56999999999999995</v>
      </c>
      <c r="P25" s="106">
        <f>IF(O25&lt;0.67,5,IF(O25&lt;1,4,IF(O25&lt;1.33,3,IF(O25&lt;2.67,2,1))))</f>
        <v>5</v>
      </c>
    </row>
    <row r="26" spans="1:16" ht="14.45" customHeight="1">
      <c r="A26" s="107">
        <v>44788</v>
      </c>
      <c r="B26" s="16" t="str">
        <f>Rollover!A26</f>
        <v>Lincoln</v>
      </c>
      <c r="C26" s="16" t="str">
        <f>Rollover!B26</f>
        <v>Navigator EL 2WD</v>
      </c>
      <c r="D26" s="16">
        <f>Rollover!C26</f>
        <v>2022</v>
      </c>
      <c r="E26" s="102">
        <f>Front!AW26</f>
        <v>5</v>
      </c>
      <c r="F26" s="17">
        <f>Front!AX26</f>
        <v>5</v>
      </c>
      <c r="G26" s="17">
        <f>Front!AY26</f>
        <v>5</v>
      </c>
      <c r="H26" s="102">
        <f>'Side MDB'!AC26</f>
        <v>5</v>
      </c>
      <c r="I26" s="102">
        <f>'Side MDB'!AD26</f>
        <v>5</v>
      </c>
      <c r="J26" s="102">
        <f>'Side MDB'!AE26</f>
        <v>5</v>
      </c>
      <c r="K26" s="103">
        <f>'Side Pole'!P26</f>
        <v>5</v>
      </c>
      <c r="L26" s="103">
        <f>'Side Pole'!S26</f>
        <v>5</v>
      </c>
      <c r="M26" s="103">
        <f>'Side Pole'!V26</f>
        <v>5</v>
      </c>
      <c r="N26" s="104">
        <f>Rollover!J26</f>
        <v>3</v>
      </c>
      <c r="O26" s="105">
        <f>ROUND(5/12*Front!AV26+4/12*'Side Pole'!U26+3/12*Rollover!I26,2)</f>
        <v>0.6</v>
      </c>
      <c r="P26" s="106">
        <f>IF(O26&lt;0.67,5,IF(O26&lt;1,4,IF(O26&lt;1.33,3,IF(O26&lt;2.67,2,1))))</f>
        <v>5</v>
      </c>
    </row>
    <row r="27" spans="1:16" ht="14.45" customHeight="1">
      <c r="A27" s="107">
        <v>44788</v>
      </c>
      <c r="B27" s="16" t="str">
        <f>Rollover!A27</f>
        <v>Lincoln</v>
      </c>
      <c r="C27" s="16" t="str">
        <f>Rollover!B27</f>
        <v>Navigator EL 4WD</v>
      </c>
      <c r="D27" s="16">
        <f>Rollover!C27</f>
        <v>2022</v>
      </c>
      <c r="E27" s="102">
        <f>Front!AW27</f>
        <v>5</v>
      </c>
      <c r="F27" s="17">
        <f>Front!AX27</f>
        <v>5</v>
      </c>
      <c r="G27" s="17">
        <f>Front!AY27</f>
        <v>5</v>
      </c>
      <c r="H27" s="102">
        <f>'Side MDB'!AC27</f>
        <v>5</v>
      </c>
      <c r="I27" s="102">
        <f>'Side MDB'!AD27</f>
        <v>5</v>
      </c>
      <c r="J27" s="102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4</v>
      </c>
      <c r="O27" s="105">
        <f>ROUND(5/12*Front!AV27+4/12*'Side Pole'!U27+3/12*Rollover!I27,2)</f>
        <v>0.56999999999999995</v>
      </c>
      <c r="P27" s="106">
        <f>IF(O27&lt;0.67,5,IF(O27&lt;1,4,IF(O27&lt;1.33,3,IF(O27&lt;2.67,2,1))))</f>
        <v>5</v>
      </c>
    </row>
    <row r="28" spans="1:16" ht="14.45" customHeight="1">
      <c r="A28" s="107">
        <v>44887</v>
      </c>
      <c r="B28" s="17" t="str">
        <f>Rollover!A28</f>
        <v>Ford</v>
      </c>
      <c r="C28" s="17" t="str">
        <f>Rollover!B28</f>
        <v>F-150 Lightning BEV PU/CC 4WD</v>
      </c>
      <c r="D28" s="16">
        <f>Rollover!C28</f>
        <v>2022</v>
      </c>
      <c r="E28" s="102">
        <f>Front!AW28</f>
        <v>4</v>
      </c>
      <c r="F28" s="17">
        <f>Front!AX28</f>
        <v>4</v>
      </c>
      <c r="G28" s="17">
        <f>Front!AY28</f>
        <v>4</v>
      </c>
      <c r="H28" s="102">
        <f>'Side MDB'!AC28</f>
        <v>5</v>
      </c>
      <c r="I28" s="102">
        <f>'Side MDB'!AD28</f>
        <v>5</v>
      </c>
      <c r="J28" s="102">
        <f>'Side MDB'!AE28</f>
        <v>5</v>
      </c>
      <c r="K28" s="103">
        <f>'Side Pole'!P28</f>
        <v>5</v>
      </c>
      <c r="L28" s="103">
        <f>'Side Pole'!S28</f>
        <v>5</v>
      </c>
      <c r="M28" s="103">
        <f>'Side Pole'!V28</f>
        <v>5</v>
      </c>
      <c r="N28" s="104">
        <f>Rollover!J28</f>
        <v>4</v>
      </c>
      <c r="O28" s="105">
        <f>ROUND(5/12*Front!AV28+4/12*'Side Pole'!U28+3/12*Rollover!I28,2)</f>
        <v>0.57999999999999996</v>
      </c>
      <c r="P28" s="106">
        <f t="shared" si="1"/>
        <v>5</v>
      </c>
    </row>
    <row r="29" spans="1:16" ht="14.45" customHeight="1">
      <c r="A29" s="107">
        <v>44958</v>
      </c>
      <c r="B29" s="17" t="str">
        <f>Rollover!A29</f>
        <v>Ford</v>
      </c>
      <c r="C29" s="17" t="str">
        <f>Rollover!B29</f>
        <v>F-150 Super Crew HEV PU/CC 2WD</v>
      </c>
      <c r="D29" s="16">
        <f>Rollover!C29</f>
        <v>2022</v>
      </c>
      <c r="E29" s="102">
        <f>Front!AW29</f>
        <v>5</v>
      </c>
      <c r="F29" s="17">
        <f>Front!AX29</f>
        <v>5</v>
      </c>
      <c r="G29" s="17">
        <f>Front!AY29</f>
        <v>5</v>
      </c>
      <c r="H29" s="102">
        <f>'Side MDB'!AC29</f>
        <v>5</v>
      </c>
      <c r="I29" s="102">
        <f>'Side MDB'!AD29</f>
        <v>5</v>
      </c>
      <c r="J29" s="102">
        <f>'Side MDB'!AE29</f>
        <v>5</v>
      </c>
      <c r="K29" s="103">
        <f>'Side Pole'!P29</f>
        <v>5</v>
      </c>
      <c r="L29" s="103">
        <f>'Side Pole'!S29</f>
        <v>5</v>
      </c>
      <c r="M29" s="103">
        <f>'Side Pole'!V29</f>
        <v>5</v>
      </c>
      <c r="N29" s="104">
        <f>Rollover!J29</f>
        <v>4</v>
      </c>
      <c r="O29" s="105">
        <f>ROUND(5/12*Front!AV29+4/12*'Side Pole'!U29+3/12*Rollover!I29,2)</f>
        <v>0.59</v>
      </c>
      <c r="P29" s="106">
        <f t="shared" si="1"/>
        <v>5</v>
      </c>
    </row>
    <row r="30" spans="1:16" ht="15.75" customHeight="1">
      <c r="A30" s="107">
        <v>44958</v>
      </c>
      <c r="B30" s="17" t="str">
        <f>Rollover!A30</f>
        <v>Ford</v>
      </c>
      <c r="C30" s="17" t="str">
        <f>Rollover!B30</f>
        <v>F-150 Super Crew HEV PU/CC 4WD</v>
      </c>
      <c r="D30" s="16">
        <f>Rollover!C30</f>
        <v>2022</v>
      </c>
      <c r="E30" s="102">
        <f>Front!AW30</f>
        <v>5</v>
      </c>
      <c r="F30" s="17">
        <f>Front!AX30</f>
        <v>5</v>
      </c>
      <c r="G30" s="17">
        <f>Front!AY30</f>
        <v>5</v>
      </c>
      <c r="H30" s="102">
        <f>'Side MDB'!AC30</f>
        <v>5</v>
      </c>
      <c r="I30" s="102">
        <f>'Side MDB'!AD30</f>
        <v>5</v>
      </c>
      <c r="J30" s="102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4</v>
      </c>
      <c r="O30" s="105">
        <f>ROUND(5/12*Front!AV30+4/12*'Side Pole'!U30+3/12*Rollover!I30,2)</f>
        <v>0.6</v>
      </c>
      <c r="P30" s="106">
        <f t="shared" si="1"/>
        <v>5</v>
      </c>
    </row>
    <row r="31" spans="1:16" ht="14.45" customHeight="1">
      <c r="A31" s="107">
        <v>44894</v>
      </c>
      <c r="B31" s="17" t="str">
        <f>Rollover!A31</f>
        <v>Ford</v>
      </c>
      <c r="C31" s="17" t="str">
        <f>Rollover!B31</f>
        <v>F-250 Super Cab PU/EC 2WD</v>
      </c>
      <c r="D31" s="16">
        <f>Rollover!C31</f>
        <v>2022</v>
      </c>
      <c r="E31" s="102">
        <f>Front!AW31</f>
        <v>5</v>
      </c>
      <c r="F31" s="17">
        <f>Front!AX31</f>
        <v>4</v>
      </c>
      <c r="G31" s="17">
        <f>Front!AY31</f>
        <v>4</v>
      </c>
      <c r="H31" s="102">
        <f>'Side MDB'!AC31</f>
        <v>5</v>
      </c>
      <c r="I31" s="102">
        <f>'Side MDB'!AD31</f>
        <v>5</v>
      </c>
      <c r="J31" s="102">
        <f>'Side MDB'!AE31</f>
        <v>5</v>
      </c>
      <c r="K31" s="103">
        <f>'Side Pole'!P31</f>
        <v>5</v>
      </c>
      <c r="L31" s="103">
        <f>'Side Pole'!S31</f>
        <v>5</v>
      </c>
      <c r="M31" s="103">
        <f>'Side Pole'!V31</f>
        <v>5</v>
      </c>
      <c r="N31" s="104">
        <f>Rollover!J31</f>
        <v>4</v>
      </c>
      <c r="O31" s="105">
        <f>ROUND(5/12*Front!AV31+4/12*'Side Pole'!U31+3/12*Rollover!I31,2)</f>
        <v>0.63</v>
      </c>
      <c r="P31" s="106">
        <f t="shared" si="1"/>
        <v>5</v>
      </c>
    </row>
    <row r="32" spans="1:16" ht="14.45" customHeight="1">
      <c r="A32" s="107">
        <v>44894</v>
      </c>
      <c r="B32" s="17" t="str">
        <f>Rollover!A32</f>
        <v>Ford</v>
      </c>
      <c r="C32" s="17" t="str">
        <f>Rollover!B32</f>
        <v>F-250 Super Cab PU/EC 4WD</v>
      </c>
      <c r="D32" s="16">
        <f>Rollover!C32</f>
        <v>2022</v>
      </c>
      <c r="E32" s="102">
        <f>Front!AW32</f>
        <v>5</v>
      </c>
      <c r="F32" s="17">
        <f>Front!AX32</f>
        <v>4</v>
      </c>
      <c r="G32" s="17">
        <f>Front!AY32</f>
        <v>4</v>
      </c>
      <c r="H32" s="102">
        <f>'Side MDB'!AC32</f>
        <v>5</v>
      </c>
      <c r="I32" s="102">
        <f>'Side MDB'!AD32</f>
        <v>5</v>
      </c>
      <c r="J32" s="102">
        <f>'Side MDB'!AE32</f>
        <v>5</v>
      </c>
      <c r="K32" s="103">
        <f>'Side Pole'!P32</f>
        <v>5</v>
      </c>
      <c r="L32" s="103">
        <f>'Side Pole'!S32</f>
        <v>5</v>
      </c>
      <c r="M32" s="103">
        <f>'Side Pole'!V32</f>
        <v>5</v>
      </c>
      <c r="N32" s="104">
        <f>Rollover!J32</f>
        <v>3</v>
      </c>
      <c r="O32" s="105">
        <f>ROUND(5/12*Front!AV32+4/12*'Side Pole'!U32+3/12*Rollover!I32,2)</f>
        <v>0.8</v>
      </c>
      <c r="P32" s="106">
        <f t="shared" si="1"/>
        <v>4</v>
      </c>
    </row>
    <row r="33" spans="1:16" ht="14.45" customHeight="1">
      <c r="A33" s="107">
        <v>44882</v>
      </c>
      <c r="B33" s="17" t="str">
        <f>Rollover!A33</f>
        <v>Ford</v>
      </c>
      <c r="C33" s="17" t="str">
        <f>Rollover!B33</f>
        <v>Maverick PU/CC FWD</v>
      </c>
      <c r="D33" s="16">
        <f>Rollover!C33</f>
        <v>2022</v>
      </c>
      <c r="E33" s="102">
        <f>Front!AW33</f>
        <v>5</v>
      </c>
      <c r="F33" s="17">
        <f>Front!AX33</f>
        <v>4</v>
      </c>
      <c r="G33" s="17">
        <f>Front!AY33</f>
        <v>5</v>
      </c>
      <c r="H33" s="102">
        <f>'Side MDB'!AC33</f>
        <v>5</v>
      </c>
      <c r="I33" s="102">
        <f>'Side MDB'!AD33</f>
        <v>5</v>
      </c>
      <c r="J33" s="102">
        <f>'Side MDB'!AE33</f>
        <v>5</v>
      </c>
      <c r="K33" s="103">
        <f>'Side Pole'!P33</f>
        <v>5</v>
      </c>
      <c r="L33" s="103">
        <f>'Side Pole'!S33</f>
        <v>5</v>
      </c>
      <c r="M33" s="103">
        <f>'Side Pole'!V33</f>
        <v>5</v>
      </c>
      <c r="N33" s="104">
        <f>Rollover!J33</f>
        <v>4</v>
      </c>
      <c r="O33" s="105">
        <f>ROUND(5/12*Front!AV33+4/12*'Side Pole'!U33+3/12*Rollover!I33,2)</f>
        <v>0.7</v>
      </c>
      <c r="P33" s="106">
        <f t="shared" si="1"/>
        <v>4</v>
      </c>
    </row>
    <row r="34" spans="1:16" ht="14.45" customHeight="1">
      <c r="A34" s="107">
        <v>44882</v>
      </c>
      <c r="B34" s="17" t="str">
        <f>Rollover!A34</f>
        <v>Ford</v>
      </c>
      <c r="C34" s="17" t="str">
        <f>Rollover!B34</f>
        <v>Maverick PU/CC 4WD</v>
      </c>
      <c r="D34" s="16">
        <f>Rollover!C34</f>
        <v>2022</v>
      </c>
      <c r="E34" s="102">
        <f>Front!AW34</f>
        <v>5</v>
      </c>
      <c r="F34" s="17">
        <f>Front!AX34</f>
        <v>4</v>
      </c>
      <c r="G34" s="17">
        <f>Front!AY34</f>
        <v>5</v>
      </c>
      <c r="H34" s="102">
        <f>'Side MDB'!AC34</f>
        <v>5</v>
      </c>
      <c r="I34" s="102">
        <f>'Side MDB'!AD34</f>
        <v>5</v>
      </c>
      <c r="J34" s="102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4</v>
      </c>
      <c r="O34" s="105">
        <f>ROUND(5/12*Front!AV34+4/12*'Side Pole'!U34+3/12*Rollover!I34,2)</f>
        <v>0.67</v>
      </c>
      <c r="P34" s="106">
        <f t="shared" si="1"/>
        <v>4</v>
      </c>
    </row>
    <row r="35" spans="1:16" ht="14.45" customHeight="1">
      <c r="A35" s="107">
        <v>44882</v>
      </c>
      <c r="B35" s="16" t="str">
        <f>Rollover!A35</f>
        <v>Ford</v>
      </c>
      <c r="C35" s="16" t="str">
        <f>Rollover!B35</f>
        <v>Maverick HEV PU/CC FWD</v>
      </c>
      <c r="D35" s="16">
        <f>Rollover!C35</f>
        <v>2022</v>
      </c>
      <c r="E35" s="102">
        <f>Front!AW35</f>
        <v>5</v>
      </c>
      <c r="F35" s="17">
        <f>Front!AX35</f>
        <v>4</v>
      </c>
      <c r="G35" s="17">
        <f>Front!AY35</f>
        <v>5</v>
      </c>
      <c r="H35" s="102">
        <f>'Side MDB'!AC35</f>
        <v>5</v>
      </c>
      <c r="I35" s="102">
        <f>'Side MDB'!AD35</f>
        <v>5</v>
      </c>
      <c r="J35" s="102">
        <f>'Side MDB'!AE35</f>
        <v>5</v>
      </c>
      <c r="K35" s="103">
        <f>'Side Pole'!P35</f>
        <v>5</v>
      </c>
      <c r="L35" s="103">
        <f>'Side Pole'!S35</f>
        <v>5</v>
      </c>
      <c r="M35" s="103">
        <f>'Side Pole'!V35</f>
        <v>5</v>
      </c>
      <c r="N35" s="104">
        <f>Rollover!J35</f>
        <v>4</v>
      </c>
      <c r="O35" s="105">
        <f>ROUND(5/12*Front!AV35+4/12*'Side Pole'!U35+3/12*Rollover!I35,2)</f>
        <v>0.7</v>
      </c>
      <c r="P35" s="106">
        <f t="shared" si="1"/>
        <v>4</v>
      </c>
    </row>
    <row r="36" spans="1:16" ht="14.45" customHeight="1">
      <c r="A36" s="107">
        <v>45156</v>
      </c>
      <c r="B36" s="17" t="str">
        <f>Rollover!A36</f>
        <v>Ford</v>
      </c>
      <c r="C36" s="17" t="str">
        <f>Rollover!B36</f>
        <v>Ranger Super Cab PU/EC 2WD</v>
      </c>
      <c r="D36" s="16">
        <f>Rollover!C36</f>
        <v>2022</v>
      </c>
      <c r="E36" s="102">
        <f>Front!AW36</f>
        <v>4</v>
      </c>
      <c r="F36" s="17">
        <f>Front!AX36</f>
        <v>5</v>
      </c>
      <c r="G36" s="17">
        <f>Front!AY36</f>
        <v>4</v>
      </c>
      <c r="H36" s="102">
        <f>'Side MDB'!AC36</f>
        <v>5</v>
      </c>
      <c r="I36" s="102">
        <f>'Side MDB'!AD36</f>
        <v>5</v>
      </c>
      <c r="J36" s="102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3</v>
      </c>
      <c r="O36" s="105">
        <f>ROUND(5/12*Front!AV36+4/12*'Side Pole'!U36+3/12*Rollover!I36,2)</f>
        <v>0.84</v>
      </c>
      <c r="P36" s="106">
        <f t="shared" si="1"/>
        <v>4</v>
      </c>
    </row>
    <row r="37" spans="1:16" ht="14.45" customHeight="1">
      <c r="A37" s="107">
        <v>45156</v>
      </c>
      <c r="B37" s="17" t="str">
        <f>Rollover!A37</f>
        <v>Ford</v>
      </c>
      <c r="C37" s="17" t="str">
        <f>Rollover!B37</f>
        <v>Ranger Super Cab PU/EC 4WD</v>
      </c>
      <c r="D37" s="16">
        <f>Rollover!C37</f>
        <v>2022</v>
      </c>
      <c r="E37" s="102">
        <f>Front!AW37</f>
        <v>4</v>
      </c>
      <c r="F37" s="17">
        <f>Front!AX37</f>
        <v>5</v>
      </c>
      <c r="G37" s="17">
        <f>Front!AY37</f>
        <v>4</v>
      </c>
      <c r="H37" s="102">
        <f>'Side MDB'!AC37</f>
        <v>5</v>
      </c>
      <c r="I37" s="102">
        <f>'Side MDB'!AD37</f>
        <v>5</v>
      </c>
      <c r="J37" s="102">
        <f>'Side MDB'!AE37</f>
        <v>5</v>
      </c>
      <c r="K37" s="103">
        <f>'Side Pole'!P37</f>
        <v>5</v>
      </c>
      <c r="L37" s="103">
        <f>'Side Pole'!S37</f>
        <v>5</v>
      </c>
      <c r="M37" s="103">
        <f>'Side Pole'!V37</f>
        <v>5</v>
      </c>
      <c r="N37" s="104">
        <f>Rollover!J37</f>
        <v>3</v>
      </c>
      <c r="O37" s="105">
        <f>ROUND(5/12*Front!AV37+4/12*'Side Pole'!U37+3/12*Rollover!I37,2)</f>
        <v>0.78</v>
      </c>
      <c r="P37" s="106">
        <f t="shared" si="1"/>
        <v>4</v>
      </c>
    </row>
    <row r="38" spans="1:16" ht="14.45" customHeight="1">
      <c r="A38" s="101">
        <v>44631</v>
      </c>
      <c r="B38" s="17" t="str">
        <f>Rollover!A38</f>
        <v>Honda</v>
      </c>
      <c r="C38" s="17" t="str">
        <f>Rollover!B38</f>
        <v>Civic 4DR FWD</v>
      </c>
      <c r="D38" s="16">
        <f>Rollover!C38</f>
        <v>2022</v>
      </c>
      <c r="E38" s="102">
        <f>Front!AW38</f>
        <v>5</v>
      </c>
      <c r="F38" s="17">
        <f>Front!AX38</f>
        <v>4</v>
      </c>
      <c r="G38" s="17">
        <f>Front!AY38</f>
        <v>4</v>
      </c>
      <c r="H38" s="102">
        <f>'Side MDB'!AC38</f>
        <v>5</v>
      </c>
      <c r="I38" s="102">
        <f>'Side MDB'!AD38</f>
        <v>5</v>
      </c>
      <c r="J38" s="102">
        <f>'Side MDB'!AE38</f>
        <v>5</v>
      </c>
      <c r="K38" s="103">
        <f>'Side Pole'!P38</f>
        <v>5</v>
      </c>
      <c r="L38" s="103">
        <f>'Side Pole'!S38</f>
        <v>5</v>
      </c>
      <c r="M38" s="103">
        <f>'Side Pole'!V38</f>
        <v>5</v>
      </c>
      <c r="N38" s="104">
        <f>Rollover!J38</f>
        <v>5</v>
      </c>
      <c r="O38" s="105">
        <f>ROUND(5/12*Front!AV38+4/12*'Side Pole'!U38+3/12*Rollover!I38,2)</f>
        <v>0.53</v>
      </c>
      <c r="P38" s="106">
        <f t="shared" si="1"/>
        <v>5</v>
      </c>
    </row>
    <row r="39" spans="1:16" ht="14.45" customHeight="1">
      <c r="A39" s="101">
        <v>44631</v>
      </c>
      <c r="B39" s="16" t="str">
        <f>Rollover!A39</f>
        <v>Honda</v>
      </c>
      <c r="C39" s="16" t="str">
        <f>Rollover!B39</f>
        <v>Civic SI 4DR FWD</v>
      </c>
      <c r="D39" s="16">
        <f>Rollover!C39</f>
        <v>2022</v>
      </c>
      <c r="E39" s="102">
        <f>Front!AW39</f>
        <v>5</v>
      </c>
      <c r="F39" s="17">
        <f>Front!AX39</f>
        <v>4</v>
      </c>
      <c r="G39" s="17">
        <f>Front!AY39</f>
        <v>4</v>
      </c>
      <c r="H39" s="102">
        <f>'Side MDB'!AC39</f>
        <v>5</v>
      </c>
      <c r="I39" s="102">
        <f>'Side MDB'!AD39</f>
        <v>5</v>
      </c>
      <c r="J39" s="102">
        <f>'Side MDB'!AE39</f>
        <v>5</v>
      </c>
      <c r="K39" s="103">
        <f>'Side Pole'!P39</f>
        <v>5</v>
      </c>
      <c r="L39" s="103">
        <f>'Side Pole'!S39</f>
        <v>5</v>
      </c>
      <c r="M39" s="103">
        <f>'Side Pole'!V39</f>
        <v>5</v>
      </c>
      <c r="N39" s="104">
        <f>Rollover!J39</f>
        <v>5</v>
      </c>
      <c r="O39" s="105">
        <f>ROUND(5/12*Front!AV39+4/12*'Side Pole'!U39+3/12*Rollover!I39,2)</f>
        <v>0.53</v>
      </c>
      <c r="P39" s="106">
        <f t="shared" si="1"/>
        <v>5</v>
      </c>
    </row>
    <row r="40" spans="1:16" ht="14.45" customHeight="1">
      <c r="A40" s="101">
        <v>44631</v>
      </c>
      <c r="B40" s="16" t="str">
        <f>Rollover!A40</f>
        <v>Honda</v>
      </c>
      <c r="C40" s="16" t="str">
        <f>Rollover!B40</f>
        <v>Civic 5HB FWD</v>
      </c>
      <c r="D40" s="16">
        <f>Rollover!C40</f>
        <v>2022</v>
      </c>
      <c r="E40" s="102">
        <f>Front!AW40</f>
        <v>5</v>
      </c>
      <c r="F40" s="17">
        <f>Front!AX40</f>
        <v>4</v>
      </c>
      <c r="G40" s="17">
        <f>Front!AY40</f>
        <v>4</v>
      </c>
      <c r="H40" s="102">
        <f>'Side MDB'!AC40</f>
        <v>5</v>
      </c>
      <c r="I40" s="102">
        <f>'Side MDB'!AD40</f>
        <v>5</v>
      </c>
      <c r="J40" s="102">
        <f>'Side MDB'!AE40</f>
        <v>5</v>
      </c>
      <c r="K40" s="103">
        <f>'Side Pole'!P40</f>
        <v>5</v>
      </c>
      <c r="L40" s="103">
        <f>'Side Pole'!S40</f>
        <v>5</v>
      </c>
      <c r="M40" s="103">
        <f>'Side Pole'!V40</f>
        <v>5</v>
      </c>
      <c r="N40" s="104">
        <f>Rollover!J40</f>
        <v>5</v>
      </c>
      <c r="O40" s="105">
        <f>ROUND(5/12*Front!AV40+4/12*'Side Pole'!U40+3/12*Rollover!I40,2)</f>
        <v>0.53</v>
      </c>
      <c r="P40" s="106">
        <f t="shared" si="1"/>
        <v>5</v>
      </c>
    </row>
    <row r="41" spans="1:16" ht="14.45" customHeight="1">
      <c r="A41" s="107">
        <v>44855</v>
      </c>
      <c r="B41" s="17" t="str">
        <f>Rollover!A41</f>
        <v>Hyundai</v>
      </c>
      <c r="C41" s="17" t="str">
        <f>Rollover!B41</f>
        <v>Ioniq 5 SUV RWD</v>
      </c>
      <c r="D41" s="16">
        <f>Rollover!C41</f>
        <v>2022</v>
      </c>
      <c r="E41" s="102">
        <f>Front!AW41</f>
        <v>4</v>
      </c>
      <c r="F41" s="17">
        <f>Front!AX41</f>
        <v>4</v>
      </c>
      <c r="G41" s="17">
        <f>Front!AY41</f>
        <v>4</v>
      </c>
      <c r="H41" s="102">
        <f>'Side MDB'!AC41</f>
        <v>4</v>
      </c>
      <c r="I41" s="102">
        <f>'Side MDB'!AD41</f>
        <v>5</v>
      </c>
      <c r="J41" s="102">
        <f>'Side MDB'!AE41</f>
        <v>5</v>
      </c>
      <c r="K41" s="103">
        <f>'Side Pole'!P41</f>
        <v>5</v>
      </c>
      <c r="L41" s="103">
        <f>'Side Pole'!S41</f>
        <v>4</v>
      </c>
      <c r="M41" s="103">
        <f>'Side Pole'!V41</f>
        <v>5</v>
      </c>
      <c r="N41" s="104" t="e">
        <f>Rollover!J41</f>
        <v>#NUM!</v>
      </c>
      <c r="O41" s="105" t="e">
        <f>ROUND(5/12*Front!AV41+4/12*'Side Pole'!U41+3/12*Rollover!I41,2)</f>
        <v>#NUM!</v>
      </c>
      <c r="P41" s="106" t="e">
        <f t="shared" si="1"/>
        <v>#NUM!</v>
      </c>
    </row>
    <row r="42" spans="1:16" ht="14.45" customHeight="1">
      <c r="A42" s="107">
        <v>44855</v>
      </c>
      <c r="B42" s="17" t="str">
        <f>Rollover!A42</f>
        <v>Hyundai</v>
      </c>
      <c r="C42" s="17" t="str">
        <f>Rollover!B42</f>
        <v>Ioniq 5 SUV AWD</v>
      </c>
      <c r="D42" s="16">
        <f>Rollover!C42</f>
        <v>2022</v>
      </c>
      <c r="E42" s="102">
        <f>Front!AW42</f>
        <v>4</v>
      </c>
      <c r="F42" s="17">
        <f>Front!AX42</f>
        <v>4</v>
      </c>
      <c r="G42" s="17">
        <f>Front!AY42</f>
        <v>4</v>
      </c>
      <c r="H42" s="102">
        <f>'Side MDB'!AC42</f>
        <v>4</v>
      </c>
      <c r="I42" s="102">
        <f>'Side MDB'!AD42</f>
        <v>5</v>
      </c>
      <c r="J42" s="102">
        <f>'Side MDB'!AE42</f>
        <v>5</v>
      </c>
      <c r="K42" s="103">
        <f>'Side Pole'!P42</f>
        <v>5</v>
      </c>
      <c r="L42" s="103">
        <f>'Side Pole'!S42</f>
        <v>4</v>
      </c>
      <c r="M42" s="103">
        <f>'Side Pole'!V42</f>
        <v>5</v>
      </c>
      <c r="N42" s="104">
        <f>Rollover!J42</f>
        <v>5</v>
      </c>
      <c r="O42" s="105">
        <f>ROUND(5/12*Front!AV42+4/12*'Side Pole'!U42+3/12*Rollover!I42,2)</f>
        <v>0.62</v>
      </c>
      <c r="P42" s="106">
        <f t="shared" si="1"/>
        <v>5</v>
      </c>
    </row>
    <row r="43" spans="1:16" ht="14.45" customHeight="1">
      <c r="A43" s="101">
        <v>44631</v>
      </c>
      <c r="B43" s="17" t="str">
        <f>Rollover!A43</f>
        <v>Hyundai</v>
      </c>
      <c r="C43" s="17" t="str">
        <f>Rollover!B43</f>
        <v>Tucson SUV FWD early release</v>
      </c>
      <c r="D43" s="16">
        <f>Rollover!C43</f>
        <v>2022</v>
      </c>
      <c r="E43" s="102">
        <f>Front!AW43</f>
        <v>4</v>
      </c>
      <c r="F43" s="17">
        <f>Front!AX43</f>
        <v>4</v>
      </c>
      <c r="G43" s="17">
        <f>Front!AY43</f>
        <v>4</v>
      </c>
      <c r="H43" s="102">
        <f>'Side MDB'!AC43</f>
        <v>5</v>
      </c>
      <c r="I43" s="102">
        <f>'Side MDB'!AD43</f>
        <v>5</v>
      </c>
      <c r="J43" s="102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4</v>
      </c>
      <c r="O43" s="105">
        <f>ROUND(5/12*Front!AV43+4/12*'Side Pole'!U43+3/12*Rollover!I43,2)</f>
        <v>0.67</v>
      </c>
      <c r="P43" s="106">
        <f t="shared" si="1"/>
        <v>4</v>
      </c>
    </row>
    <row r="44" spans="1:16" ht="14.45" customHeight="1">
      <c r="A44" s="101">
        <v>44631</v>
      </c>
      <c r="B44" s="17" t="str">
        <f>Rollover!A44</f>
        <v>Hyundai</v>
      </c>
      <c r="C44" s="17" t="str">
        <f>Rollover!B44</f>
        <v>Tucson SUV AWD early release</v>
      </c>
      <c r="D44" s="16">
        <f>Rollover!C44</f>
        <v>2022</v>
      </c>
      <c r="E44" s="102">
        <f>Front!AW44</f>
        <v>4</v>
      </c>
      <c r="F44" s="17">
        <f>Front!AX44</f>
        <v>4</v>
      </c>
      <c r="G44" s="17">
        <f>Front!AY44</f>
        <v>4</v>
      </c>
      <c r="H44" s="102">
        <f>'Side MDB'!AC44</f>
        <v>5</v>
      </c>
      <c r="I44" s="102">
        <f>'Side MDB'!AD44</f>
        <v>5</v>
      </c>
      <c r="J44" s="102">
        <f>'Side MDB'!AE44</f>
        <v>5</v>
      </c>
      <c r="K44" s="103">
        <f>'Side Pole'!P44</f>
        <v>5</v>
      </c>
      <c r="L44" s="103">
        <f>'Side Pole'!S44</f>
        <v>5</v>
      </c>
      <c r="M44" s="103">
        <f>'Side Pole'!V44</f>
        <v>5</v>
      </c>
      <c r="N44" s="104">
        <f>Rollover!J44</f>
        <v>4</v>
      </c>
      <c r="O44" s="105">
        <f>ROUND(5/12*Front!AV44+4/12*'Side Pole'!U44+3/12*Rollover!I44,2)</f>
        <v>0.7</v>
      </c>
      <c r="P44" s="106">
        <f t="shared" si="1"/>
        <v>4</v>
      </c>
    </row>
    <row r="45" spans="1:16" ht="14.45" customHeight="1">
      <c r="A45" s="101">
        <v>44631</v>
      </c>
      <c r="B45" s="16" t="str">
        <f>Rollover!A45</f>
        <v>Hyundai</v>
      </c>
      <c r="C45" s="16" t="str">
        <f>Rollover!B45</f>
        <v>Tucson HEV SUV FWD early release</v>
      </c>
      <c r="D45" s="16">
        <f>Rollover!C45</f>
        <v>2022</v>
      </c>
      <c r="E45" s="102">
        <f>Front!AW45</f>
        <v>4</v>
      </c>
      <c r="F45" s="17">
        <f>Front!AX45</f>
        <v>4</v>
      </c>
      <c r="G45" s="17">
        <f>Front!AY45</f>
        <v>4</v>
      </c>
      <c r="H45" s="102">
        <f>'Side MDB'!AC45</f>
        <v>5</v>
      </c>
      <c r="I45" s="102">
        <f>'Side MDB'!AD45</f>
        <v>5</v>
      </c>
      <c r="J45" s="102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4</v>
      </c>
      <c r="O45" s="105">
        <f>ROUND(5/12*Front!AV45+4/12*'Side Pole'!U45+3/12*Rollover!I45,2)</f>
        <v>0.67</v>
      </c>
      <c r="P45" s="106">
        <f t="shared" si="1"/>
        <v>4</v>
      </c>
    </row>
    <row r="46" spans="1:16" ht="14.45" customHeight="1">
      <c r="A46" s="101">
        <v>44631</v>
      </c>
      <c r="B46" s="16" t="str">
        <f>Rollover!A46</f>
        <v>Hyundai</v>
      </c>
      <c r="C46" s="16" t="str">
        <f>Rollover!B46</f>
        <v>Tucson HEV SUV AWD early release</v>
      </c>
      <c r="D46" s="16">
        <f>Rollover!C46</f>
        <v>2022</v>
      </c>
      <c r="E46" s="102">
        <f>Front!AW46</f>
        <v>4</v>
      </c>
      <c r="F46" s="17">
        <f>Front!AX46</f>
        <v>4</v>
      </c>
      <c r="G46" s="17">
        <f>Front!AY46</f>
        <v>4</v>
      </c>
      <c r="H46" s="102">
        <f>'Side MDB'!AC46</f>
        <v>5</v>
      </c>
      <c r="I46" s="102">
        <f>'Side MDB'!AD46</f>
        <v>5</v>
      </c>
      <c r="J46" s="102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4</v>
      </c>
      <c r="O46" s="105">
        <f>ROUND(5/12*Front!AV46+4/12*'Side Pole'!U46+3/12*Rollover!I46,2)</f>
        <v>0.7</v>
      </c>
      <c r="P46" s="106">
        <f t="shared" si="1"/>
        <v>4</v>
      </c>
    </row>
    <row r="47" spans="1:16" ht="14.45" customHeight="1">
      <c r="A47" s="107">
        <v>44720</v>
      </c>
      <c r="B47" s="17" t="str">
        <f>Rollover!A47</f>
        <v>Hyundai</v>
      </c>
      <c r="C47" s="17" t="str">
        <f>Rollover!B47</f>
        <v>Tucson SUV FWD later release</v>
      </c>
      <c r="D47" s="16">
        <f>Rollover!C47</f>
        <v>2022</v>
      </c>
      <c r="E47" s="102">
        <f>Front!AW47</f>
        <v>4</v>
      </c>
      <c r="F47" s="17">
        <f>Front!AX47</f>
        <v>5</v>
      </c>
      <c r="G47" s="17">
        <f>Front!AY47</f>
        <v>5</v>
      </c>
      <c r="H47" s="102">
        <f>'Side MDB'!AC47</f>
        <v>5</v>
      </c>
      <c r="I47" s="102">
        <f>'Side MDB'!AD47</f>
        <v>5</v>
      </c>
      <c r="J47" s="102">
        <f>'Side MDB'!AE47</f>
        <v>5</v>
      </c>
      <c r="K47" s="103">
        <f>'Side Pole'!P47</f>
        <v>5</v>
      </c>
      <c r="L47" s="103">
        <f>'Side Pole'!S47</f>
        <v>5</v>
      </c>
      <c r="M47" s="103">
        <f>'Side Pole'!V47</f>
        <v>5</v>
      </c>
      <c r="N47" s="104">
        <f>Rollover!J47</f>
        <v>4</v>
      </c>
      <c r="O47" s="105">
        <f>ROUND(5/12*Front!AV47+4/12*'Side Pole'!U47+3/12*Rollover!I47,2)</f>
        <v>0.64</v>
      </c>
      <c r="P47" s="106">
        <f t="shared" si="1"/>
        <v>5</v>
      </c>
    </row>
    <row r="48" spans="1:16" ht="14.45" customHeight="1">
      <c r="A48" s="107">
        <v>44672</v>
      </c>
      <c r="B48" s="17" t="str">
        <f>Rollover!A48</f>
        <v>Hyundai</v>
      </c>
      <c r="C48" s="17" t="str">
        <f>Rollover!B48</f>
        <v>Tucson SUV AWD later release</v>
      </c>
      <c r="D48" s="16">
        <f>Rollover!C48</f>
        <v>2022</v>
      </c>
      <c r="E48" s="102">
        <f>Front!AW48</f>
        <v>4</v>
      </c>
      <c r="F48" s="17">
        <f>Front!AX48</f>
        <v>5</v>
      </c>
      <c r="G48" s="17">
        <f>Front!AY48</f>
        <v>5</v>
      </c>
      <c r="H48" s="102">
        <f>'Side MDB'!AC48</f>
        <v>5</v>
      </c>
      <c r="I48" s="102">
        <f>'Side MDB'!AD48</f>
        <v>5</v>
      </c>
      <c r="J48" s="102">
        <f>'Side MDB'!AE48</f>
        <v>5</v>
      </c>
      <c r="K48" s="103">
        <f>'Side Pole'!P48</f>
        <v>5</v>
      </c>
      <c r="L48" s="103">
        <f>'Side Pole'!S48</f>
        <v>5</v>
      </c>
      <c r="M48" s="103">
        <f>'Side Pole'!V48</f>
        <v>5</v>
      </c>
      <c r="N48" s="104">
        <f>Rollover!J48</f>
        <v>4</v>
      </c>
      <c r="O48" s="105">
        <f>ROUND(5/12*Front!AV48+4/12*'Side Pole'!U48+3/12*Rollover!I48,2)</f>
        <v>0.67</v>
      </c>
      <c r="P48" s="106">
        <f t="shared" si="1"/>
        <v>4</v>
      </c>
    </row>
    <row r="49" spans="1:16" ht="14.45" customHeight="1">
      <c r="A49" s="107">
        <v>44720</v>
      </c>
      <c r="B49" s="17" t="str">
        <f>Rollover!A49</f>
        <v>Hyundai</v>
      </c>
      <c r="C49" s="17" t="str">
        <f>Rollover!B49</f>
        <v>Tucson HEV SUV FWD later release</v>
      </c>
      <c r="D49" s="16">
        <f>Rollover!C49</f>
        <v>2022</v>
      </c>
      <c r="E49" s="102">
        <f>Front!AW49</f>
        <v>4</v>
      </c>
      <c r="F49" s="17">
        <f>Front!AX49</f>
        <v>5</v>
      </c>
      <c r="G49" s="17">
        <f>Front!AY49</f>
        <v>5</v>
      </c>
      <c r="H49" s="102">
        <f>'Side MDB'!AC49</f>
        <v>5</v>
      </c>
      <c r="I49" s="102">
        <f>'Side MDB'!AD49</f>
        <v>5</v>
      </c>
      <c r="J49" s="102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4</v>
      </c>
      <c r="O49" s="105">
        <f>ROUND(5/12*Front!AV49+4/12*'Side Pole'!U49+3/12*Rollover!I49,2)</f>
        <v>0.64</v>
      </c>
      <c r="P49" s="106">
        <f t="shared" si="1"/>
        <v>5</v>
      </c>
    </row>
    <row r="50" spans="1:16" ht="14.45" customHeight="1">
      <c r="A50" s="107">
        <v>44672</v>
      </c>
      <c r="B50" s="17" t="str">
        <f>Rollover!A50</f>
        <v>Hyundai</v>
      </c>
      <c r="C50" s="17" t="str">
        <f>Rollover!B50</f>
        <v>Tucson HEV SUV AWD later release</v>
      </c>
      <c r="D50" s="16">
        <f>Rollover!C50</f>
        <v>2022</v>
      </c>
      <c r="E50" s="102">
        <f>Front!AW50</f>
        <v>4</v>
      </c>
      <c r="F50" s="17">
        <f>Front!AX50</f>
        <v>5</v>
      </c>
      <c r="G50" s="17">
        <f>Front!AY50</f>
        <v>5</v>
      </c>
      <c r="H50" s="102">
        <f>'Side MDB'!AC50</f>
        <v>5</v>
      </c>
      <c r="I50" s="102">
        <f>'Side MDB'!AD50</f>
        <v>5</v>
      </c>
      <c r="J50" s="102">
        <f>'Side MDB'!AE50</f>
        <v>5</v>
      </c>
      <c r="K50" s="103">
        <f>'Side Pole'!P50</f>
        <v>5</v>
      </c>
      <c r="L50" s="103">
        <f>'Side Pole'!S50</f>
        <v>5</v>
      </c>
      <c r="M50" s="103">
        <f>'Side Pole'!V50</f>
        <v>5</v>
      </c>
      <c r="N50" s="104">
        <f>Rollover!J50</f>
        <v>4</v>
      </c>
      <c r="O50" s="105">
        <f>ROUND(5/12*Front!AV50+4/12*'Side Pole'!U50+3/12*Rollover!I50,2)</f>
        <v>0.67</v>
      </c>
      <c r="P50" s="106">
        <f t="shared" si="1"/>
        <v>4</v>
      </c>
    </row>
    <row r="51" spans="1:16" ht="14.45" customHeight="1">
      <c r="A51" s="107">
        <v>44691</v>
      </c>
      <c r="B51" s="17" t="str">
        <f>Rollover!A51</f>
        <v>Jeep</v>
      </c>
      <c r="C51" s="17" t="str">
        <f>Rollover!B51</f>
        <v>Compass SUV FWD</v>
      </c>
      <c r="D51" s="16">
        <f>Rollover!C51</f>
        <v>2022</v>
      </c>
      <c r="E51" s="102">
        <f>Front!AW51</f>
        <v>4</v>
      </c>
      <c r="F51" s="17">
        <f>Front!AX51</f>
        <v>4</v>
      </c>
      <c r="G51" s="17">
        <f>Front!AY51</f>
        <v>4</v>
      </c>
      <c r="H51" s="102">
        <f>'Side MDB'!AC51</f>
        <v>5</v>
      </c>
      <c r="I51" s="102">
        <f>'Side MDB'!AD51</f>
        <v>5</v>
      </c>
      <c r="J51" s="102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3</v>
      </c>
      <c r="O51" s="105">
        <f>ROUND(5/12*Front!AV51+4/12*'Side Pole'!U51+3/12*Rollover!I51,2)</f>
        <v>0.75</v>
      </c>
      <c r="P51" s="106">
        <f t="shared" si="1"/>
        <v>4</v>
      </c>
    </row>
    <row r="52" spans="1:16" ht="12.75">
      <c r="A52" s="107">
        <v>44691</v>
      </c>
      <c r="B52" s="17" t="str">
        <f>Rollover!A52</f>
        <v>Jeep</v>
      </c>
      <c r="C52" s="17" t="str">
        <f>Rollover!B52</f>
        <v>Compass SUV AWD</v>
      </c>
      <c r="D52" s="16">
        <f>Rollover!C52</f>
        <v>2022</v>
      </c>
      <c r="E52" s="102">
        <f>Front!AW52</f>
        <v>4</v>
      </c>
      <c r="F52" s="17">
        <f>Front!AX52</f>
        <v>4</v>
      </c>
      <c r="G52" s="17">
        <f>Front!AY52</f>
        <v>4</v>
      </c>
      <c r="H52" s="102">
        <f>'Side MDB'!AC52</f>
        <v>5</v>
      </c>
      <c r="I52" s="102">
        <f>'Side MDB'!AD52</f>
        <v>5</v>
      </c>
      <c r="J52" s="102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3</v>
      </c>
      <c r="O52" s="105">
        <f>ROUND(5/12*Front!AV52+4/12*'Side Pole'!U52+3/12*Rollover!I52,2)</f>
        <v>0.75</v>
      </c>
      <c r="P52" s="106">
        <f t="shared" si="1"/>
        <v>4</v>
      </c>
    </row>
    <row r="53" spans="1:16" ht="14.45" customHeight="1">
      <c r="A53" s="107">
        <v>44964</v>
      </c>
      <c r="B53" s="17" t="str">
        <f>Rollover!A53</f>
        <v>Jeep</v>
      </c>
      <c r="C53" s="17" t="str">
        <f>Rollover!B53</f>
        <v>Grand Cherokee L SUV 2WD</v>
      </c>
      <c r="D53" s="16">
        <f>Rollover!C53</f>
        <v>2022</v>
      </c>
      <c r="E53" s="102">
        <f>Front!AW53</f>
        <v>5</v>
      </c>
      <c r="F53" s="17">
        <f>Front!AX53</f>
        <v>5</v>
      </c>
      <c r="G53" s="17">
        <f>Front!AY53</f>
        <v>5</v>
      </c>
      <c r="H53" s="102">
        <f>'Side MDB'!AC53</f>
        <v>5</v>
      </c>
      <c r="I53" s="102">
        <f>'Side MDB'!AD53</f>
        <v>5</v>
      </c>
      <c r="J53" s="102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4</v>
      </c>
      <c r="O53" s="105">
        <f>ROUND(5/12*Front!AV53+4/12*'Side Pole'!U53+3/12*Rollover!I53,2)</f>
        <v>0.59</v>
      </c>
      <c r="P53" s="106">
        <f t="shared" si="1"/>
        <v>5</v>
      </c>
    </row>
    <row r="54" spans="1:16" ht="14.45" customHeight="1">
      <c r="A54" s="107">
        <v>44964</v>
      </c>
      <c r="B54" s="17" t="str">
        <f>Rollover!A54</f>
        <v>Jeep</v>
      </c>
      <c r="C54" s="17" t="str">
        <f>Rollover!B54</f>
        <v>Grand Cherokee L SUV 4WD</v>
      </c>
      <c r="D54" s="16">
        <f>Rollover!C54</f>
        <v>2022</v>
      </c>
      <c r="E54" s="102">
        <f>Front!AW54</f>
        <v>5</v>
      </c>
      <c r="F54" s="17">
        <f>Front!AX54</f>
        <v>5</v>
      </c>
      <c r="G54" s="17">
        <f>Front!AY54</f>
        <v>5</v>
      </c>
      <c r="H54" s="102">
        <f>'Side MDB'!AC54</f>
        <v>5</v>
      </c>
      <c r="I54" s="102">
        <f>'Side MDB'!AD54</f>
        <v>5</v>
      </c>
      <c r="J54" s="102">
        <f>'Side MDB'!AE54</f>
        <v>5</v>
      </c>
      <c r="K54" s="103">
        <f>'Side Pole'!P54</f>
        <v>5</v>
      </c>
      <c r="L54" s="103">
        <f>'Side Pole'!S54</f>
        <v>5</v>
      </c>
      <c r="M54" s="103">
        <f>'Side Pole'!V54</f>
        <v>5</v>
      </c>
      <c r="N54" s="104">
        <f>Rollover!J54</f>
        <v>4</v>
      </c>
      <c r="O54" s="105">
        <f>ROUND(5/12*Front!AV54+4/12*'Side Pole'!U54+3/12*Rollover!I54,2)</f>
        <v>0.59</v>
      </c>
      <c r="P54" s="106">
        <f t="shared" si="1"/>
        <v>5</v>
      </c>
    </row>
    <row r="55" spans="1:16" ht="14.45" customHeight="1">
      <c r="A55" s="107">
        <v>44964</v>
      </c>
      <c r="B55" s="16" t="str">
        <f>Rollover!A55</f>
        <v>Jeep</v>
      </c>
      <c r="C55" s="16" t="str">
        <f>Rollover!B55</f>
        <v>Grand Cherokee SUV 2WD</v>
      </c>
      <c r="D55" s="16">
        <f>Rollover!C55</f>
        <v>2022</v>
      </c>
      <c r="E55" s="102">
        <f>Front!AW55</f>
        <v>5</v>
      </c>
      <c r="F55" s="17">
        <f>Front!AX55</f>
        <v>5</v>
      </c>
      <c r="G55" s="17">
        <f>Front!AY55</f>
        <v>5</v>
      </c>
      <c r="H55" s="102" t="e">
        <f>'Side MDB'!AC55</f>
        <v>#NUM!</v>
      </c>
      <c r="I55" s="102" t="e">
        <f>'Side MDB'!AD55</f>
        <v>#NUM!</v>
      </c>
      <c r="J55" s="102" t="e">
        <f>'Side MDB'!AE55</f>
        <v>#NUM!</v>
      </c>
      <c r="K55" s="103" t="e">
        <f>'Side Pole'!P55</f>
        <v>#NUM!</v>
      </c>
      <c r="L55" s="103" t="e">
        <f>'Side Pole'!S55</f>
        <v>#NUM!</v>
      </c>
      <c r="M55" s="103" t="e">
        <f>'Side Pole'!V55</f>
        <v>#NUM!</v>
      </c>
      <c r="N55" s="104" t="e">
        <f>Rollover!J55</f>
        <v>#NUM!</v>
      </c>
      <c r="O55" s="105" t="e">
        <f>ROUND(5/12*Front!AV55+4/12*'Side Pole'!U55+3/12*Rollover!I55,2)</f>
        <v>#NUM!</v>
      </c>
      <c r="P55" s="106" t="e">
        <f t="shared" si="1"/>
        <v>#NUM!</v>
      </c>
    </row>
    <row r="56" spans="1:16" ht="14.45" customHeight="1">
      <c r="A56" s="107">
        <v>44964</v>
      </c>
      <c r="B56" s="16" t="str">
        <f>Rollover!A56</f>
        <v>Jeep</v>
      </c>
      <c r="C56" s="16" t="str">
        <f>Rollover!B56</f>
        <v>Grand Cherokee SUV 4WD</v>
      </c>
      <c r="D56" s="16">
        <f>Rollover!C56</f>
        <v>2022</v>
      </c>
      <c r="E56" s="102">
        <f>Front!AW56</f>
        <v>5</v>
      </c>
      <c r="F56" s="17">
        <f>Front!AX56</f>
        <v>5</v>
      </c>
      <c r="G56" s="17">
        <f>Front!AY56</f>
        <v>5</v>
      </c>
      <c r="H56" s="102" t="e">
        <f>'Side MDB'!AC56</f>
        <v>#NUM!</v>
      </c>
      <c r="I56" s="102" t="e">
        <f>'Side MDB'!AD56</f>
        <v>#NUM!</v>
      </c>
      <c r="J56" s="102" t="e">
        <f>'Side MDB'!AE56</f>
        <v>#NUM!</v>
      </c>
      <c r="K56" s="103" t="e">
        <f>'Side Pole'!P56</f>
        <v>#NUM!</v>
      </c>
      <c r="L56" s="103" t="e">
        <f>'Side Pole'!S56</f>
        <v>#NUM!</v>
      </c>
      <c r="M56" s="103" t="e">
        <f>'Side Pole'!V56</f>
        <v>#NUM!</v>
      </c>
      <c r="N56" s="104" t="e">
        <f>Rollover!J56</f>
        <v>#NUM!</v>
      </c>
      <c r="O56" s="105" t="e">
        <f>ROUND(5/12*Front!AV56+4/12*'Side Pole'!U56+3/12*Rollover!I56,2)</f>
        <v>#NUM!</v>
      </c>
      <c r="P56" s="106" t="e">
        <f t="shared" si="1"/>
        <v>#NUM!</v>
      </c>
    </row>
    <row r="57" spans="1:16" ht="14.45" customHeight="1">
      <c r="A57" s="101">
        <v>45049</v>
      </c>
      <c r="B57" s="17" t="str">
        <f>Rollover!A57</f>
        <v>Kia</v>
      </c>
      <c r="C57" s="17" t="str">
        <f>Rollover!B57</f>
        <v>EV6 SUV RWD</v>
      </c>
      <c r="D57" s="16">
        <f>Rollover!C57</f>
        <v>2022</v>
      </c>
      <c r="E57" s="102">
        <f>Front!AW57</f>
        <v>5</v>
      </c>
      <c r="F57" s="17">
        <f>Front!AX57</f>
        <v>4</v>
      </c>
      <c r="G57" s="17">
        <f>Front!AY57</f>
        <v>5</v>
      </c>
      <c r="H57" s="102">
        <f>'Side MDB'!AC57</f>
        <v>5</v>
      </c>
      <c r="I57" s="102">
        <f>'Side MDB'!AD57</f>
        <v>5</v>
      </c>
      <c r="J57" s="102">
        <f>'Side MDB'!AE57</f>
        <v>5</v>
      </c>
      <c r="K57" s="103">
        <f>'Side Pole'!P57</f>
        <v>5</v>
      </c>
      <c r="L57" s="103">
        <f>'Side Pole'!S57</f>
        <v>5</v>
      </c>
      <c r="M57" s="103">
        <f>'Side Pole'!V57</f>
        <v>5</v>
      </c>
      <c r="N57" s="104" t="e">
        <f>Rollover!J57</f>
        <v>#NUM!</v>
      </c>
      <c r="O57" s="105" t="e">
        <f>ROUND(5/12*Front!AV57+4/12*'Side Pole'!U57+3/12*Rollover!I57,2)</f>
        <v>#NUM!</v>
      </c>
      <c r="P57" s="106" t="e">
        <f t="shared" si="1"/>
        <v>#NUM!</v>
      </c>
    </row>
    <row r="58" spans="1:16" ht="14.45" customHeight="1">
      <c r="A58" s="101">
        <v>45049</v>
      </c>
      <c r="B58" s="17" t="str">
        <f>Rollover!A58</f>
        <v>Kia</v>
      </c>
      <c r="C58" s="17" t="str">
        <f>Rollover!B58</f>
        <v>EV6 SUV AWD</v>
      </c>
      <c r="D58" s="16">
        <f>Rollover!C58</f>
        <v>2022</v>
      </c>
      <c r="E58" s="102">
        <f>Front!AW58</f>
        <v>5</v>
      </c>
      <c r="F58" s="17">
        <f>Front!AX58</f>
        <v>4</v>
      </c>
      <c r="G58" s="17">
        <f>Front!AY58</f>
        <v>5</v>
      </c>
      <c r="H58" s="102">
        <f>'Side MDB'!AC58</f>
        <v>5</v>
      </c>
      <c r="I58" s="102">
        <f>'Side MDB'!AD58</f>
        <v>5</v>
      </c>
      <c r="J58" s="102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 t="e">
        <f>Rollover!J58</f>
        <v>#NUM!</v>
      </c>
      <c r="O58" s="105" t="e">
        <f>ROUND(5/12*Front!AV58+4/12*'Side Pole'!U58+3/12*Rollover!I58,2)</f>
        <v>#NUM!</v>
      </c>
      <c r="P58" s="106" t="e">
        <f t="shared" si="1"/>
        <v>#NUM!</v>
      </c>
    </row>
    <row r="59" spans="1:16" ht="14.45" customHeight="1">
      <c r="A59" s="101">
        <v>44656</v>
      </c>
      <c r="B59" s="17" t="str">
        <f>Rollover!A59</f>
        <v>Kia</v>
      </c>
      <c r="C59" s="17" t="str">
        <f>Rollover!B59</f>
        <v>Niro Electric SUV FWD</v>
      </c>
      <c r="D59" s="16">
        <f>Rollover!C59</f>
        <v>2022</v>
      </c>
      <c r="E59" s="102">
        <f>Front!AW59</f>
        <v>4</v>
      </c>
      <c r="F59" s="17">
        <f>Front!AX59</f>
        <v>4</v>
      </c>
      <c r="G59" s="17">
        <f>Front!AY59</f>
        <v>4</v>
      </c>
      <c r="H59" s="102">
        <f>'Side MDB'!AC59</f>
        <v>5</v>
      </c>
      <c r="I59" s="102">
        <f>'Side MDB'!AD59</f>
        <v>5</v>
      </c>
      <c r="J59" s="102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5</v>
      </c>
      <c r="O59" s="105">
        <f>ROUND(5/12*Front!AV59+4/12*'Side Pole'!U59+3/12*Rollover!I59,2)</f>
        <v>0.54</v>
      </c>
      <c r="P59" s="106">
        <f t="shared" si="1"/>
        <v>5</v>
      </c>
    </row>
    <row r="60" spans="1:16" ht="14.45" customHeight="1">
      <c r="A60" s="107">
        <v>44645</v>
      </c>
      <c r="B60" s="17" t="str">
        <f>Rollover!A60</f>
        <v>Mazda</v>
      </c>
      <c r="C60" s="17" t="str">
        <f>Rollover!B60</f>
        <v>MX-30 5HB FWD</v>
      </c>
      <c r="D60" s="16">
        <f>Rollover!C60</f>
        <v>2022</v>
      </c>
      <c r="E60" s="102">
        <f>Front!AW60</f>
        <v>5</v>
      </c>
      <c r="F60" s="17">
        <f>Front!AX60</f>
        <v>5</v>
      </c>
      <c r="G60" s="17">
        <f>Front!AY60</f>
        <v>5</v>
      </c>
      <c r="H60" s="102">
        <f>'Side MDB'!AC60</f>
        <v>5</v>
      </c>
      <c r="I60" s="102">
        <f>'Side MDB'!AD60</f>
        <v>5</v>
      </c>
      <c r="J60" s="102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4</v>
      </c>
      <c r="O60" s="105">
        <f>ROUND(5/12*Front!AV60+4/12*'Side Pole'!U60+3/12*Rollover!I60,2)</f>
        <v>0.56000000000000005</v>
      </c>
      <c r="P60" s="106">
        <f t="shared" si="1"/>
        <v>5</v>
      </c>
    </row>
    <row r="61" spans="1:16" ht="14.45" customHeight="1">
      <c r="A61" s="107">
        <v>44372</v>
      </c>
      <c r="B61" s="17" t="str">
        <f>Rollover!A61</f>
        <v xml:space="preserve">Mitsubishi </v>
      </c>
      <c r="C61" s="17" t="str">
        <f>Rollover!B61</f>
        <v>Eclipse Cross SUV AWD</v>
      </c>
      <c r="D61" s="16">
        <f>Rollover!C61</f>
        <v>2022</v>
      </c>
      <c r="E61" s="102">
        <f>Front!AW61</f>
        <v>4</v>
      </c>
      <c r="F61" s="17">
        <f>Front!AX61</f>
        <v>4</v>
      </c>
      <c r="G61" s="17">
        <f>Front!AY61</f>
        <v>4</v>
      </c>
      <c r="H61" s="102">
        <f>'Side MDB'!AC61</f>
        <v>5</v>
      </c>
      <c r="I61" s="102">
        <f>'Side MDB'!AD61</f>
        <v>5</v>
      </c>
      <c r="J61" s="102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4</v>
      </c>
      <c r="O61" s="105">
        <f>ROUND(5/12*Front!AV61+4/12*'Side Pole'!U61+3/12*Rollover!I61,2)</f>
        <v>0.66</v>
      </c>
      <c r="P61" s="106">
        <f t="shared" si="1"/>
        <v>5</v>
      </c>
    </row>
    <row r="62" spans="1:16" ht="14.45" customHeight="1">
      <c r="A62" s="107">
        <v>44372</v>
      </c>
      <c r="B62" s="17" t="str">
        <f>Rollover!A62</f>
        <v xml:space="preserve">Mitsubishi </v>
      </c>
      <c r="C62" s="17" t="str">
        <f>Rollover!B62</f>
        <v>Eclipse Cross SUV FWD</v>
      </c>
      <c r="D62" s="16">
        <f>Rollover!C62</f>
        <v>2022</v>
      </c>
      <c r="E62" s="102">
        <f>Front!AW62</f>
        <v>4</v>
      </c>
      <c r="F62" s="17">
        <f>Front!AX62</f>
        <v>4</v>
      </c>
      <c r="G62" s="17">
        <f>Front!AY62</f>
        <v>4</v>
      </c>
      <c r="H62" s="102">
        <f>'Side MDB'!AC62</f>
        <v>5</v>
      </c>
      <c r="I62" s="102">
        <f>'Side MDB'!AD62</f>
        <v>5</v>
      </c>
      <c r="J62" s="102">
        <f>'Side MDB'!AE62</f>
        <v>5</v>
      </c>
      <c r="K62" s="103">
        <f>'Side Pole'!P62</f>
        <v>5</v>
      </c>
      <c r="L62" s="103">
        <f>'Side Pole'!S62</f>
        <v>5</v>
      </c>
      <c r="M62" s="103">
        <f>'Side Pole'!V62</f>
        <v>5</v>
      </c>
      <c r="N62" s="104">
        <f>Rollover!J62</f>
        <v>4</v>
      </c>
      <c r="O62" s="105">
        <f>ROUND(5/12*Front!AV62+4/12*'Side Pole'!U62+3/12*Rollover!I62,2)</f>
        <v>0.66</v>
      </c>
      <c r="P62" s="106">
        <f t="shared" si="1"/>
        <v>5</v>
      </c>
    </row>
    <row r="63" spans="1:16" ht="14.45" customHeight="1">
      <c r="A63" s="101">
        <v>44685</v>
      </c>
      <c r="B63" s="17" t="str">
        <f>Rollover!A63</f>
        <v>Nissan</v>
      </c>
      <c r="C63" s="17" t="str">
        <f>Rollover!B63</f>
        <v>Altima 4DR FWD</v>
      </c>
      <c r="D63" s="16">
        <f>Rollover!C63</f>
        <v>2022</v>
      </c>
      <c r="E63" s="102">
        <f>Front!AW63</f>
        <v>5</v>
      </c>
      <c r="F63" s="17">
        <f>Front!AX63</f>
        <v>4</v>
      </c>
      <c r="G63" s="17">
        <f>Front!AY63</f>
        <v>4</v>
      </c>
      <c r="H63" s="102">
        <f>'Side MDB'!AC63</f>
        <v>4</v>
      </c>
      <c r="I63" s="102">
        <f>'Side MDB'!AD63</f>
        <v>5</v>
      </c>
      <c r="J63" s="102">
        <f>'Side MDB'!AE63</f>
        <v>5</v>
      </c>
      <c r="K63" s="103">
        <f>'Side Pole'!P63</f>
        <v>5</v>
      </c>
      <c r="L63" s="103">
        <f>'Side Pole'!S63</f>
        <v>5</v>
      </c>
      <c r="M63" s="103">
        <f>'Side Pole'!V63</f>
        <v>5</v>
      </c>
      <c r="N63" s="104">
        <f>Rollover!J63</f>
        <v>5</v>
      </c>
      <c r="O63" s="105">
        <f>ROUND(5/12*Front!AV63+4/12*'Side Pole'!U63+3/12*Rollover!I63,2)</f>
        <v>0.56999999999999995</v>
      </c>
      <c r="P63" s="106">
        <f t="shared" ref="P63:P64" si="2">IF(O63&lt;0.67,5,IF(O63&lt;1,4,IF(O63&lt;1.33,3,IF(O63&lt;2.67,2,1))))</f>
        <v>5</v>
      </c>
    </row>
    <row r="64" spans="1:16" ht="14.45" customHeight="1">
      <c r="A64" s="101">
        <v>44685</v>
      </c>
      <c r="B64" s="17" t="str">
        <f>Rollover!A64</f>
        <v>Nissan</v>
      </c>
      <c r="C64" s="17" t="str">
        <f>Rollover!B64</f>
        <v>Altima 4DR AWD</v>
      </c>
      <c r="D64" s="16">
        <f>Rollover!C64</f>
        <v>2022</v>
      </c>
      <c r="E64" s="102">
        <f>Front!AW64</f>
        <v>5</v>
      </c>
      <c r="F64" s="17">
        <f>Front!AX64</f>
        <v>4</v>
      </c>
      <c r="G64" s="17">
        <f>Front!AY64</f>
        <v>4</v>
      </c>
      <c r="H64" s="102">
        <f>'Side MDB'!AC64</f>
        <v>4</v>
      </c>
      <c r="I64" s="102">
        <f>'Side MDB'!AD64</f>
        <v>5</v>
      </c>
      <c r="J64" s="102">
        <f>'Side MDB'!AE64</f>
        <v>5</v>
      </c>
      <c r="K64" s="103">
        <f>'Side Pole'!P64</f>
        <v>5</v>
      </c>
      <c r="L64" s="103">
        <f>'Side Pole'!S64</f>
        <v>5</v>
      </c>
      <c r="M64" s="103">
        <f>'Side Pole'!V64</f>
        <v>5</v>
      </c>
      <c r="N64" s="104">
        <f>Rollover!J64</f>
        <v>5</v>
      </c>
      <c r="O64" s="105">
        <f>ROUND(5/12*Front!AV64+4/12*'Side Pole'!U64+3/12*Rollover!I64,2)</f>
        <v>0.56999999999999995</v>
      </c>
      <c r="P64" s="106">
        <f t="shared" si="2"/>
        <v>5</v>
      </c>
    </row>
    <row r="65" spans="1:16" ht="14.45" customHeight="1">
      <c r="A65" s="101">
        <v>44666</v>
      </c>
      <c r="B65" s="17" t="str">
        <f>Rollover!A65</f>
        <v>Nissan</v>
      </c>
      <c r="C65" s="17" t="str">
        <f>Rollover!B65</f>
        <v>Frontier Crew Cab PU/CC RWD</v>
      </c>
      <c r="D65" s="16">
        <f>Rollover!C65</f>
        <v>2022</v>
      </c>
      <c r="E65" s="102">
        <f>Front!AW65</f>
        <v>3</v>
      </c>
      <c r="F65" s="17">
        <f>Front!AX65</f>
        <v>4</v>
      </c>
      <c r="G65" s="17">
        <f>Front!AY65</f>
        <v>4</v>
      </c>
      <c r="H65" s="102">
        <f>'Side MDB'!AC65</f>
        <v>5</v>
      </c>
      <c r="I65" s="102">
        <f>'Side MDB'!AD65</f>
        <v>5</v>
      </c>
      <c r="J65" s="102">
        <f>'Side MDB'!AE65</f>
        <v>5</v>
      </c>
      <c r="K65" s="103">
        <f>'Side Pole'!P65</f>
        <v>5</v>
      </c>
      <c r="L65" s="103">
        <f>'Side Pole'!S65</f>
        <v>5</v>
      </c>
      <c r="M65" s="103">
        <f>'Side Pole'!V65</f>
        <v>5</v>
      </c>
      <c r="N65" s="104">
        <f>Rollover!J65</f>
        <v>3</v>
      </c>
      <c r="O65" s="105">
        <f>ROUND(5/12*Front!AV65+4/12*'Side Pole'!U65+3/12*Rollover!I65,2)</f>
        <v>0.83</v>
      </c>
      <c r="P65" s="106">
        <f t="shared" si="1"/>
        <v>4</v>
      </c>
    </row>
    <row r="66" spans="1:16" ht="14.45" customHeight="1">
      <c r="A66" s="101">
        <v>44666</v>
      </c>
      <c r="B66" s="17" t="str">
        <f>Rollover!A66</f>
        <v>Nissan</v>
      </c>
      <c r="C66" s="17" t="str">
        <f>Rollover!B66</f>
        <v>Frontier Crew Cab PU/CC 4WD</v>
      </c>
      <c r="D66" s="16">
        <f>Rollover!C66</f>
        <v>2022</v>
      </c>
      <c r="E66" s="102">
        <f>Front!AW66</f>
        <v>3</v>
      </c>
      <c r="F66" s="17">
        <f>Front!AX66</f>
        <v>4</v>
      </c>
      <c r="G66" s="17">
        <f>Front!AY66</f>
        <v>4</v>
      </c>
      <c r="H66" s="102">
        <f>'Side MDB'!AC66</f>
        <v>5</v>
      </c>
      <c r="I66" s="102">
        <f>'Side MDB'!AD66</f>
        <v>5</v>
      </c>
      <c r="J66" s="102">
        <f>'Side MDB'!AE66</f>
        <v>5</v>
      </c>
      <c r="K66" s="103">
        <f>'Side Pole'!P66</f>
        <v>5</v>
      </c>
      <c r="L66" s="103">
        <f>'Side Pole'!S66</f>
        <v>5</v>
      </c>
      <c r="M66" s="103">
        <f>'Side Pole'!V66</f>
        <v>5</v>
      </c>
      <c r="N66" s="104">
        <f>Rollover!J66</f>
        <v>3</v>
      </c>
      <c r="O66" s="105">
        <f>ROUND(5/12*Front!AV66+4/12*'Side Pole'!U66+3/12*Rollover!I66,2)</f>
        <v>0.83</v>
      </c>
      <c r="P66" s="106">
        <f t="shared" si="1"/>
        <v>4</v>
      </c>
    </row>
    <row r="67" spans="1:16" ht="14.45" customHeight="1">
      <c r="A67" s="101"/>
      <c r="B67" s="16" t="str">
        <f>Rollover!A67</f>
        <v>Nissan</v>
      </c>
      <c r="C67" s="16" t="str">
        <f>Rollover!B67</f>
        <v>Frontier King Cab PU/EC RWD</v>
      </c>
      <c r="D67" s="16">
        <f>Rollover!C67</f>
        <v>2022</v>
      </c>
      <c r="E67" s="102" t="e">
        <f>Front!AW67</f>
        <v>#NUM!</v>
      </c>
      <c r="F67" s="17" t="e">
        <f>Front!AX67</f>
        <v>#NUM!</v>
      </c>
      <c r="G67" s="17" t="e">
        <f>Front!AY67</f>
        <v>#NUM!</v>
      </c>
      <c r="H67" s="102" t="e">
        <f>'Side MDB'!AC67</f>
        <v>#NUM!</v>
      </c>
      <c r="I67" s="102" t="e">
        <f>'Side MDB'!AD67</f>
        <v>#NUM!</v>
      </c>
      <c r="J67" s="102" t="e">
        <f>'Side MDB'!AE67</f>
        <v>#NUM!</v>
      </c>
      <c r="K67" s="103" t="e">
        <f>'Side Pole'!P67</f>
        <v>#NUM!</v>
      </c>
      <c r="L67" s="103" t="e">
        <f>'Side Pole'!S67</f>
        <v>#NUM!</v>
      </c>
      <c r="M67" s="103" t="e">
        <f>'Side Pole'!V67</f>
        <v>#NUM!</v>
      </c>
      <c r="N67" s="104">
        <f>Rollover!J67</f>
        <v>3</v>
      </c>
      <c r="O67" s="105" t="e">
        <f>ROUND(5/12*Front!AV67+4/12*'Side Pole'!U67+3/12*Rollover!I67,2)</f>
        <v>#NUM!</v>
      </c>
      <c r="P67" s="106" t="e">
        <f t="shared" si="1"/>
        <v>#NUM!</v>
      </c>
    </row>
    <row r="68" spans="1:16" ht="14.45" customHeight="1">
      <c r="A68" s="101"/>
      <c r="B68" s="16" t="str">
        <f>Rollover!A68</f>
        <v>Nissan</v>
      </c>
      <c r="C68" s="16" t="str">
        <f>Rollover!B68</f>
        <v>Frontier King Cab PU/EC 4WD</v>
      </c>
      <c r="D68" s="16">
        <f>Rollover!C68</f>
        <v>2022</v>
      </c>
      <c r="E68" s="102" t="e">
        <f>Front!AW68</f>
        <v>#NUM!</v>
      </c>
      <c r="F68" s="17" t="e">
        <f>Front!AX68</f>
        <v>#NUM!</v>
      </c>
      <c r="G68" s="17" t="e">
        <f>Front!AY68</f>
        <v>#NUM!</v>
      </c>
      <c r="H68" s="102" t="e">
        <f>'Side MDB'!AC68</f>
        <v>#NUM!</v>
      </c>
      <c r="I68" s="102" t="e">
        <f>'Side MDB'!AD68</f>
        <v>#NUM!</v>
      </c>
      <c r="J68" s="102" t="e">
        <f>'Side MDB'!AE68</f>
        <v>#NUM!</v>
      </c>
      <c r="K68" s="103" t="e">
        <f>'Side Pole'!P68</f>
        <v>#NUM!</v>
      </c>
      <c r="L68" s="103" t="e">
        <f>'Side Pole'!S68</f>
        <v>#NUM!</v>
      </c>
      <c r="M68" s="103" t="e">
        <f>'Side Pole'!V68</f>
        <v>#NUM!</v>
      </c>
      <c r="N68" s="104">
        <f>Rollover!J68</f>
        <v>3</v>
      </c>
      <c r="O68" s="105" t="e">
        <f>ROUND(5/12*Front!AV68+4/12*'Side Pole'!U68+3/12*Rollover!I68,2)</f>
        <v>#NUM!</v>
      </c>
      <c r="P68" s="106" t="e">
        <f t="shared" si="1"/>
        <v>#NUM!</v>
      </c>
    </row>
    <row r="69" spans="1:16" ht="14.45" customHeight="1">
      <c r="A69" s="101">
        <v>44811</v>
      </c>
      <c r="B69" s="17" t="str">
        <f>Rollover!A69</f>
        <v>Nissan</v>
      </c>
      <c r="C69" s="17" t="str">
        <f>Rollover!B69</f>
        <v>Pathfinder SUV FWD</v>
      </c>
      <c r="D69" s="16">
        <f>Rollover!C69</f>
        <v>2022</v>
      </c>
      <c r="E69" s="102">
        <f>Front!AW69</f>
        <v>4</v>
      </c>
      <c r="F69" s="17">
        <f>Front!AX69</f>
        <v>4</v>
      </c>
      <c r="G69" s="17">
        <f>Front!AY69</f>
        <v>4</v>
      </c>
      <c r="H69" s="102">
        <f>'Side MDB'!AC69</f>
        <v>5</v>
      </c>
      <c r="I69" s="102">
        <f>'Side MDB'!AD69</f>
        <v>5</v>
      </c>
      <c r="J69" s="102">
        <f>'Side MDB'!AE69</f>
        <v>5</v>
      </c>
      <c r="K69" s="103">
        <f>'Side Pole'!P69</f>
        <v>5</v>
      </c>
      <c r="L69" s="103">
        <f>'Side Pole'!S69</f>
        <v>5</v>
      </c>
      <c r="M69" s="103">
        <f>'Side Pole'!V69</f>
        <v>5</v>
      </c>
      <c r="N69" s="104" t="e">
        <f>Rollover!J69</f>
        <v>#NUM!</v>
      </c>
      <c r="O69" s="105" t="e">
        <f>ROUND(5/12*Front!AV69+4/12*'Side Pole'!U69+3/12*Rollover!I69,2)</f>
        <v>#NUM!</v>
      </c>
      <c r="P69" s="106" t="e">
        <f t="shared" si="1"/>
        <v>#NUM!</v>
      </c>
    </row>
    <row r="70" spans="1:16" ht="14.45" customHeight="1">
      <c r="A70" s="101">
        <v>44811</v>
      </c>
      <c r="B70" s="17" t="str">
        <f>Rollover!A70</f>
        <v>Nissan</v>
      </c>
      <c r="C70" s="17" t="str">
        <f>Rollover!B70</f>
        <v>Pathfinder SUV AWD</v>
      </c>
      <c r="D70" s="16">
        <f>Rollover!C70</f>
        <v>2022</v>
      </c>
      <c r="E70" s="102">
        <f>Front!AW70</f>
        <v>4</v>
      </c>
      <c r="F70" s="17">
        <f>Front!AX70</f>
        <v>4</v>
      </c>
      <c r="G70" s="17">
        <f>Front!AY70</f>
        <v>4</v>
      </c>
      <c r="H70" s="102">
        <f>'Side MDB'!AC70</f>
        <v>5</v>
      </c>
      <c r="I70" s="102">
        <f>'Side MDB'!AD70</f>
        <v>5</v>
      </c>
      <c r="J70" s="102">
        <f>'Side MDB'!AE70</f>
        <v>5</v>
      </c>
      <c r="K70" s="103">
        <f>'Side Pole'!P70</f>
        <v>5</v>
      </c>
      <c r="L70" s="103">
        <f>'Side Pole'!S70</f>
        <v>5</v>
      </c>
      <c r="M70" s="103">
        <f>'Side Pole'!V70</f>
        <v>5</v>
      </c>
      <c r="N70" s="104">
        <f>Rollover!J70</f>
        <v>4</v>
      </c>
      <c r="O70" s="105">
        <f>ROUND(5/12*Front!AV70+4/12*'Side Pole'!U70+3/12*Rollover!I70,2)</f>
        <v>0.62</v>
      </c>
      <c r="P70" s="106">
        <f t="shared" si="1"/>
        <v>5</v>
      </c>
    </row>
    <row r="71" spans="1:16" ht="14.45" customHeight="1">
      <c r="A71" s="101">
        <v>44811</v>
      </c>
      <c r="B71" s="16" t="str">
        <f>Rollover!A71</f>
        <v xml:space="preserve">Infiniti </v>
      </c>
      <c r="C71" s="16" t="str">
        <f>Rollover!B71</f>
        <v>QX60 SUV FWD</v>
      </c>
      <c r="D71" s="16">
        <f>Rollover!C71</f>
        <v>2022</v>
      </c>
      <c r="E71" s="102">
        <f>Front!AW71</f>
        <v>4</v>
      </c>
      <c r="F71" s="17">
        <f>Front!AX71</f>
        <v>4</v>
      </c>
      <c r="G71" s="17">
        <f>Front!AY71</f>
        <v>4</v>
      </c>
      <c r="H71" s="102">
        <f>'Side MDB'!AC71</f>
        <v>5</v>
      </c>
      <c r="I71" s="102">
        <f>'Side MDB'!AD71</f>
        <v>5</v>
      </c>
      <c r="J71" s="102">
        <f>'Side MDB'!AE71</f>
        <v>5</v>
      </c>
      <c r="K71" s="103">
        <f>'Side Pole'!P71</f>
        <v>5</v>
      </c>
      <c r="L71" s="103">
        <f>'Side Pole'!S71</f>
        <v>5</v>
      </c>
      <c r="M71" s="103">
        <f>'Side Pole'!V71</f>
        <v>5</v>
      </c>
      <c r="N71" s="104" t="e">
        <f>Rollover!J71</f>
        <v>#NUM!</v>
      </c>
      <c r="O71" s="105" t="e">
        <f>ROUND(5/12*Front!AV71+4/12*'Side Pole'!U71+3/12*Rollover!I71,2)</f>
        <v>#NUM!</v>
      </c>
      <c r="P71" s="106" t="e">
        <f t="shared" si="1"/>
        <v>#NUM!</v>
      </c>
    </row>
    <row r="72" spans="1:16" ht="14.45" customHeight="1">
      <c r="A72" s="101">
        <v>44811</v>
      </c>
      <c r="B72" s="16" t="str">
        <f>Rollover!A72</f>
        <v xml:space="preserve">Infiniti </v>
      </c>
      <c r="C72" s="16" t="str">
        <f>Rollover!B72</f>
        <v>QX60 SUV AWD</v>
      </c>
      <c r="D72" s="16">
        <f>Rollover!C72</f>
        <v>2022</v>
      </c>
      <c r="E72" s="102">
        <f>Front!AW72</f>
        <v>4</v>
      </c>
      <c r="F72" s="17">
        <f>Front!AX72</f>
        <v>4</v>
      </c>
      <c r="G72" s="17">
        <f>Front!AY72</f>
        <v>4</v>
      </c>
      <c r="H72" s="102">
        <f>'Side MDB'!AC72</f>
        <v>5</v>
      </c>
      <c r="I72" s="102">
        <f>'Side MDB'!AD72</f>
        <v>5</v>
      </c>
      <c r="J72" s="102">
        <f>'Side MDB'!AE72</f>
        <v>5</v>
      </c>
      <c r="K72" s="103">
        <f>'Side Pole'!P72</f>
        <v>5</v>
      </c>
      <c r="L72" s="103">
        <f>'Side Pole'!S72</f>
        <v>5</v>
      </c>
      <c r="M72" s="103">
        <f>'Side Pole'!V72</f>
        <v>5</v>
      </c>
      <c r="N72" s="104">
        <f>Rollover!J72</f>
        <v>4</v>
      </c>
      <c r="O72" s="105">
        <f>ROUND(5/12*Front!AV72+4/12*'Side Pole'!U72+3/12*Rollover!I72,2)</f>
        <v>0.62</v>
      </c>
      <c r="P72" s="106">
        <f t="shared" si="1"/>
        <v>5</v>
      </c>
    </row>
    <row r="73" spans="1:16" ht="14.45" customHeight="1">
      <c r="A73" s="101">
        <v>44715</v>
      </c>
      <c r="B73" s="17" t="str">
        <f>Rollover!A73</f>
        <v>Nissan</v>
      </c>
      <c r="C73" s="17" t="str">
        <f>Rollover!B73</f>
        <v>Rogue AWD (Later Release)</v>
      </c>
      <c r="D73" s="16">
        <f>Rollover!C73</f>
        <v>2022</v>
      </c>
      <c r="E73" s="102">
        <f>Front!AW73</f>
        <v>4</v>
      </c>
      <c r="F73" s="17">
        <f>Front!AX73</f>
        <v>4</v>
      </c>
      <c r="G73" s="17">
        <f>Front!AY73</f>
        <v>4</v>
      </c>
      <c r="H73" s="102">
        <f>'Side MDB'!AC73</f>
        <v>5</v>
      </c>
      <c r="I73" s="102">
        <f>'Side MDB'!AD73</f>
        <v>5</v>
      </c>
      <c r="J73" s="102">
        <f>'Side MDB'!AE73</f>
        <v>5</v>
      </c>
      <c r="K73" s="103">
        <f>'Side Pole'!P73</f>
        <v>5</v>
      </c>
      <c r="L73" s="103">
        <f>'Side Pole'!S73</f>
        <v>5</v>
      </c>
      <c r="M73" s="103">
        <f>'Side Pole'!V73</f>
        <v>5</v>
      </c>
      <c r="N73" s="104">
        <f>Rollover!J73</f>
        <v>4</v>
      </c>
      <c r="O73" s="105">
        <f>ROUND(5/12*Front!AV73+4/12*'Side Pole'!U73+3/12*Rollover!I73,2)</f>
        <v>0.66</v>
      </c>
      <c r="P73" s="106">
        <f t="shared" ref="P73:P74" si="3">IF(O73&lt;0.67,5,IF(O73&lt;1,4,IF(O73&lt;1.33,3,IF(O73&lt;2.67,2,1))))</f>
        <v>5</v>
      </c>
    </row>
    <row r="74" spans="1:16" ht="14.45" customHeight="1">
      <c r="A74" s="101">
        <v>44715</v>
      </c>
      <c r="B74" s="17" t="str">
        <f>Rollover!A74</f>
        <v>Nissan</v>
      </c>
      <c r="C74" s="17" t="str">
        <f>Rollover!B74</f>
        <v>Rogue FWD (Later Release)</v>
      </c>
      <c r="D74" s="16">
        <f>Rollover!C74</f>
        <v>2022</v>
      </c>
      <c r="E74" s="102">
        <f>Front!AW74</f>
        <v>4</v>
      </c>
      <c r="F74" s="17">
        <f>Front!AX74</f>
        <v>4</v>
      </c>
      <c r="G74" s="17">
        <f>Front!AY74</f>
        <v>4</v>
      </c>
      <c r="H74" s="102">
        <f>'Side MDB'!AC74</f>
        <v>5</v>
      </c>
      <c r="I74" s="102">
        <f>'Side MDB'!AD74</f>
        <v>5</v>
      </c>
      <c r="J74" s="102">
        <f>'Side MDB'!AE74</f>
        <v>5</v>
      </c>
      <c r="K74" s="103">
        <f>'Side Pole'!P74</f>
        <v>5</v>
      </c>
      <c r="L74" s="103">
        <f>'Side Pole'!S74</f>
        <v>5</v>
      </c>
      <c r="M74" s="103">
        <f>'Side Pole'!V74</f>
        <v>5</v>
      </c>
      <c r="N74" s="104">
        <f>Rollover!J74</f>
        <v>4</v>
      </c>
      <c r="O74" s="105">
        <f>ROUND(5/12*Front!AV74+4/12*'Side Pole'!U74+3/12*Rollover!I74,2)</f>
        <v>0.66</v>
      </c>
      <c r="P74" s="106">
        <f t="shared" si="3"/>
        <v>5</v>
      </c>
    </row>
    <row r="75" spans="1:16" ht="14.45" customHeight="1">
      <c r="A75" s="101">
        <v>44944</v>
      </c>
      <c r="B75" s="17" t="str">
        <f>Rollover!A75</f>
        <v>Nissan</v>
      </c>
      <c r="C75" s="17" t="str">
        <f>Rollover!B75</f>
        <v>Rogue Sport SUV FWD</v>
      </c>
      <c r="D75" s="16">
        <f>Rollover!C75</f>
        <v>2022</v>
      </c>
      <c r="E75" s="102">
        <f>Front!AW75</f>
        <v>4</v>
      </c>
      <c r="F75" s="17">
        <f>Front!AX75</f>
        <v>5</v>
      </c>
      <c r="G75" s="17">
        <f>Front!AY75</f>
        <v>4</v>
      </c>
      <c r="H75" s="102">
        <f>'Side MDB'!AC75</f>
        <v>5</v>
      </c>
      <c r="I75" s="102">
        <f>'Side MDB'!AD75</f>
        <v>5</v>
      </c>
      <c r="J75" s="102">
        <f>'Side MDB'!AE75</f>
        <v>5</v>
      </c>
      <c r="K75" s="103">
        <f>'Side Pole'!P75</f>
        <v>5</v>
      </c>
      <c r="L75" s="103">
        <f>'Side Pole'!S75</f>
        <v>5</v>
      </c>
      <c r="M75" s="103">
        <f>'Side Pole'!V75</f>
        <v>5</v>
      </c>
      <c r="N75" s="104">
        <f>Rollover!J75</f>
        <v>4</v>
      </c>
      <c r="O75" s="105">
        <f>ROUND(5/12*Front!AV75+4/12*'Side Pole'!U75+3/12*Rollover!I75,2)</f>
        <v>0.68</v>
      </c>
      <c r="P75" s="106">
        <f t="shared" si="1"/>
        <v>4</v>
      </c>
    </row>
    <row r="76" spans="1:16" ht="14.45" customHeight="1">
      <c r="A76" s="101">
        <v>44944</v>
      </c>
      <c r="B76" s="17" t="str">
        <f>Rollover!A76</f>
        <v>Nissan</v>
      </c>
      <c r="C76" s="17" t="str">
        <f>Rollover!B76</f>
        <v>Rogue Sport SUV AWD</v>
      </c>
      <c r="D76" s="16">
        <f>Rollover!C76</f>
        <v>2022</v>
      </c>
      <c r="E76" s="102">
        <f>Front!AW76</f>
        <v>4</v>
      </c>
      <c r="F76" s="17">
        <f>Front!AX76</f>
        <v>5</v>
      </c>
      <c r="G76" s="17">
        <f>Front!AY76</f>
        <v>4</v>
      </c>
      <c r="H76" s="102">
        <f>'Side MDB'!AC76</f>
        <v>5</v>
      </c>
      <c r="I76" s="102">
        <f>'Side MDB'!AD76</f>
        <v>5</v>
      </c>
      <c r="J76" s="102">
        <f>'Side MDB'!AE76</f>
        <v>5</v>
      </c>
      <c r="K76" s="103">
        <f>'Side Pole'!P76</f>
        <v>5</v>
      </c>
      <c r="L76" s="103">
        <f>'Side Pole'!S76</f>
        <v>5</v>
      </c>
      <c r="M76" s="103">
        <f>'Side Pole'!V76</f>
        <v>5</v>
      </c>
      <c r="N76" s="104">
        <f>Rollover!J76</f>
        <v>4</v>
      </c>
      <c r="O76" s="105">
        <f>ROUND(5/12*Front!AV76+4/12*'Side Pole'!U76+3/12*Rollover!I76,2)</f>
        <v>0.65</v>
      </c>
      <c r="P76" s="106">
        <f t="shared" si="1"/>
        <v>5</v>
      </c>
    </row>
    <row r="77" spans="1:16" ht="14.45" customHeight="1">
      <c r="A77" s="107">
        <v>44888</v>
      </c>
      <c r="B77" s="17" t="str">
        <f>Rollover!A77</f>
        <v>Polestar</v>
      </c>
      <c r="C77" s="17" t="str">
        <f>Rollover!B77</f>
        <v>Polestar 2 5HB FWD</v>
      </c>
      <c r="D77" s="16">
        <f>Rollover!C77</f>
        <v>2022</v>
      </c>
      <c r="E77" s="102">
        <f>Front!AW77</f>
        <v>5</v>
      </c>
      <c r="F77" s="17">
        <f>Front!AX77</f>
        <v>5</v>
      </c>
      <c r="G77" s="17">
        <f>Front!AY77</f>
        <v>5</v>
      </c>
      <c r="H77" s="102">
        <f>'Side MDB'!AC77</f>
        <v>5</v>
      </c>
      <c r="I77" s="102">
        <f>'Side MDB'!AD77</f>
        <v>5</v>
      </c>
      <c r="J77" s="102">
        <f>'Side MDB'!AE77</f>
        <v>5</v>
      </c>
      <c r="K77" s="103">
        <f>'Side Pole'!P77</f>
        <v>5</v>
      </c>
      <c r="L77" s="103">
        <f>'Side Pole'!S77</f>
        <v>5</v>
      </c>
      <c r="M77" s="103">
        <f>'Side Pole'!V77</f>
        <v>5</v>
      </c>
      <c r="N77" s="104">
        <f>Rollover!J77</f>
        <v>5</v>
      </c>
      <c r="O77" s="105">
        <f>ROUND(5/12*Front!AV77+4/12*'Side Pole'!U77+3/12*Rollover!I77,2)</f>
        <v>0.47</v>
      </c>
      <c r="P77" s="106">
        <f t="shared" si="1"/>
        <v>5</v>
      </c>
    </row>
    <row r="78" spans="1:16" ht="14.45" customHeight="1">
      <c r="A78" s="107">
        <v>44888</v>
      </c>
      <c r="B78" s="17" t="str">
        <f>Rollover!A78</f>
        <v>Polestar</v>
      </c>
      <c r="C78" s="17" t="str">
        <f>Rollover!B78</f>
        <v>Polestar 2 5HB AWD</v>
      </c>
      <c r="D78" s="16">
        <f>Rollover!C78</f>
        <v>2022</v>
      </c>
      <c r="E78" s="102">
        <f>Front!AW78</f>
        <v>5</v>
      </c>
      <c r="F78" s="17">
        <f>Front!AX78</f>
        <v>5</v>
      </c>
      <c r="G78" s="17">
        <f>Front!AY78</f>
        <v>5</v>
      </c>
      <c r="H78" s="102">
        <f>'Side MDB'!AC78</f>
        <v>5</v>
      </c>
      <c r="I78" s="102">
        <f>'Side MDB'!AD78</f>
        <v>5</v>
      </c>
      <c r="J78" s="102">
        <f>'Side MDB'!AE78</f>
        <v>5</v>
      </c>
      <c r="K78" s="103">
        <f>'Side Pole'!P78</f>
        <v>5</v>
      </c>
      <c r="L78" s="103">
        <f>'Side Pole'!S78</f>
        <v>5</v>
      </c>
      <c r="M78" s="103">
        <f>'Side Pole'!V78</f>
        <v>5</v>
      </c>
      <c r="N78" s="104">
        <f>Rollover!J78</f>
        <v>5</v>
      </c>
      <c r="O78" s="105">
        <f>ROUND(5/12*Front!AV78+4/12*'Side Pole'!U78+3/12*Rollover!I78,2)</f>
        <v>0.47</v>
      </c>
      <c r="P78" s="106">
        <f t="shared" si="1"/>
        <v>5</v>
      </c>
    </row>
    <row r="79" spans="1:16" ht="14.45" customHeight="1">
      <c r="A79" s="107">
        <v>45027</v>
      </c>
      <c r="B79" s="16" t="str">
        <f>Rollover!A79</f>
        <v>Subaru</v>
      </c>
      <c r="C79" s="16" t="str">
        <f>Rollover!B79</f>
        <v>WRX 4DR AWD</v>
      </c>
      <c r="D79" s="16">
        <f>Rollover!C79</f>
        <v>2022</v>
      </c>
      <c r="E79" s="102">
        <f>Front!AW79</f>
        <v>5</v>
      </c>
      <c r="F79" s="17">
        <f>Front!AX79</f>
        <v>5</v>
      </c>
      <c r="G79" s="17">
        <f>Front!AY79</f>
        <v>5</v>
      </c>
      <c r="H79" s="102">
        <f>'Side MDB'!AC79</f>
        <v>5</v>
      </c>
      <c r="I79" s="102">
        <f>'Side MDB'!AD79</f>
        <v>5</v>
      </c>
      <c r="J79" s="102">
        <f>'Side MDB'!AE79</f>
        <v>5</v>
      </c>
      <c r="K79" s="103">
        <f>'Side Pole'!P79</f>
        <v>5</v>
      </c>
      <c r="L79" s="103">
        <f>'Side Pole'!S79</f>
        <v>5</v>
      </c>
      <c r="M79" s="103">
        <f>'Side Pole'!V79</f>
        <v>5</v>
      </c>
      <c r="N79" s="104">
        <f>Rollover!J79</f>
        <v>5</v>
      </c>
      <c r="O79" s="105">
        <f>ROUND(5/12*Front!AV79+4/12*'Side Pole'!U79+3/12*Rollover!I79,2)</f>
        <v>0.53</v>
      </c>
      <c r="P79" s="106">
        <f>IF(O79&lt;0.67,5,IF(O79&lt;1,4,IF(O79&lt;1.33,3,IF(O79&lt;2.67,2,1))))</f>
        <v>5</v>
      </c>
    </row>
    <row r="80" spans="1:16" ht="14.45" customHeight="1">
      <c r="A80" s="107">
        <v>45020</v>
      </c>
      <c r="B80" s="17" t="str">
        <f>Rollover!A80</f>
        <v>Toyota</v>
      </c>
      <c r="C80" s="17" t="str">
        <f>Rollover!B80</f>
        <v>Corolla Cross SUV FWD</v>
      </c>
      <c r="D80" s="16">
        <f>Rollover!C80</f>
        <v>2022</v>
      </c>
      <c r="E80" s="102">
        <f>Front!AW80</f>
        <v>4</v>
      </c>
      <c r="F80" s="17">
        <f>Front!AX80</f>
        <v>4</v>
      </c>
      <c r="G80" s="17">
        <f>Front!AY80</f>
        <v>4</v>
      </c>
      <c r="H80" s="102">
        <f>'Side MDB'!AC80</f>
        <v>5</v>
      </c>
      <c r="I80" s="102">
        <f>'Side MDB'!AD80</f>
        <v>5</v>
      </c>
      <c r="J80" s="102">
        <f>'Side MDB'!AE80</f>
        <v>5</v>
      </c>
      <c r="K80" s="103">
        <f>'Side Pole'!P80</f>
        <v>5</v>
      </c>
      <c r="L80" s="103">
        <f>'Side Pole'!S80</f>
        <v>5</v>
      </c>
      <c r="M80" s="103">
        <f>'Side Pole'!V80</f>
        <v>5</v>
      </c>
      <c r="N80" s="104" t="e">
        <f>Rollover!J80</f>
        <v>#NUM!</v>
      </c>
      <c r="O80" s="105" t="e">
        <f>ROUND(5/12*Front!AV80+4/12*'Side Pole'!U80+3/12*Rollover!I80,2)</f>
        <v>#NUM!</v>
      </c>
      <c r="P80" s="106" t="e">
        <f t="shared" si="1"/>
        <v>#NUM!</v>
      </c>
    </row>
    <row r="81" spans="1:16" ht="14.45" customHeight="1">
      <c r="A81" s="107">
        <v>45020</v>
      </c>
      <c r="B81" s="17" t="str">
        <f>Rollover!A81</f>
        <v>Toyota</v>
      </c>
      <c r="C81" s="17" t="str">
        <f>Rollover!B81</f>
        <v>Corolla Cross SUV AWD</v>
      </c>
      <c r="D81" s="16">
        <f>Rollover!C81</f>
        <v>2022</v>
      </c>
      <c r="E81" s="102">
        <f>Front!AW81</f>
        <v>4</v>
      </c>
      <c r="F81" s="17">
        <f>Front!AX81</f>
        <v>4</v>
      </c>
      <c r="G81" s="17">
        <f>Front!AY81</f>
        <v>4</v>
      </c>
      <c r="H81" s="102">
        <f>'Side MDB'!AC81</f>
        <v>5</v>
      </c>
      <c r="I81" s="102">
        <f>'Side MDB'!AD81</f>
        <v>5</v>
      </c>
      <c r="J81" s="102">
        <f>'Side MDB'!AE81</f>
        <v>5</v>
      </c>
      <c r="K81" s="103">
        <f>'Side Pole'!P81</f>
        <v>5</v>
      </c>
      <c r="L81" s="103">
        <f>'Side Pole'!S81</f>
        <v>5</v>
      </c>
      <c r="M81" s="103">
        <f>'Side Pole'!V81</f>
        <v>5</v>
      </c>
      <c r="N81" s="104" t="e">
        <f>Rollover!J81</f>
        <v>#NUM!</v>
      </c>
      <c r="O81" s="105" t="e">
        <f>ROUND(5/12*Front!AV81+4/12*'Side Pole'!U81+3/12*Rollover!I81,2)</f>
        <v>#NUM!</v>
      </c>
      <c r="P81" s="106" t="e">
        <f t="shared" si="1"/>
        <v>#NUM!</v>
      </c>
    </row>
    <row r="82" spans="1:16" ht="14.45" customHeight="1">
      <c r="A82" s="101">
        <v>44887</v>
      </c>
      <c r="B82" s="17" t="str">
        <f>Rollover!A82</f>
        <v>Toyota</v>
      </c>
      <c r="C82" s="17" t="str">
        <f>Rollover!B82</f>
        <v>RAV4 Prime SUV AWD</v>
      </c>
      <c r="D82" s="16">
        <f>Rollover!C82</f>
        <v>2022</v>
      </c>
      <c r="E82" s="102" t="e">
        <f>Front!AW82</f>
        <v>#NUM!</v>
      </c>
      <c r="F82" s="17" t="e">
        <f>Front!AX82</f>
        <v>#NUM!</v>
      </c>
      <c r="G82" s="17" t="e">
        <f>Front!AY82</f>
        <v>#NUM!</v>
      </c>
      <c r="H82" s="102" t="e">
        <f>'Side MDB'!AC82</f>
        <v>#NUM!</v>
      </c>
      <c r="I82" s="102" t="e">
        <f>'Side MDB'!AD82</f>
        <v>#NUM!</v>
      </c>
      <c r="J82" s="102" t="e">
        <f>'Side MDB'!AE82</f>
        <v>#NUM!</v>
      </c>
      <c r="K82" s="103" t="e">
        <f>'Side Pole'!P82</f>
        <v>#NUM!</v>
      </c>
      <c r="L82" s="103" t="e">
        <f>'Side Pole'!S82</f>
        <v>#NUM!</v>
      </c>
      <c r="M82" s="103" t="e">
        <f>'Side Pole'!V82</f>
        <v>#NUM!</v>
      </c>
      <c r="N82" s="104">
        <f>Rollover!J82</f>
        <v>4</v>
      </c>
      <c r="O82" s="105" t="e">
        <f>ROUND(5/12*Front!AV82+4/12*'Side Pole'!U82+3/12*Rollover!I82,2)</f>
        <v>#NUM!</v>
      </c>
      <c r="P82" s="106" t="e">
        <f t="shared" ref="P82:P88" si="4">IF(O82&lt;0.67,5,IF(O82&lt;1,4,IF(O82&lt;1.33,3,IF(O82&lt;2.67,2,1))))</f>
        <v>#NUM!</v>
      </c>
    </row>
    <row r="83" spans="1:16" ht="14.45" customHeight="1">
      <c r="A83" s="101">
        <v>45009</v>
      </c>
      <c r="B83" s="17" t="str">
        <f>Rollover!A83</f>
        <v>Toyota</v>
      </c>
      <c r="C83" s="17" t="str">
        <f>Rollover!B83</f>
        <v>Tundra PU/CC 2WD</v>
      </c>
      <c r="D83" s="16">
        <f>Rollover!C83</f>
        <v>2022</v>
      </c>
      <c r="E83" s="102">
        <f>Front!AW83</f>
        <v>5</v>
      </c>
      <c r="F83" s="17">
        <f>Front!AX83</f>
        <v>5</v>
      </c>
      <c r="G83" s="17">
        <f>Front!AY83</f>
        <v>5</v>
      </c>
      <c r="H83" s="102">
        <f>'Side MDB'!AC83</f>
        <v>5</v>
      </c>
      <c r="I83" s="102">
        <f>'Side MDB'!AD83</f>
        <v>5</v>
      </c>
      <c r="J83" s="102">
        <f>'Side MDB'!AE83</f>
        <v>5</v>
      </c>
      <c r="K83" s="103">
        <f>'Side Pole'!P83</f>
        <v>5</v>
      </c>
      <c r="L83" s="103">
        <f>'Side Pole'!S83</f>
        <v>5</v>
      </c>
      <c r="M83" s="103">
        <f>'Side Pole'!V83</f>
        <v>5</v>
      </c>
      <c r="N83" s="104" t="e">
        <f>Rollover!J83</f>
        <v>#NUM!</v>
      </c>
      <c r="O83" s="105" t="e">
        <f>ROUND(5/12*Front!AV83+4/12*'Side Pole'!U83+3/12*Rollover!I83,2)</f>
        <v>#NUM!</v>
      </c>
      <c r="P83" s="106" t="e">
        <f t="shared" si="4"/>
        <v>#NUM!</v>
      </c>
    </row>
    <row r="84" spans="1:16" ht="14.45" customHeight="1">
      <c r="A84" s="101">
        <v>45009</v>
      </c>
      <c r="B84" s="17" t="str">
        <f>Rollover!A84</f>
        <v>Toyota</v>
      </c>
      <c r="C84" s="17" t="str">
        <f>Rollover!B84</f>
        <v>Tundra PU/CC 4WD</v>
      </c>
      <c r="D84" s="16">
        <f>Rollover!C84</f>
        <v>2022</v>
      </c>
      <c r="E84" s="102">
        <f>Front!AW84</f>
        <v>5</v>
      </c>
      <c r="F84" s="17">
        <f>Front!AX84</f>
        <v>5</v>
      </c>
      <c r="G84" s="17">
        <f>Front!AY84</f>
        <v>5</v>
      </c>
      <c r="H84" s="102">
        <f>'Side MDB'!AC84</f>
        <v>5</v>
      </c>
      <c r="I84" s="102">
        <f>'Side MDB'!AD84</f>
        <v>5</v>
      </c>
      <c r="J84" s="102">
        <f>'Side MDB'!AE84</f>
        <v>5</v>
      </c>
      <c r="K84" s="103">
        <f>'Side Pole'!P84</f>
        <v>5</v>
      </c>
      <c r="L84" s="103">
        <f>'Side Pole'!S84</f>
        <v>5</v>
      </c>
      <c r="M84" s="103">
        <f>'Side Pole'!V84</f>
        <v>5</v>
      </c>
      <c r="N84" s="104">
        <f>Rollover!J84</f>
        <v>4</v>
      </c>
      <c r="O84" s="105">
        <f>ROUND(5/12*Front!AV84+4/12*'Side Pole'!U84+3/12*Rollover!I84,2)</f>
        <v>0.62</v>
      </c>
      <c r="P84" s="106">
        <f t="shared" si="4"/>
        <v>5</v>
      </c>
    </row>
    <row r="85" spans="1:16" ht="14.45" customHeight="1">
      <c r="A85" s="101">
        <v>45009</v>
      </c>
      <c r="B85" s="16" t="str">
        <f>Rollover!A85</f>
        <v>Toyota</v>
      </c>
      <c r="C85" s="16" t="str">
        <f>Rollover!B85</f>
        <v>Tundra HEV PU/CC 2WD</v>
      </c>
      <c r="D85" s="16">
        <f>Rollover!C85</f>
        <v>2022</v>
      </c>
      <c r="E85" s="102">
        <f>Front!AW85</f>
        <v>5</v>
      </c>
      <c r="F85" s="17">
        <f>Front!AX85</f>
        <v>5</v>
      </c>
      <c r="G85" s="17">
        <f>Front!AY85</f>
        <v>5</v>
      </c>
      <c r="H85" s="102">
        <f>'Side MDB'!AC85</f>
        <v>5</v>
      </c>
      <c r="I85" s="102">
        <f>'Side MDB'!AD85</f>
        <v>5</v>
      </c>
      <c r="J85" s="102">
        <f>'Side MDB'!AE85</f>
        <v>5</v>
      </c>
      <c r="K85" s="103">
        <f>'Side Pole'!P85</f>
        <v>5</v>
      </c>
      <c r="L85" s="103">
        <f>'Side Pole'!S85</f>
        <v>5</v>
      </c>
      <c r="M85" s="103">
        <f>'Side Pole'!V85</f>
        <v>5</v>
      </c>
      <c r="N85" s="104" t="e">
        <f>Rollover!J85</f>
        <v>#NUM!</v>
      </c>
      <c r="O85" s="105" t="e">
        <f>ROUND(5/12*Front!AV85+4/12*'Side Pole'!U85+3/12*Rollover!I85,2)</f>
        <v>#NUM!</v>
      </c>
      <c r="P85" s="106" t="e">
        <f t="shared" ref="P85:P86" si="5">IF(O85&lt;0.67,5,IF(O85&lt;1,4,IF(O85&lt;1.33,3,IF(O85&lt;2.67,2,1))))</f>
        <v>#NUM!</v>
      </c>
    </row>
    <row r="86" spans="1:16" ht="14.45" customHeight="1">
      <c r="A86" s="101">
        <v>45009</v>
      </c>
      <c r="B86" s="16" t="str">
        <f>Rollover!A86</f>
        <v>Toyota</v>
      </c>
      <c r="C86" s="16" t="str">
        <f>Rollover!B86</f>
        <v>Tundra HEV PU/CC 4WD</v>
      </c>
      <c r="D86" s="16">
        <f>Rollover!C86</f>
        <v>2022</v>
      </c>
      <c r="E86" s="102">
        <f>Front!AW86</f>
        <v>5</v>
      </c>
      <c r="F86" s="17">
        <f>Front!AX86</f>
        <v>5</v>
      </c>
      <c r="G86" s="17">
        <f>Front!AY86</f>
        <v>5</v>
      </c>
      <c r="H86" s="102">
        <f>'Side MDB'!AC86</f>
        <v>5</v>
      </c>
      <c r="I86" s="102">
        <f>'Side MDB'!AD86</f>
        <v>5</v>
      </c>
      <c r="J86" s="102">
        <f>'Side MDB'!AE86</f>
        <v>5</v>
      </c>
      <c r="K86" s="103">
        <f>'Side Pole'!P86</f>
        <v>5</v>
      </c>
      <c r="L86" s="103">
        <f>'Side Pole'!S86</f>
        <v>5</v>
      </c>
      <c r="M86" s="103">
        <f>'Side Pole'!V86</f>
        <v>5</v>
      </c>
      <c r="N86" s="104">
        <f>Rollover!J86</f>
        <v>4</v>
      </c>
      <c r="O86" s="105">
        <f>ROUND(5/12*Front!AV86+4/12*'Side Pole'!U86+3/12*Rollover!I86,2)</f>
        <v>0.62</v>
      </c>
      <c r="P86" s="106">
        <f t="shared" si="5"/>
        <v>5</v>
      </c>
    </row>
    <row r="87" spans="1:16" ht="14.45" customHeight="1">
      <c r="A87" s="101">
        <v>45009</v>
      </c>
      <c r="B87" s="16" t="str">
        <f>Rollover!A87</f>
        <v>Toyota</v>
      </c>
      <c r="C87" s="16" t="str">
        <f>Rollover!B87</f>
        <v>Tundra PU/EC 2WD</v>
      </c>
      <c r="D87" s="16">
        <f>Rollover!C87</f>
        <v>2022</v>
      </c>
      <c r="E87" s="102" t="e">
        <f>Front!AW87</f>
        <v>#NUM!</v>
      </c>
      <c r="F87" s="17" t="e">
        <f>Front!AX87</f>
        <v>#NUM!</v>
      </c>
      <c r="G87" s="17" t="e">
        <f>Front!AY87</f>
        <v>#NUM!</v>
      </c>
      <c r="H87" s="102" t="e">
        <f>'Side MDB'!AC87</f>
        <v>#NUM!</v>
      </c>
      <c r="I87" s="102" t="e">
        <f>'Side MDB'!AD87</f>
        <v>#NUM!</v>
      </c>
      <c r="J87" s="102" t="e">
        <f>'Side MDB'!AE87</f>
        <v>#NUM!</v>
      </c>
      <c r="K87" s="103" t="e">
        <f>'Side Pole'!P87</f>
        <v>#NUM!</v>
      </c>
      <c r="L87" s="103" t="e">
        <f>'Side Pole'!S87</f>
        <v>#NUM!</v>
      </c>
      <c r="M87" s="103" t="e">
        <f>'Side Pole'!V87</f>
        <v>#NUM!</v>
      </c>
      <c r="N87" s="104" t="e">
        <f>Rollover!J87</f>
        <v>#NUM!</v>
      </c>
      <c r="O87" s="105" t="e">
        <f>ROUND(5/12*Front!AV87+4/12*'Side Pole'!U87+3/12*Rollover!I87,2)</f>
        <v>#NUM!</v>
      </c>
      <c r="P87" s="106" t="e">
        <f t="shared" si="4"/>
        <v>#NUM!</v>
      </c>
    </row>
    <row r="88" spans="1:16" ht="14.45" customHeight="1">
      <c r="A88" s="101">
        <v>45009</v>
      </c>
      <c r="B88" s="16" t="str">
        <f>Rollover!A88</f>
        <v>Toyota</v>
      </c>
      <c r="C88" s="16" t="str">
        <f>Rollover!B88</f>
        <v>Tundra PU/EC 4WD</v>
      </c>
      <c r="D88" s="16">
        <f>Rollover!C88</f>
        <v>2022</v>
      </c>
      <c r="E88" s="102" t="e">
        <f>Front!AW88</f>
        <v>#NUM!</v>
      </c>
      <c r="F88" s="17" t="e">
        <f>Front!AX88</f>
        <v>#NUM!</v>
      </c>
      <c r="G88" s="17" t="e">
        <f>Front!AY88</f>
        <v>#NUM!</v>
      </c>
      <c r="H88" s="102" t="e">
        <f>'Side MDB'!AC88</f>
        <v>#NUM!</v>
      </c>
      <c r="I88" s="102" t="e">
        <f>'Side MDB'!AD88</f>
        <v>#NUM!</v>
      </c>
      <c r="J88" s="102" t="e">
        <f>'Side MDB'!AE88</f>
        <v>#NUM!</v>
      </c>
      <c r="K88" s="103" t="e">
        <f>'Side Pole'!P88</f>
        <v>#NUM!</v>
      </c>
      <c r="L88" s="103" t="e">
        <f>'Side Pole'!S88</f>
        <v>#NUM!</v>
      </c>
      <c r="M88" s="103" t="e">
        <f>'Side Pole'!V88</f>
        <v>#NUM!</v>
      </c>
      <c r="N88" s="104">
        <f>Rollover!J88</f>
        <v>4</v>
      </c>
      <c r="O88" s="105" t="e">
        <f>ROUND(5/12*Front!AV88+4/12*'Side Pole'!U88+3/12*Rollover!I88,2)</f>
        <v>#NUM!</v>
      </c>
      <c r="P88" s="106" t="e">
        <f t="shared" si="4"/>
        <v>#NUM!</v>
      </c>
    </row>
    <row r="89" spans="1:16" ht="14.45" customHeight="1">
      <c r="A89" s="101">
        <v>44742</v>
      </c>
      <c r="B89" s="17" t="str">
        <f>Rollover!A89</f>
        <v>Volkswagen</v>
      </c>
      <c r="C89" s="17" t="str">
        <f>Rollover!B89</f>
        <v>Jetta 4DR FWD</v>
      </c>
      <c r="D89" s="16">
        <f>Rollover!C89</f>
        <v>2022</v>
      </c>
      <c r="E89" s="102">
        <f>Front!AW89</f>
        <v>4</v>
      </c>
      <c r="F89" s="17">
        <f>Front!AX89</f>
        <v>4</v>
      </c>
      <c r="G89" s="17">
        <f>Front!AY89</f>
        <v>4</v>
      </c>
      <c r="H89" s="102">
        <f>'Side MDB'!AC89</f>
        <v>5</v>
      </c>
      <c r="I89" s="102">
        <f>'Side MDB'!AD89</f>
        <v>5</v>
      </c>
      <c r="J89" s="102">
        <f>'Side MDB'!AE89</f>
        <v>5</v>
      </c>
      <c r="K89" s="103">
        <f>'Side Pole'!P89</f>
        <v>5</v>
      </c>
      <c r="L89" s="103">
        <f>'Side Pole'!S89</f>
        <v>5</v>
      </c>
      <c r="M89" s="103">
        <f>'Side Pole'!V89</f>
        <v>5</v>
      </c>
      <c r="N89" s="104">
        <f>Rollover!J89</f>
        <v>4</v>
      </c>
      <c r="O89" s="105">
        <f>ROUND(5/12*Front!AV89+4/12*'Side Pole'!U89+3/12*Rollover!I89,2)</f>
        <v>0.64</v>
      </c>
      <c r="P89" s="106">
        <f t="shared" ref="P89:P92" si="6">IF(O89&lt;0.67,5,IF(O89&lt;1,4,IF(O89&lt;1.33,3,IF(O89&lt;2.67,2,1))))</f>
        <v>5</v>
      </c>
    </row>
    <row r="90" spans="1:16" ht="14.45" customHeight="1">
      <c r="A90" s="101">
        <v>44742</v>
      </c>
      <c r="B90" s="16" t="str">
        <f>Rollover!A90</f>
        <v>Volkswagen</v>
      </c>
      <c r="C90" s="16" t="str">
        <f>Rollover!B90</f>
        <v>Jetta GLI 4DR FWD</v>
      </c>
      <c r="D90" s="16">
        <f>Rollover!C90</f>
        <v>2022</v>
      </c>
      <c r="E90" s="102">
        <f>Front!AW90</f>
        <v>4</v>
      </c>
      <c r="F90" s="17">
        <f>Front!AX90</f>
        <v>4</v>
      </c>
      <c r="G90" s="17">
        <f>Front!AY90</f>
        <v>4</v>
      </c>
      <c r="H90" s="102">
        <f>'Side MDB'!AC90</f>
        <v>5</v>
      </c>
      <c r="I90" s="102">
        <f>'Side MDB'!AD90</f>
        <v>5</v>
      </c>
      <c r="J90" s="102">
        <f>'Side MDB'!AE90</f>
        <v>5</v>
      </c>
      <c r="K90" s="103">
        <f>'Side Pole'!P90</f>
        <v>5</v>
      </c>
      <c r="L90" s="103">
        <f>'Side Pole'!S90</f>
        <v>5</v>
      </c>
      <c r="M90" s="103">
        <f>'Side Pole'!V90</f>
        <v>5</v>
      </c>
      <c r="N90" s="104">
        <f>Rollover!J90</f>
        <v>4</v>
      </c>
      <c r="O90" s="105">
        <f>ROUND(5/12*Front!AV90+4/12*'Side Pole'!U90+3/12*Rollover!I90,2)</f>
        <v>0.64</v>
      </c>
      <c r="P90" s="106">
        <f t="shared" si="6"/>
        <v>5</v>
      </c>
    </row>
    <row r="91" spans="1:16" ht="14.45" customHeight="1">
      <c r="A91" s="101">
        <v>44783</v>
      </c>
      <c r="B91" s="17" t="str">
        <f>Rollover!A91</f>
        <v>Volkswagen</v>
      </c>
      <c r="C91" s="17" t="str">
        <f>Rollover!B91</f>
        <v>Taos SUV FWD</v>
      </c>
      <c r="D91" s="16">
        <f>Rollover!C91</f>
        <v>2022</v>
      </c>
      <c r="E91" s="102">
        <f>Front!AW91</f>
        <v>4</v>
      </c>
      <c r="F91" s="17">
        <f>Front!AX91</f>
        <v>4</v>
      </c>
      <c r="G91" s="17">
        <f>Front!AY91</f>
        <v>4</v>
      </c>
      <c r="H91" s="102">
        <f>'Side MDB'!AC91</f>
        <v>5</v>
      </c>
      <c r="I91" s="102">
        <f>'Side MDB'!AD91</f>
        <v>5</v>
      </c>
      <c r="J91" s="102">
        <f>'Side MDB'!AE91</f>
        <v>5</v>
      </c>
      <c r="K91" s="103">
        <f>'Side Pole'!P91</f>
        <v>5</v>
      </c>
      <c r="L91" s="103">
        <f>'Side Pole'!S91</f>
        <v>5</v>
      </c>
      <c r="M91" s="103">
        <f>'Side Pole'!V91</f>
        <v>5</v>
      </c>
      <c r="N91" s="104">
        <f>Rollover!J91</f>
        <v>4</v>
      </c>
      <c r="O91" s="105">
        <f>ROUND(5/12*Front!AV91+4/12*'Side Pole'!U91+3/12*Rollover!I91,2)</f>
        <v>0.76</v>
      </c>
      <c r="P91" s="106">
        <f t="shared" si="6"/>
        <v>4</v>
      </c>
    </row>
    <row r="92" spans="1:16" ht="14.45" customHeight="1">
      <c r="A92" s="101">
        <v>44783</v>
      </c>
      <c r="B92" s="17" t="str">
        <f>Rollover!A92</f>
        <v>Volkswagen</v>
      </c>
      <c r="C92" s="17" t="str">
        <f>Rollover!B92</f>
        <v>Taos SUV AWD</v>
      </c>
      <c r="D92" s="16">
        <f>Rollover!C92</f>
        <v>2022</v>
      </c>
      <c r="E92" s="102">
        <f>Front!AW92</f>
        <v>4</v>
      </c>
      <c r="F92" s="17">
        <f>Front!AX92</f>
        <v>4</v>
      </c>
      <c r="G92" s="17">
        <f>Front!AY92</f>
        <v>4</v>
      </c>
      <c r="H92" s="102">
        <f>'Side MDB'!AC92</f>
        <v>5</v>
      </c>
      <c r="I92" s="102">
        <f>'Side MDB'!AD92</f>
        <v>5</v>
      </c>
      <c r="J92" s="102">
        <f>'Side MDB'!AE92</f>
        <v>5</v>
      </c>
      <c r="K92" s="103">
        <f>'Side Pole'!P92</f>
        <v>5</v>
      </c>
      <c r="L92" s="103">
        <f>'Side Pole'!S92</f>
        <v>5</v>
      </c>
      <c r="M92" s="103">
        <f>'Side Pole'!V92</f>
        <v>5</v>
      </c>
      <c r="N92" s="104">
        <f>Rollover!J92</f>
        <v>4</v>
      </c>
      <c r="O92" s="105">
        <f>ROUND(5/12*Front!AV92+4/12*'Side Pole'!U92+3/12*Rollover!I92,2)</f>
        <v>0.71</v>
      </c>
      <c r="P92" s="106">
        <f t="shared" si="6"/>
        <v>4</v>
      </c>
    </row>
    <row r="93" spans="1:16" ht="14.45" customHeight="1">
      <c r="B93" s="114"/>
      <c r="K93" s="112"/>
      <c r="L93" s="112"/>
      <c r="M93" s="112"/>
    </row>
    <row r="94" spans="1:16" ht="14.45" customHeight="1">
      <c r="B94" s="114"/>
    </row>
    <row r="95" spans="1:16" ht="14.45" customHeight="1">
      <c r="B95" s="114"/>
    </row>
    <row r="96" spans="1:16" ht="14.45" customHeight="1">
      <c r="B96" s="114"/>
    </row>
    <row r="97" spans="2:10" ht="14.45" customHeight="1">
      <c r="B97" s="114"/>
      <c r="C97" s="114"/>
      <c r="D97" s="114"/>
    </row>
    <row r="98" spans="2:10" ht="14.45" customHeight="1">
      <c r="B98" s="114"/>
      <c r="C98" s="114"/>
      <c r="D98" s="114"/>
    </row>
    <row r="99" spans="2:10" ht="14.45" customHeight="1">
      <c r="B99" s="114"/>
      <c r="C99" s="114"/>
      <c r="D99" s="114"/>
    </row>
    <row r="100" spans="2:10" ht="14.45" customHeight="1">
      <c r="B100" s="114"/>
      <c r="C100" s="114"/>
      <c r="D100" s="114"/>
    </row>
    <row r="101" spans="2:10" ht="14.45" customHeight="1">
      <c r="B101" s="114"/>
      <c r="C101" s="114"/>
      <c r="D101" s="114"/>
    </row>
    <row r="102" spans="2:10" ht="14.45" customHeight="1">
      <c r="B102" s="114"/>
      <c r="C102" s="114"/>
      <c r="D102" s="114"/>
    </row>
    <row r="103" spans="2:10" ht="14.45" customHeight="1">
      <c r="B103" s="114"/>
      <c r="C103" s="114"/>
      <c r="D103" s="114"/>
      <c r="H103" s="67"/>
      <c r="I103" s="67"/>
      <c r="J103" s="67"/>
    </row>
    <row r="104" spans="2:10" ht="14.45" customHeight="1">
      <c r="H104" s="67"/>
      <c r="I104" s="67"/>
      <c r="J104" s="67"/>
    </row>
    <row r="105" spans="2:10" ht="14.45" customHeight="1">
      <c r="H105" s="67"/>
      <c r="I105" s="67"/>
      <c r="J105" s="67"/>
    </row>
    <row r="106" spans="2:10" ht="14.45" customHeight="1">
      <c r="B106" s="115"/>
      <c r="C106" s="115"/>
      <c r="D106" s="115"/>
      <c r="E106" s="111"/>
      <c r="F106" s="114"/>
      <c r="H106" s="67"/>
      <c r="I106" s="67"/>
      <c r="J106" s="67"/>
    </row>
    <row r="107" spans="2:10" ht="14.45" customHeight="1">
      <c r="B107" s="115"/>
      <c r="C107" s="115"/>
      <c r="D107" s="115"/>
      <c r="E107" s="111"/>
      <c r="F107" s="114"/>
      <c r="H107" s="67"/>
      <c r="I107" s="67"/>
      <c r="J107" s="67"/>
    </row>
    <row r="108" spans="2:10" ht="14.45" customHeight="1">
      <c r="B108" s="115"/>
      <c r="C108" s="115"/>
      <c r="D108" s="115"/>
      <c r="E108" s="111"/>
      <c r="F108" s="114"/>
      <c r="H108" s="67"/>
      <c r="I108" s="67"/>
      <c r="J108" s="67"/>
    </row>
    <row r="109" spans="2:10" ht="14.45" customHeight="1">
      <c r="B109" s="115"/>
      <c r="C109" s="115"/>
      <c r="D109" s="115"/>
      <c r="E109" s="111"/>
      <c r="F109" s="114"/>
      <c r="H109" s="67"/>
      <c r="I109" s="67"/>
      <c r="J109" s="67"/>
    </row>
    <row r="110" spans="2:10" ht="14.45" customHeight="1">
      <c r="B110" s="115"/>
      <c r="C110" s="115"/>
      <c r="D110" s="115"/>
      <c r="E110" s="111"/>
      <c r="F110" s="114"/>
      <c r="H110" s="67"/>
      <c r="I110" s="67"/>
      <c r="J110" s="67"/>
    </row>
    <row r="111" spans="2:10" ht="14.45" customHeight="1">
      <c r="B111" s="115"/>
      <c r="C111" s="115"/>
      <c r="D111" s="115"/>
      <c r="E111" s="111"/>
      <c r="F111" s="114"/>
      <c r="H111" s="67"/>
      <c r="I111" s="67"/>
      <c r="J111" s="67"/>
    </row>
    <row r="112" spans="2:10" ht="14.45" customHeight="1">
      <c r="B112" s="115"/>
      <c r="C112" s="115"/>
      <c r="D112" s="115"/>
      <c r="E112" s="111"/>
      <c r="F112" s="114"/>
    </row>
    <row r="113" spans="2:10" ht="14.45" customHeight="1">
      <c r="B113" s="115"/>
      <c r="C113" s="115"/>
      <c r="D113" s="115"/>
      <c r="E113" s="111"/>
      <c r="F113" s="114"/>
    </row>
    <row r="114" spans="2:10" ht="14.45" customHeight="1">
      <c r="B114" s="115"/>
      <c r="C114" s="115"/>
      <c r="D114" s="115"/>
      <c r="E114" s="111"/>
      <c r="F114" s="114"/>
    </row>
    <row r="115" spans="2:10" ht="14.45" customHeight="1">
      <c r="B115" s="115"/>
      <c r="C115" s="115"/>
      <c r="D115" s="115"/>
      <c r="E115" s="111"/>
      <c r="F115" s="114"/>
    </row>
    <row r="116" spans="2:10" ht="14.45" customHeight="1">
      <c r="E116" s="111"/>
      <c r="F116" s="114"/>
    </row>
    <row r="117" spans="2:10" ht="14.45" customHeight="1">
      <c r="E117" s="111"/>
      <c r="F117" s="114"/>
    </row>
    <row r="118" spans="2:10" ht="14.45" customHeight="1">
      <c r="B118" s="115"/>
      <c r="C118" s="115"/>
      <c r="D118" s="115"/>
      <c r="E118" s="111"/>
      <c r="F118" s="114"/>
    </row>
    <row r="119" spans="2:10" ht="14.45" customHeight="1">
      <c r="B119" s="115"/>
      <c r="C119" s="115"/>
      <c r="D119" s="115"/>
      <c r="E119" s="111"/>
      <c r="F119" s="114"/>
    </row>
    <row r="120" spans="2:10" ht="14.45" customHeight="1">
      <c r="B120" s="115"/>
      <c r="C120" s="115"/>
      <c r="D120" s="115"/>
      <c r="E120" s="111"/>
      <c r="F120" s="114"/>
    </row>
    <row r="121" spans="2:10" ht="14.45" customHeight="1">
      <c r="B121" s="115"/>
      <c r="C121" s="115"/>
      <c r="D121" s="115"/>
      <c r="E121" s="111"/>
      <c r="F121" s="114"/>
      <c r="H121" s="116"/>
      <c r="I121" s="116"/>
      <c r="J121" s="116"/>
    </row>
    <row r="122" spans="2:10" ht="14.45" customHeight="1">
      <c r="B122" s="115"/>
      <c r="C122" s="115"/>
      <c r="D122" s="115"/>
      <c r="F122" s="67"/>
      <c r="G122" s="67"/>
      <c r="H122" s="116"/>
      <c r="I122" s="116"/>
      <c r="J122" s="116"/>
    </row>
    <row r="123" spans="2:10" ht="14.45" customHeight="1">
      <c r="B123" s="115"/>
      <c r="C123" s="115"/>
      <c r="D123" s="115"/>
      <c r="F123" s="67"/>
      <c r="G123" s="67"/>
      <c r="H123" s="116"/>
      <c r="I123" s="116"/>
      <c r="J123" s="116"/>
    </row>
    <row r="124" spans="2:10" ht="14.45" customHeight="1">
      <c r="B124" s="117"/>
      <c r="C124" s="117"/>
      <c r="D124" s="117"/>
      <c r="E124" s="118"/>
      <c r="F124" s="67"/>
      <c r="G124" s="67"/>
      <c r="H124" s="116"/>
      <c r="I124" s="116"/>
      <c r="J124" s="116"/>
    </row>
    <row r="125" spans="2:10" ht="14.45" customHeight="1">
      <c r="B125" s="114"/>
      <c r="C125" s="114"/>
      <c r="D125" s="114"/>
      <c r="F125" s="67"/>
      <c r="G125" s="67"/>
      <c r="H125" s="116"/>
      <c r="I125" s="116"/>
      <c r="J125" s="116"/>
    </row>
    <row r="126" spans="2:10" ht="14.45" customHeight="1">
      <c r="B126" s="115"/>
      <c r="C126" s="115"/>
      <c r="D126" s="115"/>
      <c r="F126" s="67"/>
      <c r="G126" s="67"/>
      <c r="H126" s="116"/>
      <c r="I126" s="116"/>
      <c r="J126" s="116"/>
    </row>
    <row r="127" spans="2:10" ht="14.45" customHeight="1">
      <c r="B127" s="115"/>
      <c r="C127" s="115"/>
      <c r="D127" s="115"/>
      <c r="F127" s="67"/>
      <c r="G127" s="67"/>
      <c r="H127" s="116"/>
      <c r="I127" s="116"/>
      <c r="J127" s="116"/>
    </row>
    <row r="128" spans="2:10" ht="14.45" customHeight="1">
      <c r="B128" s="115"/>
      <c r="C128" s="115"/>
      <c r="D128" s="115"/>
      <c r="F128" s="67"/>
      <c r="G128" s="67"/>
      <c r="H128" s="116"/>
      <c r="I128" s="116"/>
      <c r="J128" s="116"/>
    </row>
    <row r="129" spans="2:10" ht="14.45" customHeight="1">
      <c r="B129" s="115"/>
      <c r="C129" s="115"/>
      <c r="D129" s="115"/>
      <c r="F129" s="67"/>
      <c r="G129" s="67"/>
      <c r="H129" s="116"/>
      <c r="I129" s="116"/>
      <c r="J129" s="116"/>
    </row>
    <row r="130" spans="2:10" ht="14.45" customHeight="1">
      <c r="B130" s="114"/>
      <c r="C130" s="114"/>
      <c r="D130" s="114"/>
      <c r="F130" s="67"/>
      <c r="G130" s="67"/>
      <c r="H130" s="116"/>
      <c r="I130" s="116"/>
      <c r="J130" s="116"/>
    </row>
    <row r="131" spans="2:10" ht="14.45" customHeight="1">
      <c r="F131" s="67"/>
      <c r="G131" s="67"/>
      <c r="H131" s="116"/>
      <c r="I131" s="116"/>
      <c r="J131" s="116"/>
    </row>
    <row r="132" spans="2:10" ht="14.45" customHeight="1">
      <c r="F132" s="67"/>
      <c r="G132" s="67"/>
      <c r="H132" s="116"/>
      <c r="I132" s="116"/>
      <c r="J132" s="116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2023-08-29T17:15:12Z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