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13_ncr:1_{FA9BC3D8-8A5C-4391-A28C-EDB13F0D9A59}" xr6:coauthVersionLast="47" xr6:coauthVersionMax="47" xr10:uidLastSave="{00000000-0000-0000-0000-000000000000}"/>
  <workbookProtection workbookPassword="C8D7" lockStructure="1"/>
  <bookViews>
    <workbookView xWindow="5310" yWindow="195" windowWidth="35670" windowHeight="19845" tabRatio="537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21" l="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AP26" i="21" s="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AP33" i="21" l="1"/>
  <c r="AA6" i="21"/>
  <c r="AP28" i="21"/>
  <c r="AP16" i="21"/>
  <c r="AP35" i="21"/>
  <c r="AF34" i="21"/>
  <c r="AP21" i="21"/>
  <c r="AP13" i="21"/>
  <c r="AR13" i="21" s="1"/>
  <c r="AA12" i="21"/>
  <c r="AK10" i="21"/>
  <c r="AF9" i="21"/>
  <c r="AF30" i="21"/>
  <c r="AF18" i="21"/>
  <c r="AK29" i="21"/>
  <c r="AF27" i="21"/>
  <c r="AK24" i="21"/>
  <c r="AK20" i="21"/>
  <c r="AK37" i="21"/>
  <c r="AP15" i="21"/>
  <c r="AF20" i="21"/>
  <c r="AK5" i="21"/>
  <c r="AP34" i="21"/>
  <c r="AP29" i="21"/>
  <c r="AK17" i="21"/>
  <c r="AF15" i="21"/>
  <c r="AP4" i="21"/>
  <c r="AK7" i="21"/>
  <c r="AA19" i="21"/>
  <c r="AP11" i="21"/>
  <c r="AF38" i="21"/>
  <c r="AP37" i="21"/>
  <c r="AR37" i="21" s="1"/>
  <c r="AU37" i="21" s="1"/>
  <c r="AX37" i="21" s="1"/>
  <c r="F37" i="31" s="1"/>
  <c r="AF37" i="21"/>
  <c r="AP25" i="21"/>
  <c r="AK14" i="21"/>
  <c r="AP6" i="21"/>
  <c r="AA16" i="21"/>
  <c r="AA26" i="21"/>
  <c r="AF22" i="21"/>
  <c r="AK16" i="21"/>
  <c r="AP36" i="21"/>
  <c r="AA28" i="21"/>
  <c r="AK26" i="21"/>
  <c r="AR26" i="21" s="1"/>
  <c r="AP22" i="21"/>
  <c r="AA14" i="21"/>
  <c r="AK13" i="21"/>
  <c r="AF11" i="21"/>
  <c r="AF4" i="21"/>
  <c r="AA32" i="21"/>
  <c r="AK31" i="21"/>
  <c r="AA31" i="21"/>
  <c r="AP23" i="21"/>
  <c r="AA9" i="21"/>
  <c r="AP5" i="21"/>
  <c r="AF5" i="21"/>
  <c r="AK32" i="21"/>
  <c r="AK30" i="21"/>
  <c r="AA22" i="21"/>
  <c r="AP19" i="21"/>
  <c r="AP18" i="21"/>
  <c r="AP14" i="21"/>
  <c r="AR14" i="21" s="1"/>
  <c r="AF14" i="21"/>
  <c r="AP7" i="21"/>
  <c r="AA38" i="21"/>
  <c r="AQ38" i="21" s="1"/>
  <c r="AT38" i="21" s="1"/>
  <c r="AW38" i="21" s="1"/>
  <c r="E38" i="31" s="1"/>
  <c r="AK36" i="21"/>
  <c r="AF25" i="21"/>
  <c r="AA10" i="21"/>
  <c r="AA4" i="21"/>
  <c r="AF8" i="21"/>
  <c r="AK4" i="21"/>
  <c r="AR4" i="21" s="1"/>
  <c r="AF35" i="21"/>
  <c r="AF32" i="21"/>
  <c r="AP31" i="21"/>
  <c r="AF28" i="21"/>
  <c r="AF21" i="21"/>
  <c r="AP9" i="21"/>
  <c r="AA5" i="21"/>
  <c r="AK33" i="21"/>
  <c r="AR33" i="21" s="1"/>
  <c r="AF31" i="21"/>
  <c r="AA20" i="21"/>
  <c r="AQ20" i="21" s="1"/>
  <c r="AT20" i="21" s="1"/>
  <c r="AW20" i="21" s="1"/>
  <c r="E20" i="31" s="1"/>
  <c r="AA18" i="21"/>
  <c r="AA17" i="21"/>
  <c r="AF16" i="21"/>
  <c r="AK38" i="21"/>
  <c r="AP32" i="21"/>
  <c r="AA24" i="21"/>
  <c r="AK23" i="21"/>
  <c r="AA21" i="21"/>
  <c r="AA35" i="21"/>
  <c r="AQ35" i="21" s="1"/>
  <c r="AT35" i="21" s="1"/>
  <c r="AW35" i="21" s="1"/>
  <c r="E35" i="31" s="1"/>
  <c r="AK22" i="21"/>
  <c r="AP38" i="21"/>
  <c r="AA34" i="21"/>
  <c r="AA33" i="21"/>
  <c r="AF24" i="21"/>
  <c r="AF23" i="21"/>
  <c r="AP20" i="21"/>
  <c r="AR20" i="21" s="1"/>
  <c r="AU20" i="21" s="1"/>
  <c r="AX20" i="21" s="1"/>
  <c r="F20" i="31" s="1"/>
  <c r="AP12" i="21"/>
  <c r="AA29" i="21"/>
  <c r="AK27" i="21"/>
  <c r="AF19" i="21"/>
  <c r="AP17" i="21"/>
  <c r="AF17" i="21"/>
  <c r="AF13" i="21"/>
  <c r="AF10" i="21"/>
  <c r="AR5" i="21"/>
  <c r="AS5" i="21" s="1"/>
  <c r="AV5" i="21" s="1"/>
  <c r="AY5" i="21" s="1"/>
  <c r="G5" i="31" s="1"/>
  <c r="AK25" i="21"/>
  <c r="AA25" i="21"/>
  <c r="AP8" i="21"/>
  <c r="AF7" i="21"/>
  <c r="AF6" i="21"/>
  <c r="AQ6" i="21" s="1"/>
  <c r="AT6" i="21" s="1"/>
  <c r="AW6" i="21" s="1"/>
  <c r="E6" i="31" s="1"/>
  <c r="AP30" i="21"/>
  <c r="AF29" i="21"/>
  <c r="AP27" i="21"/>
  <c r="AF26" i="21"/>
  <c r="AP24" i="21"/>
  <c r="AK18" i="21"/>
  <c r="AA15" i="21"/>
  <c r="AA13" i="21"/>
  <c r="AK11" i="21"/>
  <c r="AA11" i="21"/>
  <c r="AQ11" i="21" s="1"/>
  <c r="AK9" i="21"/>
  <c r="AF12" i="21"/>
  <c r="AQ12" i="21" s="1"/>
  <c r="AT12" i="21" s="1"/>
  <c r="AW12" i="21" s="1"/>
  <c r="E12" i="31" s="1"/>
  <c r="AP10" i="21"/>
  <c r="AK8" i="21"/>
  <c r="AR8" i="21" s="1"/>
  <c r="AA8" i="21"/>
  <c r="AA7" i="21"/>
  <c r="AF33" i="21"/>
  <c r="AA36" i="21"/>
  <c r="AK35" i="21"/>
  <c r="AR35" i="21" s="1"/>
  <c r="AK28" i="21"/>
  <c r="AA37" i="21"/>
  <c r="AA30" i="21"/>
  <c r="AF36" i="21"/>
  <c r="AK34" i="21"/>
  <c r="AR34" i="21" s="1"/>
  <c r="AA27" i="21"/>
  <c r="AK15" i="21"/>
  <c r="AR15" i="21" s="1"/>
  <c r="AK21" i="21"/>
  <c r="AQ14" i="21"/>
  <c r="AT14" i="21" s="1"/>
  <c r="AW14" i="21" s="1"/>
  <c r="E14" i="31" s="1"/>
  <c r="AK12" i="21"/>
  <c r="AK6" i="21"/>
  <c r="AA23" i="21"/>
  <c r="AK19" i="21"/>
  <c r="AQ31" i="21" l="1"/>
  <c r="AT31" i="21" s="1"/>
  <c r="AW31" i="21" s="1"/>
  <c r="E31" i="31" s="1"/>
  <c r="AQ34" i="21"/>
  <c r="AT34" i="21" s="1"/>
  <c r="AW34" i="21" s="1"/>
  <c r="E34" i="31" s="1"/>
  <c r="AQ26" i="21"/>
  <c r="AT26" i="21" s="1"/>
  <c r="AW26" i="21" s="1"/>
  <c r="E26" i="31" s="1"/>
  <c r="AR29" i="21"/>
  <c r="AQ9" i="21"/>
  <c r="AT9" i="21" s="1"/>
  <c r="AW9" i="21" s="1"/>
  <c r="E9" i="31" s="1"/>
  <c r="AR28" i="21"/>
  <c r="AR30" i="21"/>
  <c r="AQ37" i="21"/>
  <c r="AR24" i="21"/>
  <c r="AU24" i="21" s="1"/>
  <c r="AX24" i="21" s="1"/>
  <c r="F24" i="31" s="1"/>
  <c r="AQ4" i="21"/>
  <c r="AT4" i="21" s="1"/>
  <c r="AW4" i="21" s="1"/>
  <c r="E4" i="31" s="1"/>
  <c r="AR25" i="21"/>
  <c r="AQ22" i="21"/>
  <c r="AT22" i="21" s="1"/>
  <c r="AW22" i="21" s="1"/>
  <c r="E22" i="31" s="1"/>
  <c r="AR23" i="21"/>
  <c r="AQ8" i="21"/>
  <c r="AT8" i="21" s="1"/>
  <c r="AW8" i="21" s="1"/>
  <c r="E8" i="31" s="1"/>
  <c r="AQ30" i="21"/>
  <c r="AT30" i="21" s="1"/>
  <c r="AW30" i="21" s="1"/>
  <c r="E30" i="31" s="1"/>
  <c r="AR9" i="21"/>
  <c r="AS9" i="21" s="1"/>
  <c r="AV9" i="21" s="1"/>
  <c r="AY9" i="21" s="1"/>
  <c r="G9" i="31" s="1"/>
  <c r="AQ5" i="21"/>
  <c r="AT5" i="21" s="1"/>
  <c r="AW5" i="21" s="1"/>
  <c r="E5" i="31" s="1"/>
  <c r="AR16" i="21"/>
  <c r="AU16" i="21" s="1"/>
  <c r="AX16" i="21" s="1"/>
  <c r="F16" i="31" s="1"/>
  <c r="AR7" i="21"/>
  <c r="AQ18" i="21"/>
  <c r="AT18" i="21" s="1"/>
  <c r="AW18" i="21" s="1"/>
  <c r="E18" i="31" s="1"/>
  <c r="AQ21" i="21"/>
  <c r="AT21" i="21" s="1"/>
  <c r="AW21" i="21" s="1"/>
  <c r="E21" i="31" s="1"/>
  <c r="AQ19" i="21"/>
  <c r="AT19" i="21" s="1"/>
  <c r="AW19" i="21" s="1"/>
  <c r="E19" i="31" s="1"/>
  <c r="AQ27" i="21"/>
  <c r="AT27" i="21" s="1"/>
  <c r="AW27" i="21" s="1"/>
  <c r="E27" i="31" s="1"/>
  <c r="AU5" i="21"/>
  <c r="AX5" i="21" s="1"/>
  <c r="F5" i="31" s="1"/>
  <c r="AQ10" i="21"/>
  <c r="AT10" i="21" s="1"/>
  <c r="AW10" i="21" s="1"/>
  <c r="E10" i="31" s="1"/>
  <c r="AR21" i="21"/>
  <c r="AR18" i="21"/>
  <c r="AU18" i="21" s="1"/>
  <c r="AX18" i="21" s="1"/>
  <c r="F18" i="31" s="1"/>
  <c r="AR10" i="21"/>
  <c r="AU10" i="21" s="1"/>
  <c r="AX10" i="21" s="1"/>
  <c r="F10" i="31" s="1"/>
  <c r="AR32" i="21"/>
  <c r="AU32" i="21" s="1"/>
  <c r="AX32" i="21" s="1"/>
  <c r="F32" i="31" s="1"/>
  <c r="AR17" i="21"/>
  <c r="AU17" i="21" s="1"/>
  <c r="AX17" i="21" s="1"/>
  <c r="F17" i="31" s="1"/>
  <c r="AQ23" i="21"/>
  <c r="AT23" i="21" s="1"/>
  <c r="AW23" i="21" s="1"/>
  <c r="E23" i="31" s="1"/>
  <c r="AQ24" i="21"/>
  <c r="AT24" i="21" s="1"/>
  <c r="AW24" i="21" s="1"/>
  <c r="E24" i="31" s="1"/>
  <c r="AR31" i="21"/>
  <c r="AS31" i="21" s="1"/>
  <c r="AV31" i="21" s="1"/>
  <c r="AY31" i="21" s="1"/>
  <c r="G31" i="31" s="1"/>
  <c r="AQ7" i="21"/>
  <c r="AT7" i="21" s="1"/>
  <c r="AW7" i="21" s="1"/>
  <c r="E7" i="31" s="1"/>
  <c r="AQ33" i="21"/>
  <c r="AT33" i="21" s="1"/>
  <c r="AW33" i="21" s="1"/>
  <c r="E33" i="31" s="1"/>
  <c r="AQ16" i="21"/>
  <c r="AT16" i="21" s="1"/>
  <c r="AW16" i="21" s="1"/>
  <c r="E16" i="31" s="1"/>
  <c r="AR11" i="21"/>
  <c r="AU11" i="21" s="1"/>
  <c r="AX11" i="21" s="1"/>
  <c r="F11" i="31" s="1"/>
  <c r="AQ29" i="21"/>
  <c r="AT29" i="21" s="1"/>
  <c r="AW29" i="21" s="1"/>
  <c r="E29" i="31" s="1"/>
  <c r="AQ25" i="21"/>
  <c r="AT25" i="21" s="1"/>
  <c r="AW25" i="21" s="1"/>
  <c r="E25" i="31" s="1"/>
  <c r="AQ32" i="21"/>
  <c r="AT32" i="21" s="1"/>
  <c r="AW32" i="21" s="1"/>
  <c r="E32" i="31" s="1"/>
  <c r="AQ15" i="21"/>
  <c r="AT15" i="21" s="1"/>
  <c r="AW15" i="21" s="1"/>
  <c r="E15" i="31" s="1"/>
  <c r="AR6" i="21"/>
  <c r="AS6" i="21" s="1"/>
  <c r="AV6" i="21" s="1"/>
  <c r="AY6" i="21" s="1"/>
  <c r="G6" i="31" s="1"/>
  <c r="AR12" i="21"/>
  <c r="AU12" i="21" s="1"/>
  <c r="AX12" i="21" s="1"/>
  <c r="F12" i="31" s="1"/>
  <c r="AR19" i="21"/>
  <c r="AU19" i="21" s="1"/>
  <c r="AX19" i="21" s="1"/>
  <c r="F19" i="31" s="1"/>
  <c r="AR22" i="21"/>
  <c r="AU22" i="21" s="1"/>
  <c r="AX22" i="21" s="1"/>
  <c r="F22" i="31" s="1"/>
  <c r="AR36" i="21"/>
  <c r="AU36" i="21" s="1"/>
  <c r="AX36" i="21" s="1"/>
  <c r="F36" i="31" s="1"/>
  <c r="AT11" i="21"/>
  <c r="AW11" i="21" s="1"/>
  <c r="E11" i="31" s="1"/>
  <c r="AQ13" i="21"/>
  <c r="AT13" i="21" s="1"/>
  <c r="AW13" i="21" s="1"/>
  <c r="E13" i="31" s="1"/>
  <c r="AR27" i="21"/>
  <c r="AU27" i="21" s="1"/>
  <c r="AX27" i="21" s="1"/>
  <c r="F27" i="31" s="1"/>
  <c r="AR38" i="21"/>
  <c r="AS38" i="21" s="1"/>
  <c r="AV38" i="21" s="1"/>
  <c r="AY38" i="21" s="1"/>
  <c r="G38" i="31" s="1"/>
  <c r="AQ28" i="21"/>
  <c r="AT28" i="21" s="1"/>
  <c r="AW28" i="21" s="1"/>
  <c r="E28" i="31" s="1"/>
  <c r="AQ36" i="21"/>
  <c r="AT36" i="21" s="1"/>
  <c r="AW36" i="21" s="1"/>
  <c r="E36" i="31" s="1"/>
  <c r="AQ17" i="21"/>
  <c r="AS20" i="21"/>
  <c r="AV20" i="21" s="1"/>
  <c r="AY20" i="21" s="1"/>
  <c r="G20" i="31" s="1"/>
  <c r="AT37" i="21"/>
  <c r="AW37" i="21" s="1"/>
  <c r="E37" i="31" s="1"/>
  <c r="AS37" i="21"/>
  <c r="AV37" i="21" s="1"/>
  <c r="AY37" i="21" s="1"/>
  <c r="G37" i="31" s="1"/>
  <c r="AU7" i="21"/>
  <c r="AX7" i="21" s="1"/>
  <c r="F7" i="31" s="1"/>
  <c r="AU29" i="21"/>
  <c r="AX29" i="21" s="1"/>
  <c r="F29" i="31" s="1"/>
  <c r="AS34" i="21"/>
  <c r="AV34" i="21" s="1"/>
  <c r="AY34" i="21" s="1"/>
  <c r="G34" i="31" s="1"/>
  <c r="AU34" i="21"/>
  <c r="AX34" i="21" s="1"/>
  <c r="F34" i="31" s="1"/>
  <c r="AS30" i="21"/>
  <c r="AV30" i="21" s="1"/>
  <c r="AY30" i="21" s="1"/>
  <c r="G30" i="31" s="1"/>
  <c r="AU30" i="21"/>
  <c r="AX30" i="21" s="1"/>
  <c r="F30" i="31" s="1"/>
  <c r="AU15" i="21"/>
  <c r="AX15" i="21" s="1"/>
  <c r="F15" i="31" s="1"/>
  <c r="AU28" i="21"/>
  <c r="AX28" i="21" s="1"/>
  <c r="F28" i="31" s="1"/>
  <c r="AU13" i="21"/>
  <c r="AX13" i="21" s="1"/>
  <c r="F13" i="31" s="1"/>
  <c r="AU25" i="21"/>
  <c r="AX25" i="21" s="1"/>
  <c r="F25" i="31" s="1"/>
  <c r="AS8" i="21"/>
  <c r="AV8" i="21" s="1"/>
  <c r="AY8" i="21" s="1"/>
  <c r="G8" i="31" s="1"/>
  <c r="AU8" i="21"/>
  <c r="AX8" i="21" s="1"/>
  <c r="F8" i="31" s="1"/>
  <c r="AS26" i="21"/>
  <c r="AV26" i="21" s="1"/>
  <c r="AY26" i="21" s="1"/>
  <c r="G26" i="31" s="1"/>
  <c r="AU26" i="21"/>
  <c r="AX26" i="21" s="1"/>
  <c r="F26" i="31" s="1"/>
  <c r="AS14" i="21"/>
  <c r="AV14" i="21" s="1"/>
  <c r="AY14" i="21" s="1"/>
  <c r="G14" i="31" s="1"/>
  <c r="AU14" i="21"/>
  <c r="AX14" i="21" s="1"/>
  <c r="F14" i="31" s="1"/>
  <c r="AS12" i="21"/>
  <c r="AV12" i="21" s="1"/>
  <c r="AY12" i="21" s="1"/>
  <c r="G12" i="31" s="1"/>
  <c r="AS35" i="21"/>
  <c r="AV35" i="21" s="1"/>
  <c r="AY35" i="21" s="1"/>
  <c r="G35" i="31" s="1"/>
  <c r="AU35" i="21"/>
  <c r="AX35" i="21" s="1"/>
  <c r="F35" i="31" s="1"/>
  <c r="AU4" i="21"/>
  <c r="AX4" i="21" s="1"/>
  <c r="F4" i="31" s="1"/>
  <c r="AS4" i="21"/>
  <c r="AV4" i="21" s="1"/>
  <c r="AY4" i="21" s="1"/>
  <c r="G4" i="31" s="1"/>
  <c r="AU21" i="21"/>
  <c r="AX21" i="21" s="1"/>
  <c r="F21" i="31" s="1"/>
  <c r="AU23" i="21"/>
  <c r="AX23" i="21" s="1"/>
  <c r="F23" i="31" s="1"/>
  <c r="AU33" i="21"/>
  <c r="AX33" i="21" s="1"/>
  <c r="F33" i="31" s="1"/>
  <c r="C25" i="31"/>
  <c r="AS24" i="21" l="1"/>
  <c r="AV24" i="21" s="1"/>
  <c r="AY24" i="21" s="1"/>
  <c r="G24" i="31" s="1"/>
  <c r="AS10" i="21"/>
  <c r="AV10" i="21" s="1"/>
  <c r="AY10" i="21" s="1"/>
  <c r="G10" i="31" s="1"/>
  <c r="AU31" i="21"/>
  <c r="AX31" i="21" s="1"/>
  <c r="F31" i="31" s="1"/>
  <c r="AS21" i="21"/>
  <c r="AV21" i="21" s="1"/>
  <c r="AY21" i="21" s="1"/>
  <c r="G21" i="31" s="1"/>
  <c r="AS11" i="21"/>
  <c r="AV11" i="21" s="1"/>
  <c r="AY11" i="21" s="1"/>
  <c r="G11" i="31" s="1"/>
  <c r="AU9" i="21"/>
  <c r="AX9" i="21" s="1"/>
  <c r="F9" i="31" s="1"/>
  <c r="AS27" i="21"/>
  <c r="AV27" i="21" s="1"/>
  <c r="AY27" i="21" s="1"/>
  <c r="G27" i="31" s="1"/>
  <c r="AS15" i="21"/>
  <c r="AV15" i="21" s="1"/>
  <c r="AY15" i="21" s="1"/>
  <c r="G15" i="31" s="1"/>
  <c r="AS33" i="21"/>
  <c r="AV33" i="21" s="1"/>
  <c r="AY33" i="21" s="1"/>
  <c r="G33" i="31" s="1"/>
  <c r="AS7" i="21"/>
  <c r="AV7" i="21" s="1"/>
  <c r="AY7" i="21" s="1"/>
  <c r="G7" i="31" s="1"/>
  <c r="AS18" i="21"/>
  <c r="AV18" i="21" s="1"/>
  <c r="AY18" i="21" s="1"/>
  <c r="G18" i="31" s="1"/>
  <c r="AS32" i="21"/>
  <c r="AV32" i="21" s="1"/>
  <c r="AY32" i="21" s="1"/>
  <c r="G32" i="31" s="1"/>
  <c r="AS23" i="21"/>
  <c r="AV23" i="21" s="1"/>
  <c r="AY23" i="21" s="1"/>
  <c r="G23" i="31" s="1"/>
  <c r="AU6" i="21"/>
  <c r="AX6" i="21" s="1"/>
  <c r="F6" i="31" s="1"/>
  <c r="AS16" i="21"/>
  <c r="AV16" i="21" s="1"/>
  <c r="AY16" i="21" s="1"/>
  <c r="G16" i="31" s="1"/>
  <c r="AS29" i="21"/>
  <c r="AV29" i="21" s="1"/>
  <c r="AY29" i="21" s="1"/>
  <c r="G29" i="31" s="1"/>
  <c r="AU38" i="21"/>
  <c r="AX38" i="21" s="1"/>
  <c r="F38" i="31" s="1"/>
  <c r="AS19" i="21"/>
  <c r="AV19" i="21" s="1"/>
  <c r="AY19" i="21" s="1"/>
  <c r="G19" i="31" s="1"/>
  <c r="AS25" i="21"/>
  <c r="AV25" i="21" s="1"/>
  <c r="AY25" i="21" s="1"/>
  <c r="G25" i="31" s="1"/>
  <c r="AS28" i="21"/>
  <c r="AV28" i="21" s="1"/>
  <c r="AY28" i="21" s="1"/>
  <c r="G28" i="31" s="1"/>
  <c r="AS22" i="21"/>
  <c r="AV22" i="21" s="1"/>
  <c r="AY22" i="21" s="1"/>
  <c r="G22" i="31" s="1"/>
  <c r="AS13" i="21"/>
  <c r="AV13" i="21" s="1"/>
  <c r="AY13" i="21" s="1"/>
  <c r="G13" i="31" s="1"/>
  <c r="AS36" i="21"/>
  <c r="AV36" i="21" s="1"/>
  <c r="AY36" i="21" s="1"/>
  <c r="G36" i="31" s="1"/>
  <c r="AT17" i="21"/>
  <c r="AW17" i="21" s="1"/>
  <c r="E17" i="31" s="1"/>
  <c r="AS17" i="21"/>
  <c r="AV17" i="21" s="1"/>
  <c r="AY17" i="21" s="1"/>
  <c r="G17" i="31" s="1"/>
  <c r="B25" i="31" l="1"/>
  <c r="C24" i="31"/>
  <c r="B24" i="31"/>
  <c r="C23" i="31"/>
  <c r="B23" i="31"/>
  <c r="C22" i="31"/>
  <c r="B22" i="31"/>
  <c r="M25" i="29"/>
  <c r="L25" i="29"/>
  <c r="D25" i="29"/>
  <c r="C25" i="29"/>
  <c r="M24" i="29"/>
  <c r="L24" i="29"/>
  <c r="D24" i="29"/>
  <c r="C24" i="29"/>
  <c r="M23" i="29"/>
  <c r="L23" i="29"/>
  <c r="D23" i="29"/>
  <c r="C23" i="29"/>
  <c r="M22" i="29"/>
  <c r="L22" i="29"/>
  <c r="D22" i="29"/>
  <c r="C22" i="29"/>
  <c r="V25" i="22"/>
  <c r="U25" i="22"/>
  <c r="T25" i="22"/>
  <c r="S25" i="22"/>
  <c r="R25" i="22"/>
  <c r="Q25" i="22"/>
  <c r="D25" i="22"/>
  <c r="C25" i="22"/>
  <c r="V24" i="22"/>
  <c r="U24" i="22"/>
  <c r="T24" i="22"/>
  <c r="S24" i="22"/>
  <c r="R24" i="22"/>
  <c r="Q24" i="22"/>
  <c r="D24" i="22"/>
  <c r="C24" i="22"/>
  <c r="V23" i="22"/>
  <c r="U23" i="22"/>
  <c r="T23" i="22"/>
  <c r="S23" i="22"/>
  <c r="R23" i="22"/>
  <c r="Q23" i="22"/>
  <c r="D23" i="22"/>
  <c r="C23" i="22"/>
  <c r="V22" i="22"/>
  <c r="U22" i="22"/>
  <c r="T22" i="22"/>
  <c r="S22" i="22"/>
  <c r="R22" i="22"/>
  <c r="Q22" i="22"/>
  <c r="D22" i="22"/>
  <c r="C22" i="22"/>
  <c r="D25" i="21"/>
  <c r="C25" i="21"/>
  <c r="D24" i="21"/>
  <c r="C24" i="21"/>
  <c r="D23" i="21"/>
  <c r="C23" i="21"/>
  <c r="D22" i="21"/>
  <c r="C22" i="2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X23" i="22" l="1"/>
  <c r="AA23" i="22" s="1"/>
  <c r="AD23" i="22" s="1"/>
  <c r="I23" i="31" s="1"/>
  <c r="N23" i="29"/>
  <c r="O23" i="29" s="1"/>
  <c r="P23" i="29" s="1"/>
  <c r="K23" i="31" s="1"/>
  <c r="X25" i="22"/>
  <c r="AA25" i="22" s="1"/>
  <c r="AD25" i="22" s="1"/>
  <c r="I25" i="31" s="1"/>
  <c r="X24" i="22"/>
  <c r="AA24" i="22" s="1"/>
  <c r="AD24" i="22" s="1"/>
  <c r="I24" i="31" s="1"/>
  <c r="X22" i="22"/>
  <c r="AA22" i="22" s="1"/>
  <c r="AD22" i="22" s="1"/>
  <c r="I22" i="31" s="1"/>
  <c r="N22" i="29"/>
  <c r="O22" i="29" s="1"/>
  <c r="P22" i="29" s="1"/>
  <c r="K22" i="31" s="1"/>
  <c r="N24" i="29"/>
  <c r="O24" i="29" s="1"/>
  <c r="P24" i="29" s="1"/>
  <c r="K24" i="31" s="1"/>
  <c r="N25" i="29"/>
  <c r="O25" i="29" s="1"/>
  <c r="P25" i="29" s="1"/>
  <c r="K25" i="31" s="1"/>
  <c r="W24" i="22"/>
  <c r="Z24" i="22" s="1"/>
  <c r="AC24" i="22" s="1"/>
  <c r="H24" i="31" s="1"/>
  <c r="W25" i="22"/>
  <c r="W22" i="22"/>
  <c r="W23" i="22"/>
  <c r="Z23" i="22" s="1"/>
  <c r="AC23" i="22" s="1"/>
  <c r="H23" i="31" s="1"/>
  <c r="Y22" i="22" l="1"/>
  <c r="AB22" i="22" s="1"/>
  <c r="AE22" i="22" s="1"/>
  <c r="J22" i="31" s="1"/>
  <c r="Y25" i="22"/>
  <c r="AB25" i="22" s="1"/>
  <c r="AE25" i="22" s="1"/>
  <c r="J25" i="31" s="1"/>
  <c r="Y24" i="22"/>
  <c r="AB24" i="22" s="1"/>
  <c r="AE24" i="22" s="1"/>
  <c r="J24" i="31" s="1"/>
  <c r="Q25" i="29"/>
  <c r="R25" i="29" s="1"/>
  <c r="S25" i="29" s="1"/>
  <c r="L25" i="31" s="1"/>
  <c r="T25" i="29"/>
  <c r="U25" i="29" s="1"/>
  <c r="Y23" i="22"/>
  <c r="AB23" i="22" s="1"/>
  <c r="AE23" i="22" s="1"/>
  <c r="J23" i="31" s="1"/>
  <c r="Z25" i="22"/>
  <c r="AC25" i="22" s="1"/>
  <c r="H25" i="31" s="1"/>
  <c r="Q24" i="29"/>
  <c r="R24" i="29" s="1"/>
  <c r="S24" i="29" s="1"/>
  <c r="L24" i="31" s="1"/>
  <c r="Q22" i="29"/>
  <c r="R22" i="29" s="1"/>
  <c r="S22" i="29" s="1"/>
  <c r="L22" i="31" s="1"/>
  <c r="T24" i="29"/>
  <c r="U24" i="29" s="1"/>
  <c r="T23" i="29"/>
  <c r="U23" i="29" s="1"/>
  <c r="Q23" i="29"/>
  <c r="R23" i="29" s="1"/>
  <c r="S23" i="29" s="1"/>
  <c r="L23" i="31" s="1"/>
  <c r="T22" i="29"/>
  <c r="U22" i="29" s="1"/>
  <c r="Z22" i="22"/>
  <c r="AC22" i="22" s="1"/>
  <c r="H22" i="31" s="1"/>
  <c r="V25" i="29" l="1"/>
  <c r="M25" i="31" s="1"/>
  <c r="O25" i="31"/>
  <c r="P25" i="31" s="1"/>
  <c r="V23" i="29"/>
  <c r="M23" i="31" s="1"/>
  <c r="O23" i="31"/>
  <c r="P23" i="31" s="1"/>
  <c r="V22" i="29"/>
  <c r="M22" i="31" s="1"/>
  <c r="O22" i="31"/>
  <c r="P22" i="31" s="1"/>
  <c r="V24" i="29"/>
  <c r="M24" i="31" s="1"/>
  <c r="O24" i="31"/>
  <c r="P24" i="31" s="1"/>
  <c r="C6" i="31"/>
  <c r="B6" i="31"/>
  <c r="M6" i="29"/>
  <c r="L6" i="29"/>
  <c r="D6" i="29"/>
  <c r="C6" i="29"/>
  <c r="V6" i="22"/>
  <c r="U6" i="22"/>
  <c r="T6" i="22"/>
  <c r="S6" i="22"/>
  <c r="R6" i="22"/>
  <c r="Q6" i="22"/>
  <c r="D6" i="22"/>
  <c r="C6" i="22"/>
  <c r="D6" i="21"/>
  <c r="C6" i="21"/>
  <c r="G6" i="24"/>
  <c r="H6" i="24" s="1"/>
  <c r="I6" i="24" s="1"/>
  <c r="J6" i="24" s="1"/>
  <c r="N6" i="31" s="1"/>
  <c r="N6" i="29" l="1"/>
  <c r="X6" i="22"/>
  <c r="AA6" i="22" s="1"/>
  <c r="AD6" i="22" s="1"/>
  <c r="I6" i="31" s="1"/>
  <c r="W6" i="22"/>
  <c r="Q6" i="29" s="1"/>
  <c r="R6" i="29" s="1"/>
  <c r="S6" i="29" s="1"/>
  <c r="L6" i="31" s="1"/>
  <c r="O6" i="29"/>
  <c r="P6" i="29" s="1"/>
  <c r="K6" i="31" s="1"/>
  <c r="Y6" i="22" l="1"/>
  <c r="AB6" i="22" s="1"/>
  <c r="AE6" i="22" s="1"/>
  <c r="J6" i="31" s="1"/>
  <c r="Z6" i="22"/>
  <c r="AC6" i="22" s="1"/>
  <c r="H6" i="31" s="1"/>
  <c r="T6" i="29"/>
  <c r="U6" i="29" s="1"/>
  <c r="O6" i="31" s="1"/>
  <c r="P6" i="31" s="1"/>
  <c r="C16" i="31"/>
  <c r="B16" i="31"/>
  <c r="C15" i="31"/>
  <c r="B15" i="31"/>
  <c r="M16" i="29"/>
  <c r="L16" i="29"/>
  <c r="D16" i="29"/>
  <c r="C16" i="29"/>
  <c r="M15" i="29"/>
  <c r="L15" i="29"/>
  <c r="D15" i="29"/>
  <c r="C15" i="29"/>
  <c r="V16" i="22"/>
  <c r="U16" i="22"/>
  <c r="T16" i="22"/>
  <c r="S16" i="22"/>
  <c r="R16" i="22"/>
  <c r="Q16" i="22"/>
  <c r="D16" i="22"/>
  <c r="C16" i="22"/>
  <c r="V15" i="22"/>
  <c r="U15" i="22"/>
  <c r="T15" i="22"/>
  <c r="S15" i="22"/>
  <c r="R15" i="22"/>
  <c r="Q15" i="22"/>
  <c r="D15" i="22"/>
  <c r="C15" i="22"/>
  <c r="D16" i="21"/>
  <c r="C16" i="21"/>
  <c r="D15" i="21"/>
  <c r="C15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V6" i="29" l="1"/>
  <c r="M6" i="31" s="1"/>
  <c r="X16" i="22"/>
  <c r="AA16" i="22" s="1"/>
  <c r="AD16" i="22" s="1"/>
  <c r="I16" i="31" s="1"/>
  <c r="N16" i="29"/>
  <c r="O16" i="29" s="1"/>
  <c r="P16" i="29" s="1"/>
  <c r="K16" i="31" s="1"/>
  <c r="N15" i="29"/>
  <c r="O15" i="29" s="1"/>
  <c r="P15" i="29" s="1"/>
  <c r="K15" i="31" s="1"/>
  <c r="X15" i="22"/>
  <c r="AA15" i="22" s="1"/>
  <c r="AD15" i="22" s="1"/>
  <c r="I15" i="31" s="1"/>
  <c r="W16" i="22"/>
  <c r="W15" i="22"/>
  <c r="Q16" i="29" l="1"/>
  <c r="R16" i="29" s="1"/>
  <c r="S16" i="29" s="1"/>
  <c r="L16" i="31" s="1"/>
  <c r="Q15" i="29"/>
  <c r="R15" i="29" s="1"/>
  <c r="S15" i="29" s="1"/>
  <c r="L15" i="31" s="1"/>
  <c r="T15" i="29"/>
  <c r="U15" i="29" s="1"/>
  <c r="Y15" i="22"/>
  <c r="AB15" i="22" s="1"/>
  <c r="AE15" i="22" s="1"/>
  <c r="J15" i="31" s="1"/>
  <c r="T16" i="29"/>
  <c r="U16" i="29" s="1"/>
  <c r="O16" i="31" s="1"/>
  <c r="P16" i="31" s="1"/>
  <c r="Z16" i="22"/>
  <c r="AC16" i="22" s="1"/>
  <c r="H16" i="31" s="1"/>
  <c r="Y16" i="22"/>
  <c r="AB16" i="22" s="1"/>
  <c r="AE16" i="22" s="1"/>
  <c r="J16" i="31" s="1"/>
  <c r="Z15" i="22"/>
  <c r="AC15" i="22" s="1"/>
  <c r="H15" i="31" s="1"/>
  <c r="C12" i="31"/>
  <c r="B12" i="31"/>
  <c r="C11" i="31"/>
  <c r="B11" i="31"/>
  <c r="C10" i="31"/>
  <c r="B10" i="31"/>
  <c r="M12" i="29"/>
  <c r="L12" i="29"/>
  <c r="D12" i="29"/>
  <c r="C12" i="29"/>
  <c r="M11" i="29"/>
  <c r="L11" i="29"/>
  <c r="D11" i="29"/>
  <c r="C11" i="29"/>
  <c r="M10" i="29"/>
  <c r="L10" i="29"/>
  <c r="D10" i="29"/>
  <c r="C10" i="29"/>
  <c r="V12" i="22"/>
  <c r="U12" i="22"/>
  <c r="T12" i="22"/>
  <c r="S12" i="22"/>
  <c r="R12" i="22"/>
  <c r="Q12" i="22"/>
  <c r="D12" i="22"/>
  <c r="C12" i="22"/>
  <c r="V11" i="22"/>
  <c r="U11" i="22"/>
  <c r="T11" i="22"/>
  <c r="S11" i="22"/>
  <c r="R11" i="22"/>
  <c r="Q11" i="22"/>
  <c r="D11" i="22"/>
  <c r="C11" i="22"/>
  <c r="V10" i="22"/>
  <c r="U10" i="22"/>
  <c r="T10" i="22"/>
  <c r="S10" i="22"/>
  <c r="R10" i="22"/>
  <c r="Q10" i="22"/>
  <c r="D10" i="22"/>
  <c r="C10" i="22"/>
  <c r="D12" i="21"/>
  <c r="C12" i="21"/>
  <c r="D11" i="21"/>
  <c r="C11" i="21"/>
  <c r="D10" i="21"/>
  <c r="C10" i="2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10" i="24"/>
  <c r="H10" i="24" s="1"/>
  <c r="I10" i="24" s="1"/>
  <c r="J10" i="24" s="1"/>
  <c r="N10" i="31" s="1"/>
  <c r="C33" i="31"/>
  <c r="B33" i="31"/>
  <c r="M33" i="29"/>
  <c r="L33" i="29"/>
  <c r="D33" i="29"/>
  <c r="C33" i="29"/>
  <c r="V33" i="22"/>
  <c r="U33" i="22"/>
  <c r="T33" i="22"/>
  <c r="S33" i="22"/>
  <c r="R33" i="22"/>
  <c r="Q33" i="22"/>
  <c r="D33" i="22"/>
  <c r="C33" i="22"/>
  <c r="D33" i="21"/>
  <c r="C33" i="21"/>
  <c r="G33" i="24"/>
  <c r="H33" i="24" s="1"/>
  <c r="I33" i="24" s="1"/>
  <c r="J33" i="24" s="1"/>
  <c r="N33" i="31" s="1"/>
  <c r="V15" i="29" l="1"/>
  <c r="M15" i="31" s="1"/>
  <c r="O15" i="31"/>
  <c r="P15" i="31" s="1"/>
  <c r="X12" i="22"/>
  <c r="AA12" i="22" s="1"/>
  <c r="AD12" i="22" s="1"/>
  <c r="I12" i="31" s="1"/>
  <c r="V16" i="29"/>
  <c r="M16" i="31" s="1"/>
  <c r="X33" i="22"/>
  <c r="AA33" i="22" s="1"/>
  <c r="AD33" i="22" s="1"/>
  <c r="I33" i="31" s="1"/>
  <c r="N33" i="29"/>
  <c r="O33" i="29" s="1"/>
  <c r="P33" i="29" s="1"/>
  <c r="K33" i="31" s="1"/>
  <c r="X10" i="22"/>
  <c r="AA10" i="22" s="1"/>
  <c r="AD10" i="22" s="1"/>
  <c r="I10" i="31" s="1"/>
  <c r="N12" i="29"/>
  <c r="O12" i="29" s="1"/>
  <c r="P12" i="29" s="1"/>
  <c r="K12" i="31" s="1"/>
  <c r="N10" i="29"/>
  <c r="O10" i="29" s="1"/>
  <c r="P10" i="29" s="1"/>
  <c r="K10" i="31" s="1"/>
  <c r="W33" i="22"/>
  <c r="X11" i="22"/>
  <c r="AA11" i="22" s="1"/>
  <c r="AD11" i="22" s="1"/>
  <c r="I11" i="31" s="1"/>
  <c r="W11" i="22"/>
  <c r="Z11" i="22" s="1"/>
  <c r="AC11" i="22" s="1"/>
  <c r="H11" i="31" s="1"/>
  <c r="W12" i="22"/>
  <c r="W10" i="22"/>
  <c r="N11" i="29"/>
  <c r="Q11" i="29" l="1"/>
  <c r="R11" i="29" s="1"/>
  <c r="S11" i="29" s="1"/>
  <c r="L11" i="31" s="1"/>
  <c r="Q12" i="29"/>
  <c r="R12" i="29" s="1"/>
  <c r="S12" i="29" s="1"/>
  <c r="L12" i="31" s="1"/>
  <c r="O11" i="29"/>
  <c r="P11" i="29" s="1"/>
  <c r="K11" i="31" s="1"/>
  <c r="Q33" i="29"/>
  <c r="R33" i="29" s="1"/>
  <c r="S33" i="29" s="1"/>
  <c r="L33" i="31" s="1"/>
  <c r="Y12" i="22"/>
  <c r="AB12" i="22" s="1"/>
  <c r="AE12" i="22" s="1"/>
  <c r="J12" i="31" s="1"/>
  <c r="Z33" i="22"/>
  <c r="AC33" i="22" s="1"/>
  <c r="H33" i="31" s="1"/>
  <c r="T12" i="29"/>
  <c r="U12" i="29" s="1"/>
  <c r="Q10" i="29"/>
  <c r="R10" i="29" s="1"/>
  <c r="S10" i="29" s="1"/>
  <c r="L10" i="31" s="1"/>
  <c r="T11" i="29"/>
  <c r="U11" i="29" s="1"/>
  <c r="Y11" i="22"/>
  <c r="AB11" i="22" s="1"/>
  <c r="AE11" i="22" s="1"/>
  <c r="J11" i="31" s="1"/>
  <c r="T33" i="29"/>
  <c r="U33" i="29" s="1"/>
  <c r="Y33" i="22"/>
  <c r="AB33" i="22" s="1"/>
  <c r="AE33" i="22" s="1"/>
  <c r="J33" i="31" s="1"/>
  <c r="Z12" i="22"/>
  <c r="AC12" i="22" s="1"/>
  <c r="H12" i="31" s="1"/>
  <c r="T10" i="29"/>
  <c r="U10" i="29" s="1"/>
  <c r="Z10" i="22"/>
  <c r="AC10" i="22" s="1"/>
  <c r="H10" i="31" s="1"/>
  <c r="Y10" i="22"/>
  <c r="AB10" i="22" s="1"/>
  <c r="AE10" i="22" s="1"/>
  <c r="J10" i="31" s="1"/>
  <c r="V10" i="29" l="1"/>
  <c r="M10" i="31" s="1"/>
  <c r="O10" i="31"/>
  <c r="P10" i="31" s="1"/>
  <c r="V33" i="29"/>
  <c r="M33" i="31" s="1"/>
  <c r="O33" i="31"/>
  <c r="P33" i="31" s="1"/>
  <c r="V11" i="29"/>
  <c r="M11" i="31" s="1"/>
  <c r="O11" i="31"/>
  <c r="P11" i="31" s="1"/>
  <c r="V12" i="29"/>
  <c r="M12" i="31" s="1"/>
  <c r="O12" i="31"/>
  <c r="P12" i="31" s="1"/>
  <c r="C32" i="31"/>
  <c r="B32" i="31"/>
  <c r="M32" i="29"/>
  <c r="L32" i="29"/>
  <c r="D32" i="29"/>
  <c r="C32" i="29"/>
  <c r="V32" i="22"/>
  <c r="U32" i="22"/>
  <c r="T32" i="22"/>
  <c r="S32" i="22"/>
  <c r="R32" i="22"/>
  <c r="Q32" i="22"/>
  <c r="D32" i="22"/>
  <c r="C32" i="22"/>
  <c r="D32" i="21"/>
  <c r="C32" i="21"/>
  <c r="G32" i="24"/>
  <c r="H32" i="24" s="1"/>
  <c r="I32" i="24" s="1"/>
  <c r="J32" i="24" s="1"/>
  <c r="N32" i="31" s="1"/>
  <c r="X32" i="22" l="1"/>
  <c r="AA32" i="22" s="1"/>
  <c r="AD32" i="22" s="1"/>
  <c r="I32" i="31" s="1"/>
  <c r="W32" i="22"/>
  <c r="N32" i="29"/>
  <c r="O32" i="29" s="1"/>
  <c r="P32" i="29" s="1"/>
  <c r="K32" i="31" s="1"/>
  <c r="Y32" i="22" l="1"/>
  <c r="AB32" i="22" s="1"/>
  <c r="AE32" i="22" s="1"/>
  <c r="J32" i="31" s="1"/>
  <c r="Q32" i="29"/>
  <c r="R32" i="29" s="1"/>
  <c r="S32" i="29" s="1"/>
  <c r="L32" i="31" s="1"/>
  <c r="T32" i="29"/>
  <c r="U32" i="29" s="1"/>
  <c r="Z32" i="22"/>
  <c r="AC32" i="22" s="1"/>
  <c r="H32" i="31" s="1"/>
  <c r="V32" i="29" l="1"/>
  <c r="M32" i="31" s="1"/>
  <c r="O32" i="31"/>
  <c r="P32" i="31" s="1"/>
  <c r="V27" i="22"/>
  <c r="D35" i="29" l="1"/>
  <c r="C4" i="31" l="1"/>
  <c r="B4" i="31"/>
  <c r="M4" i="29"/>
  <c r="L4" i="29"/>
  <c r="D4" i="29"/>
  <c r="C4" i="29"/>
  <c r="V4" i="22"/>
  <c r="U4" i="22"/>
  <c r="T4" i="22"/>
  <c r="S4" i="22"/>
  <c r="R4" i="22"/>
  <c r="Q4" i="22"/>
  <c r="D4" i="22"/>
  <c r="C4" i="22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X4" i="22"/>
  <c r="AA4" i="22" s="1"/>
  <c r="AD4" i="22" s="1"/>
  <c r="I4" i="31" s="1"/>
  <c r="N4" i="29"/>
  <c r="D27" i="22"/>
  <c r="Q4" i="29" l="1"/>
  <c r="R4" i="29" s="1"/>
  <c r="S4" i="29" s="1"/>
  <c r="L4" i="31" s="1"/>
  <c r="Y4" i="22"/>
  <c r="AB4" i="22" s="1"/>
  <c r="AE4" i="22" s="1"/>
  <c r="J4" i="31" s="1"/>
  <c r="O4" i="29"/>
  <c r="P4" i="29" s="1"/>
  <c r="K4" i="31" s="1"/>
  <c r="T4" i="29"/>
  <c r="U4" i="29" s="1"/>
  <c r="V4" i="29" l="1"/>
  <c r="M4" i="31" s="1"/>
  <c r="O4" i="31"/>
  <c r="P4" i="31" s="1"/>
  <c r="C31" i="31"/>
  <c r="B31" i="31"/>
  <c r="M31" i="29"/>
  <c r="L31" i="29"/>
  <c r="D31" i="29"/>
  <c r="C31" i="29"/>
  <c r="V31" i="22"/>
  <c r="U31" i="22"/>
  <c r="T31" i="22"/>
  <c r="S31" i="22"/>
  <c r="R31" i="22"/>
  <c r="Q31" i="22"/>
  <c r="D31" i="22"/>
  <c r="C31" i="22"/>
  <c r="D31" i="21"/>
  <c r="C31" i="21"/>
  <c r="G31" i="24"/>
  <c r="H31" i="24" s="1"/>
  <c r="I31" i="24" s="1"/>
  <c r="J31" i="24" s="1"/>
  <c r="N31" i="31" s="1"/>
  <c r="X31" i="22" l="1"/>
  <c r="AA31" i="22" s="1"/>
  <c r="AD31" i="22" s="1"/>
  <c r="I31" i="31" s="1"/>
  <c r="N31" i="29"/>
  <c r="O31" i="29" s="1"/>
  <c r="P31" i="29" s="1"/>
  <c r="K31" i="31" s="1"/>
  <c r="W31" i="22"/>
  <c r="C9" i="31"/>
  <c r="B9" i="31"/>
  <c r="M9" i="29"/>
  <c r="L9" i="29"/>
  <c r="D9" i="29"/>
  <c r="C9" i="29"/>
  <c r="V9" i="22"/>
  <c r="U9" i="22"/>
  <c r="T9" i="22"/>
  <c r="S9" i="22"/>
  <c r="R9" i="22"/>
  <c r="Q9" i="22"/>
  <c r="D9" i="22"/>
  <c r="C9" i="22"/>
  <c r="D9" i="21"/>
  <c r="C9" i="21"/>
  <c r="G9" i="24"/>
  <c r="H9" i="24" s="1"/>
  <c r="I9" i="24" s="1"/>
  <c r="J9" i="24" s="1"/>
  <c r="N9" i="31" s="1"/>
  <c r="Q31" i="29" l="1"/>
  <c r="R31" i="29" s="1"/>
  <c r="S31" i="29" s="1"/>
  <c r="L31" i="31" s="1"/>
  <c r="T31" i="29"/>
  <c r="U31" i="29" s="1"/>
  <c r="N9" i="29"/>
  <c r="O9" i="29" s="1"/>
  <c r="P9" i="29" s="1"/>
  <c r="K9" i="31" s="1"/>
  <c r="Z31" i="22"/>
  <c r="AC31" i="22" s="1"/>
  <c r="H31" i="31" s="1"/>
  <c r="Y31" i="22"/>
  <c r="AB31" i="22" s="1"/>
  <c r="AE31" i="22" s="1"/>
  <c r="J31" i="31" s="1"/>
  <c r="X9" i="22"/>
  <c r="AA9" i="22" s="1"/>
  <c r="AD9" i="22" s="1"/>
  <c r="I9" i="31" s="1"/>
  <c r="W9" i="22"/>
  <c r="Z9" i="22" s="1"/>
  <c r="AC9" i="22" s="1"/>
  <c r="H9" i="31" s="1"/>
  <c r="V31" i="29" l="1"/>
  <c r="M31" i="31" s="1"/>
  <c r="O31" i="31"/>
  <c r="P31" i="31" s="1"/>
  <c r="T9" i="29"/>
  <c r="U9" i="29" s="1"/>
  <c r="Y9" i="22"/>
  <c r="AB9" i="22" s="1"/>
  <c r="AE9" i="22" s="1"/>
  <c r="J9" i="31" s="1"/>
  <c r="Q9" i="29"/>
  <c r="R9" i="29" s="1"/>
  <c r="S9" i="29" s="1"/>
  <c r="L9" i="31" s="1"/>
  <c r="C3" i="21"/>
  <c r="C5" i="21"/>
  <c r="C7" i="21"/>
  <c r="C8" i="21"/>
  <c r="C13" i="21"/>
  <c r="C14" i="21"/>
  <c r="C17" i="21"/>
  <c r="C18" i="21"/>
  <c r="C19" i="21"/>
  <c r="C20" i="21"/>
  <c r="C21" i="21"/>
  <c r="C26" i="21"/>
  <c r="C27" i="21"/>
  <c r="C28" i="21"/>
  <c r="C29" i="21"/>
  <c r="C30" i="21"/>
  <c r="C34" i="21"/>
  <c r="C35" i="21"/>
  <c r="C36" i="21"/>
  <c r="C37" i="21"/>
  <c r="C38" i="21"/>
  <c r="V9" i="29" l="1"/>
  <c r="M9" i="31" s="1"/>
  <c r="O9" i="31"/>
  <c r="P9" i="31" s="1"/>
  <c r="Q5" i="22" l="1"/>
  <c r="R5" i="22"/>
  <c r="S5" i="22"/>
  <c r="C5" i="31"/>
  <c r="B5" i="31"/>
  <c r="M5" i="29"/>
  <c r="L5" i="29"/>
  <c r="D5" i="29"/>
  <c r="C5" i="29"/>
  <c r="V5" i="22"/>
  <c r="U5" i="22"/>
  <c r="T5" i="22"/>
  <c r="D5" i="22"/>
  <c r="C5" i="22"/>
  <c r="D5" i="21"/>
  <c r="G5" i="24"/>
  <c r="H5" i="24" s="1"/>
  <c r="I5" i="24" s="1"/>
  <c r="J5" i="24" s="1"/>
  <c r="N5" i="31" s="1"/>
  <c r="W5" i="22" l="1"/>
  <c r="Z5" i="22" s="1"/>
  <c r="AC5" i="22" s="1"/>
  <c r="H5" i="31" s="1"/>
  <c r="N5" i="29"/>
  <c r="X5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C21" i="31"/>
  <c r="B21" i="31"/>
  <c r="C20" i="31"/>
  <c r="B20" i="31"/>
  <c r="C19" i="31"/>
  <c r="B19" i="31"/>
  <c r="M21" i="29"/>
  <c r="L21" i="29"/>
  <c r="D21" i="29"/>
  <c r="C21" i="29"/>
  <c r="M20" i="29"/>
  <c r="L20" i="29"/>
  <c r="D20" i="29"/>
  <c r="C20" i="29"/>
  <c r="M19" i="29"/>
  <c r="L19" i="29"/>
  <c r="D19" i="29"/>
  <c r="C19" i="29"/>
  <c r="V21" i="22"/>
  <c r="U21" i="22"/>
  <c r="T21" i="22"/>
  <c r="S21" i="22"/>
  <c r="R21" i="22"/>
  <c r="Q21" i="22"/>
  <c r="D21" i="22"/>
  <c r="C21" i="22"/>
  <c r="V20" i="22"/>
  <c r="U20" i="22"/>
  <c r="T20" i="22"/>
  <c r="S20" i="22"/>
  <c r="R20" i="22"/>
  <c r="Q20" i="22"/>
  <c r="D20" i="22"/>
  <c r="C20" i="22"/>
  <c r="V19" i="22"/>
  <c r="U19" i="22"/>
  <c r="T19" i="22"/>
  <c r="S19" i="22"/>
  <c r="R19" i="22"/>
  <c r="Q19" i="22"/>
  <c r="D19" i="22"/>
  <c r="C19" i="22"/>
  <c r="D21" i="21"/>
  <c r="D20" i="21"/>
  <c r="D19" i="21"/>
  <c r="G21" i="24"/>
  <c r="H21" i="24" s="1"/>
  <c r="I21" i="24" s="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C14" i="31"/>
  <c r="B14" i="31"/>
  <c r="C13" i="31"/>
  <c r="B13" i="31"/>
  <c r="C8" i="31"/>
  <c r="B8" i="31"/>
  <c r="C7" i="31"/>
  <c r="B7" i="31"/>
  <c r="M14" i="29"/>
  <c r="L14" i="29"/>
  <c r="D14" i="29"/>
  <c r="C14" i="29"/>
  <c r="M13" i="29"/>
  <c r="L13" i="29"/>
  <c r="D13" i="29"/>
  <c r="C13" i="29"/>
  <c r="M8" i="29"/>
  <c r="L8" i="29"/>
  <c r="D8" i="29"/>
  <c r="C8" i="29"/>
  <c r="M7" i="29"/>
  <c r="L7" i="29"/>
  <c r="D7" i="29"/>
  <c r="C7" i="29"/>
  <c r="V14" i="22"/>
  <c r="U14" i="22"/>
  <c r="T14" i="22"/>
  <c r="S14" i="22"/>
  <c r="R14" i="22"/>
  <c r="Q14" i="22"/>
  <c r="D14" i="22"/>
  <c r="C14" i="22"/>
  <c r="V13" i="22"/>
  <c r="U13" i="22"/>
  <c r="T13" i="22"/>
  <c r="S13" i="22"/>
  <c r="R13" i="22"/>
  <c r="Q13" i="22"/>
  <c r="D13" i="22"/>
  <c r="C13" i="22"/>
  <c r="V8" i="22"/>
  <c r="U8" i="22"/>
  <c r="T8" i="22"/>
  <c r="S8" i="22"/>
  <c r="R8" i="22"/>
  <c r="Q8" i="22"/>
  <c r="D8" i="22"/>
  <c r="C8" i="22"/>
  <c r="V7" i="22"/>
  <c r="U7" i="22"/>
  <c r="T7" i="22"/>
  <c r="S7" i="22"/>
  <c r="R7" i="22"/>
  <c r="Q7" i="22"/>
  <c r="D7" i="22"/>
  <c r="C7" i="22"/>
  <c r="D14" i="21"/>
  <c r="D13" i="21"/>
  <c r="D8" i="21"/>
  <c r="D7" i="21"/>
  <c r="G14" i="24"/>
  <c r="H14" i="24" s="1"/>
  <c r="I14" i="24" s="1"/>
  <c r="G13" i="24"/>
  <c r="H13" i="24" s="1"/>
  <c r="I13" i="24" s="1"/>
  <c r="J13" i="24" s="1"/>
  <c r="N13" i="31" s="1"/>
  <c r="G8" i="24"/>
  <c r="H8" i="24" s="1"/>
  <c r="I8" i="24" s="1"/>
  <c r="G7" i="24"/>
  <c r="H7" i="24" s="1"/>
  <c r="I7" i="24" s="1"/>
  <c r="J7" i="24" s="1"/>
  <c r="N7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D17" i="29"/>
  <c r="D17" i="21"/>
  <c r="D18" i="21"/>
  <c r="D26" i="21"/>
  <c r="D27" i="21"/>
  <c r="D28" i="21"/>
  <c r="D29" i="21"/>
  <c r="D30" i="21"/>
  <c r="D34" i="21"/>
  <c r="D35" i="21"/>
  <c r="D36" i="21"/>
  <c r="D37" i="21"/>
  <c r="D38" i="21"/>
  <c r="C35" i="31"/>
  <c r="B35" i="31"/>
  <c r="M35" i="29"/>
  <c r="L35" i="29"/>
  <c r="C35" i="29"/>
  <c r="V35" i="22"/>
  <c r="U35" i="22"/>
  <c r="T35" i="22"/>
  <c r="S35" i="22"/>
  <c r="R35" i="22"/>
  <c r="Q35" i="22"/>
  <c r="D35" i="22"/>
  <c r="C35" i="22"/>
  <c r="G35" i="24"/>
  <c r="H35" i="24" s="1"/>
  <c r="I35" i="24" s="1"/>
  <c r="J35" i="24" s="1"/>
  <c r="N35" i="31" s="1"/>
  <c r="C34" i="31"/>
  <c r="B34" i="31"/>
  <c r="M34" i="29"/>
  <c r="L34" i="29"/>
  <c r="D34" i="29"/>
  <c r="C34" i="29"/>
  <c r="V34" i="22"/>
  <c r="U34" i="22"/>
  <c r="T34" i="22"/>
  <c r="S34" i="22"/>
  <c r="R34" i="22"/>
  <c r="Q34" i="22"/>
  <c r="D34" i="22"/>
  <c r="C34" i="22"/>
  <c r="G34" i="24"/>
  <c r="H34" i="24" s="1"/>
  <c r="I34" i="24" s="1"/>
  <c r="J34" i="24" s="1"/>
  <c r="N34" i="31" s="1"/>
  <c r="C28" i="31"/>
  <c r="B28" i="31"/>
  <c r="D28" i="29"/>
  <c r="C28" i="29"/>
  <c r="M28" i="29"/>
  <c r="L28" i="29"/>
  <c r="V28" i="22"/>
  <c r="U28" i="22"/>
  <c r="T28" i="22"/>
  <c r="S28" i="22"/>
  <c r="R28" i="22"/>
  <c r="Q28" i="22"/>
  <c r="D28" i="22"/>
  <c r="C28" i="22"/>
  <c r="C17" i="22"/>
  <c r="C26" i="22"/>
  <c r="D26" i="22"/>
  <c r="Q26" i="22"/>
  <c r="R26" i="22"/>
  <c r="S26" i="22"/>
  <c r="T26" i="22"/>
  <c r="U26" i="22"/>
  <c r="V26" i="22"/>
  <c r="C27" i="22"/>
  <c r="Q27" i="22"/>
  <c r="R27" i="22"/>
  <c r="S27" i="22"/>
  <c r="T27" i="22"/>
  <c r="U27" i="22"/>
  <c r="C38" i="31"/>
  <c r="B38" i="31"/>
  <c r="M38" i="29"/>
  <c r="L38" i="29"/>
  <c r="D38" i="29"/>
  <c r="C38" i="29"/>
  <c r="V38" i="22"/>
  <c r="U38" i="22"/>
  <c r="T38" i="22"/>
  <c r="S38" i="22"/>
  <c r="R38" i="22"/>
  <c r="Q38" i="22"/>
  <c r="D38" i="22"/>
  <c r="C38" i="22"/>
  <c r="G38" i="24"/>
  <c r="H38" i="24" s="1"/>
  <c r="I38" i="24" s="1"/>
  <c r="J38" i="24" s="1"/>
  <c r="N38" i="31" s="1"/>
  <c r="C30" i="31"/>
  <c r="B30" i="31"/>
  <c r="C29" i="31"/>
  <c r="B29" i="31"/>
  <c r="C27" i="31"/>
  <c r="B27" i="31"/>
  <c r="C26" i="31"/>
  <c r="B26" i="31"/>
  <c r="C18" i="31"/>
  <c r="B18" i="31"/>
  <c r="C17" i="31"/>
  <c r="B17" i="31"/>
  <c r="M30" i="29"/>
  <c r="L30" i="29"/>
  <c r="D30" i="29"/>
  <c r="C30" i="29"/>
  <c r="M29" i="29"/>
  <c r="L29" i="29"/>
  <c r="D29" i="29"/>
  <c r="C29" i="29"/>
  <c r="M27" i="29"/>
  <c r="L27" i="29"/>
  <c r="D27" i="29"/>
  <c r="C27" i="29"/>
  <c r="M26" i="29"/>
  <c r="L26" i="29"/>
  <c r="D26" i="29"/>
  <c r="C26" i="29"/>
  <c r="M18" i="29"/>
  <c r="L18" i="29"/>
  <c r="D18" i="29"/>
  <c r="C18" i="29"/>
  <c r="M17" i="29"/>
  <c r="L17" i="29"/>
  <c r="C17" i="29"/>
  <c r="V30" i="22"/>
  <c r="U30" i="22"/>
  <c r="T30" i="22"/>
  <c r="S30" i="22"/>
  <c r="R30" i="22"/>
  <c r="Q30" i="22"/>
  <c r="D30" i="22"/>
  <c r="C30" i="22"/>
  <c r="V29" i="22"/>
  <c r="U29" i="22"/>
  <c r="T29" i="22"/>
  <c r="S29" i="22"/>
  <c r="R29" i="22"/>
  <c r="Q29" i="22"/>
  <c r="D29" i="22"/>
  <c r="C29" i="22"/>
  <c r="V18" i="22"/>
  <c r="U18" i="22"/>
  <c r="T18" i="22"/>
  <c r="S18" i="22"/>
  <c r="R18" i="22"/>
  <c r="Q18" i="22"/>
  <c r="D18" i="22"/>
  <c r="C18" i="22"/>
  <c r="V17" i="22"/>
  <c r="U17" i="22"/>
  <c r="T17" i="22"/>
  <c r="S17" i="22"/>
  <c r="R17" i="22"/>
  <c r="Q17" i="22"/>
  <c r="D17" i="22"/>
  <c r="G30" i="24"/>
  <c r="H30" i="24" s="1"/>
  <c r="I30" i="24" s="1"/>
  <c r="J30" i="24" s="1"/>
  <c r="N30" i="31" s="1"/>
  <c r="C37" i="31"/>
  <c r="B37" i="31"/>
  <c r="M37" i="29"/>
  <c r="L37" i="29"/>
  <c r="D37" i="29"/>
  <c r="C37" i="29"/>
  <c r="V37" i="22"/>
  <c r="U37" i="22"/>
  <c r="T37" i="22"/>
  <c r="S37" i="22"/>
  <c r="R37" i="22"/>
  <c r="Q37" i="22"/>
  <c r="D37" i="22"/>
  <c r="C37" i="22"/>
  <c r="G37" i="24"/>
  <c r="H37" i="24" s="1"/>
  <c r="I37" i="24" s="1"/>
  <c r="J37" i="24" s="1"/>
  <c r="N37" i="31" s="1"/>
  <c r="B36" i="31"/>
  <c r="M36" i="29"/>
  <c r="L36" i="29"/>
  <c r="D36" i="29"/>
  <c r="C36" i="29"/>
  <c r="V36" i="22"/>
  <c r="U36" i="22"/>
  <c r="T36" i="22"/>
  <c r="S36" i="22"/>
  <c r="R36" i="22"/>
  <c r="Q36" i="22"/>
  <c r="D36" i="22"/>
  <c r="C36" i="22"/>
  <c r="G36" i="24"/>
  <c r="H36" i="24" s="1"/>
  <c r="I36" i="24" s="1"/>
  <c r="J36" i="24" s="1"/>
  <c r="N36" i="31" s="1"/>
  <c r="C36" i="31"/>
  <c r="X21" i="22" l="1"/>
  <c r="AA21" i="22" s="1"/>
  <c r="AD21" i="22" s="1"/>
  <c r="I21" i="31" s="1"/>
  <c r="N13" i="29"/>
  <c r="O13" i="29" s="1"/>
  <c r="P13" i="29" s="1"/>
  <c r="K13" i="31" s="1"/>
  <c r="N7" i="29"/>
  <c r="O7" i="29" s="1"/>
  <c r="P7" i="29" s="1"/>
  <c r="K7" i="31" s="1"/>
  <c r="AK3" i="21"/>
  <c r="N8" i="29"/>
  <c r="O8" i="29" s="1"/>
  <c r="P8" i="29" s="1"/>
  <c r="K8" i="31" s="1"/>
  <c r="N36" i="29"/>
  <c r="O36" i="29" s="1"/>
  <c r="P36" i="29" s="1"/>
  <c r="K36" i="31" s="1"/>
  <c r="X28" i="22"/>
  <c r="AA28" i="22" s="1"/>
  <c r="AD28" i="22" s="1"/>
  <c r="I28" i="31" s="1"/>
  <c r="N14" i="29"/>
  <c r="O14" i="29" s="1"/>
  <c r="P14" i="29" s="1"/>
  <c r="K14" i="31" s="1"/>
  <c r="X30" i="22"/>
  <c r="AA30" i="22" s="1"/>
  <c r="AD30" i="22" s="1"/>
  <c r="I30" i="31" s="1"/>
  <c r="N17" i="29"/>
  <c r="N18" i="29"/>
  <c r="O18" i="29" s="1"/>
  <c r="P18" i="29" s="1"/>
  <c r="K18" i="31" s="1"/>
  <c r="N29" i="29"/>
  <c r="O29" i="29" s="1"/>
  <c r="P29" i="29" s="1"/>
  <c r="K29" i="31" s="1"/>
  <c r="N30" i="29"/>
  <c r="O30" i="29" s="1"/>
  <c r="P30" i="29" s="1"/>
  <c r="K30" i="31" s="1"/>
  <c r="N38" i="29"/>
  <c r="W36" i="22"/>
  <c r="X36" i="22"/>
  <c r="AA36" i="22" s="1"/>
  <c r="AD36" i="22" s="1"/>
  <c r="I36" i="31" s="1"/>
  <c r="X20" i="22"/>
  <c r="AA20" i="22" s="1"/>
  <c r="AD20" i="22" s="1"/>
  <c r="I20" i="31" s="1"/>
  <c r="W38" i="22"/>
  <c r="Z38" i="22" s="1"/>
  <c r="AC38" i="22" s="1"/>
  <c r="H38" i="31" s="1"/>
  <c r="X38" i="22"/>
  <c r="AA38" i="22" s="1"/>
  <c r="AD38" i="22" s="1"/>
  <c r="I38" i="31" s="1"/>
  <c r="X29" i="22"/>
  <c r="AA29" i="22" s="1"/>
  <c r="AD29" i="22" s="1"/>
  <c r="I29" i="31" s="1"/>
  <c r="N27" i="29"/>
  <c r="X19" i="22"/>
  <c r="AA19" i="22" s="1"/>
  <c r="AD19" i="22" s="1"/>
  <c r="I19" i="31" s="1"/>
  <c r="N21" i="29"/>
  <c r="O21" i="29" s="1"/>
  <c r="P21" i="29" s="1"/>
  <c r="K21" i="31" s="1"/>
  <c r="X27" i="22"/>
  <c r="AA27" i="22" s="1"/>
  <c r="AD27" i="22" s="1"/>
  <c r="I27" i="31" s="1"/>
  <c r="X26" i="22"/>
  <c r="AA26" i="22" s="1"/>
  <c r="AD26" i="22" s="1"/>
  <c r="I26" i="31" s="1"/>
  <c r="W28" i="22"/>
  <c r="N28" i="29"/>
  <c r="O28" i="29" s="1"/>
  <c r="P28" i="29" s="1"/>
  <c r="K28" i="31" s="1"/>
  <c r="N35" i="29"/>
  <c r="O35" i="29" s="1"/>
  <c r="P35" i="29" s="1"/>
  <c r="K35" i="31" s="1"/>
  <c r="AA3" i="21"/>
  <c r="AF3" i="21"/>
  <c r="W19" i="22"/>
  <c r="Z19" i="22" s="1"/>
  <c r="AC19" i="22" s="1"/>
  <c r="H19" i="31" s="1"/>
  <c r="W20" i="22"/>
  <c r="W21" i="22"/>
  <c r="N20" i="29"/>
  <c r="O20" i="29" s="1"/>
  <c r="P20" i="29" s="1"/>
  <c r="K20" i="31" s="1"/>
  <c r="W37" i="22"/>
  <c r="X37" i="22"/>
  <c r="AA37" i="22" s="1"/>
  <c r="AD37" i="22" s="1"/>
  <c r="I37" i="31" s="1"/>
  <c r="N37" i="29"/>
  <c r="O37" i="29" s="1"/>
  <c r="P37" i="29" s="1"/>
  <c r="K37" i="31" s="1"/>
  <c r="AA5" i="22"/>
  <c r="AD5" i="22" s="1"/>
  <c r="I5" i="31" s="1"/>
  <c r="Y5" i="22"/>
  <c r="AB5" i="22" s="1"/>
  <c r="AE5" i="22" s="1"/>
  <c r="J5" i="31" s="1"/>
  <c r="W17" i="22"/>
  <c r="Z17" i="22" s="1"/>
  <c r="AC17" i="22" s="1"/>
  <c r="H17" i="31" s="1"/>
  <c r="W18" i="22"/>
  <c r="X18" i="22"/>
  <c r="AA18" i="22" s="1"/>
  <c r="AD18" i="22" s="1"/>
  <c r="I18" i="31" s="1"/>
  <c r="W29" i="22"/>
  <c r="N26" i="29"/>
  <c r="O26" i="29" s="1"/>
  <c r="P26" i="29" s="1"/>
  <c r="K26" i="31" s="1"/>
  <c r="W27" i="22"/>
  <c r="W26" i="22"/>
  <c r="X17" i="22"/>
  <c r="AA17" i="22" s="1"/>
  <c r="AD17" i="22" s="1"/>
  <c r="I17" i="31" s="1"/>
  <c r="W34" i="22"/>
  <c r="N34" i="29"/>
  <c r="X35" i="22"/>
  <c r="AA35" i="22" s="1"/>
  <c r="AD35" i="22" s="1"/>
  <c r="I35" i="31" s="1"/>
  <c r="X7" i="22"/>
  <c r="AA7" i="22" s="1"/>
  <c r="AD7" i="22" s="1"/>
  <c r="I7" i="31" s="1"/>
  <c r="X8" i="22"/>
  <c r="AA8" i="22" s="1"/>
  <c r="AD8" i="22" s="1"/>
  <c r="I8" i="31" s="1"/>
  <c r="W13" i="22"/>
  <c r="X13" i="22"/>
  <c r="AA13" i="22" s="1"/>
  <c r="AD13" i="22" s="1"/>
  <c r="I13" i="31" s="1"/>
  <c r="W14" i="22"/>
  <c r="Z14" i="22" s="1"/>
  <c r="AC14" i="22" s="1"/>
  <c r="H14" i="31" s="1"/>
  <c r="X14" i="22"/>
  <c r="AA14" i="22" s="1"/>
  <c r="AD14" i="22" s="1"/>
  <c r="I14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W30" i="22"/>
  <c r="X34" i="22"/>
  <c r="AA34" i="22" s="1"/>
  <c r="AD34" i="22" s="1"/>
  <c r="I34" i="31" s="1"/>
  <c r="W35" i="22"/>
  <c r="N3" i="29"/>
  <c r="N19" i="29"/>
  <c r="O19" i="29" s="1"/>
  <c r="P19" i="29" s="1"/>
  <c r="K19" i="31" s="1"/>
  <c r="T5" i="29"/>
  <c r="U5" i="29" s="1"/>
  <c r="O5" i="31" s="1"/>
  <c r="P5" i="31" s="1"/>
  <c r="W7" i="22"/>
  <c r="W8" i="22"/>
  <c r="J14" i="24"/>
  <c r="N14" i="31" s="1"/>
  <c r="J21" i="24"/>
  <c r="N21" i="31" s="1"/>
  <c r="J8" i="24"/>
  <c r="N8" i="31" s="1"/>
  <c r="AP3" i="21"/>
  <c r="W3" i="22"/>
  <c r="AR3" i="21" l="1"/>
  <c r="AU3" i="21" s="1"/>
  <c r="AX3" i="21" s="1"/>
  <c r="F3" i="31" s="1"/>
  <c r="T28" i="29"/>
  <c r="U28" i="29" s="1"/>
  <c r="AQ3" i="21"/>
  <c r="AT3" i="21" s="1"/>
  <c r="AW3" i="21" s="1"/>
  <c r="E3" i="31" s="1"/>
  <c r="Y36" i="22"/>
  <c r="AB36" i="22" s="1"/>
  <c r="AE36" i="22" s="1"/>
  <c r="J36" i="31" s="1"/>
  <c r="T26" i="29"/>
  <c r="U26" i="29" s="1"/>
  <c r="Q17" i="29"/>
  <c r="R17" i="29" s="1"/>
  <c r="S17" i="29" s="1"/>
  <c r="L17" i="31" s="1"/>
  <c r="T21" i="29"/>
  <c r="U21" i="29" s="1"/>
  <c r="Y29" i="22"/>
  <c r="AB29" i="22" s="1"/>
  <c r="AE29" i="22" s="1"/>
  <c r="J29" i="31" s="1"/>
  <c r="Z29" i="22"/>
  <c r="AC29" i="22" s="1"/>
  <c r="H29" i="31" s="1"/>
  <c r="O17" i="29"/>
  <c r="P17" i="29" s="1"/>
  <c r="K17" i="31" s="1"/>
  <c r="T17" i="29"/>
  <c r="U17" i="29" s="1"/>
  <c r="Q13" i="29"/>
  <c r="R13" i="29" s="1"/>
  <c r="S13" i="29" s="1"/>
  <c r="L13" i="31" s="1"/>
  <c r="T13" i="29"/>
  <c r="U13" i="29" s="1"/>
  <c r="Z26" i="22"/>
  <c r="AC26" i="22" s="1"/>
  <c r="H26" i="31" s="1"/>
  <c r="Y34" i="22"/>
  <c r="AB34" i="22" s="1"/>
  <c r="AE34" i="22" s="1"/>
  <c r="J34" i="31" s="1"/>
  <c r="Z34" i="22"/>
  <c r="AC34" i="22" s="1"/>
  <c r="H34" i="31" s="1"/>
  <c r="Z21" i="22"/>
  <c r="AC21" i="22" s="1"/>
  <c r="H21" i="31" s="1"/>
  <c r="Y21" i="22"/>
  <c r="Q14" i="29"/>
  <c r="R14" i="29" s="1"/>
  <c r="S14" i="29" s="1"/>
  <c r="L14" i="31" s="1"/>
  <c r="Y17" i="22"/>
  <c r="AB17" i="22" s="1"/>
  <c r="AE17" i="22" s="1"/>
  <c r="J17" i="31" s="1"/>
  <c r="Q29" i="29"/>
  <c r="R29" i="29" s="1"/>
  <c r="S29" i="29" s="1"/>
  <c r="L29" i="31" s="1"/>
  <c r="T29" i="29"/>
  <c r="U29" i="29" s="1"/>
  <c r="T36" i="29"/>
  <c r="U36" i="29" s="1"/>
  <c r="Y37" i="22"/>
  <c r="AB37" i="22" s="1"/>
  <c r="AE37" i="22" s="1"/>
  <c r="J37" i="31" s="1"/>
  <c r="Z37" i="22"/>
  <c r="AC37" i="22" s="1"/>
  <c r="H37" i="31" s="1"/>
  <c r="Z20" i="22"/>
  <c r="AC20" i="22" s="1"/>
  <c r="H20" i="31" s="1"/>
  <c r="Y20" i="22"/>
  <c r="AB20" i="22" s="1"/>
  <c r="AE20" i="22" s="1"/>
  <c r="J20" i="31" s="1"/>
  <c r="Y35" i="22"/>
  <c r="AB35" i="22" s="1"/>
  <c r="AE35" i="22" s="1"/>
  <c r="J35" i="31" s="1"/>
  <c r="Z35" i="22"/>
  <c r="AC35" i="22" s="1"/>
  <c r="H35" i="31" s="1"/>
  <c r="Q20" i="29"/>
  <c r="R20" i="29" s="1"/>
  <c r="S20" i="29" s="1"/>
  <c r="L20" i="31" s="1"/>
  <c r="T18" i="29"/>
  <c r="U18" i="29" s="1"/>
  <c r="Y18" i="22"/>
  <c r="AB18" i="22" s="1"/>
  <c r="AE18" i="22" s="1"/>
  <c r="J18" i="31" s="1"/>
  <c r="O34" i="29"/>
  <c r="P34" i="29" s="1"/>
  <c r="K34" i="31" s="1"/>
  <c r="Q34" i="29"/>
  <c r="R34" i="29" s="1"/>
  <c r="S34" i="29" s="1"/>
  <c r="L34" i="31" s="1"/>
  <c r="O38" i="29"/>
  <c r="P38" i="29" s="1"/>
  <c r="K38" i="31" s="1"/>
  <c r="Q38" i="29"/>
  <c r="R38" i="29" s="1"/>
  <c r="S38" i="29" s="1"/>
  <c r="L38" i="31" s="1"/>
  <c r="O27" i="29"/>
  <c r="P27" i="29" s="1"/>
  <c r="K27" i="31" s="1"/>
  <c r="Q27" i="29"/>
  <c r="R27" i="29" s="1"/>
  <c r="S27" i="29" s="1"/>
  <c r="L27" i="31" s="1"/>
  <c r="Q37" i="29"/>
  <c r="R37" i="29" s="1"/>
  <c r="S37" i="29" s="1"/>
  <c r="L37" i="31" s="1"/>
  <c r="T3" i="29"/>
  <c r="U3" i="29" s="1"/>
  <c r="Y13" i="22"/>
  <c r="AB13" i="22" s="1"/>
  <c r="AE13" i="22" s="1"/>
  <c r="J13" i="31" s="1"/>
  <c r="T19" i="29"/>
  <c r="U19" i="29" s="1"/>
  <c r="Y38" i="22"/>
  <c r="AB38" i="22" s="1"/>
  <c r="AE38" i="22" s="1"/>
  <c r="J38" i="31" s="1"/>
  <c r="O3" i="29"/>
  <c r="P3" i="29" s="1"/>
  <c r="K3" i="31" s="1"/>
  <c r="Q3" i="29"/>
  <c r="R3" i="29" s="1"/>
  <c r="S3" i="29" s="1"/>
  <c r="L3" i="31" s="1"/>
  <c r="Y19" i="22"/>
  <c r="AB19" i="22" s="1"/>
  <c r="AE19" i="22" s="1"/>
  <c r="J19" i="31" s="1"/>
  <c r="Z13" i="22"/>
  <c r="AC13" i="22" s="1"/>
  <c r="H13" i="31" s="1"/>
  <c r="T20" i="29"/>
  <c r="U20" i="29" s="1"/>
  <c r="Q18" i="29"/>
  <c r="R18" i="29" s="1"/>
  <c r="S18" i="29" s="1"/>
  <c r="L18" i="31" s="1"/>
  <c r="Z18" i="22"/>
  <c r="AC18" i="22" s="1"/>
  <c r="H18" i="31" s="1"/>
  <c r="T37" i="29"/>
  <c r="U37" i="29" s="1"/>
  <c r="Q21" i="29"/>
  <c r="R21" i="29" s="1"/>
  <c r="S21" i="29" s="1"/>
  <c r="L21" i="31" s="1"/>
  <c r="Q35" i="29"/>
  <c r="R35" i="29" s="1"/>
  <c r="S35" i="29" s="1"/>
  <c r="L35" i="31" s="1"/>
  <c r="Z36" i="22"/>
  <c r="AC36" i="22" s="1"/>
  <c r="H36" i="31" s="1"/>
  <c r="Q28" i="29"/>
  <c r="R28" i="29" s="1"/>
  <c r="S28" i="29" s="1"/>
  <c r="L28" i="31" s="1"/>
  <c r="Z28" i="22"/>
  <c r="AC28" i="22" s="1"/>
  <c r="H28" i="31" s="1"/>
  <c r="Y28" i="22"/>
  <c r="AB28" i="22" s="1"/>
  <c r="AE28" i="22" s="1"/>
  <c r="J28" i="31" s="1"/>
  <c r="T38" i="29"/>
  <c r="U38" i="29" s="1"/>
  <c r="Y3" i="22"/>
  <c r="AB3" i="22" s="1"/>
  <c r="AE3" i="22" s="1"/>
  <c r="J3" i="31" s="1"/>
  <c r="T35" i="29"/>
  <c r="U35" i="29" s="1"/>
  <c r="Y14" i="22"/>
  <c r="AB14" i="22" s="1"/>
  <c r="AE14" i="22" s="1"/>
  <c r="J14" i="31" s="1"/>
  <c r="T14" i="29"/>
  <c r="U14" i="29" s="1"/>
  <c r="Q36" i="29"/>
  <c r="R36" i="29" s="1"/>
  <c r="S36" i="29" s="1"/>
  <c r="L36" i="31" s="1"/>
  <c r="Y26" i="22"/>
  <c r="AB26" i="22" s="1"/>
  <c r="AE26" i="22" s="1"/>
  <c r="J26" i="31" s="1"/>
  <c r="Q26" i="29"/>
  <c r="R26" i="29" s="1"/>
  <c r="S26" i="29" s="1"/>
  <c r="L26" i="31" s="1"/>
  <c r="Z27" i="22"/>
  <c r="AC27" i="22" s="1"/>
  <c r="H27" i="31" s="1"/>
  <c r="Y27" i="22"/>
  <c r="AB27" i="22" s="1"/>
  <c r="AE27" i="22" s="1"/>
  <c r="J27" i="31" s="1"/>
  <c r="T27" i="29"/>
  <c r="U27" i="29" s="1"/>
  <c r="Z30" i="22"/>
  <c r="AC30" i="22" s="1"/>
  <c r="H30" i="31" s="1"/>
  <c r="Q30" i="29"/>
  <c r="R30" i="29" s="1"/>
  <c r="S30" i="29" s="1"/>
  <c r="L30" i="31" s="1"/>
  <c r="Y30" i="22"/>
  <c r="AB30" i="22" s="1"/>
  <c r="AE30" i="22" s="1"/>
  <c r="J30" i="31" s="1"/>
  <c r="T30" i="29"/>
  <c r="U30" i="29" s="1"/>
  <c r="Q19" i="29"/>
  <c r="R19" i="29" s="1"/>
  <c r="S19" i="29" s="1"/>
  <c r="L19" i="31" s="1"/>
  <c r="T34" i="29"/>
  <c r="U34" i="29" s="1"/>
  <c r="V5" i="29"/>
  <c r="M5" i="31" s="1"/>
  <c r="Q7" i="29"/>
  <c r="R7" i="29" s="1"/>
  <c r="S7" i="29" s="1"/>
  <c r="L7" i="31" s="1"/>
  <c r="T7" i="29"/>
  <c r="U7" i="29" s="1"/>
  <c r="O7" i="31" s="1"/>
  <c r="P7" i="31" s="1"/>
  <c r="Y7" i="22"/>
  <c r="AB7" i="22" s="1"/>
  <c r="AE7" i="22" s="1"/>
  <c r="J7" i="31" s="1"/>
  <c r="Z7" i="22"/>
  <c r="AC7" i="22" s="1"/>
  <c r="H7" i="31" s="1"/>
  <c r="Z3" i="22"/>
  <c r="AC3" i="22" s="1"/>
  <c r="H3" i="31" s="1"/>
  <c r="T8" i="29"/>
  <c r="U8" i="29" s="1"/>
  <c r="O8" i="31" s="1"/>
  <c r="P8" i="31" s="1"/>
  <c r="Q8" i="29"/>
  <c r="R8" i="29" s="1"/>
  <c r="S8" i="29" s="1"/>
  <c r="L8" i="31" s="1"/>
  <c r="Z8" i="22"/>
  <c r="AC8" i="22" s="1"/>
  <c r="H8" i="31" s="1"/>
  <c r="Y8" i="22"/>
  <c r="AB8" i="22" s="1"/>
  <c r="AE8" i="22" s="1"/>
  <c r="J8" i="31" s="1"/>
  <c r="V30" i="29" l="1"/>
  <c r="M30" i="31" s="1"/>
  <c r="O30" i="31"/>
  <c r="P30" i="31" s="1"/>
  <c r="V36" i="29"/>
  <c r="M36" i="31" s="1"/>
  <c r="O36" i="31"/>
  <c r="P36" i="31" s="1"/>
  <c r="V17" i="29"/>
  <c r="M17" i="31" s="1"/>
  <c r="O17" i="31"/>
  <c r="P17" i="31" s="1"/>
  <c r="V27" i="29"/>
  <c r="M27" i="31" s="1"/>
  <c r="O27" i="31"/>
  <c r="P27" i="31" s="1"/>
  <c r="V26" i="29"/>
  <c r="M26" i="31" s="1"/>
  <c r="O26" i="31"/>
  <c r="P26" i="31" s="1"/>
  <c r="V20" i="29"/>
  <c r="M20" i="31" s="1"/>
  <c r="O20" i="31"/>
  <c r="P20" i="31" s="1"/>
  <c r="V14" i="29"/>
  <c r="M14" i="31" s="1"/>
  <c r="O14" i="31"/>
  <c r="P14" i="31" s="1"/>
  <c r="V38" i="29"/>
  <c r="M38" i="31" s="1"/>
  <c r="O38" i="31"/>
  <c r="P38" i="31" s="1"/>
  <c r="V37" i="29"/>
  <c r="M37" i="31" s="1"/>
  <c r="O37" i="31"/>
  <c r="P37" i="31" s="1"/>
  <c r="V34" i="29"/>
  <c r="M34" i="31" s="1"/>
  <c r="O34" i="31"/>
  <c r="P34" i="31" s="1"/>
  <c r="V21" i="29"/>
  <c r="M21" i="31" s="1"/>
  <c r="O21" i="31"/>
  <c r="P21" i="31" s="1"/>
  <c r="V28" i="29"/>
  <c r="M28" i="31" s="1"/>
  <c r="O28" i="31"/>
  <c r="P28" i="31" s="1"/>
  <c r="V19" i="29"/>
  <c r="M19" i="31" s="1"/>
  <c r="O19" i="31"/>
  <c r="P19" i="31" s="1"/>
  <c r="V18" i="29"/>
  <c r="M18" i="31" s="1"/>
  <c r="O18" i="31"/>
  <c r="P18" i="31" s="1"/>
  <c r="V35" i="29"/>
  <c r="M35" i="31" s="1"/>
  <c r="O35" i="31"/>
  <c r="P35" i="31" s="1"/>
  <c r="V29" i="29"/>
  <c r="M29" i="31" s="1"/>
  <c r="O29" i="31"/>
  <c r="P29" i="31" s="1"/>
  <c r="V13" i="29"/>
  <c r="M13" i="31" s="1"/>
  <c r="O13" i="31"/>
  <c r="P13" i="31" s="1"/>
  <c r="AB21" i="22"/>
  <c r="AE21" i="22" s="1"/>
  <c r="J21" i="31" s="1"/>
  <c r="AS3" i="21"/>
  <c r="AV3" i="21" s="1"/>
  <c r="AY3" i="21" s="1"/>
  <c r="G3" i="31" s="1"/>
  <c r="V3" i="29"/>
  <c r="M3" i="31" s="1"/>
  <c r="V8" i="29"/>
  <c r="M8" i="31" s="1"/>
  <c r="V7" i="29"/>
  <c r="M7" i="31" s="1"/>
  <c r="O3" i="31" l="1"/>
  <c r="P3" i="31" s="1"/>
</calcChain>
</file>

<file path=xl/sharedStrings.xml><?xml version="1.0" encoding="utf-8"?>
<sst xmlns="http://schemas.openxmlformats.org/spreadsheetml/2006/main" count="482" uniqueCount="185">
  <si>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</si>
  <si>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</si>
  <si>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</si>
  <si>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</si>
  <si>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</si>
  <si>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</si>
  <si>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</si>
  <si>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</si>
  <si>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</si>
  <si>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</si>
  <si>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</si>
  <si>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</si>
  <si>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</si>
  <si>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</si>
  <si>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</si>
  <si>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</si>
  <si>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</si>
  <si>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</si>
  <si>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</si>
  <si>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>Audi</t>
  </si>
  <si>
    <t>Q8 AWD</t>
  </si>
  <si>
    <t>SQ8 AWD</t>
  </si>
  <si>
    <t>RS Q8 AWD</t>
  </si>
  <si>
    <t>Chevrolet</t>
  </si>
  <si>
    <t>Malibu 4DR FWD</t>
  </si>
  <si>
    <t>Ford</t>
  </si>
  <si>
    <t>Explorer SUV RWD</t>
  </si>
  <si>
    <t>Explorer SUV 4WD</t>
  </si>
  <si>
    <t>Explorer HEV SUV RWD</t>
  </si>
  <si>
    <t>Explorer HEV SUV 4WD</t>
  </si>
  <si>
    <t>Lincoln</t>
  </si>
  <si>
    <t>Aviator SUV RWD</t>
  </si>
  <si>
    <t>Aviator SUV 4WD</t>
  </si>
  <si>
    <t xml:space="preserve">Honda </t>
  </si>
  <si>
    <t>HR-V SUV FWD</t>
  </si>
  <si>
    <t>HR-V SUV AWD</t>
  </si>
  <si>
    <t>Hyundai</t>
  </si>
  <si>
    <t>Santa Cruz PU/CC FWD</t>
  </si>
  <si>
    <t>Santa Cruz PU/CC AWD</t>
  </si>
  <si>
    <t>Jeep</t>
  </si>
  <si>
    <t>Grand Cherokee SUV RWD</t>
  </si>
  <si>
    <t xml:space="preserve">Jeep </t>
  </si>
  <si>
    <t>Grand Cherokee SUV 4WD</t>
  </si>
  <si>
    <t>Grand Cherokee L SUV RWD</t>
  </si>
  <si>
    <t>Grand Cherokee L SUV 4WD</t>
  </si>
  <si>
    <t>Grand Cherokee 4xe PHEV SUV 4WD</t>
  </si>
  <si>
    <t>Wrangler 4xe SUV PHEV 4WD</t>
  </si>
  <si>
    <t>Kia</t>
  </si>
  <si>
    <t>Sportage SUV FWD</t>
  </si>
  <si>
    <t>Sportage SUV AWD</t>
  </si>
  <si>
    <t>Sportage Hybrid SUV FWD</t>
  </si>
  <si>
    <t>Sportage Hybrid SUV AWD</t>
  </si>
  <si>
    <t>Mazda</t>
  </si>
  <si>
    <t>Mazda CX-50 SUV AWD</t>
  </si>
  <si>
    <t xml:space="preserve">Mitsubishi </t>
  </si>
  <si>
    <t>Outlander SUV FWD</t>
  </si>
  <si>
    <t>Outlander SUV AWD</t>
  </si>
  <si>
    <t>Nissan</t>
  </si>
  <si>
    <t>Armada SUV RWD</t>
  </si>
  <si>
    <t>Armada SUV 4WD</t>
  </si>
  <si>
    <t xml:space="preserve">Infiniti </t>
  </si>
  <si>
    <t>QX80 SUV RWD</t>
  </si>
  <si>
    <t>QX80 SUV 4WD</t>
  </si>
  <si>
    <t>Rivian</t>
  </si>
  <si>
    <t>R1S SUV BEV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</si>
  <si>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</si>
  <si>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</si>
  <si>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</si>
  <si>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</si>
  <si>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</si>
  <si>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</si>
  <si>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</si>
  <si>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</si>
  <si>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</si>
  <si>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</si>
  <si>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</si>
  <si>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</si>
  <si>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</si>
  <si>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</si>
  <si>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</si>
  <si>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</si>
  <si>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</si>
  <si>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</si>
  <si>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</si>
  <si>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</si>
  <si>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</si>
  <si>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</si>
  <si>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</si>
  <si>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</si>
  <si>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</si>
  <si>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</si>
  <si>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</si>
  <si>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</si>
  <si>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</si>
  <si>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</si>
  <si>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</si>
  <si>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</si>
  <si>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</si>
  <si>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</si>
  <si>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CAL</t>
  </si>
  <si>
    <t>O20195800</t>
  </si>
  <si>
    <t>M20200110</t>
  </si>
  <si>
    <t>Calspan</t>
  </si>
  <si>
    <t>M20230200</t>
  </si>
  <si>
    <t>M20200203</t>
  </si>
  <si>
    <t>O20235303</t>
  </si>
  <si>
    <t>M20234200</t>
  </si>
  <si>
    <t>KAR</t>
  </si>
  <si>
    <t>TRC</t>
  </si>
  <si>
    <t>M20220303</t>
  </si>
  <si>
    <t>M20230302</t>
  </si>
  <si>
    <t>M20230308</t>
  </si>
  <si>
    <t>M20234206</t>
  </si>
  <si>
    <t>M20235400</t>
  </si>
  <si>
    <t>M20235600</t>
  </si>
  <si>
    <t>M20235203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</si>
  <si>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</si>
  <si>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</si>
  <si>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</si>
  <si>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</si>
  <si>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</si>
  <si>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</si>
  <si>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</si>
  <si>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</si>
  <si>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</si>
  <si>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</si>
  <si>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</si>
  <si>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</si>
  <si>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</si>
  <si>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</si>
  <si>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</si>
  <si>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</si>
  <si>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</si>
  <si>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</si>
  <si>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</si>
  <si>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</si>
  <si>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M20235802</t>
  </si>
  <si>
    <t>M20230104</t>
  </si>
  <si>
    <t>M20200205</t>
  </si>
  <si>
    <t>O20235305</t>
  </si>
  <si>
    <t>M20234202</t>
  </si>
  <si>
    <t>M20230301</t>
  </si>
  <si>
    <t>M20220305</t>
  </si>
  <si>
    <t>M20230304</t>
  </si>
  <si>
    <t>M20234208</t>
  </si>
  <si>
    <t>M20235402</t>
  </si>
  <si>
    <t>M20235602</t>
  </si>
  <si>
    <t>M20235205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</si>
  <si>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</si>
  <si>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</si>
  <si>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</si>
  <si>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</si>
  <si>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</si>
  <si>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</si>
  <si>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</si>
  <si>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</si>
  <si>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</si>
  <si>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</si>
  <si>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</si>
  <si>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</si>
  <si>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</si>
  <si>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</si>
  <si>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</si>
  <si>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O20195801</t>
  </si>
  <si>
    <t>M20230103</t>
  </si>
  <si>
    <t>M20200204</t>
  </si>
  <si>
    <t>O20235304</t>
  </si>
  <si>
    <t>M20234201</t>
  </si>
  <si>
    <t>M20230300</t>
  </si>
  <si>
    <t>M20220304</t>
  </si>
  <si>
    <t>M20230303</t>
  </si>
  <si>
    <t>M20234207</t>
  </si>
  <si>
    <t>M20235401</t>
  </si>
  <si>
    <t>M20235601</t>
  </si>
  <si>
    <t>M20235204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</si>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</sst>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5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1" xfId="16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2" fillId="0" borderId="1" xfId="16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4" fillId="0" borderId="22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2" fontId="4" fillId="0" borderId="3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 wrapText="1"/>
    </xf>
    <xf numFmtId="1" fontId="4" fillId="0" borderId="3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3" fillId="0" borderId="0" xfId="0" applyNumberFormat="1" applyFont="1" applyFill="1" applyAlignment="1"/>
    <xf numFmtId="2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alignment horizontal="center"/>
    </xf>
    <xf numFmtId="1" fontId="4" fillId="0" borderId="27" xfId="0" applyNumberFormat="1" applyFont="1" applyFill="1" applyBorder="1" applyAlignment="1" applyProtection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23" xfId="0" applyNumberFormat="1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/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2" fontId="5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33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0099"/>
      <color rgb="FF800080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zoomScale="130" zoomScaleNormal="130" workbookViewId="0">
      <pane ySplit="2" topLeftCell="A3" activePane="bottomLeft" state="frozen"/>
      <selection pane="bottomLeft" activeCell="A2" sqref="A2"/>
    </sheetView>
  </sheetViews>
  <sheetFormatPr defaultColWidth="9.140625" defaultRowHeight="13.15" customHeight="1"/>
  <cols>
    <col min="1" max="1" width="13.5703125" style="82" customWidth="1"/>
    <col min="2" max="2" width="43.85546875" style="82" customWidth="1"/>
    <col min="3" max="3" width="6.28515625" style="73" customWidth="1"/>
    <col min="4" max="4" width="4.85546875" style="73" bestFit="1" customWidth="1"/>
    <col min="5" max="5" width="18" style="73" bestFit="1" customWidth="1"/>
    <col min="6" max="6" width="13.140625" style="73" bestFit="1" customWidth="1"/>
    <col min="7" max="7" width="7.7109375" style="83" customWidth="1"/>
    <col min="8" max="8" width="7.42578125" style="83" bestFit="1" customWidth="1"/>
    <col min="9" max="9" width="7.7109375" style="84" bestFit="1" customWidth="1"/>
    <col min="10" max="10" width="7.140625" style="83" bestFit="1" customWidth="1"/>
    <col min="11" max="16384" width="9.140625" style="73"/>
  </cols>
  <sheetData>
    <row r="1" spans="1:10" s="57" customFormat="1" ht="13.15" customHeight="1" thickBot="1">
      <c r="A1" s="54"/>
      <c r="B1" s="54"/>
      <c r="C1" s="54"/>
      <c r="D1" s="54"/>
      <c r="E1" s="54"/>
      <c r="F1" s="54"/>
      <c r="G1" s="55"/>
      <c r="H1" s="55"/>
      <c r="I1" s="56"/>
      <c r="J1" s="55" t="s">
        <v>0</v>
      </c>
    </row>
    <row r="2" spans="1:10" s="57" customFormat="1" ht="13.15" customHeight="1" thickBot="1">
      <c r="A2" s="90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9" t="s">
        <v>6</v>
      </c>
      <c r="G2" s="60" t="s">
        <v>7</v>
      </c>
      <c r="H2" s="61" t="s">
        <v>8</v>
      </c>
      <c r="I2" s="62" t="s">
        <v>9</v>
      </c>
      <c r="J2" s="63" t="s">
        <v>10</v>
      </c>
    </row>
    <row r="3" spans="1:10" ht="13.15" customHeight="1">
      <c r="A3" s="64" t="s">
        <v>11</v>
      </c>
      <c r="B3" s="65" t="s">
        <v>12</v>
      </c>
      <c r="C3" s="66">
        <v>2023</v>
      </c>
      <c r="D3" s="67">
        <v>1.48</v>
      </c>
      <c r="E3" s="67" t="s">
        <v>13</v>
      </c>
      <c r="F3" s="67" t="s">
        <v>14</v>
      </c>
      <c r="G3" s="69">
        <f t="shared" ref="G3:G16" si="0">IF(F3="Y",((1/(1+EXP(2.6968+(1.1686*LN(D3-0.9)))))),((1/(1+EXP(2.8891+(1.1686*(LN(D3-0.9))))))))</f>
        <v>9.5131298699074329E-2</v>
      </c>
      <c r="H3" s="70">
        <f t="shared" ref="H3:H16" si="1">ROUND(G3,3)</f>
        <v>9.5000000000000001E-2</v>
      </c>
      <c r="I3" s="71">
        <f t="shared" ref="I3:I16" si="2">ROUND(H3/0.15,2)</f>
        <v>0.63</v>
      </c>
      <c r="J3" s="72">
        <f t="shared" ref="J3:J16" si="3">IF(I3&lt;0.673,5,IF(I3&lt;1.33,4,IF(I3&lt;2,3,IF(I3&lt;2.67,2,1))))</f>
        <v>5</v>
      </c>
    </row>
    <row r="4" spans="1:10" ht="13.15" customHeight="1">
      <c r="A4" s="77" t="s">
        <v>15</v>
      </c>
      <c r="B4" s="80" t="s">
        <v>16</v>
      </c>
      <c r="C4" s="66">
        <v>2023</v>
      </c>
      <c r="D4" s="67">
        <v>1.48</v>
      </c>
      <c r="E4" s="67" t="s">
        <v>13</v>
      </c>
      <c r="F4" s="67" t="s">
        <v>14</v>
      </c>
      <c r="G4" s="69">
        <f t="shared" si="0"/>
        <v>9.5131298699074329E-2</v>
      </c>
      <c r="H4" s="70">
        <f t="shared" si="1"/>
        <v>9.5000000000000001E-2</v>
      </c>
      <c r="I4" s="71">
        <f t="shared" si="2"/>
        <v>0.63</v>
      </c>
      <c r="J4" s="72">
        <f t="shared" si="3"/>
        <v>5</v>
      </c>
    </row>
    <row r="5" spans="1:10" ht="13.15" customHeight="1">
      <c r="A5" s="77" t="s">
        <v>15</v>
      </c>
      <c r="B5" s="80" t="s">
        <v>17</v>
      </c>
      <c r="C5" s="66">
        <v>2023</v>
      </c>
      <c r="D5" s="67">
        <v>1.48</v>
      </c>
      <c r="E5" s="67" t="s">
        <v>13</v>
      </c>
      <c r="F5" s="67" t="s">
        <v>14</v>
      </c>
      <c r="G5" s="69">
        <f t="shared" si="0"/>
        <v>9.5131298699074329E-2</v>
      </c>
      <c r="H5" s="70">
        <f t="shared" si="1"/>
        <v>9.5000000000000001E-2</v>
      </c>
      <c r="I5" s="71">
        <f t="shared" si="2"/>
        <v>0.63</v>
      </c>
      <c r="J5" s="72">
        <f t="shared" si="3"/>
        <v>5</v>
      </c>
    </row>
    <row r="6" spans="1:10" ht="13.15" customHeight="1">
      <c r="A6" s="77" t="s">
        <v>15</v>
      </c>
      <c r="B6" s="80" t="s">
        <v>18</v>
      </c>
      <c r="C6" s="66">
        <v>2023</v>
      </c>
      <c r="D6" s="67">
        <v>1.48</v>
      </c>
      <c r="E6" s="67" t="s">
        <v>13</v>
      </c>
      <c r="F6" s="67" t="s">
        <v>14</v>
      </c>
      <c r="G6" s="69">
        <f t="shared" si="0"/>
        <v>9.5131298699074329E-2</v>
      </c>
      <c r="H6" s="70">
        <f t="shared" si="1"/>
        <v>9.5000000000000001E-2</v>
      </c>
      <c r="I6" s="71">
        <f t="shared" si="2"/>
        <v>0.63</v>
      </c>
      <c r="J6" s="72">
        <f t="shared" si="3"/>
        <v>5</v>
      </c>
    </row>
    <row r="7" spans="1:10" ht="13.15" customHeight="1">
      <c r="A7" s="64" t="s">
        <v>19</v>
      </c>
      <c r="B7" s="49" t="s">
        <v>20</v>
      </c>
      <c r="C7" s="66">
        <v>2023</v>
      </c>
      <c r="D7" s="67">
        <v>1.25</v>
      </c>
      <c r="E7" s="67" t="s">
        <v>13</v>
      </c>
      <c r="F7" s="68" t="s">
        <v>14</v>
      </c>
      <c r="G7" s="69">
        <f t="shared" si="0"/>
        <v>0.15945645755950677</v>
      </c>
      <c r="H7" s="70">
        <f t="shared" si="1"/>
        <v>0.159</v>
      </c>
      <c r="I7" s="71">
        <f t="shared" si="2"/>
        <v>1.06</v>
      </c>
      <c r="J7" s="72">
        <f t="shared" si="3"/>
        <v>4</v>
      </c>
    </row>
    <row r="8" spans="1:10" ht="13.15" customHeight="1">
      <c r="A8" s="77" t="s">
        <v>19</v>
      </c>
      <c r="B8" s="85" t="s">
        <v>21</v>
      </c>
      <c r="C8" s="66">
        <v>2023</v>
      </c>
      <c r="D8" s="67">
        <v>1.25</v>
      </c>
      <c r="E8" s="67" t="s">
        <v>13</v>
      </c>
      <c r="F8" s="68" t="s">
        <v>14</v>
      </c>
      <c r="G8" s="69">
        <f t="shared" si="0"/>
        <v>0.15945645755950677</v>
      </c>
      <c r="H8" s="70">
        <f t="shared" si="1"/>
        <v>0.159</v>
      </c>
      <c r="I8" s="71">
        <f t="shared" si="2"/>
        <v>1.06</v>
      </c>
      <c r="J8" s="72">
        <f t="shared" si="3"/>
        <v>4</v>
      </c>
    </row>
    <row r="9" spans="1:10" ht="13.15" customHeight="1">
      <c r="A9" s="77" t="s">
        <v>19</v>
      </c>
      <c r="B9" s="85" t="s">
        <v>22</v>
      </c>
      <c r="C9" s="66">
        <v>2023</v>
      </c>
      <c r="D9" s="67">
        <v>1.25</v>
      </c>
      <c r="E9" s="67" t="s">
        <v>13</v>
      </c>
      <c r="F9" s="68" t="s">
        <v>14</v>
      </c>
      <c r="G9" s="69">
        <f t="shared" si="0"/>
        <v>0.15945645755950677</v>
      </c>
      <c r="H9" s="70">
        <f t="shared" si="1"/>
        <v>0.159</v>
      </c>
      <c r="I9" s="71">
        <f t="shared" si="2"/>
        <v>1.06</v>
      </c>
      <c r="J9" s="72">
        <f t="shared" si="3"/>
        <v>4</v>
      </c>
    </row>
    <row r="10" spans="1:10" ht="13.15" customHeight="1">
      <c r="A10" s="74" t="s">
        <v>23</v>
      </c>
      <c r="B10" s="9" t="s">
        <v>24</v>
      </c>
      <c r="C10" s="66">
        <v>2023</v>
      </c>
      <c r="D10" s="67">
        <v>1.44</v>
      </c>
      <c r="E10" s="67" t="s">
        <v>14</v>
      </c>
      <c r="F10" s="67" t="s">
        <v>14</v>
      </c>
      <c r="G10" s="69">
        <f t="shared" si="0"/>
        <v>0.10256675558990924</v>
      </c>
      <c r="H10" s="70">
        <f t="shared" si="1"/>
        <v>0.10299999999999999</v>
      </c>
      <c r="I10" s="71">
        <f t="shared" si="2"/>
        <v>0.69</v>
      </c>
      <c r="J10" s="72">
        <f t="shared" si="3"/>
        <v>4</v>
      </c>
    </row>
    <row r="11" spans="1:10" ht="13.15" customHeight="1">
      <c r="A11" s="74" t="s">
        <v>25</v>
      </c>
      <c r="B11" s="9" t="s">
        <v>26</v>
      </c>
      <c r="C11" s="66">
        <v>2023</v>
      </c>
      <c r="D11" s="67">
        <v>1.28</v>
      </c>
      <c r="E11" s="67" t="s">
        <v>13</v>
      </c>
      <c r="F11" s="68" t="s">
        <v>14</v>
      </c>
      <c r="G11" s="69">
        <f t="shared" si="0"/>
        <v>0.14699318560666366</v>
      </c>
      <c r="H11" s="70">
        <f t="shared" si="1"/>
        <v>0.14699999999999999</v>
      </c>
      <c r="I11" s="71">
        <f t="shared" si="2"/>
        <v>0.98</v>
      </c>
      <c r="J11" s="72">
        <f t="shared" si="3"/>
        <v>4</v>
      </c>
    </row>
    <row r="12" spans="1:10" ht="13.15" customHeight="1">
      <c r="A12" s="74" t="s">
        <v>25</v>
      </c>
      <c r="B12" s="9" t="s">
        <v>27</v>
      </c>
      <c r="C12" s="66">
        <v>2023</v>
      </c>
      <c r="D12" s="67">
        <v>1.27</v>
      </c>
      <c r="E12" s="67" t="s">
        <v>13</v>
      </c>
      <c r="F12" s="68" t="s">
        <v>14</v>
      </c>
      <c r="G12" s="69">
        <f t="shared" si="0"/>
        <v>0.15094392869398887</v>
      </c>
      <c r="H12" s="70">
        <f t="shared" si="1"/>
        <v>0.151</v>
      </c>
      <c r="I12" s="71">
        <f t="shared" si="2"/>
        <v>1.01</v>
      </c>
      <c r="J12" s="72">
        <f t="shared" si="3"/>
        <v>4</v>
      </c>
    </row>
    <row r="13" spans="1:10" ht="13.15" customHeight="1">
      <c r="A13" s="75" t="s">
        <v>25</v>
      </c>
      <c r="B13" s="67" t="s">
        <v>28</v>
      </c>
      <c r="C13" s="66">
        <v>2023</v>
      </c>
      <c r="D13" s="67">
        <v>1.28</v>
      </c>
      <c r="E13" s="67" t="s">
        <v>13</v>
      </c>
      <c r="F13" s="68" t="s">
        <v>14</v>
      </c>
      <c r="G13" s="69">
        <f t="shared" si="0"/>
        <v>0.14699318560666366</v>
      </c>
      <c r="H13" s="70">
        <f t="shared" si="1"/>
        <v>0.14699999999999999</v>
      </c>
      <c r="I13" s="71">
        <f t="shared" si="2"/>
        <v>0.98</v>
      </c>
      <c r="J13" s="72">
        <f t="shared" si="3"/>
        <v>4</v>
      </c>
    </row>
    <row r="14" spans="1:10" ht="13.15" customHeight="1">
      <c r="A14" s="75" t="s">
        <v>25</v>
      </c>
      <c r="B14" s="67" t="s">
        <v>29</v>
      </c>
      <c r="C14" s="66">
        <v>2023</v>
      </c>
      <c r="D14" s="67">
        <v>1.27</v>
      </c>
      <c r="E14" s="67" t="s">
        <v>13</v>
      </c>
      <c r="F14" s="68" t="s">
        <v>14</v>
      </c>
      <c r="G14" s="69">
        <f t="shared" si="0"/>
        <v>0.15094392869398887</v>
      </c>
      <c r="H14" s="70">
        <f t="shared" si="1"/>
        <v>0.151</v>
      </c>
      <c r="I14" s="71">
        <f t="shared" si="2"/>
        <v>1.01</v>
      </c>
      <c r="J14" s="72">
        <f t="shared" si="3"/>
        <v>4</v>
      </c>
    </row>
    <row r="15" spans="1:10" ht="13.15" customHeight="1">
      <c r="A15" s="75" t="s">
        <v>30</v>
      </c>
      <c r="B15" s="67" t="s">
        <v>31</v>
      </c>
      <c r="C15" s="66">
        <v>2023</v>
      </c>
      <c r="D15" s="67">
        <v>1.28</v>
      </c>
      <c r="E15" s="67" t="s">
        <v>13</v>
      </c>
      <c r="F15" s="67" t="s">
        <v>14</v>
      </c>
      <c r="G15" s="69">
        <f t="shared" si="0"/>
        <v>0.14699318560666366</v>
      </c>
      <c r="H15" s="70">
        <f t="shared" si="1"/>
        <v>0.14699999999999999</v>
      </c>
      <c r="I15" s="71">
        <f t="shared" si="2"/>
        <v>0.98</v>
      </c>
      <c r="J15" s="72">
        <f t="shared" si="3"/>
        <v>4</v>
      </c>
    </row>
    <row r="16" spans="1:10" ht="13.15" customHeight="1">
      <c r="A16" s="75" t="s">
        <v>30</v>
      </c>
      <c r="B16" s="67" t="s">
        <v>32</v>
      </c>
      <c r="C16" s="66">
        <v>2023</v>
      </c>
      <c r="D16" s="67">
        <v>1.27</v>
      </c>
      <c r="E16" s="67" t="s">
        <v>13</v>
      </c>
      <c r="F16" s="67" t="s">
        <v>14</v>
      </c>
      <c r="G16" s="69">
        <f t="shared" si="0"/>
        <v>0.15094392869398887</v>
      </c>
      <c r="H16" s="70">
        <f t="shared" si="1"/>
        <v>0.151</v>
      </c>
      <c r="I16" s="71">
        <f t="shared" si="2"/>
        <v>1.01</v>
      </c>
      <c r="J16" s="72">
        <f t="shared" si="3"/>
        <v>4</v>
      </c>
    </row>
    <row r="17" spans="1:10" ht="13.15" customHeight="1">
      <c r="A17" s="74" t="s">
        <v>33</v>
      </c>
      <c r="B17" s="9" t="s">
        <v>34</v>
      </c>
      <c r="C17" s="66">
        <v>2023</v>
      </c>
      <c r="D17" s="67">
        <v>1.3</v>
      </c>
      <c r="E17" s="67" t="s">
        <v>13</v>
      </c>
      <c r="F17" s="67" t="s">
        <v>14</v>
      </c>
      <c r="G17" s="69">
        <f t="shared" ref="G17:G35" si="4">IF(F17="Y",((1/(1+EXP(2.6968+(1.1686*LN(D17-0.9)))))),((1/(1+EXP(2.8891+(1.1686*(LN(D17-0.9))))))))</f>
        <v>0.13963526332187839</v>
      </c>
      <c r="H17" s="70">
        <f t="shared" ref="H17:H35" si="5">ROUND(G17,3)</f>
        <v>0.14000000000000001</v>
      </c>
      <c r="I17" s="71">
        <f t="shared" ref="I17:I35" si="6">ROUND(H17/0.15,2)</f>
        <v>0.93</v>
      </c>
      <c r="J17" s="72">
        <f t="shared" ref="J17:J35" si="7">IF(I17&lt;0.673,5,IF(I17&lt;1.33,4,IF(I17&lt;2,3,IF(I17&lt;2.67,2,1))))</f>
        <v>4</v>
      </c>
    </row>
    <row r="18" spans="1:10" ht="13.15" customHeight="1">
      <c r="A18" s="74" t="s">
        <v>33</v>
      </c>
      <c r="B18" s="9" t="s">
        <v>35</v>
      </c>
      <c r="C18" s="66">
        <v>2023</v>
      </c>
      <c r="D18" s="67"/>
      <c r="E18" s="67"/>
      <c r="F18" s="67"/>
      <c r="G18" s="69" t="e">
        <f t="shared" si="4"/>
        <v>#NUM!</v>
      </c>
      <c r="H18" s="70" t="e">
        <f t="shared" si="5"/>
        <v>#NUM!</v>
      </c>
      <c r="I18" s="71" t="e">
        <f t="shared" si="6"/>
        <v>#NUM!</v>
      </c>
      <c r="J18" s="72" t="e">
        <f t="shared" si="7"/>
        <v>#NUM!</v>
      </c>
    </row>
    <row r="19" spans="1:10" ht="13.15" customHeight="1">
      <c r="A19" s="74" t="s">
        <v>36</v>
      </c>
      <c r="B19" s="9" t="s">
        <v>37</v>
      </c>
      <c r="C19" s="66">
        <v>2023</v>
      </c>
      <c r="D19" s="67">
        <v>1.24</v>
      </c>
      <c r="E19" s="67" t="s">
        <v>13</v>
      </c>
      <c r="F19" s="67" t="s">
        <v>14</v>
      </c>
      <c r="G19" s="69">
        <f t="shared" ref="G19:G25" si="8">IF(F19="Y",((1/(1+EXP(2.6968+(1.1686*LN(D19-0.9)))))),((1/(1+EXP(2.8891+(1.1686*(LN(D19-0.9))))))))</f>
        <v>0.1640492476036079</v>
      </c>
      <c r="H19" s="70">
        <f t="shared" ref="H19:H25" si="9">ROUND(G19,3)</f>
        <v>0.16400000000000001</v>
      </c>
      <c r="I19" s="71">
        <f t="shared" ref="I19:I25" si="10">ROUND(H19/0.15,2)</f>
        <v>1.0900000000000001</v>
      </c>
      <c r="J19" s="72">
        <f t="shared" ref="J19:J25" si="11">IF(I19&lt;0.673,5,IF(I19&lt;1.33,4,IF(I19&lt;2,3,IF(I19&lt;2.67,2,1))))</f>
        <v>4</v>
      </c>
    </row>
    <row r="20" spans="1:10" ht="13.15" customHeight="1">
      <c r="A20" s="74" t="s">
        <v>36</v>
      </c>
      <c r="B20" s="9" t="s">
        <v>38</v>
      </c>
      <c r="C20" s="66">
        <v>2023</v>
      </c>
      <c r="D20" s="67">
        <v>1.24</v>
      </c>
      <c r="E20" s="67" t="s">
        <v>13</v>
      </c>
      <c r="F20" s="67" t="s">
        <v>14</v>
      </c>
      <c r="G20" s="69">
        <f t="shared" si="8"/>
        <v>0.1640492476036079</v>
      </c>
      <c r="H20" s="70">
        <f t="shared" si="9"/>
        <v>0.16400000000000001</v>
      </c>
      <c r="I20" s="71">
        <f t="shared" si="10"/>
        <v>1.0900000000000001</v>
      </c>
      <c r="J20" s="72">
        <f t="shared" si="11"/>
        <v>4</v>
      </c>
    </row>
    <row r="21" spans="1:10" ht="13.15" customHeight="1">
      <c r="A21" s="74" t="s">
        <v>39</v>
      </c>
      <c r="B21" s="9" t="s">
        <v>40</v>
      </c>
      <c r="C21" s="66">
        <v>2023</v>
      </c>
      <c r="D21" s="67"/>
      <c r="E21" s="67"/>
      <c r="F21" s="67"/>
      <c r="G21" s="69" t="e">
        <f t="shared" si="8"/>
        <v>#NUM!</v>
      </c>
      <c r="H21" s="70" t="e">
        <f t="shared" si="9"/>
        <v>#NUM!</v>
      </c>
      <c r="I21" s="71" t="e">
        <f t="shared" si="10"/>
        <v>#NUM!</v>
      </c>
      <c r="J21" s="72" t="e">
        <f t="shared" si="11"/>
        <v>#NUM!</v>
      </c>
    </row>
    <row r="22" spans="1:10" ht="13.15" customHeight="1">
      <c r="A22" s="74" t="s">
        <v>41</v>
      </c>
      <c r="B22" s="9" t="s">
        <v>42</v>
      </c>
      <c r="C22" s="66">
        <v>2023</v>
      </c>
      <c r="D22" s="67"/>
      <c r="E22" s="67"/>
      <c r="F22" s="67"/>
      <c r="G22" s="69" t="e">
        <f t="shared" si="8"/>
        <v>#NUM!</v>
      </c>
      <c r="H22" s="70" t="e">
        <f t="shared" si="9"/>
        <v>#NUM!</v>
      </c>
      <c r="I22" s="71" t="e">
        <f t="shared" si="10"/>
        <v>#NUM!</v>
      </c>
      <c r="J22" s="72" t="e">
        <f t="shared" si="11"/>
        <v>#NUM!</v>
      </c>
    </row>
    <row r="23" spans="1:10" ht="13.15" customHeight="1">
      <c r="A23" s="75" t="s">
        <v>39</v>
      </c>
      <c r="B23" s="67" t="s">
        <v>43</v>
      </c>
      <c r="C23" s="66">
        <v>2023</v>
      </c>
      <c r="D23" s="67">
        <v>1.2</v>
      </c>
      <c r="E23" s="67" t="s">
        <v>13</v>
      </c>
      <c r="F23" s="67" t="s">
        <v>14</v>
      </c>
      <c r="G23" s="69">
        <f t="shared" si="8"/>
        <v>0.1851047975833634</v>
      </c>
      <c r="H23" s="70">
        <f t="shared" si="9"/>
        <v>0.185</v>
      </c>
      <c r="I23" s="71">
        <f t="shared" si="10"/>
        <v>1.23</v>
      </c>
      <c r="J23" s="72">
        <f t="shared" si="11"/>
        <v>4</v>
      </c>
    </row>
    <row r="24" spans="1:10" ht="13.15" customHeight="1">
      <c r="A24" s="75" t="s">
        <v>39</v>
      </c>
      <c r="B24" s="67" t="s">
        <v>44</v>
      </c>
      <c r="C24" s="66">
        <v>2023</v>
      </c>
      <c r="D24" s="18">
        <v>1.2</v>
      </c>
      <c r="E24" s="18" t="s">
        <v>13</v>
      </c>
      <c r="F24" s="18" t="s">
        <v>14</v>
      </c>
      <c r="G24" s="69">
        <f t="shared" si="8"/>
        <v>0.1851047975833634</v>
      </c>
      <c r="H24" s="70">
        <f t="shared" si="9"/>
        <v>0.185</v>
      </c>
      <c r="I24" s="71">
        <f t="shared" si="10"/>
        <v>1.23</v>
      </c>
      <c r="J24" s="72">
        <f t="shared" si="11"/>
        <v>4</v>
      </c>
    </row>
    <row r="25" spans="1:10" ht="13.15" customHeight="1">
      <c r="A25" s="74" t="s">
        <v>39</v>
      </c>
      <c r="B25" s="9" t="s">
        <v>45</v>
      </c>
      <c r="C25" s="66">
        <v>2023</v>
      </c>
      <c r="D25" s="67">
        <v>1.3</v>
      </c>
      <c r="E25" s="67" t="s">
        <v>13</v>
      </c>
      <c r="F25" s="67" t="s">
        <v>14</v>
      </c>
      <c r="G25" s="69">
        <f t="shared" si="8"/>
        <v>0.13963526332187839</v>
      </c>
      <c r="H25" s="70">
        <f t="shared" si="9"/>
        <v>0.14000000000000001</v>
      </c>
      <c r="I25" s="71">
        <f t="shared" si="10"/>
        <v>0.93</v>
      </c>
      <c r="J25" s="72">
        <f t="shared" si="11"/>
        <v>4</v>
      </c>
    </row>
    <row r="26" spans="1:10" ht="13.15" customHeight="1">
      <c r="A26" s="64" t="s">
        <v>39</v>
      </c>
      <c r="B26" s="76" t="s">
        <v>46</v>
      </c>
      <c r="C26" s="66">
        <v>2023</v>
      </c>
      <c r="D26" s="67">
        <v>1.1599999999999999</v>
      </c>
      <c r="E26" s="67" t="s">
        <v>13</v>
      </c>
      <c r="F26" s="67" t="s">
        <v>14</v>
      </c>
      <c r="G26" s="69">
        <f t="shared" si="4"/>
        <v>0.21166642755867562</v>
      </c>
      <c r="H26" s="70">
        <f t="shared" si="5"/>
        <v>0.21199999999999999</v>
      </c>
      <c r="I26" s="71">
        <f t="shared" si="6"/>
        <v>1.41</v>
      </c>
      <c r="J26" s="72">
        <f t="shared" si="7"/>
        <v>3</v>
      </c>
    </row>
    <row r="27" spans="1:10" ht="13.15" customHeight="1">
      <c r="A27" s="64" t="s">
        <v>47</v>
      </c>
      <c r="B27" s="76" t="s">
        <v>48</v>
      </c>
      <c r="C27" s="66">
        <v>2023</v>
      </c>
      <c r="D27" s="18"/>
      <c r="E27" s="67"/>
      <c r="F27" s="67"/>
      <c r="G27" s="69" t="e">
        <f t="shared" si="4"/>
        <v>#NUM!</v>
      </c>
      <c r="H27" s="70" t="e">
        <f t="shared" si="5"/>
        <v>#NUM!</v>
      </c>
      <c r="I27" s="71" t="e">
        <f t="shared" si="6"/>
        <v>#NUM!</v>
      </c>
      <c r="J27" s="72" t="e">
        <f t="shared" si="7"/>
        <v>#NUM!</v>
      </c>
    </row>
    <row r="28" spans="1:10" ht="13.15" customHeight="1">
      <c r="A28" s="64" t="s">
        <v>47</v>
      </c>
      <c r="B28" s="76" t="s">
        <v>49</v>
      </c>
      <c r="C28" s="66">
        <v>2023</v>
      </c>
      <c r="D28" s="67"/>
      <c r="E28" s="67"/>
      <c r="F28" s="67"/>
      <c r="G28" s="69" t="e">
        <f t="shared" si="4"/>
        <v>#NUM!</v>
      </c>
      <c r="H28" s="70" t="e">
        <f t="shared" si="5"/>
        <v>#NUM!</v>
      </c>
      <c r="I28" s="71" t="e">
        <f t="shared" si="6"/>
        <v>#NUM!</v>
      </c>
      <c r="J28" s="72" t="e">
        <f t="shared" si="7"/>
        <v>#NUM!</v>
      </c>
    </row>
    <row r="29" spans="1:10" ht="13.15" customHeight="1">
      <c r="A29" s="77" t="s">
        <v>47</v>
      </c>
      <c r="B29" s="78" t="s">
        <v>50</v>
      </c>
      <c r="C29" s="66">
        <v>2023</v>
      </c>
      <c r="D29" s="67"/>
      <c r="E29" s="67"/>
      <c r="F29" s="67"/>
      <c r="G29" s="69" t="e">
        <f t="shared" si="4"/>
        <v>#NUM!</v>
      </c>
      <c r="H29" s="70" t="e">
        <f t="shared" si="5"/>
        <v>#NUM!</v>
      </c>
      <c r="I29" s="71" t="e">
        <f t="shared" si="6"/>
        <v>#NUM!</v>
      </c>
      <c r="J29" s="72" t="e">
        <f t="shared" si="7"/>
        <v>#NUM!</v>
      </c>
    </row>
    <row r="30" spans="1:10" ht="13.15" customHeight="1">
      <c r="A30" s="77" t="s">
        <v>47</v>
      </c>
      <c r="B30" s="78" t="s">
        <v>51</v>
      </c>
      <c r="C30" s="66">
        <v>2023</v>
      </c>
      <c r="D30" s="67"/>
      <c r="E30" s="67"/>
      <c r="F30" s="67"/>
      <c r="G30" s="69" t="e">
        <f t="shared" si="4"/>
        <v>#NUM!</v>
      </c>
      <c r="H30" s="70" t="e">
        <f t="shared" si="5"/>
        <v>#NUM!</v>
      </c>
      <c r="I30" s="71" t="e">
        <f t="shared" si="6"/>
        <v>#NUM!</v>
      </c>
      <c r="J30" s="72" t="e">
        <f t="shared" si="7"/>
        <v>#NUM!</v>
      </c>
    </row>
    <row r="31" spans="1:10" ht="13.15" customHeight="1">
      <c r="A31" s="74" t="s">
        <v>52</v>
      </c>
      <c r="B31" s="9" t="s">
        <v>53</v>
      </c>
      <c r="C31" s="66">
        <v>2023</v>
      </c>
      <c r="D31" s="18">
        <v>1.26</v>
      </c>
      <c r="E31" s="67" t="s">
        <v>13</v>
      </c>
      <c r="F31" s="68" t="s">
        <v>14</v>
      </c>
      <c r="G31" s="69">
        <f t="shared" ref="G31" si="12">IF(F31="Y",((1/(1+EXP(2.6968+(1.1686*LN(D31-0.9)))))),((1/(1+EXP(2.8891+(1.1686*(LN(D31-0.9))))))))</f>
        <v>0.15509342889208913</v>
      </c>
      <c r="H31" s="70">
        <f t="shared" ref="H31" si="13">ROUND(G31,3)</f>
        <v>0.155</v>
      </c>
      <c r="I31" s="71">
        <f t="shared" ref="I31" si="14">ROUND(H31/0.15,2)</f>
        <v>1.03</v>
      </c>
      <c r="J31" s="72">
        <f t="shared" ref="J31" si="15">IF(I31&lt;0.673,5,IF(I31&lt;1.33,4,IF(I31&lt;2,3,IF(I31&lt;2.67,2,1))))</f>
        <v>4</v>
      </c>
    </row>
    <row r="32" spans="1:10" ht="13.15" customHeight="1">
      <c r="A32" s="79" t="s">
        <v>54</v>
      </c>
      <c r="B32" s="65" t="s">
        <v>55</v>
      </c>
      <c r="C32" s="66">
        <v>2023</v>
      </c>
      <c r="D32" s="67">
        <v>1.18</v>
      </c>
      <c r="E32" s="67" t="s">
        <v>13</v>
      </c>
      <c r="F32" s="68" t="s">
        <v>14</v>
      </c>
      <c r="G32" s="69">
        <f t="shared" si="4"/>
        <v>0.19757624015247355</v>
      </c>
      <c r="H32" s="70">
        <f t="shared" si="5"/>
        <v>0.19800000000000001</v>
      </c>
      <c r="I32" s="71">
        <f t="shared" si="6"/>
        <v>1.32</v>
      </c>
      <c r="J32" s="72">
        <f t="shared" si="7"/>
        <v>4</v>
      </c>
    </row>
    <row r="33" spans="1:10" ht="13.15" customHeight="1">
      <c r="A33" s="64" t="s">
        <v>54</v>
      </c>
      <c r="B33" s="9" t="s">
        <v>56</v>
      </c>
      <c r="C33" s="66">
        <v>2023</v>
      </c>
      <c r="D33" s="67">
        <v>1.21</v>
      </c>
      <c r="E33" s="67" t="s">
        <v>13</v>
      </c>
      <c r="F33" s="67" t="s">
        <v>14</v>
      </c>
      <c r="G33" s="69">
        <f t="shared" si="4"/>
        <v>0.17939444452697093</v>
      </c>
      <c r="H33" s="70">
        <f t="shared" si="5"/>
        <v>0.17899999999999999</v>
      </c>
      <c r="I33" s="71">
        <f t="shared" si="6"/>
        <v>1.19</v>
      </c>
      <c r="J33" s="72">
        <f t="shared" si="7"/>
        <v>4</v>
      </c>
    </row>
    <row r="34" spans="1:10" ht="13.15" customHeight="1">
      <c r="A34" s="64" t="s">
        <v>57</v>
      </c>
      <c r="B34" s="76" t="s">
        <v>58</v>
      </c>
      <c r="C34" s="66">
        <v>2023</v>
      </c>
      <c r="D34" s="18">
        <v>1.1299999999999999</v>
      </c>
      <c r="E34" s="18" t="s">
        <v>13</v>
      </c>
      <c r="F34" s="18" t="s">
        <v>14</v>
      </c>
      <c r="G34" s="69">
        <f t="shared" si="4"/>
        <v>0.23655927745442004</v>
      </c>
      <c r="H34" s="70">
        <f t="shared" si="5"/>
        <v>0.23699999999999999</v>
      </c>
      <c r="I34" s="71">
        <f t="shared" si="6"/>
        <v>1.58</v>
      </c>
      <c r="J34" s="72">
        <f t="shared" si="7"/>
        <v>3</v>
      </c>
    </row>
    <row r="35" spans="1:10" ht="13.15" customHeight="1">
      <c r="A35" s="50" t="s">
        <v>57</v>
      </c>
      <c r="B35" s="65" t="s">
        <v>59</v>
      </c>
      <c r="C35" s="66">
        <v>2023</v>
      </c>
      <c r="D35" s="18">
        <v>1.1499999999999999</v>
      </c>
      <c r="E35" s="18" t="s">
        <v>13</v>
      </c>
      <c r="F35" s="18" t="s">
        <v>14</v>
      </c>
      <c r="G35" s="69">
        <f t="shared" si="4"/>
        <v>0.21941539652892203</v>
      </c>
      <c r="H35" s="70">
        <f t="shared" si="5"/>
        <v>0.219</v>
      </c>
      <c r="I35" s="71">
        <f t="shared" si="6"/>
        <v>1.46</v>
      </c>
      <c r="J35" s="72">
        <f t="shared" si="7"/>
        <v>3</v>
      </c>
    </row>
    <row r="36" spans="1:10" ht="13.15" customHeight="1">
      <c r="A36" s="51" t="s">
        <v>60</v>
      </c>
      <c r="B36" s="80" t="s">
        <v>61</v>
      </c>
      <c r="C36" s="66">
        <v>2023</v>
      </c>
      <c r="D36" s="18">
        <v>1.1299999999999999</v>
      </c>
      <c r="E36" s="18" t="s">
        <v>13</v>
      </c>
      <c r="F36" s="18" t="s">
        <v>14</v>
      </c>
      <c r="G36" s="69">
        <f t="shared" ref="G36" si="16">IF(F36="Y",((1/(1+EXP(2.6968+(1.1686*LN(D36-0.9)))))),((1/(1+EXP(2.8891+(1.1686*(LN(D36-0.9))))))))</f>
        <v>0.23655927745442004</v>
      </c>
      <c r="H36" s="70">
        <f t="shared" ref="H36" si="17">ROUND(G36,3)</f>
        <v>0.23699999999999999</v>
      </c>
      <c r="I36" s="71">
        <f t="shared" ref="I36" si="18">ROUND(H36/0.15,2)</f>
        <v>1.58</v>
      </c>
      <c r="J36" s="72">
        <f t="shared" ref="J36" si="19">IF(I36&lt;0.673,5,IF(I36&lt;1.33,4,IF(I36&lt;2,3,IF(I36&lt;2.67,2,1))))</f>
        <v>3</v>
      </c>
    </row>
    <row r="37" spans="1:10" ht="13.15" customHeight="1">
      <c r="A37" s="51" t="s">
        <v>60</v>
      </c>
      <c r="B37" s="80" t="s">
        <v>62</v>
      </c>
      <c r="C37" s="66">
        <v>2023</v>
      </c>
      <c r="D37" s="18">
        <v>1.1499999999999999</v>
      </c>
      <c r="E37" s="18" t="s">
        <v>13</v>
      </c>
      <c r="F37" s="18" t="s">
        <v>14</v>
      </c>
      <c r="G37" s="69">
        <f t="shared" ref="G37:G38" si="20">IF(F37="Y",((1/(1+EXP(2.6968+(1.1686*LN(D37-0.9)))))),((1/(1+EXP(2.8891+(1.1686*(LN(D37-0.9))))))))</f>
        <v>0.21941539652892203</v>
      </c>
      <c r="H37" s="70">
        <f t="shared" ref="H37:H38" si="21">ROUND(G37,3)</f>
        <v>0.219</v>
      </c>
      <c r="I37" s="71">
        <f t="shared" ref="I37:I38" si="22">ROUND(H37/0.15,2)</f>
        <v>1.46</v>
      </c>
      <c r="J37" s="72">
        <f t="shared" ref="J37:J38" si="23">IF(I37&lt;0.673,5,IF(I37&lt;1.33,4,IF(I37&lt;2,3,IF(I37&lt;2.67,2,1))))</f>
        <v>3</v>
      </c>
    </row>
    <row r="38" spans="1:10" ht="13.15" customHeight="1">
      <c r="A38" s="50" t="s">
        <v>63</v>
      </c>
      <c r="B38" s="9" t="s">
        <v>64</v>
      </c>
      <c r="C38" s="66">
        <v>2023</v>
      </c>
      <c r="D38" s="18">
        <v>1.34</v>
      </c>
      <c r="E38" s="18" t="s">
        <v>13</v>
      </c>
      <c r="F38" s="44" t="s">
        <v>14</v>
      </c>
      <c r="G38" s="69">
        <f t="shared" si="20"/>
        <v>0.126783553838866</v>
      </c>
      <c r="H38" s="70">
        <f t="shared" si="21"/>
        <v>0.127</v>
      </c>
      <c r="I38" s="71">
        <f t="shared" si="22"/>
        <v>0.85</v>
      </c>
      <c r="J38" s="72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81"/>
  <sheetViews>
    <sheetView zoomScale="130" zoomScaleNormal="130" workbookViewId="0">
      <pane xSplit="6" ySplit="2" topLeftCell="G3" activePane="bottomRight" state="frozen"/>
      <selection activeCell="B41" sqref="B41"/>
      <selection pane="topRight" activeCell="B41" sqref="B41"/>
      <selection pane="bottomLeft" activeCell="B41" sqref="B41"/>
      <selection pane="bottomRight" activeCell="A2" sqref="A2"/>
    </sheetView>
  </sheetViews>
  <sheetFormatPr defaultRowHeight="12.75"/>
  <cols>
    <col min="1" max="1" width="8.140625" style="146" customWidth="1"/>
    <col min="2" max="2" width="9.85546875" style="146" bestFit="1" customWidth="1"/>
    <col min="3" max="3" width="11.28515625" style="212" bestFit="1" customWidth="1"/>
    <col min="4" max="4" width="31.140625" style="212" customWidth="1"/>
    <col min="5" max="5" width="7.42578125" style="212" customWidth="1"/>
    <col min="6" max="6" width="8.28515625" style="212" customWidth="1"/>
    <col min="7" max="9" width="8.7109375" style="213" customWidth="1"/>
    <col min="10" max="10" width="8.42578125" style="213" bestFit="1" customWidth="1"/>
    <col min="11" max="22" width="8.7109375" style="213" customWidth="1"/>
    <col min="23" max="23" width="7.42578125" style="214" bestFit="1" customWidth="1"/>
    <col min="24" max="24" width="5.28515625" style="214" bestFit="1" customWidth="1"/>
    <col min="25" max="25" width="10.140625" style="214" bestFit="1" customWidth="1"/>
    <col min="26" max="26" width="11.28515625" style="214" bestFit="1" customWidth="1"/>
    <col min="27" max="27" width="7.28515625" style="214" customWidth="1"/>
    <col min="28" max="28" width="7.5703125" style="214" bestFit="1" customWidth="1"/>
    <col min="29" max="29" width="7.5703125" style="73" bestFit="1" customWidth="1"/>
    <col min="30" max="31" width="9" style="73" bestFit="1" customWidth="1"/>
    <col min="32" max="32" width="8" style="73" bestFit="1" customWidth="1"/>
    <col min="33" max="33" width="7.42578125" style="73" bestFit="1" customWidth="1"/>
    <col min="34" max="34" width="5" style="73" bestFit="1" customWidth="1"/>
    <col min="35" max="35" width="10.140625" style="73" bestFit="1" customWidth="1"/>
    <col min="36" max="36" width="11.5703125" style="73" bestFit="1" customWidth="1"/>
    <col min="37" max="37" width="7" style="73" bestFit="1" customWidth="1"/>
    <col min="38" max="39" width="7.5703125" style="73" bestFit="1" customWidth="1"/>
    <col min="40" max="41" width="9" style="73" bestFit="1" customWidth="1"/>
    <col min="42" max="42" width="8" style="73" bestFit="1" customWidth="1"/>
    <col min="43" max="43" width="7.5703125" style="73" customWidth="1"/>
    <col min="44" max="44" width="9.5703125" style="73" bestFit="1" customWidth="1"/>
    <col min="45" max="45" width="7.140625" style="73" bestFit="1" customWidth="1"/>
    <col min="46" max="46" width="5.7109375" style="214" bestFit="1" customWidth="1"/>
    <col min="47" max="47" width="9.5703125" style="214" bestFit="1" customWidth="1"/>
    <col min="48" max="48" width="5.85546875" style="214" bestFit="1" customWidth="1"/>
    <col min="49" max="49" width="5.7109375" style="219" bestFit="1" customWidth="1"/>
    <col min="50" max="50" width="9.5703125" style="219" bestFit="1" customWidth="1"/>
    <col min="51" max="51" width="5.85546875" style="216" bestFit="1" customWidth="1"/>
    <col min="52" max="16384" width="9.140625" style="73"/>
  </cols>
  <sheetData>
    <row r="1" spans="1:51" s="136" customFormat="1" ht="13.5" thickBot="1">
      <c r="A1" s="193"/>
      <c r="B1" s="181"/>
      <c r="C1" s="194"/>
      <c r="D1" s="194"/>
      <c r="E1" s="195"/>
      <c r="F1" s="195"/>
      <c r="G1" s="227" t="s">
        <v>65</v>
      </c>
      <c r="H1" s="228"/>
      <c r="I1" s="228"/>
      <c r="J1" s="228"/>
      <c r="K1" s="228"/>
      <c r="L1" s="228"/>
      <c r="M1" s="228"/>
      <c r="N1" s="229"/>
      <c r="O1" s="227" t="s">
        <v>66</v>
      </c>
      <c r="P1" s="228"/>
      <c r="Q1" s="228"/>
      <c r="R1" s="228"/>
      <c r="S1" s="228"/>
      <c r="T1" s="228"/>
      <c r="U1" s="228"/>
      <c r="V1" s="229"/>
      <c r="W1" s="230" t="s">
        <v>67</v>
      </c>
      <c r="X1" s="231"/>
      <c r="Y1" s="231"/>
      <c r="Z1" s="231"/>
      <c r="AA1" s="231"/>
      <c r="AB1" s="231"/>
      <c r="AC1" s="231"/>
      <c r="AD1" s="231"/>
      <c r="AE1" s="231"/>
      <c r="AF1" s="232"/>
      <c r="AG1" s="230" t="s">
        <v>68</v>
      </c>
      <c r="AH1" s="231"/>
      <c r="AI1" s="231"/>
      <c r="AJ1" s="231"/>
      <c r="AK1" s="231"/>
      <c r="AL1" s="231"/>
      <c r="AM1" s="231"/>
      <c r="AN1" s="231"/>
      <c r="AO1" s="231"/>
      <c r="AP1" s="232"/>
      <c r="AQ1" s="196" t="s">
        <v>69</v>
      </c>
      <c r="AR1" s="197" t="s">
        <v>70</v>
      </c>
      <c r="AS1" s="198" t="s">
        <v>71</v>
      </c>
      <c r="AT1" s="37" t="s">
        <v>69</v>
      </c>
      <c r="AU1" s="38" t="s">
        <v>70</v>
      </c>
      <c r="AV1" s="39" t="s">
        <v>72</v>
      </c>
      <c r="AW1" s="199" t="s">
        <v>69</v>
      </c>
      <c r="AX1" s="42" t="s">
        <v>70</v>
      </c>
      <c r="AY1" s="43" t="s">
        <v>72</v>
      </c>
    </row>
    <row r="2" spans="1:51" s="7" customFormat="1" ht="34.5" thickBot="1">
      <c r="A2" s="90" t="s">
        <v>73</v>
      </c>
      <c r="B2" s="200" t="s">
        <v>74</v>
      </c>
      <c r="C2" s="90" t="s">
        <v>1</v>
      </c>
      <c r="D2" s="58" t="s">
        <v>2</v>
      </c>
      <c r="E2" s="200" t="s">
        <v>75</v>
      </c>
      <c r="F2" s="59" t="s">
        <v>3</v>
      </c>
      <c r="G2" s="96" t="s">
        <v>76</v>
      </c>
      <c r="H2" s="98" t="s">
        <v>77</v>
      </c>
      <c r="I2" s="100" t="s">
        <v>78</v>
      </c>
      <c r="J2" s="100" t="s">
        <v>79</v>
      </c>
      <c r="K2" s="100" t="s">
        <v>80</v>
      </c>
      <c r="L2" s="100" t="s">
        <v>81</v>
      </c>
      <c r="M2" s="100" t="s">
        <v>82</v>
      </c>
      <c r="N2" s="201" t="s">
        <v>83</v>
      </c>
      <c r="O2" s="96" t="s">
        <v>76</v>
      </c>
      <c r="P2" s="98" t="s">
        <v>77</v>
      </c>
      <c r="Q2" s="100" t="s">
        <v>78</v>
      </c>
      <c r="R2" s="100" t="s">
        <v>79</v>
      </c>
      <c r="S2" s="100" t="s">
        <v>80</v>
      </c>
      <c r="T2" s="100" t="s">
        <v>81</v>
      </c>
      <c r="U2" s="100" t="s">
        <v>82</v>
      </c>
      <c r="V2" s="201" t="s">
        <v>83</v>
      </c>
      <c r="W2" s="202" t="s">
        <v>84</v>
      </c>
      <c r="X2" s="203" t="s">
        <v>85</v>
      </c>
      <c r="Y2" s="35" t="s">
        <v>86</v>
      </c>
      <c r="Z2" s="35" t="s">
        <v>87</v>
      </c>
      <c r="AA2" s="203" t="s">
        <v>88</v>
      </c>
      <c r="AB2" s="35" t="s">
        <v>89</v>
      </c>
      <c r="AC2" s="204" t="s">
        <v>89</v>
      </c>
      <c r="AD2" s="204" t="s">
        <v>90</v>
      </c>
      <c r="AE2" s="204" t="s">
        <v>91</v>
      </c>
      <c r="AF2" s="205" t="s">
        <v>92</v>
      </c>
      <c r="AG2" s="96" t="s">
        <v>84</v>
      </c>
      <c r="AH2" s="98" t="s">
        <v>85</v>
      </c>
      <c r="AI2" s="98" t="s">
        <v>86</v>
      </c>
      <c r="AJ2" s="98" t="s">
        <v>93</v>
      </c>
      <c r="AK2" s="98" t="s">
        <v>88</v>
      </c>
      <c r="AL2" s="98" t="s">
        <v>89</v>
      </c>
      <c r="AM2" s="98" t="s">
        <v>89</v>
      </c>
      <c r="AN2" s="98" t="s">
        <v>90</v>
      </c>
      <c r="AO2" s="98" t="s">
        <v>91</v>
      </c>
      <c r="AP2" s="206" t="s">
        <v>92</v>
      </c>
      <c r="AQ2" s="45" t="s">
        <v>94</v>
      </c>
      <c r="AR2" s="126" t="s">
        <v>8</v>
      </c>
      <c r="AS2" s="207" t="s">
        <v>8</v>
      </c>
      <c r="AT2" s="110" t="s">
        <v>95</v>
      </c>
      <c r="AU2" s="111" t="s">
        <v>95</v>
      </c>
      <c r="AV2" s="40" t="s">
        <v>95</v>
      </c>
      <c r="AW2" s="112" t="s">
        <v>10</v>
      </c>
      <c r="AX2" s="101" t="s">
        <v>10</v>
      </c>
      <c r="AY2" s="208" t="s">
        <v>96</v>
      </c>
    </row>
    <row r="3" spans="1:51" ht="13.15" customHeight="1">
      <c r="A3" s="67">
        <v>14258</v>
      </c>
      <c r="B3" s="67" t="s">
        <v>97</v>
      </c>
      <c r="C3" s="209" t="str">
        <f>Rollover!A3</f>
        <v>Acura</v>
      </c>
      <c r="D3" s="118" t="str">
        <f>Rollover!B3</f>
        <v>Integra 5 HB FWD</v>
      </c>
      <c r="E3" s="188" t="s">
        <v>98</v>
      </c>
      <c r="F3" s="117">
        <f>Rollover!C3</f>
        <v>2023</v>
      </c>
      <c r="G3" s="11">
        <v>231.16</v>
      </c>
      <c r="H3" s="12">
        <v>0.27</v>
      </c>
      <c r="I3" s="12">
        <v>847.85400000000004</v>
      </c>
      <c r="J3" s="12">
        <v>85.427000000000007</v>
      </c>
      <c r="K3" s="12">
        <v>19.751999999999999</v>
      </c>
      <c r="L3" s="12">
        <v>37.284999999999997</v>
      </c>
      <c r="M3" s="12">
        <v>1276.6130000000001</v>
      </c>
      <c r="N3" s="13">
        <v>2553.4580000000001</v>
      </c>
      <c r="O3" s="11">
        <v>328.25900000000001</v>
      </c>
      <c r="P3" s="12">
        <v>0.26700000000000002</v>
      </c>
      <c r="Q3" s="12">
        <v>671.62</v>
      </c>
      <c r="R3" s="12">
        <v>322.96699999999998</v>
      </c>
      <c r="S3" s="12">
        <v>14.266999999999999</v>
      </c>
      <c r="T3" s="12">
        <v>42.319000000000003</v>
      </c>
      <c r="U3" s="12">
        <v>1178.136</v>
      </c>
      <c r="V3" s="13">
        <v>474.15499999999997</v>
      </c>
      <c r="W3" s="114">
        <f t="shared" ref="W3" si="0">NORMDIST(LN(G3),7.45231,0.73998,1)</f>
        <v>3.3117041367638198E-3</v>
      </c>
      <c r="X3" s="6">
        <f t="shared" ref="X3" si="1">1/(1+EXP(3.2269-1.9688*H3))</f>
        <v>6.3249840623120709E-2</v>
      </c>
      <c r="Y3" s="6">
        <f t="shared" ref="Y3" si="2">1/(1+EXP(10.9745-2.375*I3/1000))</f>
        <v>1.2832106949297898E-4</v>
      </c>
      <c r="Z3" s="6">
        <f t="shared" ref="Z3" si="3">1/(1+EXP(10.9745-2.375*J3/1000))</f>
        <v>2.0986485779530627E-5</v>
      </c>
      <c r="AA3" s="6">
        <f t="shared" ref="AA3" si="4">MAX(X3,Y3,Z3)</f>
        <v>6.3249840623120709E-2</v>
      </c>
      <c r="AB3" s="6">
        <f t="shared" ref="AB3" si="5">1/(1+EXP(12.597-0.05861*35-1.568*(K3^0.4612)))</f>
        <v>1.2885950492916742E-2</v>
      </c>
      <c r="AC3" s="6">
        <f t="shared" ref="AC3" si="6">AB3</f>
        <v>1.2885950492916742E-2</v>
      </c>
      <c r="AD3" s="6">
        <f t="shared" ref="AD3" si="7">1/(1+EXP(5.7949-0.5196*M3/1000))</f>
        <v>5.8725767429259786E-3</v>
      </c>
      <c r="AE3" s="6">
        <f t="shared" ref="AE3" si="8">1/(1+EXP(5.7949-0.5196*N3/1000))</f>
        <v>1.1338777679190577E-2</v>
      </c>
      <c r="AF3" s="27">
        <f t="shared" ref="AF3" si="9">MAX(AD3,AE3)</f>
        <v>1.1338777679190577E-2</v>
      </c>
      <c r="AG3" s="26">
        <f t="shared" ref="AG3" si="10">NORMDIST(LN(O3),7.45231,0.73998,1)</f>
        <v>1.2503766468287793E-2</v>
      </c>
      <c r="AH3" s="6">
        <f t="shared" ref="AH3" si="11">1/(1+EXP(3.2269-1.9688*P3))</f>
        <v>6.2900791995682381E-2</v>
      </c>
      <c r="AI3" s="6">
        <f t="shared" ref="AI3" si="12">1/(1+EXP(10.958-3.77*Q3/1000))</f>
        <v>2.1904975246422087E-4</v>
      </c>
      <c r="AJ3" s="6">
        <f t="shared" ref="AJ3" si="13">1/(1+EXP(10.958-3.77*R3/1000))</f>
        <v>5.8852675373025976E-5</v>
      </c>
      <c r="AK3" s="6">
        <f t="shared" ref="AK3" si="14">MAX(AH3,AI3,AJ3)</f>
        <v>6.2900791995682381E-2</v>
      </c>
      <c r="AL3" s="6">
        <f t="shared" ref="AL3" si="15">1/(1+EXP(12.597-0.05861*35-1.568*((S3/0.817)^0.4612)))</f>
        <v>9.1803462434360949E-3</v>
      </c>
      <c r="AM3" s="6">
        <f t="shared" ref="AM3" si="16">AL3</f>
        <v>9.1803462434360949E-3</v>
      </c>
      <c r="AN3" s="6">
        <f t="shared" ref="AN3" si="17">1/(1+EXP(5.7949-0.7619*U3/1000))</f>
        <v>7.4115378700983295E-3</v>
      </c>
      <c r="AO3" s="6">
        <f t="shared" ref="AO3" si="18">1/(1+EXP(5.7949-0.7619*V3/1000))</f>
        <v>4.3481754365519978E-3</v>
      </c>
      <c r="AP3" s="27">
        <f t="shared" ref="AP3" si="19">MAX(AN3,AO3)</f>
        <v>7.4115378700983295E-3</v>
      </c>
      <c r="AQ3" s="114">
        <f t="shared" ref="AQ3" si="20">ROUND(1-(1-W3)*(1-AA3)*(1-AC3)*(1-AF3),3)</f>
        <v>8.8999999999999996E-2</v>
      </c>
      <c r="AR3" s="6">
        <f t="shared" ref="AR3" si="21">ROUND(1-(1-AG3)*(1-AK3)*(1-AM3)*(1-AP3),3)</f>
        <v>0.09</v>
      </c>
      <c r="AS3" s="6">
        <f t="shared" ref="AS3" si="22">ROUND(AVERAGE(AR3,AQ3),3)</f>
        <v>0.09</v>
      </c>
      <c r="AT3" s="115">
        <f t="shared" ref="AT3" si="23">ROUND(AQ3/0.15,2)</f>
        <v>0.59</v>
      </c>
      <c r="AU3" s="115">
        <f t="shared" ref="AU3" si="24">ROUND(AR3/0.15,2)</f>
        <v>0.6</v>
      </c>
      <c r="AV3" s="115">
        <f t="shared" ref="AV3" si="25">ROUND(AS3/0.15,2)</f>
        <v>0.6</v>
      </c>
      <c r="AW3" s="106">
        <f t="shared" ref="AW3" si="26">IF(AT3&lt;0.67,5,IF(AT3&lt;1,4,IF(AT3&lt;1.33,3,IF(AT3&lt;2.67,2,1))))</f>
        <v>5</v>
      </c>
      <c r="AX3" s="106">
        <f t="shared" ref="AX3" si="27">IF(AU3&lt;0.67,5,IF(AU3&lt;1,4,IF(AU3&lt;1.33,3,IF(AU3&lt;2.67,2,1))))</f>
        <v>5</v>
      </c>
      <c r="AY3" s="116">
        <f t="shared" ref="AY3" si="28">IF(AV3&lt;0.67,5,IF(AV3&lt;1,4,IF(AV3&lt;1.33,3,IF(AV3&lt;2.67,2,1))))</f>
        <v>5</v>
      </c>
    </row>
    <row r="4" spans="1:51" ht="13.15" customHeight="1">
      <c r="A4" s="67"/>
      <c r="B4" s="67"/>
      <c r="C4" s="209" t="str">
        <f>Rollover!A4</f>
        <v>Honda</v>
      </c>
      <c r="D4" s="118" t="str">
        <f>Rollover!B4</f>
        <v>Civic Hatchback FWD</v>
      </c>
      <c r="E4" s="188"/>
      <c r="F4" s="117">
        <f>Rollover!C4</f>
        <v>2023</v>
      </c>
      <c r="G4" s="11"/>
      <c r="H4" s="12"/>
      <c r="I4" s="12"/>
      <c r="J4" s="12"/>
      <c r="K4" s="12"/>
      <c r="L4" s="12"/>
      <c r="M4" s="12"/>
      <c r="N4" s="13"/>
      <c r="O4" s="11"/>
      <c r="P4" s="12"/>
      <c r="Q4" s="12"/>
      <c r="R4" s="12"/>
      <c r="S4" s="12"/>
      <c r="T4" s="12"/>
      <c r="U4" s="12"/>
      <c r="V4" s="13"/>
      <c r="W4" s="114" t="e">
        <f t="shared" ref="W4:W31" si="29">NORMDIST(LN(G4),7.45231,0.73998,1)</f>
        <v>#NUM!</v>
      </c>
      <c r="X4" s="6">
        <f t="shared" ref="X4:X31" si="30">1/(1+EXP(3.2269-1.9688*H4))</f>
        <v>3.8165882958950202E-2</v>
      </c>
      <c r="Y4" s="6">
        <f t="shared" ref="Y4:Y31" si="31">1/(1+EXP(10.9745-2.375*I4/1000))</f>
        <v>1.713277721572889E-5</v>
      </c>
      <c r="Z4" s="6">
        <f t="shared" ref="Z4:Z31" si="32">1/(1+EXP(10.9745-2.375*J4/1000))</f>
        <v>1.713277721572889E-5</v>
      </c>
      <c r="AA4" s="6">
        <f t="shared" ref="AA4:AA31" si="33">MAX(X4,Y4,Z4)</f>
        <v>3.8165882958950202E-2</v>
      </c>
      <c r="AB4" s="6">
        <f t="shared" ref="AB4:AB31" si="34">1/(1+EXP(12.597-0.05861*35-1.568*(K4^0.4612)))</f>
        <v>2.6306978617002889E-5</v>
      </c>
      <c r="AC4" s="6">
        <f t="shared" ref="AC4:AC31" si="35">AB4</f>
        <v>2.6306978617002889E-5</v>
      </c>
      <c r="AD4" s="6">
        <f t="shared" ref="AD4:AD31" si="36">1/(1+EXP(5.7949-0.5196*M4/1000))</f>
        <v>3.033802747866758E-3</v>
      </c>
      <c r="AE4" s="6">
        <f t="shared" ref="AE4:AE31" si="37">1/(1+EXP(5.7949-0.5196*N4/1000))</f>
        <v>3.033802747866758E-3</v>
      </c>
      <c r="AF4" s="27">
        <f t="shared" ref="AF4:AF31" si="38">MAX(AD4,AE4)</f>
        <v>3.033802747866758E-3</v>
      </c>
      <c r="AG4" s="26" t="e">
        <f t="shared" ref="AG4:AG31" si="39">NORMDIST(LN(O4),7.45231,0.73998,1)</f>
        <v>#NUM!</v>
      </c>
      <c r="AH4" s="6">
        <f t="shared" ref="AH4:AH31" si="40">1/(1+EXP(3.2269-1.9688*P4))</f>
        <v>3.8165882958950202E-2</v>
      </c>
      <c r="AI4" s="6">
        <f t="shared" ref="AI4:AI31" si="41">1/(1+EXP(10.958-3.77*Q4/1000))</f>
        <v>1.7417808154569238E-5</v>
      </c>
      <c r="AJ4" s="6">
        <f t="shared" ref="AJ4:AJ31" si="42">1/(1+EXP(10.958-3.77*R4/1000))</f>
        <v>1.7417808154569238E-5</v>
      </c>
      <c r="AK4" s="6">
        <f t="shared" ref="AK4:AK31" si="43">MAX(AH4,AI4,AJ4)</f>
        <v>3.8165882958950202E-2</v>
      </c>
      <c r="AL4" s="6">
        <f t="shared" ref="AL4:AL31" si="44">1/(1+EXP(12.597-0.05861*35-1.568*((S4/0.817)^0.4612)))</f>
        <v>2.6306978617002889E-5</v>
      </c>
      <c r="AM4" s="6">
        <f t="shared" ref="AM4:AM31" si="45">AL4</f>
        <v>2.6306978617002889E-5</v>
      </c>
      <c r="AN4" s="6">
        <f t="shared" ref="AN4:AN31" si="46">1/(1+EXP(5.7949-0.7619*U4/1000))</f>
        <v>3.033802747866758E-3</v>
      </c>
      <c r="AO4" s="6">
        <f t="shared" ref="AO4:AO31" si="47">1/(1+EXP(5.7949-0.7619*V4/1000))</f>
        <v>3.033802747866758E-3</v>
      </c>
      <c r="AP4" s="27">
        <f t="shared" ref="AP4:AP31" si="48">MAX(AN4,AO4)</f>
        <v>3.033802747866758E-3</v>
      </c>
      <c r="AQ4" s="114" t="e">
        <f t="shared" ref="AQ4:AQ31" si="49">ROUND(1-(1-W4)*(1-AA4)*(1-AC4)*(1-AF4),3)</f>
        <v>#NUM!</v>
      </c>
      <c r="AR4" s="6" t="e">
        <f t="shared" ref="AR4:AR31" si="50">ROUND(1-(1-AG4)*(1-AK4)*(1-AM4)*(1-AP4),3)</f>
        <v>#NUM!</v>
      </c>
      <c r="AS4" s="6" t="e">
        <f t="shared" ref="AS4:AS31" si="51">ROUND(AVERAGE(AR4,AQ4),3)</f>
        <v>#NUM!</v>
      </c>
      <c r="AT4" s="115" t="e">
        <f t="shared" ref="AT4:AT31" si="52">ROUND(AQ4/0.15,2)</f>
        <v>#NUM!</v>
      </c>
      <c r="AU4" s="115" t="e">
        <f t="shared" ref="AU4:AU31" si="53">ROUND(AR4/0.15,2)</f>
        <v>#NUM!</v>
      </c>
      <c r="AV4" s="115" t="e">
        <f t="shared" ref="AV4:AV31" si="54">ROUND(AS4/0.15,2)</f>
        <v>#NUM!</v>
      </c>
      <c r="AW4" s="106" t="e">
        <f t="shared" ref="AW4:AW31" si="55">IF(AT4&lt;0.67,5,IF(AT4&lt;1,4,IF(AT4&lt;1.33,3,IF(AT4&lt;2.67,2,1))))</f>
        <v>#NUM!</v>
      </c>
      <c r="AX4" s="106" t="e">
        <f t="shared" ref="AX4:AX31" si="56">IF(AU4&lt;0.67,5,IF(AU4&lt;1,4,IF(AU4&lt;1.33,3,IF(AU4&lt;2.67,2,1))))</f>
        <v>#NUM!</v>
      </c>
      <c r="AY4" s="116" t="e">
        <f t="shared" ref="AY4:AY31" si="57">IF(AV4&lt;0.67,5,IF(AV4&lt;1,4,IF(AV4&lt;1.33,3,IF(AV4&lt;2.67,2,1))))</f>
        <v>#NUM!</v>
      </c>
    </row>
    <row r="5" spans="1:51" ht="13.15" customHeight="1">
      <c r="A5" s="75"/>
      <c r="B5" s="68"/>
      <c r="C5" s="209" t="str">
        <f>Rollover!A5</f>
        <v>Honda</v>
      </c>
      <c r="D5" s="118" t="str">
        <f>Rollover!B5</f>
        <v>Civic Hatchback Typer R FWD</v>
      </c>
      <c r="E5" s="188"/>
      <c r="F5" s="117">
        <f>Rollover!C5</f>
        <v>2023</v>
      </c>
      <c r="G5" s="11"/>
      <c r="H5" s="12"/>
      <c r="I5" s="12"/>
      <c r="J5" s="12"/>
      <c r="K5" s="12"/>
      <c r="L5" s="12"/>
      <c r="M5" s="12"/>
      <c r="N5" s="13"/>
      <c r="O5" s="11"/>
      <c r="P5" s="12"/>
      <c r="Q5" s="12"/>
      <c r="R5" s="12"/>
      <c r="S5" s="12"/>
      <c r="T5" s="12"/>
      <c r="U5" s="12"/>
      <c r="V5" s="13"/>
      <c r="W5" s="114" t="e">
        <f t="shared" si="29"/>
        <v>#NUM!</v>
      </c>
      <c r="X5" s="6">
        <f t="shared" si="30"/>
        <v>3.8165882958950202E-2</v>
      </c>
      <c r="Y5" s="6">
        <f t="shared" si="31"/>
        <v>1.713277721572889E-5</v>
      </c>
      <c r="Z5" s="6">
        <f t="shared" si="32"/>
        <v>1.713277721572889E-5</v>
      </c>
      <c r="AA5" s="6">
        <f t="shared" si="33"/>
        <v>3.8165882958950202E-2</v>
      </c>
      <c r="AB5" s="6">
        <f t="shared" si="34"/>
        <v>2.6306978617002889E-5</v>
      </c>
      <c r="AC5" s="6">
        <f t="shared" si="35"/>
        <v>2.6306978617002889E-5</v>
      </c>
      <c r="AD5" s="6">
        <f t="shared" si="36"/>
        <v>3.033802747866758E-3</v>
      </c>
      <c r="AE5" s="6">
        <f t="shared" si="37"/>
        <v>3.033802747866758E-3</v>
      </c>
      <c r="AF5" s="27">
        <f t="shared" si="38"/>
        <v>3.033802747866758E-3</v>
      </c>
      <c r="AG5" s="26" t="e">
        <f t="shared" si="39"/>
        <v>#NUM!</v>
      </c>
      <c r="AH5" s="6">
        <f t="shared" si="40"/>
        <v>3.8165882958950202E-2</v>
      </c>
      <c r="AI5" s="6">
        <f t="shared" si="41"/>
        <v>1.7417808154569238E-5</v>
      </c>
      <c r="AJ5" s="6">
        <f t="shared" si="42"/>
        <v>1.7417808154569238E-5</v>
      </c>
      <c r="AK5" s="6">
        <f t="shared" si="43"/>
        <v>3.8165882958950202E-2</v>
      </c>
      <c r="AL5" s="6">
        <f t="shared" si="44"/>
        <v>2.6306978617002889E-5</v>
      </c>
      <c r="AM5" s="6">
        <f t="shared" si="45"/>
        <v>2.6306978617002889E-5</v>
      </c>
      <c r="AN5" s="6">
        <f t="shared" si="46"/>
        <v>3.033802747866758E-3</v>
      </c>
      <c r="AO5" s="6">
        <f t="shared" si="47"/>
        <v>3.033802747866758E-3</v>
      </c>
      <c r="AP5" s="27">
        <f t="shared" si="48"/>
        <v>3.033802747866758E-3</v>
      </c>
      <c r="AQ5" s="114" t="e">
        <f t="shared" si="49"/>
        <v>#NUM!</v>
      </c>
      <c r="AR5" s="6" t="e">
        <f t="shared" si="50"/>
        <v>#NUM!</v>
      </c>
      <c r="AS5" s="6" t="e">
        <f t="shared" si="51"/>
        <v>#NUM!</v>
      </c>
      <c r="AT5" s="115" t="e">
        <f t="shared" si="52"/>
        <v>#NUM!</v>
      </c>
      <c r="AU5" s="115" t="e">
        <f t="shared" si="53"/>
        <v>#NUM!</v>
      </c>
      <c r="AV5" s="115" t="e">
        <f t="shared" si="54"/>
        <v>#NUM!</v>
      </c>
      <c r="AW5" s="106" t="e">
        <f t="shared" si="55"/>
        <v>#NUM!</v>
      </c>
      <c r="AX5" s="106" t="e">
        <f t="shared" si="56"/>
        <v>#NUM!</v>
      </c>
      <c r="AY5" s="116" t="e">
        <f t="shared" si="57"/>
        <v>#NUM!</v>
      </c>
    </row>
    <row r="6" spans="1:51" ht="13.15" customHeight="1">
      <c r="A6" s="75"/>
      <c r="B6" s="68"/>
      <c r="C6" s="209" t="str">
        <f>Rollover!A6</f>
        <v>Honda</v>
      </c>
      <c r="D6" s="118" t="str">
        <f>Rollover!B6</f>
        <v>Civic Sedan FWD</v>
      </c>
      <c r="E6" s="188"/>
      <c r="F6" s="117">
        <f>Rollover!C6</f>
        <v>2023</v>
      </c>
      <c r="G6" s="11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3"/>
      <c r="W6" s="114" t="e">
        <f t="shared" si="29"/>
        <v>#NUM!</v>
      </c>
      <c r="X6" s="6">
        <f t="shared" si="30"/>
        <v>3.8165882958950202E-2</v>
      </c>
      <c r="Y6" s="6">
        <f t="shared" si="31"/>
        <v>1.713277721572889E-5</v>
      </c>
      <c r="Z6" s="6">
        <f t="shared" si="32"/>
        <v>1.713277721572889E-5</v>
      </c>
      <c r="AA6" s="6">
        <f t="shared" si="33"/>
        <v>3.8165882958950202E-2</v>
      </c>
      <c r="AB6" s="6">
        <f t="shared" si="34"/>
        <v>2.6306978617002889E-5</v>
      </c>
      <c r="AC6" s="6">
        <f t="shared" si="35"/>
        <v>2.6306978617002889E-5</v>
      </c>
      <c r="AD6" s="6">
        <f t="shared" si="36"/>
        <v>3.033802747866758E-3</v>
      </c>
      <c r="AE6" s="6">
        <f t="shared" si="37"/>
        <v>3.033802747866758E-3</v>
      </c>
      <c r="AF6" s="27">
        <f t="shared" si="38"/>
        <v>3.033802747866758E-3</v>
      </c>
      <c r="AG6" s="26" t="e">
        <f t="shared" si="39"/>
        <v>#NUM!</v>
      </c>
      <c r="AH6" s="6">
        <f t="shared" si="40"/>
        <v>3.8165882958950202E-2</v>
      </c>
      <c r="AI6" s="6">
        <f t="shared" si="41"/>
        <v>1.7417808154569238E-5</v>
      </c>
      <c r="AJ6" s="6">
        <f t="shared" si="42"/>
        <v>1.7417808154569238E-5</v>
      </c>
      <c r="AK6" s="6">
        <f t="shared" si="43"/>
        <v>3.8165882958950202E-2</v>
      </c>
      <c r="AL6" s="6">
        <f t="shared" si="44"/>
        <v>2.6306978617002889E-5</v>
      </c>
      <c r="AM6" s="6">
        <f t="shared" si="45"/>
        <v>2.6306978617002889E-5</v>
      </c>
      <c r="AN6" s="6">
        <f t="shared" si="46"/>
        <v>3.033802747866758E-3</v>
      </c>
      <c r="AO6" s="6">
        <f t="shared" si="47"/>
        <v>3.033802747866758E-3</v>
      </c>
      <c r="AP6" s="27">
        <f t="shared" si="48"/>
        <v>3.033802747866758E-3</v>
      </c>
      <c r="AQ6" s="114" t="e">
        <f t="shared" si="49"/>
        <v>#NUM!</v>
      </c>
      <c r="AR6" s="6" t="e">
        <f t="shared" si="50"/>
        <v>#NUM!</v>
      </c>
      <c r="AS6" s="6" t="e">
        <f t="shared" si="51"/>
        <v>#NUM!</v>
      </c>
      <c r="AT6" s="115" t="e">
        <f t="shared" si="52"/>
        <v>#NUM!</v>
      </c>
      <c r="AU6" s="115" t="e">
        <f t="shared" si="53"/>
        <v>#NUM!</v>
      </c>
      <c r="AV6" s="115" t="e">
        <f t="shared" si="54"/>
        <v>#NUM!</v>
      </c>
      <c r="AW6" s="106" t="e">
        <f t="shared" si="55"/>
        <v>#NUM!</v>
      </c>
      <c r="AX6" s="106" t="e">
        <f t="shared" si="56"/>
        <v>#NUM!</v>
      </c>
      <c r="AY6" s="116" t="e">
        <f t="shared" si="57"/>
        <v>#NUM!</v>
      </c>
    </row>
    <row r="7" spans="1:51" ht="13.15" customHeight="1">
      <c r="A7" s="75">
        <v>10660</v>
      </c>
      <c r="B7" s="68" t="s">
        <v>100</v>
      </c>
      <c r="C7" s="209" t="str">
        <f>Rollover!A7</f>
        <v>Audi</v>
      </c>
      <c r="D7" s="118" t="str">
        <f>Rollover!B7</f>
        <v>Q8 AWD</v>
      </c>
      <c r="E7" s="188" t="s">
        <v>98</v>
      </c>
      <c r="F7" s="117">
        <f>Rollover!C7</f>
        <v>2023</v>
      </c>
      <c r="G7" s="11">
        <v>295.80599999999998</v>
      </c>
      <c r="H7" s="12">
        <v>0.29799999999999999</v>
      </c>
      <c r="I7" s="12">
        <v>1045.3879999999999</v>
      </c>
      <c r="J7" s="12">
        <v>62.002000000000002</v>
      </c>
      <c r="K7" s="12">
        <v>24.998999999999999</v>
      </c>
      <c r="L7" s="12">
        <v>43.417000000000002</v>
      </c>
      <c r="M7" s="12">
        <v>362.548</v>
      </c>
      <c r="N7" s="13">
        <v>263.21800000000002</v>
      </c>
      <c r="O7" s="11">
        <v>238.054</v>
      </c>
      <c r="P7" s="12">
        <v>0.33600000000000002</v>
      </c>
      <c r="Q7" s="12">
        <v>533.01700000000005</v>
      </c>
      <c r="R7" s="12">
        <v>520.73900000000003</v>
      </c>
      <c r="S7" s="12">
        <v>12.29</v>
      </c>
      <c r="T7" s="12">
        <v>45.061</v>
      </c>
      <c r="U7" s="12">
        <v>208.98699999999999</v>
      </c>
      <c r="V7" s="13">
        <v>207.80099999999999</v>
      </c>
      <c r="W7" s="114">
        <f t="shared" si="29"/>
        <v>8.6102763517468244E-3</v>
      </c>
      <c r="X7" s="6">
        <f t="shared" si="30"/>
        <v>6.6595751557450455E-2</v>
      </c>
      <c r="Y7" s="6">
        <f t="shared" si="31"/>
        <v>2.0512138288448597E-4</v>
      </c>
      <c r="Z7" s="6">
        <f t="shared" si="32"/>
        <v>1.9850822795805519E-5</v>
      </c>
      <c r="AA7" s="6">
        <f t="shared" si="33"/>
        <v>6.6595751557450455E-2</v>
      </c>
      <c r="AB7" s="6">
        <f t="shared" si="34"/>
        <v>2.5925586808734281E-2</v>
      </c>
      <c r="AC7" s="6">
        <f t="shared" si="35"/>
        <v>2.5925586808734281E-2</v>
      </c>
      <c r="AD7" s="6">
        <f t="shared" si="36"/>
        <v>3.6603842196991066E-3</v>
      </c>
      <c r="AE7" s="6">
        <f t="shared" si="37"/>
        <v>3.4768975785540073E-3</v>
      </c>
      <c r="AF7" s="27">
        <f t="shared" si="38"/>
        <v>3.6603842196991066E-3</v>
      </c>
      <c r="AG7" s="26">
        <f t="shared" si="39"/>
        <v>3.7309542576948679E-3</v>
      </c>
      <c r="AH7" s="6">
        <f t="shared" si="40"/>
        <v>7.1399801507878169E-2</v>
      </c>
      <c r="AI7" s="6">
        <f t="shared" si="41"/>
        <v>1.2991166608711518E-4</v>
      </c>
      <c r="AJ7" s="6">
        <f t="shared" si="42"/>
        <v>1.2403608659382033E-4</v>
      </c>
      <c r="AK7" s="6">
        <f t="shared" si="43"/>
        <v>7.1399801507878169E-2</v>
      </c>
      <c r="AL7" s="6">
        <f t="shared" si="44"/>
        <v>6.2349823153880898E-3</v>
      </c>
      <c r="AM7" s="6">
        <f t="shared" si="45"/>
        <v>6.2349823153880898E-3</v>
      </c>
      <c r="AN7" s="6">
        <f t="shared" si="46"/>
        <v>3.5555883533510638E-3</v>
      </c>
      <c r="AO7" s="6">
        <f t="shared" si="47"/>
        <v>3.5523883354651301E-3</v>
      </c>
      <c r="AP7" s="27">
        <f t="shared" si="48"/>
        <v>3.5555883533510638E-3</v>
      </c>
      <c r="AQ7" s="114">
        <f t="shared" si="49"/>
        <v>0.10199999999999999</v>
      </c>
      <c r="AR7" s="6">
        <f t="shared" si="50"/>
        <v>8.4000000000000005E-2</v>
      </c>
      <c r="AS7" s="6">
        <f t="shared" si="51"/>
        <v>9.2999999999999999E-2</v>
      </c>
      <c r="AT7" s="115">
        <f t="shared" si="52"/>
        <v>0.68</v>
      </c>
      <c r="AU7" s="115">
        <f t="shared" si="53"/>
        <v>0.56000000000000005</v>
      </c>
      <c r="AV7" s="115">
        <f t="shared" si="54"/>
        <v>0.62</v>
      </c>
      <c r="AW7" s="106">
        <f t="shared" si="55"/>
        <v>4</v>
      </c>
      <c r="AX7" s="106">
        <f t="shared" si="56"/>
        <v>5</v>
      </c>
      <c r="AY7" s="116">
        <f t="shared" si="57"/>
        <v>5</v>
      </c>
    </row>
    <row r="8" spans="1:51" ht="13.15" customHeight="1">
      <c r="A8" s="81"/>
      <c r="B8" s="44"/>
      <c r="C8" s="209" t="str">
        <f>Rollover!A8</f>
        <v>Audi</v>
      </c>
      <c r="D8" s="118" t="str">
        <f>Rollover!B8</f>
        <v>SQ8 AWD</v>
      </c>
      <c r="E8" s="188"/>
      <c r="F8" s="117">
        <f>Rollover!C8</f>
        <v>2023</v>
      </c>
      <c r="G8" s="19"/>
      <c r="H8" s="20"/>
      <c r="I8" s="20"/>
      <c r="J8" s="20"/>
      <c r="K8" s="20"/>
      <c r="L8" s="20"/>
      <c r="M8" s="20"/>
      <c r="N8" s="21"/>
      <c r="O8" s="19"/>
      <c r="P8" s="20"/>
      <c r="Q8" s="20"/>
      <c r="R8" s="20"/>
      <c r="S8" s="20"/>
      <c r="T8" s="20"/>
      <c r="U8" s="20"/>
      <c r="V8" s="21"/>
      <c r="W8" s="114" t="e">
        <f t="shared" si="29"/>
        <v>#NUM!</v>
      </c>
      <c r="X8" s="6">
        <f t="shared" si="30"/>
        <v>3.8165882958950202E-2</v>
      </c>
      <c r="Y8" s="6">
        <f t="shared" si="31"/>
        <v>1.713277721572889E-5</v>
      </c>
      <c r="Z8" s="6">
        <f t="shared" si="32"/>
        <v>1.713277721572889E-5</v>
      </c>
      <c r="AA8" s="6">
        <f t="shared" si="33"/>
        <v>3.8165882958950202E-2</v>
      </c>
      <c r="AB8" s="6">
        <f t="shared" si="34"/>
        <v>2.6306978617002889E-5</v>
      </c>
      <c r="AC8" s="6">
        <f t="shared" si="35"/>
        <v>2.6306978617002889E-5</v>
      </c>
      <c r="AD8" s="6">
        <f t="shared" si="36"/>
        <v>3.033802747866758E-3</v>
      </c>
      <c r="AE8" s="6">
        <f t="shared" si="37"/>
        <v>3.033802747866758E-3</v>
      </c>
      <c r="AF8" s="27">
        <f t="shared" si="38"/>
        <v>3.033802747866758E-3</v>
      </c>
      <c r="AG8" s="26" t="e">
        <f t="shared" si="39"/>
        <v>#NUM!</v>
      </c>
      <c r="AH8" s="6">
        <f t="shared" si="40"/>
        <v>3.8165882958950202E-2</v>
      </c>
      <c r="AI8" s="6">
        <f t="shared" si="41"/>
        <v>1.7417808154569238E-5</v>
      </c>
      <c r="AJ8" s="6">
        <f t="shared" si="42"/>
        <v>1.7417808154569238E-5</v>
      </c>
      <c r="AK8" s="6">
        <f t="shared" si="43"/>
        <v>3.8165882958950202E-2</v>
      </c>
      <c r="AL8" s="6">
        <f t="shared" si="44"/>
        <v>2.6306978617002889E-5</v>
      </c>
      <c r="AM8" s="6">
        <f t="shared" si="45"/>
        <v>2.6306978617002889E-5</v>
      </c>
      <c r="AN8" s="6">
        <f t="shared" si="46"/>
        <v>3.033802747866758E-3</v>
      </c>
      <c r="AO8" s="6">
        <f t="shared" si="47"/>
        <v>3.033802747866758E-3</v>
      </c>
      <c r="AP8" s="27">
        <f t="shared" si="48"/>
        <v>3.033802747866758E-3</v>
      </c>
      <c r="AQ8" s="114" t="e">
        <f t="shared" si="49"/>
        <v>#NUM!</v>
      </c>
      <c r="AR8" s="6" t="e">
        <f t="shared" si="50"/>
        <v>#NUM!</v>
      </c>
      <c r="AS8" s="6" t="e">
        <f t="shared" si="51"/>
        <v>#NUM!</v>
      </c>
      <c r="AT8" s="115" t="e">
        <f t="shared" si="52"/>
        <v>#NUM!</v>
      </c>
      <c r="AU8" s="115" t="e">
        <f t="shared" si="53"/>
        <v>#NUM!</v>
      </c>
      <c r="AV8" s="115" t="e">
        <f t="shared" si="54"/>
        <v>#NUM!</v>
      </c>
      <c r="AW8" s="106" t="e">
        <f t="shared" si="55"/>
        <v>#NUM!</v>
      </c>
      <c r="AX8" s="106" t="e">
        <f t="shared" si="56"/>
        <v>#NUM!</v>
      </c>
      <c r="AY8" s="116" t="e">
        <f t="shared" si="57"/>
        <v>#NUM!</v>
      </c>
    </row>
    <row r="9" spans="1:51" ht="13.15" customHeight="1">
      <c r="A9" s="81"/>
      <c r="B9" s="44"/>
      <c r="C9" s="209" t="str">
        <f>Rollover!A9</f>
        <v>Audi</v>
      </c>
      <c r="D9" s="118" t="str">
        <f>Rollover!B9</f>
        <v>RS Q8 AWD</v>
      </c>
      <c r="E9" s="188"/>
      <c r="F9" s="117">
        <f>Rollover!C9</f>
        <v>2023</v>
      </c>
      <c r="G9" s="11"/>
      <c r="H9" s="12"/>
      <c r="I9" s="12"/>
      <c r="J9" s="12"/>
      <c r="K9" s="12"/>
      <c r="L9" s="12"/>
      <c r="M9" s="12"/>
      <c r="N9" s="13"/>
      <c r="O9" s="11"/>
      <c r="P9" s="12"/>
      <c r="Q9" s="12"/>
      <c r="R9" s="12"/>
      <c r="S9" s="12"/>
      <c r="T9" s="12"/>
      <c r="U9" s="12"/>
      <c r="V9" s="13"/>
      <c r="W9" s="114" t="e">
        <f t="shared" si="29"/>
        <v>#NUM!</v>
      </c>
      <c r="X9" s="6">
        <f t="shared" si="30"/>
        <v>3.8165882958950202E-2</v>
      </c>
      <c r="Y9" s="6">
        <f t="shared" si="31"/>
        <v>1.713277721572889E-5</v>
      </c>
      <c r="Z9" s="6">
        <f t="shared" si="32"/>
        <v>1.713277721572889E-5</v>
      </c>
      <c r="AA9" s="6">
        <f t="shared" si="33"/>
        <v>3.8165882958950202E-2</v>
      </c>
      <c r="AB9" s="6">
        <f t="shared" si="34"/>
        <v>2.6306978617002889E-5</v>
      </c>
      <c r="AC9" s="6">
        <f t="shared" si="35"/>
        <v>2.6306978617002889E-5</v>
      </c>
      <c r="AD9" s="6">
        <f t="shared" si="36"/>
        <v>3.033802747866758E-3</v>
      </c>
      <c r="AE9" s="6">
        <f t="shared" si="37"/>
        <v>3.033802747866758E-3</v>
      </c>
      <c r="AF9" s="27">
        <f t="shared" si="38"/>
        <v>3.033802747866758E-3</v>
      </c>
      <c r="AG9" s="26" t="e">
        <f t="shared" si="39"/>
        <v>#NUM!</v>
      </c>
      <c r="AH9" s="6">
        <f t="shared" si="40"/>
        <v>3.8165882958950202E-2</v>
      </c>
      <c r="AI9" s="6">
        <f t="shared" si="41"/>
        <v>1.7417808154569238E-5</v>
      </c>
      <c r="AJ9" s="6">
        <f t="shared" si="42"/>
        <v>1.7417808154569238E-5</v>
      </c>
      <c r="AK9" s="6">
        <f t="shared" si="43"/>
        <v>3.8165882958950202E-2</v>
      </c>
      <c r="AL9" s="6">
        <f t="shared" si="44"/>
        <v>2.6306978617002889E-5</v>
      </c>
      <c r="AM9" s="6">
        <f t="shared" si="45"/>
        <v>2.6306978617002889E-5</v>
      </c>
      <c r="AN9" s="6">
        <f t="shared" si="46"/>
        <v>3.033802747866758E-3</v>
      </c>
      <c r="AO9" s="6">
        <f t="shared" si="47"/>
        <v>3.033802747866758E-3</v>
      </c>
      <c r="AP9" s="27">
        <f t="shared" si="48"/>
        <v>3.033802747866758E-3</v>
      </c>
      <c r="AQ9" s="114" t="e">
        <f t="shared" si="49"/>
        <v>#NUM!</v>
      </c>
      <c r="AR9" s="6" t="e">
        <f t="shared" si="50"/>
        <v>#NUM!</v>
      </c>
      <c r="AS9" s="6" t="e">
        <f t="shared" si="51"/>
        <v>#NUM!</v>
      </c>
      <c r="AT9" s="115" t="e">
        <f t="shared" si="52"/>
        <v>#NUM!</v>
      </c>
      <c r="AU9" s="115" t="e">
        <f t="shared" si="53"/>
        <v>#NUM!</v>
      </c>
      <c r="AV9" s="115" t="e">
        <f t="shared" si="54"/>
        <v>#NUM!</v>
      </c>
      <c r="AW9" s="106" t="e">
        <f t="shared" si="55"/>
        <v>#NUM!</v>
      </c>
      <c r="AX9" s="106" t="e">
        <f t="shared" si="56"/>
        <v>#NUM!</v>
      </c>
      <c r="AY9" s="116" t="e">
        <f t="shared" si="57"/>
        <v>#NUM!</v>
      </c>
    </row>
    <row r="10" spans="1:51" ht="13.15" customHeight="1">
      <c r="A10" s="81">
        <v>10914</v>
      </c>
      <c r="B10" s="44" t="s">
        <v>101</v>
      </c>
      <c r="C10" s="209" t="str">
        <f>Rollover!A10</f>
        <v>Chevrolet</v>
      </c>
      <c r="D10" s="118" t="str">
        <f>Rollover!B10</f>
        <v>Malibu 4DR FWD</v>
      </c>
      <c r="E10" s="188" t="s">
        <v>102</v>
      </c>
      <c r="F10" s="117">
        <f>Rollover!C10</f>
        <v>2023</v>
      </c>
      <c r="G10" s="11">
        <v>172.315</v>
      </c>
      <c r="H10" s="12">
        <v>0.184</v>
      </c>
      <c r="I10" s="12">
        <v>962.66600000000005</v>
      </c>
      <c r="J10" s="12">
        <v>131.17599999999999</v>
      </c>
      <c r="K10" s="12">
        <v>24.292999999999999</v>
      </c>
      <c r="L10" s="12">
        <v>40.183999999999997</v>
      </c>
      <c r="M10" s="12">
        <v>1122.665</v>
      </c>
      <c r="N10" s="13">
        <v>1362.2950000000001</v>
      </c>
      <c r="O10" s="11">
        <v>272.27499999999998</v>
      </c>
      <c r="P10" s="12">
        <v>0.35699999999999998</v>
      </c>
      <c r="Q10" s="12">
        <v>751.23500000000001</v>
      </c>
      <c r="R10" s="12">
        <v>113.578</v>
      </c>
      <c r="S10" s="12">
        <v>16.568000000000001</v>
      </c>
      <c r="T10" s="12">
        <v>37.012</v>
      </c>
      <c r="U10" s="12">
        <v>720.04200000000003</v>
      </c>
      <c r="V10" s="13">
        <v>1032.6310000000001</v>
      </c>
      <c r="W10" s="114">
        <f t="shared" si="29"/>
        <v>9.2840802460904118E-4</v>
      </c>
      <c r="X10" s="6">
        <f t="shared" si="30"/>
        <v>5.3929431252127603E-2</v>
      </c>
      <c r="Y10" s="6">
        <f t="shared" si="31"/>
        <v>1.6854010842302418E-4</v>
      </c>
      <c r="Z10" s="6">
        <f t="shared" si="32"/>
        <v>2.3395183375151424E-5</v>
      </c>
      <c r="AA10" s="6">
        <f t="shared" si="33"/>
        <v>5.3929431252127603E-2</v>
      </c>
      <c r="AB10" s="6">
        <f t="shared" si="34"/>
        <v>2.3728198772365618E-2</v>
      </c>
      <c r="AC10" s="6">
        <f t="shared" si="35"/>
        <v>2.3728198772365618E-2</v>
      </c>
      <c r="AD10" s="6">
        <f t="shared" si="36"/>
        <v>5.4235668272747482E-3</v>
      </c>
      <c r="AE10" s="6">
        <f t="shared" si="37"/>
        <v>6.1382921503910469E-3</v>
      </c>
      <c r="AF10" s="27">
        <f t="shared" si="38"/>
        <v>6.1382921503910469E-3</v>
      </c>
      <c r="AG10" s="26">
        <f t="shared" si="39"/>
        <v>6.3159327213084208E-3</v>
      </c>
      <c r="AH10" s="6">
        <f t="shared" si="40"/>
        <v>7.4190086530912136E-2</v>
      </c>
      <c r="AI10" s="6">
        <f t="shared" si="41"/>
        <v>2.9570749014203913E-4</v>
      </c>
      <c r="AJ10" s="6">
        <f t="shared" si="42"/>
        <v>2.6726962588584445E-5</v>
      </c>
      <c r="AK10" s="6">
        <f t="shared" si="43"/>
        <v>7.4190086530912136E-2</v>
      </c>
      <c r="AL10" s="6">
        <f t="shared" si="44"/>
        <v>1.3887227579987383E-2</v>
      </c>
      <c r="AM10" s="6">
        <f t="shared" si="45"/>
        <v>1.3887227579987383E-2</v>
      </c>
      <c r="AN10" s="6">
        <f t="shared" si="46"/>
        <v>5.2393745502925925E-3</v>
      </c>
      <c r="AO10" s="6">
        <f t="shared" si="47"/>
        <v>6.6389627516809987E-3</v>
      </c>
      <c r="AP10" s="27">
        <f t="shared" si="48"/>
        <v>6.6389627516809987E-3</v>
      </c>
      <c r="AQ10" s="114">
        <f t="shared" si="49"/>
        <v>8.3000000000000004E-2</v>
      </c>
      <c r="AR10" s="6">
        <f t="shared" si="50"/>
        <v>9.9000000000000005E-2</v>
      </c>
      <c r="AS10" s="6">
        <f t="shared" si="51"/>
        <v>9.0999999999999998E-2</v>
      </c>
      <c r="AT10" s="115">
        <f t="shared" si="52"/>
        <v>0.55000000000000004</v>
      </c>
      <c r="AU10" s="115">
        <f t="shared" si="53"/>
        <v>0.66</v>
      </c>
      <c r="AV10" s="115">
        <f t="shared" si="54"/>
        <v>0.61</v>
      </c>
      <c r="AW10" s="106">
        <f t="shared" si="55"/>
        <v>5</v>
      </c>
      <c r="AX10" s="106">
        <f t="shared" si="56"/>
        <v>5</v>
      </c>
      <c r="AY10" s="116">
        <f t="shared" si="57"/>
        <v>5</v>
      </c>
    </row>
    <row r="11" spans="1:51" ht="13.15" customHeight="1">
      <c r="A11" s="81">
        <v>14290</v>
      </c>
      <c r="B11" s="44" t="s">
        <v>103</v>
      </c>
      <c r="C11" s="210" t="str">
        <f>Rollover!A11</f>
        <v>Ford</v>
      </c>
      <c r="D11" s="211" t="str">
        <f>Rollover!B11</f>
        <v>Explorer SUV RWD</v>
      </c>
      <c r="E11" s="188" t="s">
        <v>98</v>
      </c>
      <c r="F11" s="117">
        <f>Rollover!C11</f>
        <v>2023</v>
      </c>
      <c r="G11" s="19">
        <v>117.89100000000001</v>
      </c>
      <c r="H11" s="20">
        <v>0.28399999999999997</v>
      </c>
      <c r="I11" s="20">
        <v>1040.809</v>
      </c>
      <c r="J11" s="20">
        <v>163.96</v>
      </c>
      <c r="K11" s="20">
        <v>23.013999999999999</v>
      </c>
      <c r="L11" s="20">
        <v>37.485999999999997</v>
      </c>
      <c r="M11" s="20">
        <v>1253.643</v>
      </c>
      <c r="N11" s="21">
        <v>1191.1379999999999</v>
      </c>
      <c r="O11" s="19">
        <v>209.59899999999999</v>
      </c>
      <c r="P11" s="20">
        <v>0.315</v>
      </c>
      <c r="Q11" s="20">
        <v>722.399</v>
      </c>
      <c r="R11" s="20">
        <v>238.047</v>
      </c>
      <c r="S11" s="20">
        <v>9.6419999999999995</v>
      </c>
      <c r="T11" s="20">
        <v>40.354999999999997</v>
      </c>
      <c r="U11" s="20">
        <v>1496.35</v>
      </c>
      <c r="V11" s="21">
        <v>1553.3150000000001</v>
      </c>
      <c r="W11" s="114">
        <f t="shared" si="29"/>
        <v>1.4438855773186101E-4</v>
      </c>
      <c r="X11" s="6">
        <f t="shared" si="30"/>
        <v>6.4902734152616492E-2</v>
      </c>
      <c r="Y11" s="6">
        <f t="shared" si="31"/>
        <v>2.029031982053427E-4</v>
      </c>
      <c r="Z11" s="6">
        <f t="shared" si="32"/>
        <v>2.528952474056951E-5</v>
      </c>
      <c r="AA11" s="6">
        <f t="shared" si="33"/>
        <v>6.4902734152616492E-2</v>
      </c>
      <c r="AB11" s="6">
        <f t="shared" si="34"/>
        <v>2.0128128157530113E-2</v>
      </c>
      <c r="AC11" s="6">
        <f t="shared" si="35"/>
        <v>2.0128128157530113E-2</v>
      </c>
      <c r="AD11" s="6">
        <f t="shared" si="36"/>
        <v>5.8033072462645241E-3</v>
      </c>
      <c r="AE11" s="6">
        <f t="shared" si="37"/>
        <v>5.6188995707207321E-3</v>
      </c>
      <c r="AF11" s="27">
        <f t="shared" si="38"/>
        <v>5.8033072462645241E-3</v>
      </c>
      <c r="AG11" s="26">
        <f t="shared" si="39"/>
        <v>2.2030104453000421E-3</v>
      </c>
      <c r="AH11" s="6">
        <f t="shared" si="40"/>
        <v>6.8706670906238165E-2</v>
      </c>
      <c r="AI11" s="6">
        <f t="shared" si="41"/>
        <v>2.6525443524221383E-4</v>
      </c>
      <c r="AJ11" s="6">
        <f t="shared" si="42"/>
        <v>4.2730160974229408E-5</v>
      </c>
      <c r="AK11" s="6">
        <f t="shared" si="43"/>
        <v>6.8706670906238165E-2</v>
      </c>
      <c r="AL11" s="6">
        <f t="shared" si="44"/>
        <v>3.5019116760698862E-3</v>
      </c>
      <c r="AM11" s="6">
        <f t="shared" si="45"/>
        <v>3.5019116760698862E-3</v>
      </c>
      <c r="AN11" s="6">
        <f t="shared" si="46"/>
        <v>9.42583015490993E-3</v>
      </c>
      <c r="AO11" s="6">
        <f t="shared" si="47"/>
        <v>9.8398200809314777E-3</v>
      </c>
      <c r="AP11" s="27">
        <f t="shared" si="48"/>
        <v>9.8398200809314777E-3</v>
      </c>
      <c r="AQ11" s="114">
        <f t="shared" si="49"/>
        <v>8.8999999999999996E-2</v>
      </c>
      <c r="AR11" s="6">
        <f t="shared" si="50"/>
        <v>8.3000000000000004E-2</v>
      </c>
      <c r="AS11" s="6">
        <f t="shared" si="51"/>
        <v>8.5999999999999993E-2</v>
      </c>
      <c r="AT11" s="115">
        <f t="shared" si="52"/>
        <v>0.59</v>
      </c>
      <c r="AU11" s="115">
        <f t="shared" si="53"/>
        <v>0.55000000000000004</v>
      </c>
      <c r="AV11" s="115">
        <f t="shared" si="54"/>
        <v>0.56999999999999995</v>
      </c>
      <c r="AW11" s="106">
        <f t="shared" si="55"/>
        <v>5</v>
      </c>
      <c r="AX11" s="106">
        <f t="shared" si="56"/>
        <v>5</v>
      </c>
      <c r="AY11" s="116">
        <f t="shared" si="57"/>
        <v>5</v>
      </c>
    </row>
    <row r="12" spans="1:51" ht="13.15" customHeight="1">
      <c r="A12" s="75">
        <v>14290</v>
      </c>
      <c r="B12" s="68" t="s">
        <v>103</v>
      </c>
      <c r="C12" s="210" t="str">
        <f>Rollover!A12</f>
        <v>Ford</v>
      </c>
      <c r="D12" s="211" t="str">
        <f>Rollover!B12</f>
        <v>Explorer SUV 4WD</v>
      </c>
      <c r="E12" s="188" t="s">
        <v>98</v>
      </c>
      <c r="F12" s="117">
        <f>Rollover!C12</f>
        <v>2023</v>
      </c>
      <c r="G12" s="19">
        <v>117.89100000000001</v>
      </c>
      <c r="H12" s="20">
        <v>0.28399999999999997</v>
      </c>
      <c r="I12" s="20">
        <v>1040.809</v>
      </c>
      <c r="J12" s="20">
        <v>163.96</v>
      </c>
      <c r="K12" s="20">
        <v>23.013999999999999</v>
      </c>
      <c r="L12" s="20">
        <v>37.485999999999997</v>
      </c>
      <c r="M12" s="20">
        <v>1253.643</v>
      </c>
      <c r="N12" s="21">
        <v>1191.1379999999999</v>
      </c>
      <c r="O12" s="19">
        <v>209.59899999999999</v>
      </c>
      <c r="P12" s="20">
        <v>0.315</v>
      </c>
      <c r="Q12" s="20">
        <v>722.399</v>
      </c>
      <c r="R12" s="20">
        <v>238.047</v>
      </c>
      <c r="S12" s="20">
        <v>9.6419999999999995</v>
      </c>
      <c r="T12" s="20">
        <v>40.354999999999997</v>
      </c>
      <c r="U12" s="20">
        <v>1496.35</v>
      </c>
      <c r="V12" s="21">
        <v>1553.3150000000001</v>
      </c>
      <c r="W12" s="114">
        <f t="shared" si="29"/>
        <v>1.4438855773186101E-4</v>
      </c>
      <c r="X12" s="6">
        <f t="shared" si="30"/>
        <v>6.4902734152616492E-2</v>
      </c>
      <c r="Y12" s="6">
        <f t="shared" si="31"/>
        <v>2.029031982053427E-4</v>
      </c>
      <c r="Z12" s="6">
        <f t="shared" si="32"/>
        <v>2.528952474056951E-5</v>
      </c>
      <c r="AA12" s="6">
        <f t="shared" si="33"/>
        <v>6.4902734152616492E-2</v>
      </c>
      <c r="AB12" s="6">
        <f t="shared" si="34"/>
        <v>2.0128128157530113E-2</v>
      </c>
      <c r="AC12" s="6">
        <f t="shared" si="35"/>
        <v>2.0128128157530113E-2</v>
      </c>
      <c r="AD12" s="6">
        <f t="shared" si="36"/>
        <v>5.8033072462645241E-3</v>
      </c>
      <c r="AE12" s="6">
        <f t="shared" si="37"/>
        <v>5.6188995707207321E-3</v>
      </c>
      <c r="AF12" s="27">
        <f t="shared" si="38"/>
        <v>5.8033072462645241E-3</v>
      </c>
      <c r="AG12" s="26">
        <f t="shared" si="39"/>
        <v>2.2030104453000421E-3</v>
      </c>
      <c r="AH12" s="6">
        <f t="shared" si="40"/>
        <v>6.8706670906238165E-2</v>
      </c>
      <c r="AI12" s="6">
        <f t="shared" si="41"/>
        <v>2.6525443524221383E-4</v>
      </c>
      <c r="AJ12" s="6">
        <f t="shared" si="42"/>
        <v>4.2730160974229408E-5</v>
      </c>
      <c r="AK12" s="6">
        <f t="shared" si="43"/>
        <v>6.8706670906238165E-2</v>
      </c>
      <c r="AL12" s="6">
        <f t="shared" si="44"/>
        <v>3.5019116760698862E-3</v>
      </c>
      <c r="AM12" s="6">
        <f t="shared" si="45"/>
        <v>3.5019116760698862E-3</v>
      </c>
      <c r="AN12" s="6">
        <f t="shared" si="46"/>
        <v>9.42583015490993E-3</v>
      </c>
      <c r="AO12" s="6">
        <f t="shared" si="47"/>
        <v>9.8398200809314777E-3</v>
      </c>
      <c r="AP12" s="27">
        <f t="shared" si="48"/>
        <v>9.8398200809314777E-3</v>
      </c>
      <c r="AQ12" s="114">
        <f t="shared" si="49"/>
        <v>8.8999999999999996E-2</v>
      </c>
      <c r="AR12" s="6">
        <f t="shared" si="50"/>
        <v>8.3000000000000004E-2</v>
      </c>
      <c r="AS12" s="6">
        <f t="shared" si="51"/>
        <v>8.5999999999999993E-2</v>
      </c>
      <c r="AT12" s="115">
        <f t="shared" si="52"/>
        <v>0.59</v>
      </c>
      <c r="AU12" s="115">
        <f t="shared" si="53"/>
        <v>0.55000000000000004</v>
      </c>
      <c r="AV12" s="115">
        <f t="shared" si="54"/>
        <v>0.56999999999999995</v>
      </c>
      <c r="AW12" s="106">
        <f t="shared" si="55"/>
        <v>5</v>
      </c>
      <c r="AX12" s="106">
        <f t="shared" si="56"/>
        <v>5</v>
      </c>
      <c r="AY12" s="116">
        <f t="shared" si="57"/>
        <v>5</v>
      </c>
    </row>
    <row r="13" spans="1:51" ht="13.15" customHeight="1">
      <c r="A13" s="81">
        <v>14290</v>
      </c>
      <c r="B13" s="44" t="s">
        <v>103</v>
      </c>
      <c r="C13" s="209" t="str">
        <f>Rollover!A13</f>
        <v>Ford</v>
      </c>
      <c r="D13" s="118" t="str">
        <f>Rollover!B13</f>
        <v>Explorer HEV SUV RWD</v>
      </c>
      <c r="E13" s="188" t="s">
        <v>98</v>
      </c>
      <c r="F13" s="117">
        <f>Rollover!C13</f>
        <v>2023</v>
      </c>
      <c r="G13" s="19">
        <v>117.89100000000001</v>
      </c>
      <c r="H13" s="20">
        <v>0.28399999999999997</v>
      </c>
      <c r="I13" s="20">
        <v>1040.809</v>
      </c>
      <c r="J13" s="20">
        <v>163.96</v>
      </c>
      <c r="K13" s="20">
        <v>23.013999999999999</v>
      </c>
      <c r="L13" s="20">
        <v>37.485999999999997</v>
      </c>
      <c r="M13" s="20">
        <v>1253.643</v>
      </c>
      <c r="N13" s="21">
        <v>1191.1379999999999</v>
      </c>
      <c r="O13" s="19">
        <v>209.59899999999999</v>
      </c>
      <c r="P13" s="20">
        <v>0.315</v>
      </c>
      <c r="Q13" s="20">
        <v>722.399</v>
      </c>
      <c r="R13" s="20">
        <v>238.047</v>
      </c>
      <c r="S13" s="20">
        <v>9.6419999999999995</v>
      </c>
      <c r="T13" s="20">
        <v>40.354999999999997</v>
      </c>
      <c r="U13" s="20">
        <v>1496.35</v>
      </c>
      <c r="V13" s="21">
        <v>1553.3150000000001</v>
      </c>
      <c r="W13" s="114">
        <f t="shared" si="29"/>
        <v>1.4438855773186101E-4</v>
      </c>
      <c r="X13" s="6">
        <f t="shared" si="30"/>
        <v>6.4902734152616492E-2</v>
      </c>
      <c r="Y13" s="6">
        <f t="shared" si="31"/>
        <v>2.029031982053427E-4</v>
      </c>
      <c r="Z13" s="6">
        <f t="shared" si="32"/>
        <v>2.528952474056951E-5</v>
      </c>
      <c r="AA13" s="6">
        <f t="shared" si="33"/>
        <v>6.4902734152616492E-2</v>
      </c>
      <c r="AB13" s="6">
        <f t="shared" si="34"/>
        <v>2.0128128157530113E-2</v>
      </c>
      <c r="AC13" s="6">
        <f t="shared" si="35"/>
        <v>2.0128128157530113E-2</v>
      </c>
      <c r="AD13" s="6">
        <f t="shared" si="36"/>
        <v>5.8033072462645241E-3</v>
      </c>
      <c r="AE13" s="6">
        <f t="shared" si="37"/>
        <v>5.6188995707207321E-3</v>
      </c>
      <c r="AF13" s="27">
        <f t="shared" si="38"/>
        <v>5.8033072462645241E-3</v>
      </c>
      <c r="AG13" s="26">
        <f t="shared" si="39"/>
        <v>2.2030104453000421E-3</v>
      </c>
      <c r="AH13" s="6">
        <f t="shared" si="40"/>
        <v>6.8706670906238165E-2</v>
      </c>
      <c r="AI13" s="6">
        <f t="shared" si="41"/>
        <v>2.6525443524221383E-4</v>
      </c>
      <c r="AJ13" s="6">
        <f t="shared" si="42"/>
        <v>4.2730160974229408E-5</v>
      </c>
      <c r="AK13" s="6">
        <f t="shared" si="43"/>
        <v>6.8706670906238165E-2</v>
      </c>
      <c r="AL13" s="6">
        <f t="shared" si="44"/>
        <v>3.5019116760698862E-3</v>
      </c>
      <c r="AM13" s="6">
        <f t="shared" si="45"/>
        <v>3.5019116760698862E-3</v>
      </c>
      <c r="AN13" s="6">
        <f t="shared" si="46"/>
        <v>9.42583015490993E-3</v>
      </c>
      <c r="AO13" s="6">
        <f t="shared" si="47"/>
        <v>9.8398200809314777E-3</v>
      </c>
      <c r="AP13" s="27">
        <f t="shared" si="48"/>
        <v>9.8398200809314777E-3</v>
      </c>
      <c r="AQ13" s="114">
        <f t="shared" si="49"/>
        <v>8.8999999999999996E-2</v>
      </c>
      <c r="AR13" s="6">
        <f t="shared" si="50"/>
        <v>8.3000000000000004E-2</v>
      </c>
      <c r="AS13" s="6">
        <f t="shared" si="51"/>
        <v>8.5999999999999993E-2</v>
      </c>
      <c r="AT13" s="115">
        <f t="shared" si="52"/>
        <v>0.59</v>
      </c>
      <c r="AU13" s="115">
        <f t="shared" si="53"/>
        <v>0.55000000000000004</v>
      </c>
      <c r="AV13" s="115">
        <f t="shared" si="54"/>
        <v>0.56999999999999995</v>
      </c>
      <c r="AW13" s="106">
        <f t="shared" si="55"/>
        <v>5</v>
      </c>
      <c r="AX13" s="106">
        <f t="shared" si="56"/>
        <v>5</v>
      </c>
      <c r="AY13" s="116">
        <f t="shared" si="57"/>
        <v>5</v>
      </c>
    </row>
    <row r="14" spans="1:51" ht="13.15" customHeight="1">
      <c r="A14" s="75">
        <v>14290</v>
      </c>
      <c r="B14" s="68" t="s">
        <v>103</v>
      </c>
      <c r="C14" s="209" t="str">
        <f>Rollover!A14</f>
        <v>Ford</v>
      </c>
      <c r="D14" s="118" t="str">
        <f>Rollover!B14</f>
        <v>Explorer HEV SUV 4WD</v>
      </c>
      <c r="E14" s="188" t="s">
        <v>98</v>
      </c>
      <c r="F14" s="117">
        <f>Rollover!C14</f>
        <v>2023</v>
      </c>
      <c r="G14" s="19">
        <v>117.89100000000001</v>
      </c>
      <c r="H14" s="20">
        <v>0.28399999999999997</v>
      </c>
      <c r="I14" s="20">
        <v>1040.809</v>
      </c>
      <c r="J14" s="20">
        <v>163.96</v>
      </c>
      <c r="K14" s="20">
        <v>23.013999999999999</v>
      </c>
      <c r="L14" s="20">
        <v>37.485999999999997</v>
      </c>
      <c r="M14" s="20">
        <v>1253.643</v>
      </c>
      <c r="N14" s="21">
        <v>1191.1379999999999</v>
      </c>
      <c r="O14" s="19">
        <v>209.59899999999999</v>
      </c>
      <c r="P14" s="20">
        <v>0.315</v>
      </c>
      <c r="Q14" s="20">
        <v>722.399</v>
      </c>
      <c r="R14" s="20">
        <v>238.047</v>
      </c>
      <c r="S14" s="20">
        <v>9.6419999999999995</v>
      </c>
      <c r="T14" s="20">
        <v>40.354999999999997</v>
      </c>
      <c r="U14" s="20">
        <v>1496.35</v>
      </c>
      <c r="V14" s="21">
        <v>1553.3150000000001</v>
      </c>
      <c r="W14" s="114">
        <f t="shared" si="29"/>
        <v>1.4438855773186101E-4</v>
      </c>
      <c r="X14" s="6">
        <f t="shared" si="30"/>
        <v>6.4902734152616492E-2</v>
      </c>
      <c r="Y14" s="6">
        <f t="shared" si="31"/>
        <v>2.029031982053427E-4</v>
      </c>
      <c r="Z14" s="6">
        <f t="shared" si="32"/>
        <v>2.528952474056951E-5</v>
      </c>
      <c r="AA14" s="6">
        <f t="shared" si="33"/>
        <v>6.4902734152616492E-2</v>
      </c>
      <c r="AB14" s="6">
        <f t="shared" si="34"/>
        <v>2.0128128157530113E-2</v>
      </c>
      <c r="AC14" s="6">
        <f t="shared" si="35"/>
        <v>2.0128128157530113E-2</v>
      </c>
      <c r="AD14" s="6">
        <f t="shared" si="36"/>
        <v>5.8033072462645241E-3</v>
      </c>
      <c r="AE14" s="6">
        <f t="shared" si="37"/>
        <v>5.6188995707207321E-3</v>
      </c>
      <c r="AF14" s="27">
        <f t="shared" si="38"/>
        <v>5.8033072462645241E-3</v>
      </c>
      <c r="AG14" s="26">
        <f t="shared" si="39"/>
        <v>2.2030104453000421E-3</v>
      </c>
      <c r="AH14" s="6">
        <f t="shared" si="40"/>
        <v>6.8706670906238165E-2</v>
      </c>
      <c r="AI14" s="6">
        <f t="shared" si="41"/>
        <v>2.6525443524221383E-4</v>
      </c>
      <c r="AJ14" s="6">
        <f t="shared" si="42"/>
        <v>4.2730160974229408E-5</v>
      </c>
      <c r="AK14" s="6">
        <f t="shared" si="43"/>
        <v>6.8706670906238165E-2</v>
      </c>
      <c r="AL14" s="6">
        <f t="shared" si="44"/>
        <v>3.5019116760698862E-3</v>
      </c>
      <c r="AM14" s="6">
        <f t="shared" si="45"/>
        <v>3.5019116760698862E-3</v>
      </c>
      <c r="AN14" s="6">
        <f t="shared" si="46"/>
        <v>9.42583015490993E-3</v>
      </c>
      <c r="AO14" s="6">
        <f t="shared" si="47"/>
        <v>9.8398200809314777E-3</v>
      </c>
      <c r="AP14" s="27">
        <f t="shared" si="48"/>
        <v>9.8398200809314777E-3</v>
      </c>
      <c r="AQ14" s="114">
        <f t="shared" si="49"/>
        <v>8.8999999999999996E-2</v>
      </c>
      <c r="AR14" s="6">
        <f t="shared" si="50"/>
        <v>8.3000000000000004E-2</v>
      </c>
      <c r="AS14" s="6">
        <f t="shared" si="51"/>
        <v>8.5999999999999993E-2</v>
      </c>
      <c r="AT14" s="115">
        <f t="shared" si="52"/>
        <v>0.59</v>
      </c>
      <c r="AU14" s="115">
        <f t="shared" si="53"/>
        <v>0.55000000000000004</v>
      </c>
      <c r="AV14" s="115">
        <f t="shared" si="54"/>
        <v>0.56999999999999995</v>
      </c>
      <c r="AW14" s="106">
        <f t="shared" si="55"/>
        <v>5</v>
      </c>
      <c r="AX14" s="106">
        <f t="shared" si="56"/>
        <v>5</v>
      </c>
      <c r="AY14" s="116">
        <f t="shared" si="57"/>
        <v>5</v>
      </c>
    </row>
    <row r="15" spans="1:51" ht="13.15" customHeight="1">
      <c r="A15" s="75">
        <v>11053</v>
      </c>
      <c r="B15" s="68" t="s">
        <v>104</v>
      </c>
      <c r="C15" s="209" t="str">
        <f>Rollover!A15</f>
        <v>Lincoln</v>
      </c>
      <c r="D15" s="118" t="str">
        <f>Rollover!B15</f>
        <v>Aviator SUV RWD</v>
      </c>
      <c r="E15" s="188" t="s">
        <v>102</v>
      </c>
      <c r="F15" s="117">
        <f>Rollover!C15</f>
        <v>2023</v>
      </c>
      <c r="G15" s="11">
        <v>125.307</v>
      </c>
      <c r="H15" s="12">
        <v>0.26300000000000001</v>
      </c>
      <c r="I15" s="12">
        <v>744.58299999999997</v>
      </c>
      <c r="J15" s="12">
        <v>117.598</v>
      </c>
      <c r="K15" s="12">
        <v>20.210999999999999</v>
      </c>
      <c r="L15" s="12">
        <v>36.331000000000003</v>
      </c>
      <c r="M15" s="12">
        <v>1021.006</v>
      </c>
      <c r="N15" s="13">
        <v>933.33199999999999</v>
      </c>
      <c r="O15" s="11">
        <v>317.53500000000003</v>
      </c>
      <c r="P15" s="12">
        <v>0.29199999999999998</v>
      </c>
      <c r="Q15" s="12">
        <v>830.03</v>
      </c>
      <c r="R15" s="12">
        <v>571.88</v>
      </c>
      <c r="S15" s="12">
        <v>11.41</v>
      </c>
      <c r="T15" s="12">
        <v>40.284999999999997</v>
      </c>
      <c r="U15" s="12">
        <v>1690.646</v>
      </c>
      <c r="V15" s="13">
        <v>1799.577</v>
      </c>
      <c r="W15" s="114">
        <f t="shared" si="29"/>
        <v>1.9801012345019512E-4</v>
      </c>
      <c r="X15" s="6">
        <f t="shared" si="30"/>
        <v>6.2438188767104427E-2</v>
      </c>
      <c r="Y15" s="6">
        <f t="shared" si="31"/>
        <v>1.0041330964059293E-4</v>
      </c>
      <c r="Z15" s="6">
        <f t="shared" si="32"/>
        <v>2.2652792984813518E-5</v>
      </c>
      <c r="AA15" s="6">
        <f t="shared" si="33"/>
        <v>6.2438188767104427E-2</v>
      </c>
      <c r="AB15" s="6">
        <f t="shared" si="34"/>
        <v>1.3754538958953786E-2</v>
      </c>
      <c r="AC15" s="6">
        <f t="shared" si="35"/>
        <v>1.3754538958953786E-2</v>
      </c>
      <c r="AD15" s="6">
        <f t="shared" si="36"/>
        <v>5.1459539064359272E-3</v>
      </c>
      <c r="AE15" s="6">
        <f t="shared" si="37"/>
        <v>4.9179144041748869E-3</v>
      </c>
      <c r="AF15" s="27">
        <f t="shared" si="38"/>
        <v>5.1459539064359272E-3</v>
      </c>
      <c r="AG15" s="26">
        <f t="shared" si="39"/>
        <v>1.1122083464950644E-2</v>
      </c>
      <c r="AH15" s="6">
        <f t="shared" si="40"/>
        <v>6.5865207635833936E-2</v>
      </c>
      <c r="AI15" s="6">
        <f t="shared" si="41"/>
        <v>3.979497054391023E-4</v>
      </c>
      <c r="AJ15" s="6">
        <f t="shared" si="42"/>
        <v>1.5040741907163812E-4</v>
      </c>
      <c r="AK15" s="6">
        <f t="shared" si="43"/>
        <v>6.5865207635833936E-2</v>
      </c>
      <c r="AL15" s="6">
        <f t="shared" si="44"/>
        <v>5.1904723807278509E-3</v>
      </c>
      <c r="AM15" s="6">
        <f t="shared" si="45"/>
        <v>5.1904723807278509E-3</v>
      </c>
      <c r="AN15" s="6">
        <f t="shared" si="46"/>
        <v>1.0913331849253825E-2</v>
      </c>
      <c r="AO15" s="6">
        <f t="shared" si="47"/>
        <v>1.1846538642661502E-2</v>
      </c>
      <c r="AP15" s="27">
        <f t="shared" si="48"/>
        <v>1.1846538642661502E-2</v>
      </c>
      <c r="AQ15" s="114">
        <f t="shared" si="49"/>
        <v>0.08</v>
      </c>
      <c r="AR15" s="6">
        <f t="shared" si="50"/>
        <v>9.1999999999999998E-2</v>
      </c>
      <c r="AS15" s="6">
        <f t="shared" si="51"/>
        <v>8.5999999999999993E-2</v>
      </c>
      <c r="AT15" s="115">
        <f t="shared" si="52"/>
        <v>0.53</v>
      </c>
      <c r="AU15" s="115">
        <f t="shared" si="53"/>
        <v>0.61</v>
      </c>
      <c r="AV15" s="115">
        <f t="shared" si="54"/>
        <v>0.56999999999999995</v>
      </c>
      <c r="AW15" s="106">
        <f t="shared" si="55"/>
        <v>5</v>
      </c>
      <c r="AX15" s="106">
        <f t="shared" si="56"/>
        <v>5</v>
      </c>
      <c r="AY15" s="116">
        <f t="shared" si="57"/>
        <v>5</v>
      </c>
    </row>
    <row r="16" spans="1:51" ht="13.15" customHeight="1">
      <c r="A16" s="75">
        <v>11053</v>
      </c>
      <c r="B16" s="68" t="s">
        <v>104</v>
      </c>
      <c r="C16" s="209" t="str">
        <f>Rollover!A16</f>
        <v>Lincoln</v>
      </c>
      <c r="D16" s="118" t="str">
        <f>Rollover!B16</f>
        <v>Aviator SUV 4WD</v>
      </c>
      <c r="E16" s="188" t="s">
        <v>102</v>
      </c>
      <c r="F16" s="117">
        <f>Rollover!C16</f>
        <v>2023</v>
      </c>
      <c r="G16" s="26">
        <v>125.307</v>
      </c>
      <c r="H16" s="6">
        <v>0.26300000000000001</v>
      </c>
      <c r="I16" s="6">
        <v>744.58299999999997</v>
      </c>
      <c r="J16" s="6">
        <v>117.598</v>
      </c>
      <c r="K16" s="6">
        <v>20.210999999999999</v>
      </c>
      <c r="L16" s="6">
        <v>36.331000000000003</v>
      </c>
      <c r="M16" s="6">
        <v>1021.006</v>
      </c>
      <c r="N16" s="27">
        <v>933.33199999999999</v>
      </c>
      <c r="O16" s="26">
        <v>317.53500000000003</v>
      </c>
      <c r="P16" s="6">
        <v>0.29199999999999998</v>
      </c>
      <c r="Q16" s="6">
        <v>830.03</v>
      </c>
      <c r="R16" s="6">
        <v>571.88</v>
      </c>
      <c r="S16" s="6">
        <v>11.41</v>
      </c>
      <c r="T16" s="6">
        <v>40.284999999999997</v>
      </c>
      <c r="U16" s="6">
        <v>1690.646</v>
      </c>
      <c r="V16" s="27">
        <v>1799.577</v>
      </c>
      <c r="W16" s="114">
        <f t="shared" si="29"/>
        <v>1.9801012345019512E-4</v>
      </c>
      <c r="X16" s="6">
        <f t="shared" si="30"/>
        <v>6.2438188767104427E-2</v>
      </c>
      <c r="Y16" s="6">
        <f t="shared" si="31"/>
        <v>1.0041330964059293E-4</v>
      </c>
      <c r="Z16" s="6">
        <f t="shared" si="32"/>
        <v>2.2652792984813518E-5</v>
      </c>
      <c r="AA16" s="6">
        <f t="shared" si="33"/>
        <v>6.2438188767104427E-2</v>
      </c>
      <c r="AB16" s="6">
        <f t="shared" si="34"/>
        <v>1.3754538958953786E-2</v>
      </c>
      <c r="AC16" s="6">
        <f t="shared" si="35"/>
        <v>1.3754538958953786E-2</v>
      </c>
      <c r="AD16" s="6">
        <f t="shared" si="36"/>
        <v>5.1459539064359272E-3</v>
      </c>
      <c r="AE16" s="6">
        <f t="shared" si="37"/>
        <v>4.9179144041748869E-3</v>
      </c>
      <c r="AF16" s="27">
        <f t="shared" si="38"/>
        <v>5.1459539064359272E-3</v>
      </c>
      <c r="AG16" s="26">
        <f t="shared" si="39"/>
        <v>1.1122083464950644E-2</v>
      </c>
      <c r="AH16" s="6">
        <f t="shared" si="40"/>
        <v>6.5865207635833936E-2</v>
      </c>
      <c r="AI16" s="6">
        <f t="shared" si="41"/>
        <v>3.979497054391023E-4</v>
      </c>
      <c r="AJ16" s="6">
        <f t="shared" si="42"/>
        <v>1.5040741907163812E-4</v>
      </c>
      <c r="AK16" s="6">
        <f t="shared" si="43"/>
        <v>6.5865207635833936E-2</v>
      </c>
      <c r="AL16" s="6">
        <f t="shared" si="44"/>
        <v>5.1904723807278509E-3</v>
      </c>
      <c r="AM16" s="6">
        <f t="shared" si="45"/>
        <v>5.1904723807278509E-3</v>
      </c>
      <c r="AN16" s="6">
        <f t="shared" si="46"/>
        <v>1.0913331849253825E-2</v>
      </c>
      <c r="AO16" s="6">
        <f t="shared" si="47"/>
        <v>1.1846538642661502E-2</v>
      </c>
      <c r="AP16" s="27">
        <f t="shared" si="48"/>
        <v>1.1846538642661502E-2</v>
      </c>
      <c r="AQ16" s="114">
        <f t="shared" si="49"/>
        <v>0.08</v>
      </c>
      <c r="AR16" s="6">
        <f t="shared" si="50"/>
        <v>9.1999999999999998E-2</v>
      </c>
      <c r="AS16" s="6">
        <f t="shared" si="51"/>
        <v>8.5999999999999993E-2</v>
      </c>
      <c r="AT16" s="115">
        <f t="shared" si="52"/>
        <v>0.53</v>
      </c>
      <c r="AU16" s="115">
        <f t="shared" si="53"/>
        <v>0.61</v>
      </c>
      <c r="AV16" s="115">
        <f t="shared" si="54"/>
        <v>0.56999999999999995</v>
      </c>
      <c r="AW16" s="106">
        <f t="shared" si="55"/>
        <v>5</v>
      </c>
      <c r="AX16" s="106">
        <f t="shared" si="56"/>
        <v>5</v>
      </c>
      <c r="AY16" s="116">
        <f t="shared" si="57"/>
        <v>5</v>
      </c>
    </row>
    <row r="17" spans="1:51" ht="13.15" customHeight="1">
      <c r="A17" s="75">
        <v>14272</v>
      </c>
      <c r="B17" s="68" t="s">
        <v>105</v>
      </c>
      <c r="C17" s="210" t="str">
        <f>Rollover!A17</f>
        <v xml:space="preserve">Honda </v>
      </c>
      <c r="D17" s="211" t="str">
        <f>Rollover!B17</f>
        <v>HR-V SUV FWD</v>
      </c>
      <c r="E17" s="188" t="s">
        <v>98</v>
      </c>
      <c r="F17" s="117">
        <f>Rollover!C17</f>
        <v>2023</v>
      </c>
      <c r="G17" s="11">
        <v>138.929</v>
      </c>
      <c r="H17" s="12">
        <v>0.308</v>
      </c>
      <c r="I17" s="12">
        <v>595.76599999999996</v>
      </c>
      <c r="J17" s="12">
        <v>75.576999999999998</v>
      </c>
      <c r="K17" s="12">
        <v>19.484000000000002</v>
      </c>
      <c r="L17" s="12">
        <v>37.268000000000001</v>
      </c>
      <c r="M17" s="12">
        <v>1238.9880000000001</v>
      </c>
      <c r="N17" s="13">
        <v>1389.1410000000001</v>
      </c>
      <c r="O17" s="11">
        <v>278.24799999999999</v>
      </c>
      <c r="P17" s="12">
        <v>0.41299999999999998</v>
      </c>
      <c r="Q17" s="12">
        <v>681.625</v>
      </c>
      <c r="R17" s="12">
        <v>138.607</v>
      </c>
      <c r="S17" s="12">
        <v>14.106</v>
      </c>
      <c r="T17" s="12">
        <v>43.755000000000003</v>
      </c>
      <c r="U17" s="12">
        <v>954.34</v>
      </c>
      <c r="V17" s="13">
        <v>480.16899999999998</v>
      </c>
      <c r="W17" s="114">
        <f t="shared" si="29"/>
        <v>3.3293004803999071E-4</v>
      </c>
      <c r="X17" s="6">
        <f t="shared" si="30"/>
        <v>6.7830064906435658E-2</v>
      </c>
      <c r="Y17" s="6">
        <f t="shared" si="31"/>
        <v>7.0519148744062186E-5</v>
      </c>
      <c r="Z17" s="6">
        <f t="shared" si="32"/>
        <v>2.0501241217629681E-5</v>
      </c>
      <c r="AA17" s="6">
        <f t="shared" si="33"/>
        <v>6.7830064906435658E-2</v>
      </c>
      <c r="AB17" s="6">
        <f t="shared" si="34"/>
        <v>1.2399374644606121E-2</v>
      </c>
      <c r="AC17" s="6">
        <f t="shared" si="35"/>
        <v>1.2399374644606121E-2</v>
      </c>
      <c r="AD17" s="6">
        <f t="shared" si="36"/>
        <v>5.7595379571868596E-3</v>
      </c>
      <c r="AE17" s="6">
        <f t="shared" si="37"/>
        <v>6.2239796249902472E-3</v>
      </c>
      <c r="AF17" s="27">
        <f t="shared" si="38"/>
        <v>6.2239796249902472E-3</v>
      </c>
      <c r="AG17" s="26">
        <f t="shared" si="39"/>
        <v>6.8572152721773283E-3</v>
      </c>
      <c r="AH17" s="6">
        <f t="shared" si="40"/>
        <v>8.2127498065976981E-2</v>
      </c>
      <c r="AI17" s="6">
        <f t="shared" si="41"/>
        <v>2.2746794199353639E-4</v>
      </c>
      <c r="AJ17" s="6">
        <f t="shared" si="42"/>
        <v>2.9371639792922855E-5</v>
      </c>
      <c r="AK17" s="6">
        <f t="shared" si="43"/>
        <v>8.2127498065976981E-2</v>
      </c>
      <c r="AL17" s="6">
        <f t="shared" si="44"/>
        <v>8.9060251930053059E-3</v>
      </c>
      <c r="AM17" s="6">
        <f t="shared" si="45"/>
        <v>8.9060251930053059E-3</v>
      </c>
      <c r="AN17" s="6">
        <f t="shared" si="46"/>
        <v>6.2569342832796242E-3</v>
      </c>
      <c r="AO17" s="6">
        <f t="shared" si="47"/>
        <v>4.3680575542384163E-3</v>
      </c>
      <c r="AP17" s="27">
        <f t="shared" si="48"/>
        <v>6.2569342832796242E-3</v>
      </c>
      <c r="AQ17" s="114">
        <f t="shared" si="49"/>
        <v>8.5000000000000006E-2</v>
      </c>
      <c r="AR17" s="6">
        <f t="shared" si="50"/>
        <v>0.10199999999999999</v>
      </c>
      <c r="AS17" s="6">
        <f t="shared" si="51"/>
        <v>9.4E-2</v>
      </c>
      <c r="AT17" s="115">
        <f t="shared" si="52"/>
        <v>0.56999999999999995</v>
      </c>
      <c r="AU17" s="115">
        <f t="shared" si="53"/>
        <v>0.68</v>
      </c>
      <c r="AV17" s="115">
        <f t="shared" si="54"/>
        <v>0.63</v>
      </c>
      <c r="AW17" s="106">
        <f t="shared" si="55"/>
        <v>5</v>
      </c>
      <c r="AX17" s="106">
        <f t="shared" si="56"/>
        <v>4</v>
      </c>
      <c r="AY17" s="116">
        <f t="shared" si="57"/>
        <v>5</v>
      </c>
    </row>
    <row r="18" spans="1:51" ht="13.15" customHeight="1">
      <c r="A18" s="75">
        <v>14272</v>
      </c>
      <c r="B18" s="68" t="s">
        <v>105</v>
      </c>
      <c r="C18" s="210" t="str">
        <f>Rollover!A18</f>
        <v xml:space="preserve">Honda </v>
      </c>
      <c r="D18" s="211" t="str">
        <f>Rollover!B18</f>
        <v>HR-V SUV AWD</v>
      </c>
      <c r="E18" s="188" t="s">
        <v>98</v>
      </c>
      <c r="F18" s="117">
        <f>Rollover!C18</f>
        <v>2023</v>
      </c>
      <c r="G18" s="11">
        <v>138.929</v>
      </c>
      <c r="H18" s="12">
        <v>0.308</v>
      </c>
      <c r="I18" s="12">
        <v>595.76599999999996</v>
      </c>
      <c r="J18" s="12">
        <v>75.576999999999998</v>
      </c>
      <c r="K18" s="12">
        <v>19.484000000000002</v>
      </c>
      <c r="L18" s="12">
        <v>37.268000000000001</v>
      </c>
      <c r="M18" s="12">
        <v>1238.9880000000001</v>
      </c>
      <c r="N18" s="13">
        <v>1389.1410000000001</v>
      </c>
      <c r="O18" s="11">
        <v>278.24799999999999</v>
      </c>
      <c r="P18" s="12">
        <v>0.41299999999999998</v>
      </c>
      <c r="Q18" s="12">
        <v>681.625</v>
      </c>
      <c r="R18" s="12">
        <v>138.607</v>
      </c>
      <c r="S18" s="12">
        <v>14.106</v>
      </c>
      <c r="T18" s="12">
        <v>43.755000000000003</v>
      </c>
      <c r="U18" s="12">
        <v>954.34</v>
      </c>
      <c r="V18" s="13">
        <v>480.16899999999998</v>
      </c>
      <c r="W18" s="114">
        <f t="shared" si="29"/>
        <v>3.3293004803999071E-4</v>
      </c>
      <c r="X18" s="6">
        <f t="shared" si="30"/>
        <v>6.7830064906435658E-2</v>
      </c>
      <c r="Y18" s="6">
        <f t="shared" si="31"/>
        <v>7.0519148744062186E-5</v>
      </c>
      <c r="Z18" s="6">
        <f t="shared" si="32"/>
        <v>2.0501241217629681E-5</v>
      </c>
      <c r="AA18" s="6">
        <f t="shared" si="33"/>
        <v>6.7830064906435658E-2</v>
      </c>
      <c r="AB18" s="6">
        <f t="shared" si="34"/>
        <v>1.2399374644606121E-2</v>
      </c>
      <c r="AC18" s="6">
        <f t="shared" si="35"/>
        <v>1.2399374644606121E-2</v>
      </c>
      <c r="AD18" s="6">
        <f t="shared" si="36"/>
        <v>5.7595379571868596E-3</v>
      </c>
      <c r="AE18" s="6">
        <f t="shared" si="37"/>
        <v>6.2239796249902472E-3</v>
      </c>
      <c r="AF18" s="27">
        <f t="shared" si="38"/>
        <v>6.2239796249902472E-3</v>
      </c>
      <c r="AG18" s="26">
        <f t="shared" si="39"/>
        <v>6.8572152721773283E-3</v>
      </c>
      <c r="AH18" s="6">
        <f t="shared" si="40"/>
        <v>8.2127498065976981E-2</v>
      </c>
      <c r="AI18" s="6">
        <f t="shared" si="41"/>
        <v>2.2746794199353639E-4</v>
      </c>
      <c r="AJ18" s="6">
        <f t="shared" si="42"/>
        <v>2.9371639792922855E-5</v>
      </c>
      <c r="AK18" s="6">
        <f t="shared" si="43"/>
        <v>8.2127498065976981E-2</v>
      </c>
      <c r="AL18" s="6">
        <f t="shared" si="44"/>
        <v>8.9060251930053059E-3</v>
      </c>
      <c r="AM18" s="6">
        <f t="shared" si="45"/>
        <v>8.9060251930053059E-3</v>
      </c>
      <c r="AN18" s="6">
        <f t="shared" si="46"/>
        <v>6.2569342832796242E-3</v>
      </c>
      <c r="AO18" s="6">
        <f t="shared" si="47"/>
        <v>4.3680575542384163E-3</v>
      </c>
      <c r="AP18" s="27">
        <f t="shared" si="48"/>
        <v>6.2569342832796242E-3</v>
      </c>
      <c r="AQ18" s="114">
        <f t="shared" si="49"/>
        <v>8.5000000000000006E-2</v>
      </c>
      <c r="AR18" s="6">
        <f t="shared" si="50"/>
        <v>0.10199999999999999</v>
      </c>
      <c r="AS18" s="6">
        <f t="shared" si="51"/>
        <v>9.4E-2</v>
      </c>
      <c r="AT18" s="115">
        <f t="shared" si="52"/>
        <v>0.56999999999999995</v>
      </c>
      <c r="AU18" s="115">
        <f t="shared" si="53"/>
        <v>0.68</v>
      </c>
      <c r="AV18" s="115">
        <f t="shared" si="54"/>
        <v>0.63</v>
      </c>
      <c r="AW18" s="106">
        <f t="shared" si="55"/>
        <v>5</v>
      </c>
      <c r="AX18" s="106">
        <f t="shared" si="56"/>
        <v>4</v>
      </c>
      <c r="AY18" s="116">
        <f t="shared" si="57"/>
        <v>5</v>
      </c>
    </row>
    <row r="19" spans="1:51" ht="13.15" customHeight="1">
      <c r="A19" s="75">
        <v>14294</v>
      </c>
      <c r="B19" s="68" t="s">
        <v>106</v>
      </c>
      <c r="C19" s="210" t="str">
        <f>Rollover!A19</f>
        <v>Hyundai</v>
      </c>
      <c r="D19" s="211" t="str">
        <f>Rollover!B19</f>
        <v>Santa Cruz PU/CC FWD</v>
      </c>
      <c r="E19" s="188" t="s">
        <v>107</v>
      </c>
      <c r="F19" s="117">
        <f>Rollover!C19</f>
        <v>2023</v>
      </c>
      <c r="G19" s="11">
        <v>217.29599999999999</v>
      </c>
      <c r="H19" s="12">
        <v>0.22800000000000001</v>
      </c>
      <c r="I19" s="12">
        <v>870.10699999999997</v>
      </c>
      <c r="J19" s="12">
        <v>324.339</v>
      </c>
      <c r="K19" s="12">
        <v>22.43</v>
      </c>
      <c r="L19" s="12">
        <v>45.222000000000001</v>
      </c>
      <c r="M19" s="12">
        <v>162.13900000000001</v>
      </c>
      <c r="N19" s="13">
        <v>727.38599999999997</v>
      </c>
      <c r="O19" s="11">
        <v>230.017</v>
      </c>
      <c r="P19" s="12">
        <v>0.42299999999999999</v>
      </c>
      <c r="Q19" s="12">
        <v>557.98500000000001</v>
      </c>
      <c r="R19" s="12">
        <v>379.05700000000002</v>
      </c>
      <c r="S19" s="12">
        <v>14.276999999999999</v>
      </c>
      <c r="T19" s="12">
        <v>40.844999999999999</v>
      </c>
      <c r="U19" s="12">
        <v>272.31099999999998</v>
      </c>
      <c r="V19" s="13">
        <v>212.27500000000001</v>
      </c>
      <c r="W19" s="114">
        <f t="shared" si="29"/>
        <v>2.5647146458753693E-3</v>
      </c>
      <c r="X19" s="6">
        <f t="shared" si="30"/>
        <v>5.8523907985882369E-2</v>
      </c>
      <c r="Y19" s="6">
        <f t="shared" si="31"/>
        <v>1.3528442167207381E-4</v>
      </c>
      <c r="Z19" s="6">
        <f t="shared" si="32"/>
        <v>3.7013350390505808E-5</v>
      </c>
      <c r="AA19" s="6">
        <f t="shared" si="33"/>
        <v>5.8523907985882369E-2</v>
      </c>
      <c r="AB19" s="6">
        <f t="shared" si="34"/>
        <v>1.863703173780443E-2</v>
      </c>
      <c r="AC19" s="6">
        <f t="shared" si="35"/>
        <v>1.863703173780443E-2</v>
      </c>
      <c r="AD19" s="6">
        <f t="shared" si="36"/>
        <v>3.299588156358192E-3</v>
      </c>
      <c r="AE19" s="6">
        <f t="shared" si="37"/>
        <v>4.4210366564283211E-3</v>
      </c>
      <c r="AF19" s="27">
        <f t="shared" si="38"/>
        <v>4.4210366564283211E-3</v>
      </c>
      <c r="AG19" s="26">
        <f t="shared" si="39"/>
        <v>3.2453197575461165E-3</v>
      </c>
      <c r="AH19" s="6">
        <f t="shared" si="40"/>
        <v>8.3623892760232701E-2</v>
      </c>
      <c r="AI19" s="6">
        <f t="shared" si="41"/>
        <v>1.4273235959985891E-4</v>
      </c>
      <c r="AJ19" s="6">
        <f t="shared" si="42"/>
        <v>7.2710276907973805E-5</v>
      </c>
      <c r="AK19" s="6">
        <f t="shared" si="43"/>
        <v>8.3623892760232701E-2</v>
      </c>
      <c r="AL19" s="6">
        <f t="shared" si="44"/>
        <v>9.1976022326226044E-3</v>
      </c>
      <c r="AM19" s="6">
        <f t="shared" si="45"/>
        <v>9.1976022326226044E-3</v>
      </c>
      <c r="AN19" s="6">
        <f t="shared" si="46"/>
        <v>3.7306831624789225E-3</v>
      </c>
      <c r="AO19" s="6">
        <f t="shared" si="47"/>
        <v>3.5644749313086805E-3</v>
      </c>
      <c r="AP19" s="27">
        <f t="shared" si="48"/>
        <v>3.7306831624789225E-3</v>
      </c>
      <c r="AQ19" s="114">
        <f t="shared" si="49"/>
        <v>8.3000000000000004E-2</v>
      </c>
      <c r="AR19" s="6">
        <f t="shared" si="50"/>
        <v>9.8000000000000004E-2</v>
      </c>
      <c r="AS19" s="6">
        <f t="shared" si="51"/>
        <v>9.0999999999999998E-2</v>
      </c>
      <c r="AT19" s="115">
        <f t="shared" si="52"/>
        <v>0.55000000000000004</v>
      </c>
      <c r="AU19" s="115">
        <f t="shared" si="53"/>
        <v>0.65</v>
      </c>
      <c r="AV19" s="115">
        <f t="shared" si="54"/>
        <v>0.61</v>
      </c>
      <c r="AW19" s="106">
        <f t="shared" si="55"/>
        <v>5</v>
      </c>
      <c r="AX19" s="106">
        <f t="shared" si="56"/>
        <v>5</v>
      </c>
      <c r="AY19" s="116">
        <f t="shared" si="57"/>
        <v>5</v>
      </c>
    </row>
    <row r="20" spans="1:51" ht="13.15" customHeight="1">
      <c r="A20" s="75">
        <v>14294</v>
      </c>
      <c r="B20" s="68" t="s">
        <v>106</v>
      </c>
      <c r="C20" s="210" t="str">
        <f>Rollover!A20</f>
        <v>Hyundai</v>
      </c>
      <c r="D20" s="211" t="str">
        <f>Rollover!B20</f>
        <v>Santa Cruz PU/CC AWD</v>
      </c>
      <c r="E20" s="188" t="s">
        <v>107</v>
      </c>
      <c r="F20" s="117">
        <f>Rollover!C20</f>
        <v>2023</v>
      </c>
      <c r="G20" s="11">
        <v>217.29599999999999</v>
      </c>
      <c r="H20" s="12">
        <v>0.22800000000000001</v>
      </c>
      <c r="I20" s="12">
        <v>870.10699999999997</v>
      </c>
      <c r="J20" s="12">
        <v>324.339</v>
      </c>
      <c r="K20" s="12">
        <v>22.43</v>
      </c>
      <c r="L20" s="12">
        <v>45.222000000000001</v>
      </c>
      <c r="M20" s="12">
        <v>162.13900000000001</v>
      </c>
      <c r="N20" s="13">
        <v>727.38599999999997</v>
      </c>
      <c r="O20" s="11">
        <v>230.017</v>
      </c>
      <c r="P20" s="12">
        <v>0.42299999999999999</v>
      </c>
      <c r="Q20" s="12">
        <v>557.98500000000001</v>
      </c>
      <c r="R20" s="12">
        <v>379.05700000000002</v>
      </c>
      <c r="S20" s="12">
        <v>14.276999999999999</v>
      </c>
      <c r="T20" s="12">
        <v>40.844999999999999</v>
      </c>
      <c r="U20" s="12">
        <v>272.31099999999998</v>
      </c>
      <c r="V20" s="13">
        <v>212.27500000000001</v>
      </c>
      <c r="W20" s="114">
        <f t="shared" si="29"/>
        <v>2.5647146458753693E-3</v>
      </c>
      <c r="X20" s="6">
        <f t="shared" si="30"/>
        <v>5.8523907985882369E-2</v>
      </c>
      <c r="Y20" s="6">
        <f t="shared" si="31"/>
        <v>1.3528442167207381E-4</v>
      </c>
      <c r="Z20" s="6">
        <f t="shared" si="32"/>
        <v>3.7013350390505808E-5</v>
      </c>
      <c r="AA20" s="6">
        <f t="shared" si="33"/>
        <v>5.8523907985882369E-2</v>
      </c>
      <c r="AB20" s="6">
        <f t="shared" si="34"/>
        <v>1.863703173780443E-2</v>
      </c>
      <c r="AC20" s="6">
        <f t="shared" si="35"/>
        <v>1.863703173780443E-2</v>
      </c>
      <c r="AD20" s="6">
        <f t="shared" si="36"/>
        <v>3.299588156358192E-3</v>
      </c>
      <c r="AE20" s="6">
        <f t="shared" si="37"/>
        <v>4.4210366564283211E-3</v>
      </c>
      <c r="AF20" s="27">
        <f t="shared" si="38"/>
        <v>4.4210366564283211E-3</v>
      </c>
      <c r="AG20" s="26">
        <f t="shared" si="39"/>
        <v>3.2453197575461165E-3</v>
      </c>
      <c r="AH20" s="6">
        <f t="shared" si="40"/>
        <v>8.3623892760232701E-2</v>
      </c>
      <c r="AI20" s="6">
        <f t="shared" si="41"/>
        <v>1.4273235959985891E-4</v>
      </c>
      <c r="AJ20" s="6">
        <f t="shared" si="42"/>
        <v>7.2710276907973805E-5</v>
      </c>
      <c r="AK20" s="6">
        <f t="shared" si="43"/>
        <v>8.3623892760232701E-2</v>
      </c>
      <c r="AL20" s="6">
        <f t="shared" si="44"/>
        <v>9.1976022326226044E-3</v>
      </c>
      <c r="AM20" s="6">
        <f t="shared" si="45"/>
        <v>9.1976022326226044E-3</v>
      </c>
      <c r="AN20" s="6">
        <f t="shared" si="46"/>
        <v>3.7306831624789225E-3</v>
      </c>
      <c r="AO20" s="6">
        <f t="shared" si="47"/>
        <v>3.5644749313086805E-3</v>
      </c>
      <c r="AP20" s="27">
        <f t="shared" si="48"/>
        <v>3.7306831624789225E-3</v>
      </c>
      <c r="AQ20" s="114">
        <f t="shared" si="49"/>
        <v>8.3000000000000004E-2</v>
      </c>
      <c r="AR20" s="6">
        <f t="shared" si="50"/>
        <v>9.8000000000000004E-2</v>
      </c>
      <c r="AS20" s="6">
        <f t="shared" si="51"/>
        <v>9.0999999999999998E-2</v>
      </c>
      <c r="AT20" s="115">
        <f t="shared" si="52"/>
        <v>0.55000000000000004</v>
      </c>
      <c r="AU20" s="115">
        <f t="shared" si="53"/>
        <v>0.65</v>
      </c>
      <c r="AV20" s="115">
        <f t="shared" si="54"/>
        <v>0.61</v>
      </c>
      <c r="AW20" s="106">
        <f t="shared" si="55"/>
        <v>5</v>
      </c>
      <c r="AX20" s="106">
        <f t="shared" si="56"/>
        <v>5</v>
      </c>
      <c r="AY20" s="116">
        <f t="shared" si="57"/>
        <v>5</v>
      </c>
    </row>
    <row r="21" spans="1:51" ht="13.15" customHeight="1">
      <c r="A21" s="67">
        <v>14242</v>
      </c>
      <c r="B21" s="67" t="s">
        <v>109</v>
      </c>
      <c r="C21" s="210" t="str">
        <f>Rollover!A21</f>
        <v>Jeep</v>
      </c>
      <c r="D21" s="211" t="str">
        <f>Rollover!B21</f>
        <v>Grand Cherokee SUV RWD</v>
      </c>
      <c r="E21" s="188" t="s">
        <v>108</v>
      </c>
      <c r="F21" s="117">
        <f>Rollover!C21</f>
        <v>2023</v>
      </c>
      <c r="G21" s="11">
        <v>128.6</v>
      </c>
      <c r="H21" s="12">
        <v>0.20899999999999999</v>
      </c>
      <c r="I21" s="12">
        <v>658.84900000000005</v>
      </c>
      <c r="J21" s="12">
        <v>371.97199999999998</v>
      </c>
      <c r="K21" s="12">
        <v>21.193000000000001</v>
      </c>
      <c r="L21" s="12">
        <v>31.693999999999999</v>
      </c>
      <c r="M21" s="12">
        <v>2142.5140000000001</v>
      </c>
      <c r="N21" s="13">
        <v>1151.998</v>
      </c>
      <c r="O21" s="11">
        <v>137.32499999999999</v>
      </c>
      <c r="P21" s="12">
        <v>0.27700000000000002</v>
      </c>
      <c r="Q21" s="12">
        <v>555.37699999999995</v>
      </c>
      <c r="R21" s="12">
        <v>183.06700000000001</v>
      </c>
      <c r="S21" s="12">
        <v>14.856999999999999</v>
      </c>
      <c r="T21" s="12">
        <v>29.652000000000001</v>
      </c>
      <c r="U21" s="12">
        <v>1778.595</v>
      </c>
      <c r="V21" s="103">
        <v>1542.932</v>
      </c>
      <c r="W21" s="114">
        <f t="shared" si="29"/>
        <v>2.2602753410383281E-4</v>
      </c>
      <c r="X21" s="6">
        <f t="shared" si="30"/>
        <v>5.6496531186568832E-2</v>
      </c>
      <c r="Y21" s="6">
        <f t="shared" si="31"/>
        <v>8.1916055832250234E-5</v>
      </c>
      <c r="Z21" s="6">
        <f t="shared" si="32"/>
        <v>4.1446465670159445E-5</v>
      </c>
      <c r="AA21" s="6">
        <f t="shared" si="33"/>
        <v>5.6496531186568832E-2</v>
      </c>
      <c r="AB21" s="6">
        <f t="shared" si="34"/>
        <v>1.5769836031900058E-2</v>
      </c>
      <c r="AC21" s="6">
        <f t="shared" si="35"/>
        <v>1.5769836031900058E-2</v>
      </c>
      <c r="AD21" s="6">
        <f t="shared" si="36"/>
        <v>9.1786898793333738E-3</v>
      </c>
      <c r="AE21" s="6">
        <f t="shared" si="37"/>
        <v>5.5064042252166304E-3</v>
      </c>
      <c r="AF21" s="27">
        <f t="shared" si="38"/>
        <v>9.1786898793333738E-3</v>
      </c>
      <c r="AG21" s="26">
        <f t="shared" si="39"/>
        <v>3.1430857884317268E-4</v>
      </c>
      <c r="AH21" s="6">
        <f t="shared" si="40"/>
        <v>6.4071322343990295E-2</v>
      </c>
      <c r="AI21" s="6">
        <f t="shared" si="41"/>
        <v>1.4133606608857677E-4</v>
      </c>
      <c r="AJ21" s="6">
        <f t="shared" si="42"/>
        <v>3.4731199921571719E-5</v>
      </c>
      <c r="AK21" s="6">
        <f t="shared" si="43"/>
        <v>6.4071322343990295E-2</v>
      </c>
      <c r="AL21" s="6">
        <f t="shared" si="44"/>
        <v>1.0243221995065483E-2</v>
      </c>
      <c r="AM21" s="6">
        <f t="shared" si="45"/>
        <v>1.0243221995065483E-2</v>
      </c>
      <c r="AN21" s="6">
        <f t="shared" si="46"/>
        <v>1.1660854166364625E-2</v>
      </c>
      <c r="AO21" s="6">
        <f t="shared" si="47"/>
        <v>9.7630432047256036E-3</v>
      </c>
      <c r="AP21" s="27">
        <f t="shared" si="48"/>
        <v>1.1660854166364625E-2</v>
      </c>
      <c r="AQ21" s="114">
        <f t="shared" si="49"/>
        <v>0.08</v>
      </c>
      <c r="AR21" s="6">
        <f t="shared" si="50"/>
        <v>8.5000000000000006E-2</v>
      </c>
      <c r="AS21" s="6">
        <f t="shared" si="51"/>
        <v>8.3000000000000004E-2</v>
      </c>
      <c r="AT21" s="115">
        <f t="shared" si="52"/>
        <v>0.53</v>
      </c>
      <c r="AU21" s="115">
        <f t="shared" si="53"/>
        <v>0.56999999999999995</v>
      </c>
      <c r="AV21" s="115">
        <f t="shared" si="54"/>
        <v>0.55000000000000004</v>
      </c>
      <c r="AW21" s="106">
        <f t="shared" si="55"/>
        <v>5</v>
      </c>
      <c r="AX21" s="106">
        <f t="shared" si="56"/>
        <v>5</v>
      </c>
      <c r="AY21" s="116">
        <f t="shared" si="57"/>
        <v>5</v>
      </c>
    </row>
    <row r="22" spans="1:51" ht="13.15" customHeight="1">
      <c r="A22" s="67">
        <v>14242</v>
      </c>
      <c r="B22" s="67" t="s">
        <v>109</v>
      </c>
      <c r="C22" s="210" t="str">
        <f>Rollover!A22</f>
        <v xml:space="preserve">Jeep </v>
      </c>
      <c r="D22" s="211" t="str">
        <f>Rollover!B22</f>
        <v>Grand Cherokee SUV 4WD</v>
      </c>
      <c r="E22" s="188" t="s">
        <v>108</v>
      </c>
      <c r="F22" s="117">
        <f>Rollover!C22</f>
        <v>2023</v>
      </c>
      <c r="G22" s="11">
        <v>128.6</v>
      </c>
      <c r="H22" s="12">
        <v>0.20899999999999999</v>
      </c>
      <c r="I22" s="12">
        <v>658.84900000000005</v>
      </c>
      <c r="J22" s="12">
        <v>371.97199999999998</v>
      </c>
      <c r="K22" s="12">
        <v>21.193000000000001</v>
      </c>
      <c r="L22" s="12">
        <v>31.693999999999999</v>
      </c>
      <c r="M22" s="12">
        <v>2142.5140000000001</v>
      </c>
      <c r="N22" s="13">
        <v>1151.998</v>
      </c>
      <c r="O22" s="11">
        <v>137.32499999999999</v>
      </c>
      <c r="P22" s="12">
        <v>0.27700000000000002</v>
      </c>
      <c r="Q22" s="12">
        <v>555.37699999999995</v>
      </c>
      <c r="R22" s="12">
        <v>183.06700000000001</v>
      </c>
      <c r="S22" s="12">
        <v>14.856999999999999</v>
      </c>
      <c r="T22" s="12">
        <v>29.652000000000001</v>
      </c>
      <c r="U22" s="12">
        <v>1778.595</v>
      </c>
      <c r="V22" s="103">
        <v>1542.932</v>
      </c>
      <c r="W22" s="114">
        <f t="shared" si="29"/>
        <v>2.2602753410383281E-4</v>
      </c>
      <c r="X22" s="6">
        <f t="shared" si="30"/>
        <v>5.6496531186568832E-2</v>
      </c>
      <c r="Y22" s="6">
        <f t="shared" si="31"/>
        <v>8.1916055832250234E-5</v>
      </c>
      <c r="Z22" s="6">
        <f t="shared" si="32"/>
        <v>4.1446465670159445E-5</v>
      </c>
      <c r="AA22" s="6">
        <f t="shared" si="33"/>
        <v>5.6496531186568832E-2</v>
      </c>
      <c r="AB22" s="6">
        <f t="shared" si="34"/>
        <v>1.5769836031900058E-2</v>
      </c>
      <c r="AC22" s="6">
        <f t="shared" si="35"/>
        <v>1.5769836031900058E-2</v>
      </c>
      <c r="AD22" s="6">
        <f t="shared" si="36"/>
        <v>9.1786898793333738E-3</v>
      </c>
      <c r="AE22" s="6">
        <f t="shared" si="37"/>
        <v>5.5064042252166304E-3</v>
      </c>
      <c r="AF22" s="27">
        <f t="shared" si="38"/>
        <v>9.1786898793333738E-3</v>
      </c>
      <c r="AG22" s="26">
        <f t="shared" si="39"/>
        <v>3.1430857884317268E-4</v>
      </c>
      <c r="AH22" s="6">
        <f t="shared" si="40"/>
        <v>6.4071322343990295E-2</v>
      </c>
      <c r="AI22" s="6">
        <f t="shared" si="41"/>
        <v>1.4133606608857677E-4</v>
      </c>
      <c r="AJ22" s="6">
        <f t="shared" si="42"/>
        <v>3.4731199921571719E-5</v>
      </c>
      <c r="AK22" s="6">
        <f t="shared" si="43"/>
        <v>6.4071322343990295E-2</v>
      </c>
      <c r="AL22" s="6">
        <f t="shared" si="44"/>
        <v>1.0243221995065483E-2</v>
      </c>
      <c r="AM22" s="6">
        <f t="shared" si="45"/>
        <v>1.0243221995065483E-2</v>
      </c>
      <c r="AN22" s="6">
        <f t="shared" si="46"/>
        <v>1.1660854166364625E-2</v>
      </c>
      <c r="AO22" s="6">
        <f t="shared" si="47"/>
        <v>9.7630432047256036E-3</v>
      </c>
      <c r="AP22" s="27">
        <f t="shared" si="48"/>
        <v>1.1660854166364625E-2</v>
      </c>
      <c r="AQ22" s="114">
        <f t="shared" si="49"/>
        <v>0.08</v>
      </c>
      <c r="AR22" s="6">
        <f t="shared" si="50"/>
        <v>8.5000000000000006E-2</v>
      </c>
      <c r="AS22" s="6">
        <f t="shared" si="51"/>
        <v>8.3000000000000004E-2</v>
      </c>
      <c r="AT22" s="115">
        <f t="shared" si="52"/>
        <v>0.53</v>
      </c>
      <c r="AU22" s="115">
        <f t="shared" si="53"/>
        <v>0.56999999999999995</v>
      </c>
      <c r="AV22" s="115">
        <f t="shared" si="54"/>
        <v>0.55000000000000004</v>
      </c>
      <c r="AW22" s="106">
        <f t="shared" si="55"/>
        <v>5</v>
      </c>
      <c r="AX22" s="106">
        <f t="shared" si="56"/>
        <v>5</v>
      </c>
      <c r="AY22" s="116">
        <f t="shared" si="57"/>
        <v>5</v>
      </c>
    </row>
    <row r="23" spans="1:51" ht="13.15" customHeight="1">
      <c r="A23" s="67">
        <v>14242</v>
      </c>
      <c r="B23" s="67" t="s">
        <v>109</v>
      </c>
      <c r="C23" s="209" t="str">
        <f>Rollover!A23</f>
        <v>Jeep</v>
      </c>
      <c r="D23" s="118" t="str">
        <f>Rollover!B23</f>
        <v>Grand Cherokee L SUV RWD</v>
      </c>
      <c r="E23" s="188" t="s">
        <v>108</v>
      </c>
      <c r="F23" s="117">
        <f>Rollover!C23</f>
        <v>2023</v>
      </c>
      <c r="G23" s="11">
        <v>128.6</v>
      </c>
      <c r="H23" s="12">
        <v>0.20899999999999999</v>
      </c>
      <c r="I23" s="12">
        <v>658.84900000000005</v>
      </c>
      <c r="J23" s="12">
        <v>371.97199999999998</v>
      </c>
      <c r="K23" s="12">
        <v>21.193000000000001</v>
      </c>
      <c r="L23" s="12">
        <v>31.693999999999999</v>
      </c>
      <c r="M23" s="12">
        <v>2142.5140000000001</v>
      </c>
      <c r="N23" s="13">
        <v>1151.998</v>
      </c>
      <c r="O23" s="11">
        <v>137.32499999999999</v>
      </c>
      <c r="P23" s="12">
        <v>0.27700000000000002</v>
      </c>
      <c r="Q23" s="12">
        <v>555.37699999999995</v>
      </c>
      <c r="R23" s="12">
        <v>183.06700000000001</v>
      </c>
      <c r="S23" s="12">
        <v>14.856999999999999</v>
      </c>
      <c r="T23" s="12">
        <v>29.652000000000001</v>
      </c>
      <c r="U23" s="12">
        <v>1778.595</v>
      </c>
      <c r="V23" s="103">
        <v>1542.932</v>
      </c>
      <c r="W23" s="114">
        <f t="shared" si="29"/>
        <v>2.2602753410383281E-4</v>
      </c>
      <c r="X23" s="6">
        <f t="shared" si="30"/>
        <v>5.6496531186568832E-2</v>
      </c>
      <c r="Y23" s="6">
        <f t="shared" si="31"/>
        <v>8.1916055832250234E-5</v>
      </c>
      <c r="Z23" s="6">
        <f t="shared" si="32"/>
        <v>4.1446465670159445E-5</v>
      </c>
      <c r="AA23" s="6">
        <f t="shared" si="33"/>
        <v>5.6496531186568832E-2</v>
      </c>
      <c r="AB23" s="6">
        <f t="shared" si="34"/>
        <v>1.5769836031900058E-2</v>
      </c>
      <c r="AC23" s="6">
        <f t="shared" si="35"/>
        <v>1.5769836031900058E-2</v>
      </c>
      <c r="AD23" s="6">
        <f t="shared" si="36"/>
        <v>9.1786898793333738E-3</v>
      </c>
      <c r="AE23" s="6">
        <f t="shared" si="37"/>
        <v>5.5064042252166304E-3</v>
      </c>
      <c r="AF23" s="27">
        <f t="shared" si="38"/>
        <v>9.1786898793333738E-3</v>
      </c>
      <c r="AG23" s="26">
        <f t="shared" si="39"/>
        <v>3.1430857884317268E-4</v>
      </c>
      <c r="AH23" s="6">
        <f t="shared" si="40"/>
        <v>6.4071322343990295E-2</v>
      </c>
      <c r="AI23" s="6">
        <f t="shared" si="41"/>
        <v>1.4133606608857677E-4</v>
      </c>
      <c r="AJ23" s="6">
        <f t="shared" si="42"/>
        <v>3.4731199921571719E-5</v>
      </c>
      <c r="AK23" s="6">
        <f t="shared" si="43"/>
        <v>6.4071322343990295E-2</v>
      </c>
      <c r="AL23" s="6">
        <f t="shared" si="44"/>
        <v>1.0243221995065483E-2</v>
      </c>
      <c r="AM23" s="6">
        <f t="shared" si="45"/>
        <v>1.0243221995065483E-2</v>
      </c>
      <c r="AN23" s="6">
        <f t="shared" si="46"/>
        <v>1.1660854166364625E-2</v>
      </c>
      <c r="AO23" s="6">
        <f t="shared" si="47"/>
        <v>9.7630432047256036E-3</v>
      </c>
      <c r="AP23" s="27">
        <f t="shared" si="48"/>
        <v>1.1660854166364625E-2</v>
      </c>
      <c r="AQ23" s="114">
        <f t="shared" si="49"/>
        <v>0.08</v>
      </c>
      <c r="AR23" s="6">
        <f t="shared" si="50"/>
        <v>8.5000000000000006E-2</v>
      </c>
      <c r="AS23" s="6">
        <f t="shared" si="51"/>
        <v>8.3000000000000004E-2</v>
      </c>
      <c r="AT23" s="115">
        <f t="shared" si="52"/>
        <v>0.53</v>
      </c>
      <c r="AU23" s="115">
        <f t="shared" si="53"/>
        <v>0.56999999999999995</v>
      </c>
      <c r="AV23" s="115">
        <f t="shared" si="54"/>
        <v>0.55000000000000004</v>
      </c>
      <c r="AW23" s="106">
        <f t="shared" si="55"/>
        <v>5</v>
      </c>
      <c r="AX23" s="106">
        <f t="shared" si="56"/>
        <v>5</v>
      </c>
      <c r="AY23" s="116">
        <f t="shared" si="57"/>
        <v>5</v>
      </c>
    </row>
    <row r="24" spans="1:51" ht="13.15" customHeight="1">
      <c r="A24" s="67">
        <v>14242</v>
      </c>
      <c r="B24" s="67" t="s">
        <v>109</v>
      </c>
      <c r="C24" s="209" t="str">
        <f>Rollover!A24</f>
        <v>Jeep</v>
      </c>
      <c r="D24" s="118" t="str">
        <f>Rollover!B24</f>
        <v>Grand Cherokee L SUV 4WD</v>
      </c>
      <c r="E24" s="188" t="s">
        <v>108</v>
      </c>
      <c r="F24" s="117">
        <f>Rollover!C24</f>
        <v>2023</v>
      </c>
      <c r="G24" s="11">
        <v>128.6</v>
      </c>
      <c r="H24" s="12">
        <v>0.20899999999999999</v>
      </c>
      <c r="I24" s="12">
        <v>658.84900000000005</v>
      </c>
      <c r="J24" s="12">
        <v>371.97199999999998</v>
      </c>
      <c r="K24" s="12">
        <v>21.193000000000001</v>
      </c>
      <c r="L24" s="12">
        <v>31.693999999999999</v>
      </c>
      <c r="M24" s="12">
        <v>2142.5140000000001</v>
      </c>
      <c r="N24" s="13">
        <v>1151.998</v>
      </c>
      <c r="O24" s="11">
        <v>137.32499999999999</v>
      </c>
      <c r="P24" s="12">
        <v>0.27700000000000002</v>
      </c>
      <c r="Q24" s="12">
        <v>555.37699999999995</v>
      </c>
      <c r="R24" s="12">
        <v>183.06700000000001</v>
      </c>
      <c r="S24" s="12">
        <v>14.856999999999999</v>
      </c>
      <c r="T24" s="12">
        <v>29.652000000000001</v>
      </c>
      <c r="U24" s="12">
        <v>1778.595</v>
      </c>
      <c r="V24" s="103">
        <v>1542.932</v>
      </c>
      <c r="W24" s="114">
        <f t="shared" si="29"/>
        <v>2.2602753410383281E-4</v>
      </c>
      <c r="X24" s="6">
        <f t="shared" si="30"/>
        <v>5.6496531186568832E-2</v>
      </c>
      <c r="Y24" s="6">
        <f t="shared" si="31"/>
        <v>8.1916055832250234E-5</v>
      </c>
      <c r="Z24" s="6">
        <f t="shared" si="32"/>
        <v>4.1446465670159445E-5</v>
      </c>
      <c r="AA24" s="6">
        <f t="shared" si="33"/>
        <v>5.6496531186568832E-2</v>
      </c>
      <c r="AB24" s="6">
        <f t="shared" si="34"/>
        <v>1.5769836031900058E-2</v>
      </c>
      <c r="AC24" s="6">
        <f t="shared" si="35"/>
        <v>1.5769836031900058E-2</v>
      </c>
      <c r="AD24" s="6">
        <f t="shared" si="36"/>
        <v>9.1786898793333738E-3</v>
      </c>
      <c r="AE24" s="6">
        <f t="shared" si="37"/>
        <v>5.5064042252166304E-3</v>
      </c>
      <c r="AF24" s="27">
        <f t="shared" si="38"/>
        <v>9.1786898793333738E-3</v>
      </c>
      <c r="AG24" s="26">
        <f t="shared" si="39"/>
        <v>3.1430857884317268E-4</v>
      </c>
      <c r="AH24" s="6">
        <f t="shared" si="40"/>
        <v>6.4071322343990295E-2</v>
      </c>
      <c r="AI24" s="6">
        <f t="shared" si="41"/>
        <v>1.4133606608857677E-4</v>
      </c>
      <c r="AJ24" s="6">
        <f t="shared" si="42"/>
        <v>3.4731199921571719E-5</v>
      </c>
      <c r="AK24" s="6">
        <f t="shared" si="43"/>
        <v>6.4071322343990295E-2</v>
      </c>
      <c r="AL24" s="6">
        <f t="shared" si="44"/>
        <v>1.0243221995065483E-2</v>
      </c>
      <c r="AM24" s="6">
        <f t="shared" si="45"/>
        <v>1.0243221995065483E-2</v>
      </c>
      <c r="AN24" s="6">
        <f t="shared" si="46"/>
        <v>1.1660854166364625E-2</v>
      </c>
      <c r="AO24" s="6">
        <f t="shared" si="47"/>
        <v>9.7630432047256036E-3</v>
      </c>
      <c r="AP24" s="27">
        <f t="shared" si="48"/>
        <v>1.1660854166364625E-2</v>
      </c>
      <c r="AQ24" s="114">
        <f t="shared" si="49"/>
        <v>0.08</v>
      </c>
      <c r="AR24" s="6">
        <f t="shared" si="50"/>
        <v>8.5000000000000006E-2</v>
      </c>
      <c r="AS24" s="6">
        <f t="shared" si="51"/>
        <v>8.3000000000000004E-2</v>
      </c>
      <c r="AT24" s="115">
        <f t="shared" si="52"/>
        <v>0.53</v>
      </c>
      <c r="AU24" s="115">
        <f t="shared" si="53"/>
        <v>0.56999999999999995</v>
      </c>
      <c r="AV24" s="115">
        <f t="shared" si="54"/>
        <v>0.55000000000000004</v>
      </c>
      <c r="AW24" s="106">
        <f t="shared" si="55"/>
        <v>5</v>
      </c>
      <c r="AX24" s="106">
        <f t="shared" si="56"/>
        <v>5</v>
      </c>
      <c r="AY24" s="116">
        <f t="shared" si="57"/>
        <v>5</v>
      </c>
    </row>
    <row r="25" spans="1:51" ht="13.15" customHeight="1">
      <c r="A25" s="75">
        <v>14289</v>
      </c>
      <c r="B25" s="68" t="s">
        <v>110</v>
      </c>
      <c r="C25" s="210" t="str">
        <f>Rollover!A25</f>
        <v>Jeep</v>
      </c>
      <c r="D25" s="211" t="str">
        <f>Rollover!B25</f>
        <v>Grand Cherokee 4xe PHEV SUV 4WD</v>
      </c>
      <c r="E25" s="188" t="s">
        <v>99</v>
      </c>
      <c r="F25" s="117">
        <f>Rollover!C25</f>
        <v>2023</v>
      </c>
      <c r="G25" s="11">
        <v>172.227</v>
      </c>
      <c r="H25" s="12">
        <v>0.34</v>
      </c>
      <c r="I25" s="12">
        <v>882.93700000000001</v>
      </c>
      <c r="J25" s="12">
        <v>46.505000000000003</v>
      </c>
      <c r="K25" s="12">
        <v>24.96</v>
      </c>
      <c r="L25" s="12">
        <v>45.92</v>
      </c>
      <c r="M25" s="12">
        <v>1473.2370000000001</v>
      </c>
      <c r="N25" s="13">
        <v>705.93899999999996</v>
      </c>
      <c r="O25" s="11">
        <v>122.44499999999999</v>
      </c>
      <c r="P25" s="12">
        <v>0.29399999999999998</v>
      </c>
      <c r="Q25" s="12">
        <v>529.48299999999995</v>
      </c>
      <c r="R25" s="12">
        <v>73.855000000000004</v>
      </c>
      <c r="S25" s="12">
        <v>13.843</v>
      </c>
      <c r="T25" s="12">
        <v>34.795000000000002</v>
      </c>
      <c r="U25" s="12">
        <v>1444.4390000000001</v>
      </c>
      <c r="V25" s="13">
        <v>1418.123</v>
      </c>
      <c r="W25" s="114">
        <f t="shared" si="29"/>
        <v>9.2623924623580153E-4</v>
      </c>
      <c r="X25" s="6">
        <f t="shared" si="30"/>
        <v>7.1923707632452982E-2</v>
      </c>
      <c r="Y25" s="6">
        <f t="shared" si="31"/>
        <v>1.3946957172945285E-4</v>
      </c>
      <c r="Z25" s="6">
        <f t="shared" si="32"/>
        <v>1.9133501413180204E-5</v>
      </c>
      <c r="AA25" s="6">
        <f t="shared" si="33"/>
        <v>7.1923707632452982E-2</v>
      </c>
      <c r="AB25" s="6">
        <f t="shared" si="34"/>
        <v>2.5800105950966105E-2</v>
      </c>
      <c r="AC25" s="6">
        <f t="shared" si="35"/>
        <v>2.5800105950966105E-2</v>
      </c>
      <c r="AD25" s="6">
        <f t="shared" si="36"/>
        <v>6.5001668076833862E-3</v>
      </c>
      <c r="AE25" s="6">
        <f t="shared" si="37"/>
        <v>4.3722569493366151E-3</v>
      </c>
      <c r="AF25" s="27">
        <f t="shared" si="38"/>
        <v>6.5001668076833862E-3</v>
      </c>
      <c r="AG25" s="26">
        <f t="shared" si="39"/>
        <v>1.7582120368209595E-4</v>
      </c>
      <c r="AH25" s="6">
        <f t="shared" si="40"/>
        <v>6.6107890821395843E-2</v>
      </c>
      <c r="AI25" s="6">
        <f t="shared" si="41"/>
        <v>1.2819252907184318E-4</v>
      </c>
      <c r="AJ25" s="6">
        <f t="shared" si="42"/>
        <v>2.3009815778915109E-5</v>
      </c>
      <c r="AK25" s="6">
        <f t="shared" si="43"/>
        <v>6.6107890821395843E-2</v>
      </c>
      <c r="AL25" s="6">
        <f t="shared" si="44"/>
        <v>8.471855420629738E-3</v>
      </c>
      <c r="AM25" s="6">
        <f t="shared" si="45"/>
        <v>8.471855420629738E-3</v>
      </c>
      <c r="AN25" s="6">
        <f t="shared" si="46"/>
        <v>9.0636182920626439E-3</v>
      </c>
      <c r="AO25" s="6">
        <f t="shared" si="47"/>
        <v>8.8852996230778369E-3</v>
      </c>
      <c r="AP25" s="27">
        <f t="shared" si="48"/>
        <v>9.0636182920626439E-3</v>
      </c>
      <c r="AQ25" s="114">
        <f t="shared" si="49"/>
        <v>0.10299999999999999</v>
      </c>
      <c r="AR25" s="6">
        <f t="shared" si="50"/>
        <v>8.3000000000000004E-2</v>
      </c>
      <c r="AS25" s="6">
        <f t="shared" si="51"/>
        <v>9.2999999999999999E-2</v>
      </c>
      <c r="AT25" s="115">
        <f t="shared" si="52"/>
        <v>0.69</v>
      </c>
      <c r="AU25" s="115">
        <f t="shared" si="53"/>
        <v>0.55000000000000004</v>
      </c>
      <c r="AV25" s="115">
        <f t="shared" si="54"/>
        <v>0.62</v>
      </c>
      <c r="AW25" s="106">
        <f t="shared" si="55"/>
        <v>4</v>
      </c>
      <c r="AX25" s="106">
        <f t="shared" si="56"/>
        <v>5</v>
      </c>
      <c r="AY25" s="116">
        <f t="shared" si="57"/>
        <v>5</v>
      </c>
    </row>
    <row r="26" spans="1:51" ht="13.15" customHeight="1">
      <c r="A26" s="75">
        <v>14299</v>
      </c>
      <c r="B26" s="68" t="s">
        <v>111</v>
      </c>
      <c r="C26" s="210" t="str">
        <f>Rollover!A26</f>
        <v>Jeep</v>
      </c>
      <c r="D26" s="211" t="str">
        <f>Rollover!B26</f>
        <v>Wrangler 4xe SUV PHEV 4WD</v>
      </c>
      <c r="E26" s="188" t="s">
        <v>107</v>
      </c>
      <c r="F26" s="117">
        <f>Rollover!C26</f>
        <v>2023</v>
      </c>
      <c r="G26" s="11">
        <v>117.164</v>
      </c>
      <c r="H26" s="12">
        <v>0.32500000000000001</v>
      </c>
      <c r="I26" s="12">
        <v>1355.1089999999999</v>
      </c>
      <c r="J26" s="12">
        <v>223.36</v>
      </c>
      <c r="K26" s="12">
        <v>28.542000000000002</v>
      </c>
      <c r="L26" s="12">
        <v>39.14</v>
      </c>
      <c r="M26" s="12">
        <v>3957.5630000000001</v>
      </c>
      <c r="N26" s="13">
        <v>2018.0820000000001</v>
      </c>
      <c r="O26" s="11">
        <v>141.732</v>
      </c>
      <c r="P26" s="12">
        <v>0.38100000000000001</v>
      </c>
      <c r="Q26" s="12">
        <v>1139.605</v>
      </c>
      <c r="R26" s="12">
        <v>299.16899999999998</v>
      </c>
      <c r="S26" s="12">
        <v>14.634</v>
      </c>
      <c r="T26" s="12">
        <v>44.057000000000002</v>
      </c>
      <c r="U26" s="12">
        <v>829.07299999999998</v>
      </c>
      <c r="V26" s="13">
        <v>1543.3979999999999</v>
      </c>
      <c r="W26" s="114">
        <f t="shared" si="29"/>
        <v>1.3978803273233576E-4</v>
      </c>
      <c r="X26" s="6">
        <f t="shared" si="30"/>
        <v>6.9977175742497996E-2</v>
      </c>
      <c r="Y26" s="6">
        <f t="shared" si="31"/>
        <v>4.2793290037838395E-4</v>
      </c>
      <c r="Z26" s="6">
        <f t="shared" si="32"/>
        <v>2.9121054546232255E-5</v>
      </c>
      <c r="AA26" s="6">
        <f t="shared" si="33"/>
        <v>6.9977175742497996E-2</v>
      </c>
      <c r="AB26" s="6">
        <f t="shared" si="34"/>
        <v>3.9540182704916285E-2</v>
      </c>
      <c r="AC26" s="6">
        <f t="shared" si="35"/>
        <v>3.9540182704916285E-2</v>
      </c>
      <c r="AD26" s="6">
        <f t="shared" si="36"/>
        <v>2.3235818471708254E-2</v>
      </c>
      <c r="AE26" s="6">
        <f t="shared" si="37"/>
        <v>8.6089679686184514E-3</v>
      </c>
      <c r="AF26" s="27">
        <f t="shared" si="38"/>
        <v>2.3235818471708254E-2</v>
      </c>
      <c r="AG26" s="26">
        <f t="shared" si="39"/>
        <v>3.6737928483926912E-4</v>
      </c>
      <c r="AH26" s="6">
        <f t="shared" si="40"/>
        <v>7.7501590004152479E-2</v>
      </c>
      <c r="AI26" s="6">
        <f t="shared" si="41"/>
        <v>1.2773504377030819E-3</v>
      </c>
      <c r="AJ26" s="6">
        <f t="shared" si="42"/>
        <v>5.3802712483427492E-5</v>
      </c>
      <c r="AK26" s="6">
        <f t="shared" si="43"/>
        <v>7.7501590004152479E-2</v>
      </c>
      <c r="AL26" s="6">
        <f t="shared" si="44"/>
        <v>9.8306379449451409E-3</v>
      </c>
      <c r="AM26" s="6">
        <f t="shared" si="45"/>
        <v>9.8306379449451409E-3</v>
      </c>
      <c r="AN26" s="6">
        <f t="shared" si="46"/>
        <v>5.6906195423544331E-3</v>
      </c>
      <c r="AO26" s="6">
        <f t="shared" si="47"/>
        <v>9.7664762839518374E-3</v>
      </c>
      <c r="AP26" s="27">
        <f t="shared" si="48"/>
        <v>9.7664762839518374E-3</v>
      </c>
      <c r="AQ26" s="114">
        <f t="shared" si="49"/>
        <v>0.128</v>
      </c>
      <c r="AR26" s="6">
        <f t="shared" si="50"/>
        <v>9.6000000000000002E-2</v>
      </c>
      <c r="AS26" s="6">
        <f t="shared" si="51"/>
        <v>0.112</v>
      </c>
      <c r="AT26" s="115">
        <f t="shared" si="52"/>
        <v>0.85</v>
      </c>
      <c r="AU26" s="115">
        <f t="shared" si="53"/>
        <v>0.64</v>
      </c>
      <c r="AV26" s="115">
        <f t="shared" si="54"/>
        <v>0.75</v>
      </c>
      <c r="AW26" s="106">
        <f t="shared" si="55"/>
        <v>4</v>
      </c>
      <c r="AX26" s="106">
        <f t="shared" si="56"/>
        <v>5</v>
      </c>
      <c r="AY26" s="116">
        <f t="shared" si="57"/>
        <v>4</v>
      </c>
    </row>
    <row r="27" spans="1:51" ht="13.15" customHeight="1">
      <c r="A27" s="75">
        <v>14282</v>
      </c>
      <c r="B27" s="68" t="s">
        <v>112</v>
      </c>
      <c r="C27" s="210" t="str">
        <f>Rollover!A27</f>
        <v>Kia</v>
      </c>
      <c r="D27" s="211" t="str">
        <f>Rollover!B27</f>
        <v>Sportage SUV FWD</v>
      </c>
      <c r="E27" s="188" t="s">
        <v>99</v>
      </c>
      <c r="F27" s="117">
        <f>Rollover!C27</f>
        <v>2023</v>
      </c>
      <c r="G27" s="11">
        <v>299.07600000000002</v>
      </c>
      <c r="H27" s="12">
        <v>0.245</v>
      </c>
      <c r="I27" s="12">
        <v>1169.3589999999999</v>
      </c>
      <c r="J27" s="12">
        <v>64.141999999999996</v>
      </c>
      <c r="K27" s="12">
        <v>23.626000000000001</v>
      </c>
      <c r="L27" s="12">
        <v>43.546999999999997</v>
      </c>
      <c r="M27" s="12">
        <v>212.226</v>
      </c>
      <c r="N27" s="13">
        <v>685.72199999999998</v>
      </c>
      <c r="O27" s="11">
        <v>307.17200000000003</v>
      </c>
      <c r="P27" s="12">
        <v>0.309</v>
      </c>
      <c r="Q27" s="12">
        <v>787.79499999999996</v>
      </c>
      <c r="R27" s="12">
        <v>512.88800000000003</v>
      </c>
      <c r="S27" s="12">
        <v>10.295</v>
      </c>
      <c r="T27" s="12">
        <v>49.512</v>
      </c>
      <c r="U27" s="12">
        <v>1298.6210000000001</v>
      </c>
      <c r="V27" s="13">
        <v>902.56899999999996</v>
      </c>
      <c r="W27" s="114">
        <f t="shared" si="29"/>
        <v>8.9638600168379778E-3</v>
      </c>
      <c r="X27" s="6">
        <f t="shared" si="30"/>
        <v>6.0395525150174233E-2</v>
      </c>
      <c r="Y27" s="6">
        <f t="shared" si="31"/>
        <v>2.753279182086439E-4</v>
      </c>
      <c r="Z27" s="6">
        <f t="shared" si="32"/>
        <v>1.995196941077704E-5</v>
      </c>
      <c r="AA27" s="6">
        <f t="shared" si="33"/>
        <v>6.0395525150174233E-2</v>
      </c>
      <c r="AB27" s="6">
        <f t="shared" si="34"/>
        <v>2.1791660270027671E-2</v>
      </c>
      <c r="AC27" s="6">
        <f t="shared" si="35"/>
        <v>2.1791660270027671E-2</v>
      </c>
      <c r="AD27" s="6">
        <f t="shared" si="36"/>
        <v>3.3862931902263705E-3</v>
      </c>
      <c r="AE27" s="6">
        <f t="shared" si="37"/>
        <v>4.3267655515327559E-3</v>
      </c>
      <c r="AF27" s="27">
        <f t="shared" si="38"/>
        <v>4.3267655515327559E-3</v>
      </c>
      <c r="AG27" s="26">
        <f t="shared" si="39"/>
        <v>9.8763674221903561E-3</v>
      </c>
      <c r="AH27" s="6">
        <f t="shared" si="40"/>
        <v>6.7954656420658968E-2</v>
      </c>
      <c r="AI27" s="6">
        <f t="shared" si="41"/>
        <v>3.3939284033647667E-4</v>
      </c>
      <c r="AJ27" s="6">
        <f t="shared" si="42"/>
        <v>1.2041906790573621E-4</v>
      </c>
      <c r="AK27" s="6">
        <f t="shared" si="43"/>
        <v>6.7954656420658968E-2</v>
      </c>
      <c r="AL27" s="6">
        <f t="shared" si="44"/>
        <v>4.0670966378808081E-3</v>
      </c>
      <c r="AM27" s="6">
        <f t="shared" si="45"/>
        <v>4.0670966378808081E-3</v>
      </c>
      <c r="AN27" s="6">
        <f t="shared" si="46"/>
        <v>8.1183194336075827E-3</v>
      </c>
      <c r="AO27" s="6">
        <f t="shared" si="47"/>
        <v>6.0163937496600529E-3</v>
      </c>
      <c r="AP27" s="27">
        <f t="shared" si="48"/>
        <v>8.1183194336075827E-3</v>
      </c>
      <c r="AQ27" s="114">
        <f t="shared" si="49"/>
        <v>9.2999999999999999E-2</v>
      </c>
      <c r="AR27" s="6">
        <f t="shared" si="50"/>
        <v>8.7999999999999995E-2</v>
      </c>
      <c r="AS27" s="6">
        <f t="shared" si="51"/>
        <v>9.0999999999999998E-2</v>
      </c>
      <c r="AT27" s="115">
        <f t="shared" si="52"/>
        <v>0.62</v>
      </c>
      <c r="AU27" s="115">
        <f t="shared" si="53"/>
        <v>0.59</v>
      </c>
      <c r="AV27" s="115">
        <f t="shared" si="54"/>
        <v>0.61</v>
      </c>
      <c r="AW27" s="106">
        <f t="shared" si="55"/>
        <v>5</v>
      </c>
      <c r="AX27" s="106">
        <f t="shared" si="56"/>
        <v>5</v>
      </c>
      <c r="AY27" s="116">
        <f t="shared" si="57"/>
        <v>5</v>
      </c>
    </row>
    <row r="28" spans="1:51" ht="13.15" customHeight="1">
      <c r="A28" s="75">
        <v>14282</v>
      </c>
      <c r="B28" s="68" t="s">
        <v>112</v>
      </c>
      <c r="C28" s="210" t="str">
        <f>Rollover!A28</f>
        <v>Kia</v>
      </c>
      <c r="D28" s="211" t="str">
        <f>Rollover!B28</f>
        <v>Sportage SUV AWD</v>
      </c>
      <c r="E28" s="188" t="s">
        <v>99</v>
      </c>
      <c r="F28" s="117">
        <f>Rollover!C28</f>
        <v>2023</v>
      </c>
      <c r="G28" s="11">
        <v>299.07600000000002</v>
      </c>
      <c r="H28" s="12">
        <v>0.245</v>
      </c>
      <c r="I28" s="12">
        <v>1169.3589999999999</v>
      </c>
      <c r="J28" s="12">
        <v>64.141999999999996</v>
      </c>
      <c r="K28" s="12">
        <v>23.626000000000001</v>
      </c>
      <c r="L28" s="12">
        <v>43.546999999999997</v>
      </c>
      <c r="M28" s="12">
        <v>212.226</v>
      </c>
      <c r="N28" s="13">
        <v>685.72199999999998</v>
      </c>
      <c r="O28" s="11">
        <v>307.17200000000003</v>
      </c>
      <c r="P28" s="12">
        <v>0.309</v>
      </c>
      <c r="Q28" s="12">
        <v>787.79499999999996</v>
      </c>
      <c r="R28" s="12">
        <v>512.88800000000003</v>
      </c>
      <c r="S28" s="12">
        <v>10.295</v>
      </c>
      <c r="T28" s="12">
        <v>49.512</v>
      </c>
      <c r="U28" s="12">
        <v>1298.6210000000001</v>
      </c>
      <c r="V28" s="13">
        <v>902.56899999999996</v>
      </c>
      <c r="W28" s="114">
        <f t="shared" si="29"/>
        <v>8.9638600168379778E-3</v>
      </c>
      <c r="X28" s="6">
        <f t="shared" si="30"/>
        <v>6.0395525150174233E-2</v>
      </c>
      <c r="Y28" s="6">
        <f t="shared" si="31"/>
        <v>2.753279182086439E-4</v>
      </c>
      <c r="Z28" s="6">
        <f t="shared" si="32"/>
        <v>1.995196941077704E-5</v>
      </c>
      <c r="AA28" s="6">
        <f t="shared" si="33"/>
        <v>6.0395525150174233E-2</v>
      </c>
      <c r="AB28" s="6">
        <f t="shared" si="34"/>
        <v>2.1791660270027671E-2</v>
      </c>
      <c r="AC28" s="6">
        <f t="shared" si="35"/>
        <v>2.1791660270027671E-2</v>
      </c>
      <c r="AD28" s="6">
        <f t="shared" si="36"/>
        <v>3.3862931902263705E-3</v>
      </c>
      <c r="AE28" s="6">
        <f t="shared" si="37"/>
        <v>4.3267655515327559E-3</v>
      </c>
      <c r="AF28" s="27">
        <f t="shared" si="38"/>
        <v>4.3267655515327559E-3</v>
      </c>
      <c r="AG28" s="26">
        <f t="shared" si="39"/>
        <v>9.8763674221903561E-3</v>
      </c>
      <c r="AH28" s="6">
        <f t="shared" si="40"/>
        <v>6.7954656420658968E-2</v>
      </c>
      <c r="AI28" s="6">
        <f t="shared" si="41"/>
        <v>3.3939284033647667E-4</v>
      </c>
      <c r="AJ28" s="6">
        <f t="shared" si="42"/>
        <v>1.2041906790573621E-4</v>
      </c>
      <c r="AK28" s="6">
        <f t="shared" si="43"/>
        <v>6.7954656420658968E-2</v>
      </c>
      <c r="AL28" s="6">
        <f t="shared" si="44"/>
        <v>4.0670966378808081E-3</v>
      </c>
      <c r="AM28" s="6">
        <f t="shared" si="45"/>
        <v>4.0670966378808081E-3</v>
      </c>
      <c r="AN28" s="6">
        <f t="shared" si="46"/>
        <v>8.1183194336075827E-3</v>
      </c>
      <c r="AO28" s="6">
        <f t="shared" si="47"/>
        <v>6.0163937496600529E-3</v>
      </c>
      <c r="AP28" s="27">
        <f t="shared" si="48"/>
        <v>8.1183194336075827E-3</v>
      </c>
      <c r="AQ28" s="114">
        <f t="shared" si="49"/>
        <v>9.2999999999999999E-2</v>
      </c>
      <c r="AR28" s="6">
        <f t="shared" si="50"/>
        <v>8.7999999999999995E-2</v>
      </c>
      <c r="AS28" s="6">
        <f t="shared" si="51"/>
        <v>9.0999999999999998E-2</v>
      </c>
      <c r="AT28" s="115">
        <f t="shared" si="52"/>
        <v>0.62</v>
      </c>
      <c r="AU28" s="115">
        <f t="shared" si="53"/>
        <v>0.59</v>
      </c>
      <c r="AV28" s="115">
        <f t="shared" si="54"/>
        <v>0.61</v>
      </c>
      <c r="AW28" s="106">
        <f t="shared" si="55"/>
        <v>5</v>
      </c>
      <c r="AX28" s="106">
        <f t="shared" si="56"/>
        <v>5</v>
      </c>
      <c r="AY28" s="116">
        <f t="shared" si="57"/>
        <v>5</v>
      </c>
    </row>
    <row r="29" spans="1:51" ht="13.15" customHeight="1">
      <c r="A29" s="67">
        <v>14282</v>
      </c>
      <c r="B29" s="67" t="s">
        <v>112</v>
      </c>
      <c r="C29" s="209" t="str">
        <f>Rollover!A29</f>
        <v>Kia</v>
      </c>
      <c r="D29" s="118" t="str">
        <f>Rollover!B29</f>
        <v>Sportage Hybrid SUV FWD</v>
      </c>
      <c r="E29" s="188" t="s">
        <v>99</v>
      </c>
      <c r="F29" s="117">
        <f>Rollover!C29</f>
        <v>2023</v>
      </c>
      <c r="G29" s="11">
        <v>299.07600000000002</v>
      </c>
      <c r="H29" s="12">
        <v>0.245</v>
      </c>
      <c r="I29" s="12">
        <v>1169.3589999999999</v>
      </c>
      <c r="J29" s="12">
        <v>64.141999999999996</v>
      </c>
      <c r="K29" s="12">
        <v>23.626000000000001</v>
      </c>
      <c r="L29" s="12">
        <v>43.546999999999997</v>
      </c>
      <c r="M29" s="12">
        <v>212.226</v>
      </c>
      <c r="N29" s="13">
        <v>685.72199999999998</v>
      </c>
      <c r="O29" s="11">
        <v>307.17200000000003</v>
      </c>
      <c r="P29" s="12">
        <v>0.309</v>
      </c>
      <c r="Q29" s="12">
        <v>787.79499999999996</v>
      </c>
      <c r="R29" s="12">
        <v>512.88800000000003</v>
      </c>
      <c r="S29" s="12">
        <v>10.295</v>
      </c>
      <c r="T29" s="12">
        <v>49.512</v>
      </c>
      <c r="U29" s="12">
        <v>1298.6210000000001</v>
      </c>
      <c r="V29" s="13">
        <v>902.56899999999996</v>
      </c>
      <c r="W29" s="114">
        <f t="shared" si="29"/>
        <v>8.9638600168379778E-3</v>
      </c>
      <c r="X29" s="6">
        <f t="shared" si="30"/>
        <v>6.0395525150174233E-2</v>
      </c>
      <c r="Y29" s="6">
        <f t="shared" si="31"/>
        <v>2.753279182086439E-4</v>
      </c>
      <c r="Z29" s="6">
        <f t="shared" si="32"/>
        <v>1.995196941077704E-5</v>
      </c>
      <c r="AA29" s="6">
        <f t="shared" si="33"/>
        <v>6.0395525150174233E-2</v>
      </c>
      <c r="AB29" s="6">
        <f t="shared" si="34"/>
        <v>2.1791660270027671E-2</v>
      </c>
      <c r="AC29" s="6">
        <f t="shared" si="35"/>
        <v>2.1791660270027671E-2</v>
      </c>
      <c r="AD29" s="6">
        <f t="shared" si="36"/>
        <v>3.3862931902263705E-3</v>
      </c>
      <c r="AE29" s="6">
        <f t="shared" si="37"/>
        <v>4.3267655515327559E-3</v>
      </c>
      <c r="AF29" s="27">
        <f t="shared" si="38"/>
        <v>4.3267655515327559E-3</v>
      </c>
      <c r="AG29" s="26">
        <f t="shared" si="39"/>
        <v>9.8763674221903561E-3</v>
      </c>
      <c r="AH29" s="6">
        <f t="shared" si="40"/>
        <v>6.7954656420658968E-2</v>
      </c>
      <c r="AI29" s="6">
        <f t="shared" si="41"/>
        <v>3.3939284033647667E-4</v>
      </c>
      <c r="AJ29" s="6">
        <f t="shared" si="42"/>
        <v>1.2041906790573621E-4</v>
      </c>
      <c r="AK29" s="6">
        <f t="shared" si="43"/>
        <v>6.7954656420658968E-2</v>
      </c>
      <c r="AL29" s="6">
        <f t="shared" si="44"/>
        <v>4.0670966378808081E-3</v>
      </c>
      <c r="AM29" s="6">
        <f t="shared" si="45"/>
        <v>4.0670966378808081E-3</v>
      </c>
      <c r="AN29" s="6">
        <f t="shared" si="46"/>
        <v>8.1183194336075827E-3</v>
      </c>
      <c r="AO29" s="6">
        <f t="shared" si="47"/>
        <v>6.0163937496600529E-3</v>
      </c>
      <c r="AP29" s="27">
        <f t="shared" si="48"/>
        <v>8.1183194336075827E-3</v>
      </c>
      <c r="AQ29" s="114">
        <f t="shared" si="49"/>
        <v>9.2999999999999999E-2</v>
      </c>
      <c r="AR29" s="6">
        <f t="shared" si="50"/>
        <v>8.7999999999999995E-2</v>
      </c>
      <c r="AS29" s="6">
        <f t="shared" si="51"/>
        <v>9.0999999999999998E-2</v>
      </c>
      <c r="AT29" s="115">
        <f t="shared" si="52"/>
        <v>0.62</v>
      </c>
      <c r="AU29" s="115">
        <f t="shared" si="53"/>
        <v>0.59</v>
      </c>
      <c r="AV29" s="115">
        <f t="shared" si="54"/>
        <v>0.61</v>
      </c>
      <c r="AW29" s="106">
        <f t="shared" si="55"/>
        <v>5</v>
      </c>
      <c r="AX29" s="106">
        <f t="shared" si="56"/>
        <v>5</v>
      </c>
      <c r="AY29" s="116">
        <f t="shared" si="57"/>
        <v>5</v>
      </c>
    </row>
    <row r="30" spans="1:51" ht="13.15" customHeight="1">
      <c r="A30" s="67">
        <v>14282</v>
      </c>
      <c r="B30" s="67" t="s">
        <v>112</v>
      </c>
      <c r="C30" s="209" t="str">
        <f>Rollover!A30</f>
        <v>Kia</v>
      </c>
      <c r="D30" s="118" t="str">
        <f>Rollover!B30</f>
        <v>Sportage Hybrid SUV AWD</v>
      </c>
      <c r="E30" s="188" t="s">
        <v>99</v>
      </c>
      <c r="F30" s="117">
        <f>Rollover!C30</f>
        <v>2023</v>
      </c>
      <c r="G30" s="11">
        <v>299.07600000000002</v>
      </c>
      <c r="H30" s="12">
        <v>0.245</v>
      </c>
      <c r="I30" s="12">
        <v>1169.3589999999999</v>
      </c>
      <c r="J30" s="12">
        <v>64.141999999999996</v>
      </c>
      <c r="K30" s="12">
        <v>23.626000000000001</v>
      </c>
      <c r="L30" s="12">
        <v>43.546999999999997</v>
      </c>
      <c r="M30" s="12">
        <v>212.226</v>
      </c>
      <c r="N30" s="13">
        <v>685.72199999999998</v>
      </c>
      <c r="O30" s="11">
        <v>307.17200000000003</v>
      </c>
      <c r="P30" s="12">
        <v>0.309</v>
      </c>
      <c r="Q30" s="12">
        <v>787.79499999999996</v>
      </c>
      <c r="R30" s="12">
        <v>512.88800000000003</v>
      </c>
      <c r="S30" s="12">
        <v>10.295</v>
      </c>
      <c r="T30" s="12">
        <v>49.512</v>
      </c>
      <c r="U30" s="12">
        <v>1298.6210000000001</v>
      </c>
      <c r="V30" s="13">
        <v>902.56899999999996</v>
      </c>
      <c r="W30" s="114">
        <f t="shared" si="29"/>
        <v>8.9638600168379778E-3</v>
      </c>
      <c r="X30" s="6">
        <f t="shared" si="30"/>
        <v>6.0395525150174233E-2</v>
      </c>
      <c r="Y30" s="6">
        <f t="shared" si="31"/>
        <v>2.753279182086439E-4</v>
      </c>
      <c r="Z30" s="6">
        <f t="shared" si="32"/>
        <v>1.995196941077704E-5</v>
      </c>
      <c r="AA30" s="6">
        <f t="shared" si="33"/>
        <v>6.0395525150174233E-2</v>
      </c>
      <c r="AB30" s="6">
        <f t="shared" si="34"/>
        <v>2.1791660270027671E-2</v>
      </c>
      <c r="AC30" s="6">
        <f t="shared" si="35"/>
        <v>2.1791660270027671E-2</v>
      </c>
      <c r="AD30" s="6">
        <f t="shared" si="36"/>
        <v>3.3862931902263705E-3</v>
      </c>
      <c r="AE30" s="6">
        <f t="shared" si="37"/>
        <v>4.3267655515327559E-3</v>
      </c>
      <c r="AF30" s="27">
        <f t="shared" si="38"/>
        <v>4.3267655515327559E-3</v>
      </c>
      <c r="AG30" s="26">
        <f t="shared" si="39"/>
        <v>9.8763674221903561E-3</v>
      </c>
      <c r="AH30" s="6">
        <f t="shared" si="40"/>
        <v>6.7954656420658968E-2</v>
      </c>
      <c r="AI30" s="6">
        <f t="shared" si="41"/>
        <v>3.3939284033647667E-4</v>
      </c>
      <c r="AJ30" s="6">
        <f t="shared" si="42"/>
        <v>1.2041906790573621E-4</v>
      </c>
      <c r="AK30" s="6">
        <f t="shared" si="43"/>
        <v>6.7954656420658968E-2</v>
      </c>
      <c r="AL30" s="6">
        <f t="shared" si="44"/>
        <v>4.0670966378808081E-3</v>
      </c>
      <c r="AM30" s="6">
        <f t="shared" si="45"/>
        <v>4.0670966378808081E-3</v>
      </c>
      <c r="AN30" s="6">
        <f t="shared" si="46"/>
        <v>8.1183194336075827E-3</v>
      </c>
      <c r="AO30" s="6">
        <f t="shared" si="47"/>
        <v>6.0163937496600529E-3</v>
      </c>
      <c r="AP30" s="27">
        <f t="shared" si="48"/>
        <v>8.1183194336075827E-3</v>
      </c>
      <c r="AQ30" s="114">
        <f t="shared" si="49"/>
        <v>9.2999999999999999E-2</v>
      </c>
      <c r="AR30" s="6">
        <f t="shared" si="50"/>
        <v>8.7999999999999995E-2</v>
      </c>
      <c r="AS30" s="6">
        <f t="shared" si="51"/>
        <v>9.0999999999999998E-2</v>
      </c>
      <c r="AT30" s="115">
        <f t="shared" si="52"/>
        <v>0.62</v>
      </c>
      <c r="AU30" s="115">
        <f t="shared" si="53"/>
        <v>0.59</v>
      </c>
      <c r="AV30" s="115">
        <f t="shared" si="54"/>
        <v>0.61</v>
      </c>
      <c r="AW30" s="106">
        <f t="shared" si="55"/>
        <v>5</v>
      </c>
      <c r="AX30" s="106">
        <f t="shared" si="56"/>
        <v>5</v>
      </c>
      <c r="AY30" s="116">
        <f t="shared" si="57"/>
        <v>5</v>
      </c>
    </row>
    <row r="31" spans="1:51" ht="13.15" customHeight="1">
      <c r="A31" s="81">
        <v>14366</v>
      </c>
      <c r="B31" s="44" t="s">
        <v>113</v>
      </c>
      <c r="C31" s="210" t="str">
        <f>Rollover!A31</f>
        <v>Mazda</v>
      </c>
      <c r="D31" s="211" t="str">
        <f>Rollover!B31</f>
        <v>Mazda CX-50 SUV AWD</v>
      </c>
      <c r="E31" s="188" t="s">
        <v>98</v>
      </c>
      <c r="F31" s="117">
        <f>Rollover!C31</f>
        <v>2023</v>
      </c>
      <c r="G31" s="11"/>
      <c r="H31" s="12"/>
      <c r="I31" s="12"/>
      <c r="J31" s="12"/>
      <c r="K31" s="12"/>
      <c r="L31" s="12"/>
      <c r="M31" s="12"/>
      <c r="N31" s="13"/>
      <c r="O31" s="11"/>
      <c r="P31" s="12"/>
      <c r="Q31" s="12"/>
      <c r="R31" s="12"/>
      <c r="S31" s="12"/>
      <c r="T31" s="12"/>
      <c r="U31" s="12"/>
      <c r="V31" s="13"/>
      <c r="W31" s="114" t="e">
        <f t="shared" si="29"/>
        <v>#NUM!</v>
      </c>
      <c r="X31" s="6">
        <f t="shared" si="30"/>
        <v>3.8165882958950202E-2</v>
      </c>
      <c r="Y31" s="6">
        <f t="shared" si="31"/>
        <v>1.713277721572889E-5</v>
      </c>
      <c r="Z31" s="6">
        <f t="shared" si="32"/>
        <v>1.713277721572889E-5</v>
      </c>
      <c r="AA31" s="6">
        <f t="shared" si="33"/>
        <v>3.8165882958950202E-2</v>
      </c>
      <c r="AB31" s="6">
        <f t="shared" si="34"/>
        <v>2.6306978617002889E-5</v>
      </c>
      <c r="AC31" s="6">
        <f t="shared" si="35"/>
        <v>2.6306978617002889E-5</v>
      </c>
      <c r="AD31" s="6">
        <f t="shared" si="36"/>
        <v>3.033802747866758E-3</v>
      </c>
      <c r="AE31" s="6">
        <f t="shared" si="37"/>
        <v>3.033802747866758E-3</v>
      </c>
      <c r="AF31" s="27">
        <f t="shared" si="38"/>
        <v>3.033802747866758E-3</v>
      </c>
      <c r="AG31" s="26" t="e">
        <f t="shared" si="39"/>
        <v>#NUM!</v>
      </c>
      <c r="AH31" s="6">
        <f t="shared" si="40"/>
        <v>3.8165882958950202E-2</v>
      </c>
      <c r="AI31" s="6">
        <f t="shared" si="41"/>
        <v>1.7417808154569238E-5</v>
      </c>
      <c r="AJ31" s="6">
        <f t="shared" si="42"/>
        <v>1.7417808154569238E-5</v>
      </c>
      <c r="AK31" s="6">
        <f t="shared" si="43"/>
        <v>3.8165882958950202E-2</v>
      </c>
      <c r="AL31" s="6">
        <f t="shared" si="44"/>
        <v>2.6306978617002889E-5</v>
      </c>
      <c r="AM31" s="6">
        <f t="shared" si="45"/>
        <v>2.6306978617002889E-5</v>
      </c>
      <c r="AN31" s="6">
        <f t="shared" si="46"/>
        <v>3.033802747866758E-3</v>
      </c>
      <c r="AO31" s="6">
        <f t="shared" si="47"/>
        <v>3.033802747866758E-3</v>
      </c>
      <c r="AP31" s="27">
        <f t="shared" si="48"/>
        <v>3.033802747866758E-3</v>
      </c>
      <c r="AQ31" s="114" t="e">
        <f t="shared" si="49"/>
        <v>#NUM!</v>
      </c>
      <c r="AR31" s="6" t="e">
        <f t="shared" si="50"/>
        <v>#NUM!</v>
      </c>
      <c r="AS31" s="6" t="e">
        <f t="shared" si="51"/>
        <v>#NUM!</v>
      </c>
      <c r="AT31" s="115" t="e">
        <f t="shared" si="52"/>
        <v>#NUM!</v>
      </c>
      <c r="AU31" s="115" t="e">
        <f t="shared" si="53"/>
        <v>#NUM!</v>
      </c>
      <c r="AV31" s="115" t="e">
        <f t="shared" si="54"/>
        <v>#NUM!</v>
      </c>
      <c r="AW31" s="106" t="e">
        <f t="shared" si="55"/>
        <v>#NUM!</v>
      </c>
      <c r="AX31" s="106" t="e">
        <f t="shared" si="56"/>
        <v>#NUM!</v>
      </c>
      <c r="AY31" s="116" t="e">
        <f t="shared" si="57"/>
        <v>#NUM!</v>
      </c>
    </row>
    <row r="32" spans="1:51" ht="13.15" customHeight="1">
      <c r="A32" s="75">
        <v>14283</v>
      </c>
      <c r="B32" s="68" t="s">
        <v>114</v>
      </c>
      <c r="C32" s="210" t="str">
        <f>Rollover!A32</f>
        <v xml:space="preserve">Mitsubishi </v>
      </c>
      <c r="D32" s="211" t="str">
        <f>Rollover!B32</f>
        <v>Outlander SUV FWD</v>
      </c>
      <c r="E32" s="188" t="s">
        <v>108</v>
      </c>
      <c r="F32" s="117">
        <f>Rollover!C32</f>
        <v>2023</v>
      </c>
      <c r="G32" s="11">
        <v>319.81</v>
      </c>
      <c r="H32" s="12">
        <v>0.34899999999999998</v>
      </c>
      <c r="I32" s="12">
        <v>2229.7559999999999</v>
      </c>
      <c r="J32" s="12">
        <v>194.386</v>
      </c>
      <c r="K32" s="12">
        <v>23.009</v>
      </c>
      <c r="L32" s="12">
        <v>48.026000000000003</v>
      </c>
      <c r="M32" s="12">
        <v>1805.1980000000001</v>
      </c>
      <c r="N32" s="13">
        <v>1750.6110000000001</v>
      </c>
      <c r="O32" s="11">
        <v>280.87299999999999</v>
      </c>
      <c r="P32" s="12">
        <v>0.44400000000000001</v>
      </c>
      <c r="Q32" s="12">
        <v>1044.8209999999999</v>
      </c>
      <c r="R32" s="12">
        <v>469.34399999999999</v>
      </c>
      <c r="S32" s="12">
        <v>19.818000000000001</v>
      </c>
      <c r="T32" s="12">
        <v>43.844000000000001</v>
      </c>
      <c r="U32" s="12">
        <v>2003.8150000000001</v>
      </c>
      <c r="V32" s="13">
        <v>1905.095</v>
      </c>
      <c r="W32" s="114">
        <f t="shared" ref="W32:W38" si="58">NORMDIST(LN(G32),7.45231,0.73998,1)</f>
        <v>1.1407304597358886E-2</v>
      </c>
      <c r="X32" s="6">
        <f t="shared" ref="X32:X38" si="59">1/(1+EXP(3.2269-1.9688*H32))</f>
        <v>7.3115485073840497E-2</v>
      </c>
      <c r="Y32" s="6">
        <f t="shared" ref="Y32:Y38" si="60">1/(1+EXP(10.9745-2.375*I32/1000))</f>
        <v>3.4059164415014788E-3</v>
      </c>
      <c r="Z32" s="6">
        <f t="shared" ref="Z32:Z38" si="61">1/(1+EXP(10.9745-2.375*J32/1000))</f>
        <v>2.7184586041140484E-5</v>
      </c>
      <c r="AA32" s="6">
        <f t="shared" ref="AA32:AA38" si="62">MAX(X32,Y32,Z32)</f>
        <v>7.3115485073840497E-2</v>
      </c>
      <c r="AB32" s="6">
        <f t="shared" ref="AB32:AB38" si="63">1/(1+EXP(12.597-0.05861*35-1.568*(K32^0.4612)))</f>
        <v>2.0114969153213154E-2</v>
      </c>
      <c r="AC32" s="6">
        <f t="shared" ref="AC32:AC38" si="64">AB32</f>
        <v>2.0114969153213154E-2</v>
      </c>
      <c r="AD32" s="6">
        <f t="shared" ref="AD32:AD38" si="65">1/(1+EXP(5.7949-0.5196*M32/1000))</f>
        <v>7.7144240184766084E-3</v>
      </c>
      <c r="AE32" s="6">
        <f t="shared" ref="AE32:AE38" si="66">1/(1+EXP(5.7949-0.5196*N32/1000))</f>
        <v>7.5003086808936165E-3</v>
      </c>
      <c r="AF32" s="27">
        <f t="shared" ref="AF32:AF38" si="67">MAX(AD32,AE32)</f>
        <v>7.7144240184766084E-3</v>
      </c>
      <c r="AG32" s="26">
        <f t="shared" ref="AG32:AG38" si="68">NORMDIST(LN(O32),7.45231,0.73998,1)</f>
        <v>7.1038618923291927E-3</v>
      </c>
      <c r="AH32" s="6">
        <f t="shared" ref="AH32:AH38" si="69">1/(1+EXP(3.2269-1.9688*P32))</f>
        <v>8.6847213820303346E-2</v>
      </c>
      <c r="AI32" s="6">
        <f t="shared" ref="AI32:AI38" si="70">1/(1+EXP(10.958-3.77*Q32/1000))</f>
        <v>8.9389778163254151E-4</v>
      </c>
      <c r="AJ32" s="6">
        <f t="shared" ref="AJ32:AJ38" si="71">1/(1+EXP(10.958-3.77*R32/1000))</f>
        <v>1.0219014480063337E-4</v>
      </c>
      <c r="AK32" s="6">
        <f t="shared" ref="AK32:AK38" si="72">MAX(AH32,AI32,AJ32)</f>
        <v>8.6847213820303346E-2</v>
      </c>
      <c r="AL32" s="6">
        <f t="shared" ref="AL32:AL38" si="73">1/(1+EXP(12.597-0.05861*35-1.568*((S32/0.817)^0.4612)))</f>
        <v>2.3620396722002251E-2</v>
      </c>
      <c r="AM32" s="6">
        <f t="shared" ref="AM32:AM38" si="74">AL32</f>
        <v>2.3620396722002251E-2</v>
      </c>
      <c r="AN32" s="6">
        <f t="shared" ref="AN32:AN38" si="75">1/(1+EXP(5.7949-0.7619*U32/1000))</f>
        <v>1.381357844567415E-2</v>
      </c>
      <c r="AO32" s="6">
        <f t="shared" ref="AO32:AO38" si="76">1/(1+EXP(5.7949-0.7619*V32/1000))</f>
        <v>1.2825542111003391E-2</v>
      </c>
      <c r="AP32" s="27">
        <f t="shared" ref="AP32:AP38" si="77">MAX(AN32,AO32)</f>
        <v>1.381357844567415E-2</v>
      </c>
      <c r="AQ32" s="114">
        <f t="shared" ref="AQ32:AQ38" si="78">ROUND(1-(1-W32)*(1-AA32)*(1-AC32)*(1-AF32),3)</f>
        <v>0.109</v>
      </c>
      <c r="AR32" s="6">
        <f t="shared" ref="AR32:AR38" si="79">ROUND(1-(1-AG32)*(1-AK32)*(1-AM32)*(1-AP32),3)</f>
        <v>0.127</v>
      </c>
      <c r="AS32" s="6">
        <f t="shared" ref="AS32:AS38" si="80">ROUND(AVERAGE(AR32,AQ32),3)</f>
        <v>0.11799999999999999</v>
      </c>
      <c r="AT32" s="115">
        <f t="shared" ref="AT32:AT38" si="81">ROUND(AQ32/0.15,2)</f>
        <v>0.73</v>
      </c>
      <c r="AU32" s="115">
        <f t="shared" ref="AU32:AU38" si="82">ROUND(AR32/0.15,2)</f>
        <v>0.85</v>
      </c>
      <c r="AV32" s="115">
        <f t="shared" ref="AV32:AV38" si="83">ROUND(AS32/0.15,2)</f>
        <v>0.79</v>
      </c>
      <c r="AW32" s="106">
        <f t="shared" ref="AW32:AW38" si="84">IF(AT32&lt;0.67,5,IF(AT32&lt;1,4,IF(AT32&lt;1.33,3,IF(AT32&lt;2.67,2,1))))</f>
        <v>4</v>
      </c>
      <c r="AX32" s="106">
        <f t="shared" ref="AX32:AX38" si="85">IF(AU32&lt;0.67,5,IF(AU32&lt;1,4,IF(AU32&lt;1.33,3,IF(AU32&lt;2.67,2,1))))</f>
        <v>4</v>
      </c>
      <c r="AY32" s="116">
        <f t="shared" ref="AY32:AY38" si="86">IF(AV32&lt;0.67,5,IF(AV32&lt;1,4,IF(AV32&lt;1.33,3,IF(AV32&lt;2.67,2,1))))</f>
        <v>4</v>
      </c>
    </row>
    <row r="33" spans="1:51" ht="13.15" customHeight="1">
      <c r="A33" s="75">
        <v>14283</v>
      </c>
      <c r="B33" s="68" t="s">
        <v>114</v>
      </c>
      <c r="C33" s="210" t="str">
        <f>Rollover!A33</f>
        <v xml:space="preserve">Mitsubishi </v>
      </c>
      <c r="D33" s="211" t="str">
        <f>Rollover!B33</f>
        <v>Outlander SUV AWD</v>
      </c>
      <c r="E33" s="188" t="s">
        <v>108</v>
      </c>
      <c r="F33" s="117">
        <f>Rollover!C33</f>
        <v>2023</v>
      </c>
      <c r="G33" s="11">
        <v>319.81</v>
      </c>
      <c r="H33" s="12">
        <v>0.34899999999999998</v>
      </c>
      <c r="I33" s="12">
        <v>2229.7559999999999</v>
      </c>
      <c r="J33" s="12">
        <v>194.386</v>
      </c>
      <c r="K33" s="12">
        <v>23.009</v>
      </c>
      <c r="L33" s="12">
        <v>48.026000000000003</v>
      </c>
      <c r="M33" s="12">
        <v>1805.1980000000001</v>
      </c>
      <c r="N33" s="13">
        <v>1750.6110000000001</v>
      </c>
      <c r="O33" s="11">
        <v>280.87299999999999</v>
      </c>
      <c r="P33" s="12">
        <v>0.44400000000000001</v>
      </c>
      <c r="Q33" s="12">
        <v>1044.8209999999999</v>
      </c>
      <c r="R33" s="12">
        <v>469.34399999999999</v>
      </c>
      <c r="S33" s="12">
        <v>19.818000000000001</v>
      </c>
      <c r="T33" s="12">
        <v>43.844000000000001</v>
      </c>
      <c r="U33" s="12">
        <v>2003.8150000000001</v>
      </c>
      <c r="V33" s="13">
        <v>1905.095</v>
      </c>
      <c r="W33" s="114">
        <f t="shared" si="58"/>
        <v>1.1407304597358886E-2</v>
      </c>
      <c r="X33" s="6">
        <f t="shared" si="59"/>
        <v>7.3115485073840497E-2</v>
      </c>
      <c r="Y33" s="6">
        <f t="shared" si="60"/>
        <v>3.4059164415014788E-3</v>
      </c>
      <c r="Z33" s="6">
        <f t="shared" si="61"/>
        <v>2.7184586041140484E-5</v>
      </c>
      <c r="AA33" s="6">
        <f t="shared" si="62"/>
        <v>7.3115485073840497E-2</v>
      </c>
      <c r="AB33" s="6">
        <f t="shared" si="63"/>
        <v>2.0114969153213154E-2</v>
      </c>
      <c r="AC33" s="6">
        <f t="shared" si="64"/>
        <v>2.0114969153213154E-2</v>
      </c>
      <c r="AD33" s="6">
        <f t="shared" si="65"/>
        <v>7.7144240184766084E-3</v>
      </c>
      <c r="AE33" s="6">
        <f t="shared" si="66"/>
        <v>7.5003086808936165E-3</v>
      </c>
      <c r="AF33" s="27">
        <f t="shared" si="67"/>
        <v>7.7144240184766084E-3</v>
      </c>
      <c r="AG33" s="26">
        <f t="shared" si="68"/>
        <v>7.1038618923291927E-3</v>
      </c>
      <c r="AH33" s="6">
        <f t="shared" si="69"/>
        <v>8.6847213820303346E-2</v>
      </c>
      <c r="AI33" s="6">
        <f t="shared" si="70"/>
        <v>8.9389778163254151E-4</v>
      </c>
      <c r="AJ33" s="6">
        <f t="shared" si="71"/>
        <v>1.0219014480063337E-4</v>
      </c>
      <c r="AK33" s="6">
        <f t="shared" si="72"/>
        <v>8.6847213820303346E-2</v>
      </c>
      <c r="AL33" s="6">
        <f t="shared" si="73"/>
        <v>2.3620396722002251E-2</v>
      </c>
      <c r="AM33" s="6">
        <f t="shared" si="74"/>
        <v>2.3620396722002251E-2</v>
      </c>
      <c r="AN33" s="6">
        <f t="shared" si="75"/>
        <v>1.381357844567415E-2</v>
      </c>
      <c r="AO33" s="6">
        <f t="shared" si="76"/>
        <v>1.2825542111003391E-2</v>
      </c>
      <c r="AP33" s="27">
        <f t="shared" si="77"/>
        <v>1.381357844567415E-2</v>
      </c>
      <c r="AQ33" s="114">
        <f t="shared" si="78"/>
        <v>0.109</v>
      </c>
      <c r="AR33" s="6">
        <f t="shared" si="79"/>
        <v>0.127</v>
      </c>
      <c r="AS33" s="6">
        <f t="shared" si="80"/>
        <v>0.11799999999999999</v>
      </c>
      <c r="AT33" s="115">
        <f t="shared" si="81"/>
        <v>0.73</v>
      </c>
      <c r="AU33" s="115">
        <f t="shared" si="82"/>
        <v>0.85</v>
      </c>
      <c r="AV33" s="115">
        <f t="shared" si="83"/>
        <v>0.79</v>
      </c>
      <c r="AW33" s="106">
        <f t="shared" si="84"/>
        <v>4</v>
      </c>
      <c r="AX33" s="106">
        <f t="shared" si="85"/>
        <v>4</v>
      </c>
      <c r="AY33" s="116">
        <f t="shared" si="86"/>
        <v>4</v>
      </c>
    </row>
    <row r="34" spans="1:51" ht="13.15" customHeight="1">
      <c r="A34" s="75">
        <v>14295</v>
      </c>
      <c r="B34" s="68" t="s">
        <v>115</v>
      </c>
      <c r="C34" s="210" t="str">
        <f>Rollover!A34</f>
        <v>Nissan</v>
      </c>
      <c r="D34" s="211" t="str">
        <f>Rollover!B34</f>
        <v>Armada SUV RWD</v>
      </c>
      <c r="E34" s="188" t="s">
        <v>108</v>
      </c>
      <c r="F34" s="117">
        <f>Rollover!C34</f>
        <v>2023</v>
      </c>
      <c r="G34" s="11">
        <v>371.387</v>
      </c>
      <c r="H34" s="12">
        <v>0.316</v>
      </c>
      <c r="I34" s="12">
        <v>1808.617</v>
      </c>
      <c r="J34" s="12">
        <v>511.428</v>
      </c>
      <c r="K34" s="12">
        <v>32.655999999999999</v>
      </c>
      <c r="L34" s="12">
        <v>39.844999999999999</v>
      </c>
      <c r="M34" s="12">
        <v>1729.1489999999999</v>
      </c>
      <c r="N34" s="13">
        <v>1700.6880000000001</v>
      </c>
      <c r="O34" s="11">
        <v>225.358</v>
      </c>
      <c r="P34" s="12">
        <v>0.47799999999999998</v>
      </c>
      <c r="Q34" s="12">
        <v>916.11800000000005</v>
      </c>
      <c r="R34" s="12">
        <v>248.46700000000001</v>
      </c>
      <c r="S34" s="12">
        <v>25.895</v>
      </c>
      <c r="T34" s="12">
        <v>44.863</v>
      </c>
      <c r="U34" s="12">
        <v>2754.212</v>
      </c>
      <c r="V34" s="13">
        <v>2274.5340000000001</v>
      </c>
      <c r="W34" s="114">
        <f t="shared" si="58"/>
        <v>1.9017901010435462E-2</v>
      </c>
      <c r="X34" s="6">
        <f t="shared" si="59"/>
        <v>6.8832753689576961E-2</v>
      </c>
      <c r="Y34" s="6">
        <f t="shared" si="60"/>
        <v>1.2554128121478384E-3</v>
      </c>
      <c r="Z34" s="6">
        <f t="shared" si="61"/>
        <v>5.7719457603966371E-5</v>
      </c>
      <c r="AA34" s="6">
        <f t="shared" si="62"/>
        <v>6.8832753689576961E-2</v>
      </c>
      <c r="AB34" s="6">
        <f t="shared" si="63"/>
        <v>6.1871804483531315E-2</v>
      </c>
      <c r="AC34" s="6">
        <f t="shared" si="64"/>
        <v>6.1871804483531315E-2</v>
      </c>
      <c r="AD34" s="6">
        <f t="shared" si="65"/>
        <v>7.417749443165444E-3</v>
      </c>
      <c r="AE34" s="6">
        <f t="shared" si="66"/>
        <v>7.3096563447458615E-3</v>
      </c>
      <c r="AF34" s="27">
        <f t="shared" si="67"/>
        <v>7.417749443165444E-3</v>
      </c>
      <c r="AG34" s="26">
        <f t="shared" si="68"/>
        <v>2.9837626117721742E-3</v>
      </c>
      <c r="AH34" s="6">
        <f t="shared" si="69"/>
        <v>9.2304707412795617E-2</v>
      </c>
      <c r="AI34" s="6">
        <f t="shared" si="70"/>
        <v>5.5044377836470262E-4</v>
      </c>
      <c r="AJ34" s="6">
        <f t="shared" si="71"/>
        <v>4.4442077179835621E-5</v>
      </c>
      <c r="AK34" s="6">
        <f t="shared" si="72"/>
        <v>9.2304707412795617E-2</v>
      </c>
      <c r="AL34" s="6">
        <f t="shared" si="73"/>
        <v>5.5941646982266821E-2</v>
      </c>
      <c r="AM34" s="6">
        <f t="shared" si="74"/>
        <v>5.5941646982266821E-2</v>
      </c>
      <c r="AN34" s="6">
        <f t="shared" si="75"/>
        <v>2.4210372106653989E-2</v>
      </c>
      <c r="AO34" s="6">
        <f t="shared" si="76"/>
        <v>1.6924351942357922E-2</v>
      </c>
      <c r="AP34" s="27">
        <f t="shared" si="77"/>
        <v>2.4210372106653989E-2</v>
      </c>
      <c r="AQ34" s="114">
        <f t="shared" si="78"/>
        <v>0.14899999999999999</v>
      </c>
      <c r="AR34" s="6">
        <f t="shared" si="79"/>
        <v>0.16600000000000001</v>
      </c>
      <c r="AS34" s="6">
        <f t="shared" si="80"/>
        <v>0.158</v>
      </c>
      <c r="AT34" s="115">
        <f t="shared" si="81"/>
        <v>0.99</v>
      </c>
      <c r="AU34" s="115">
        <f t="shared" si="82"/>
        <v>1.1100000000000001</v>
      </c>
      <c r="AV34" s="115">
        <f t="shared" si="83"/>
        <v>1.05</v>
      </c>
      <c r="AW34" s="106">
        <f t="shared" si="84"/>
        <v>4</v>
      </c>
      <c r="AX34" s="106">
        <f t="shared" si="85"/>
        <v>3</v>
      </c>
      <c r="AY34" s="116">
        <f t="shared" si="86"/>
        <v>3</v>
      </c>
    </row>
    <row r="35" spans="1:51" ht="13.15" customHeight="1">
      <c r="A35" s="75">
        <v>14295</v>
      </c>
      <c r="B35" s="68" t="s">
        <v>115</v>
      </c>
      <c r="C35" s="210" t="str">
        <f>Rollover!A35</f>
        <v>Nissan</v>
      </c>
      <c r="D35" s="211" t="str">
        <f>Rollover!B35</f>
        <v>Armada SUV 4WD</v>
      </c>
      <c r="E35" s="188" t="s">
        <v>108</v>
      </c>
      <c r="F35" s="117">
        <f>Rollover!C35</f>
        <v>2023</v>
      </c>
      <c r="G35" s="11">
        <v>371.387</v>
      </c>
      <c r="H35" s="12">
        <v>0.316</v>
      </c>
      <c r="I35" s="12">
        <v>1808.617</v>
      </c>
      <c r="J35" s="12">
        <v>511.428</v>
      </c>
      <c r="K35" s="12">
        <v>32.655999999999999</v>
      </c>
      <c r="L35" s="12">
        <v>39.844999999999999</v>
      </c>
      <c r="M35" s="12">
        <v>1729.1489999999999</v>
      </c>
      <c r="N35" s="13">
        <v>1700.6880000000001</v>
      </c>
      <c r="O35" s="11">
        <v>225.358</v>
      </c>
      <c r="P35" s="12">
        <v>0.47799999999999998</v>
      </c>
      <c r="Q35" s="12">
        <v>916.11800000000005</v>
      </c>
      <c r="R35" s="12">
        <v>248.46700000000001</v>
      </c>
      <c r="S35" s="12">
        <v>25.895</v>
      </c>
      <c r="T35" s="12">
        <v>44.863</v>
      </c>
      <c r="U35" s="12">
        <v>2754.212</v>
      </c>
      <c r="V35" s="13">
        <v>2274.5340000000001</v>
      </c>
      <c r="W35" s="114">
        <f t="shared" si="58"/>
        <v>1.9017901010435462E-2</v>
      </c>
      <c r="X35" s="6">
        <f t="shared" si="59"/>
        <v>6.8832753689576961E-2</v>
      </c>
      <c r="Y35" s="6">
        <f t="shared" si="60"/>
        <v>1.2554128121478384E-3</v>
      </c>
      <c r="Z35" s="6">
        <f t="shared" si="61"/>
        <v>5.7719457603966371E-5</v>
      </c>
      <c r="AA35" s="6">
        <f t="shared" si="62"/>
        <v>6.8832753689576961E-2</v>
      </c>
      <c r="AB35" s="6">
        <f t="shared" si="63"/>
        <v>6.1871804483531315E-2</v>
      </c>
      <c r="AC35" s="6">
        <f t="shared" si="64"/>
        <v>6.1871804483531315E-2</v>
      </c>
      <c r="AD35" s="6">
        <f t="shared" si="65"/>
        <v>7.417749443165444E-3</v>
      </c>
      <c r="AE35" s="6">
        <f t="shared" si="66"/>
        <v>7.3096563447458615E-3</v>
      </c>
      <c r="AF35" s="27">
        <f t="shared" si="67"/>
        <v>7.417749443165444E-3</v>
      </c>
      <c r="AG35" s="26">
        <f t="shared" si="68"/>
        <v>2.9837626117721742E-3</v>
      </c>
      <c r="AH35" s="6">
        <f t="shared" si="69"/>
        <v>9.2304707412795617E-2</v>
      </c>
      <c r="AI35" s="6">
        <f t="shared" si="70"/>
        <v>5.5044377836470262E-4</v>
      </c>
      <c r="AJ35" s="6">
        <f t="shared" si="71"/>
        <v>4.4442077179835621E-5</v>
      </c>
      <c r="AK35" s="6">
        <f t="shared" si="72"/>
        <v>9.2304707412795617E-2</v>
      </c>
      <c r="AL35" s="6">
        <f t="shared" si="73"/>
        <v>5.5941646982266821E-2</v>
      </c>
      <c r="AM35" s="6">
        <f t="shared" si="74"/>
        <v>5.5941646982266821E-2</v>
      </c>
      <c r="AN35" s="6">
        <f t="shared" si="75"/>
        <v>2.4210372106653989E-2</v>
      </c>
      <c r="AO35" s="6">
        <f t="shared" si="76"/>
        <v>1.6924351942357922E-2</v>
      </c>
      <c r="AP35" s="27">
        <f t="shared" si="77"/>
        <v>2.4210372106653989E-2</v>
      </c>
      <c r="AQ35" s="114">
        <f t="shared" si="78"/>
        <v>0.14899999999999999</v>
      </c>
      <c r="AR35" s="6">
        <f t="shared" si="79"/>
        <v>0.16600000000000001</v>
      </c>
      <c r="AS35" s="6">
        <f t="shared" si="80"/>
        <v>0.158</v>
      </c>
      <c r="AT35" s="115">
        <f t="shared" si="81"/>
        <v>0.99</v>
      </c>
      <c r="AU35" s="115">
        <f t="shared" si="82"/>
        <v>1.1100000000000001</v>
      </c>
      <c r="AV35" s="115">
        <f t="shared" si="83"/>
        <v>1.05</v>
      </c>
      <c r="AW35" s="106">
        <f t="shared" si="84"/>
        <v>4</v>
      </c>
      <c r="AX35" s="106">
        <f t="shared" si="85"/>
        <v>3</v>
      </c>
      <c r="AY35" s="116">
        <f t="shared" si="86"/>
        <v>3</v>
      </c>
    </row>
    <row r="36" spans="1:51" ht="13.15" customHeight="1">
      <c r="A36" s="75">
        <v>14295</v>
      </c>
      <c r="B36" s="68" t="s">
        <v>115</v>
      </c>
      <c r="C36" s="209" t="str">
        <f>Rollover!A36</f>
        <v xml:space="preserve">Infiniti </v>
      </c>
      <c r="D36" s="118" t="str">
        <f>Rollover!B36</f>
        <v>QX80 SUV RWD</v>
      </c>
      <c r="E36" s="188" t="s">
        <v>108</v>
      </c>
      <c r="F36" s="117">
        <f>Rollover!C36</f>
        <v>2023</v>
      </c>
      <c r="G36" s="11">
        <v>371.387</v>
      </c>
      <c r="H36" s="12">
        <v>0.316</v>
      </c>
      <c r="I36" s="12">
        <v>1808.617</v>
      </c>
      <c r="J36" s="12">
        <v>511.428</v>
      </c>
      <c r="K36" s="12">
        <v>32.655999999999999</v>
      </c>
      <c r="L36" s="12">
        <v>39.844999999999999</v>
      </c>
      <c r="M36" s="12">
        <v>1729.1489999999999</v>
      </c>
      <c r="N36" s="13">
        <v>1700.6880000000001</v>
      </c>
      <c r="O36" s="11">
        <v>225.358</v>
      </c>
      <c r="P36" s="12">
        <v>0.47799999999999998</v>
      </c>
      <c r="Q36" s="12">
        <v>916.11800000000005</v>
      </c>
      <c r="R36" s="12">
        <v>248.46700000000001</v>
      </c>
      <c r="S36" s="12">
        <v>25.895</v>
      </c>
      <c r="T36" s="12">
        <v>44.863</v>
      </c>
      <c r="U36" s="12">
        <v>2754.212</v>
      </c>
      <c r="V36" s="13">
        <v>2274.5340000000001</v>
      </c>
      <c r="W36" s="114">
        <f t="shared" si="58"/>
        <v>1.9017901010435462E-2</v>
      </c>
      <c r="X36" s="6">
        <f t="shared" si="59"/>
        <v>6.8832753689576961E-2</v>
      </c>
      <c r="Y36" s="6">
        <f t="shared" si="60"/>
        <v>1.2554128121478384E-3</v>
      </c>
      <c r="Z36" s="6">
        <f t="shared" si="61"/>
        <v>5.7719457603966371E-5</v>
      </c>
      <c r="AA36" s="6">
        <f t="shared" si="62"/>
        <v>6.8832753689576961E-2</v>
      </c>
      <c r="AB36" s="6">
        <f t="shared" si="63"/>
        <v>6.1871804483531315E-2</v>
      </c>
      <c r="AC36" s="6">
        <f t="shared" si="64"/>
        <v>6.1871804483531315E-2</v>
      </c>
      <c r="AD36" s="6">
        <f t="shared" si="65"/>
        <v>7.417749443165444E-3</v>
      </c>
      <c r="AE36" s="6">
        <f t="shared" si="66"/>
        <v>7.3096563447458615E-3</v>
      </c>
      <c r="AF36" s="27">
        <f t="shared" si="67"/>
        <v>7.417749443165444E-3</v>
      </c>
      <c r="AG36" s="26">
        <f t="shared" si="68"/>
        <v>2.9837626117721742E-3</v>
      </c>
      <c r="AH36" s="6">
        <f t="shared" si="69"/>
        <v>9.2304707412795617E-2</v>
      </c>
      <c r="AI36" s="6">
        <f t="shared" si="70"/>
        <v>5.5044377836470262E-4</v>
      </c>
      <c r="AJ36" s="6">
        <f t="shared" si="71"/>
        <v>4.4442077179835621E-5</v>
      </c>
      <c r="AK36" s="6">
        <f t="shared" si="72"/>
        <v>9.2304707412795617E-2</v>
      </c>
      <c r="AL36" s="6">
        <f t="shared" si="73"/>
        <v>5.5941646982266821E-2</v>
      </c>
      <c r="AM36" s="6">
        <f t="shared" si="74"/>
        <v>5.5941646982266821E-2</v>
      </c>
      <c r="AN36" s="6">
        <f t="shared" si="75"/>
        <v>2.4210372106653989E-2</v>
      </c>
      <c r="AO36" s="6">
        <f t="shared" si="76"/>
        <v>1.6924351942357922E-2</v>
      </c>
      <c r="AP36" s="27">
        <f t="shared" si="77"/>
        <v>2.4210372106653989E-2</v>
      </c>
      <c r="AQ36" s="114">
        <f t="shared" si="78"/>
        <v>0.14899999999999999</v>
      </c>
      <c r="AR36" s="6">
        <f t="shared" si="79"/>
        <v>0.16600000000000001</v>
      </c>
      <c r="AS36" s="6">
        <f t="shared" si="80"/>
        <v>0.158</v>
      </c>
      <c r="AT36" s="115">
        <f t="shared" si="81"/>
        <v>0.99</v>
      </c>
      <c r="AU36" s="115">
        <f t="shared" si="82"/>
        <v>1.1100000000000001</v>
      </c>
      <c r="AV36" s="115">
        <f t="shared" si="83"/>
        <v>1.05</v>
      </c>
      <c r="AW36" s="106">
        <f t="shared" si="84"/>
        <v>4</v>
      </c>
      <c r="AX36" s="106">
        <f t="shared" si="85"/>
        <v>3</v>
      </c>
      <c r="AY36" s="116">
        <f t="shared" si="86"/>
        <v>3</v>
      </c>
    </row>
    <row r="37" spans="1:51" ht="13.15" customHeight="1">
      <c r="A37" s="75">
        <v>14295</v>
      </c>
      <c r="B37" s="68" t="s">
        <v>115</v>
      </c>
      <c r="C37" s="209" t="str">
        <f>Rollover!A37</f>
        <v xml:space="preserve">Infiniti </v>
      </c>
      <c r="D37" s="118" t="str">
        <f>Rollover!B37</f>
        <v>QX80 SUV 4WD</v>
      </c>
      <c r="E37" s="188" t="s">
        <v>108</v>
      </c>
      <c r="F37" s="117">
        <f>Rollover!C37</f>
        <v>2023</v>
      </c>
      <c r="G37" s="11">
        <v>371.387</v>
      </c>
      <c r="H37" s="12">
        <v>0.316</v>
      </c>
      <c r="I37" s="12">
        <v>1808.617</v>
      </c>
      <c r="J37" s="12">
        <v>511.428</v>
      </c>
      <c r="K37" s="12">
        <v>32.655999999999999</v>
      </c>
      <c r="L37" s="12">
        <v>39.844999999999999</v>
      </c>
      <c r="M37" s="12">
        <v>1729.1489999999999</v>
      </c>
      <c r="N37" s="13">
        <v>1700.6880000000001</v>
      </c>
      <c r="O37" s="11">
        <v>225.358</v>
      </c>
      <c r="P37" s="12">
        <v>0.47799999999999998</v>
      </c>
      <c r="Q37" s="12">
        <v>916.11800000000005</v>
      </c>
      <c r="R37" s="12">
        <v>248.46700000000001</v>
      </c>
      <c r="S37" s="12">
        <v>25.895</v>
      </c>
      <c r="T37" s="12">
        <v>44.863</v>
      </c>
      <c r="U37" s="12">
        <v>2754.212</v>
      </c>
      <c r="V37" s="13">
        <v>2274.5340000000001</v>
      </c>
      <c r="W37" s="114">
        <f t="shared" si="58"/>
        <v>1.9017901010435462E-2</v>
      </c>
      <c r="X37" s="6">
        <f t="shared" si="59"/>
        <v>6.8832753689576961E-2</v>
      </c>
      <c r="Y37" s="6">
        <f t="shared" si="60"/>
        <v>1.2554128121478384E-3</v>
      </c>
      <c r="Z37" s="6">
        <f t="shared" si="61"/>
        <v>5.7719457603966371E-5</v>
      </c>
      <c r="AA37" s="6">
        <f t="shared" si="62"/>
        <v>6.8832753689576961E-2</v>
      </c>
      <c r="AB37" s="6">
        <f t="shared" si="63"/>
        <v>6.1871804483531315E-2</v>
      </c>
      <c r="AC37" s="6">
        <f t="shared" si="64"/>
        <v>6.1871804483531315E-2</v>
      </c>
      <c r="AD37" s="6">
        <f t="shared" si="65"/>
        <v>7.417749443165444E-3</v>
      </c>
      <c r="AE37" s="6">
        <f t="shared" si="66"/>
        <v>7.3096563447458615E-3</v>
      </c>
      <c r="AF37" s="27">
        <f t="shared" si="67"/>
        <v>7.417749443165444E-3</v>
      </c>
      <c r="AG37" s="26">
        <f t="shared" si="68"/>
        <v>2.9837626117721742E-3</v>
      </c>
      <c r="AH37" s="6">
        <f t="shared" si="69"/>
        <v>9.2304707412795617E-2</v>
      </c>
      <c r="AI37" s="6">
        <f t="shared" si="70"/>
        <v>5.5044377836470262E-4</v>
      </c>
      <c r="AJ37" s="6">
        <f t="shared" si="71"/>
        <v>4.4442077179835621E-5</v>
      </c>
      <c r="AK37" s="6">
        <f t="shared" si="72"/>
        <v>9.2304707412795617E-2</v>
      </c>
      <c r="AL37" s="6">
        <f t="shared" si="73"/>
        <v>5.5941646982266821E-2</v>
      </c>
      <c r="AM37" s="6">
        <f t="shared" si="74"/>
        <v>5.5941646982266821E-2</v>
      </c>
      <c r="AN37" s="6">
        <f t="shared" si="75"/>
        <v>2.4210372106653989E-2</v>
      </c>
      <c r="AO37" s="6">
        <f t="shared" si="76"/>
        <v>1.6924351942357922E-2</v>
      </c>
      <c r="AP37" s="27">
        <f t="shared" si="77"/>
        <v>2.4210372106653989E-2</v>
      </c>
      <c r="AQ37" s="114">
        <f t="shared" si="78"/>
        <v>0.14899999999999999</v>
      </c>
      <c r="AR37" s="6">
        <f t="shared" si="79"/>
        <v>0.16600000000000001</v>
      </c>
      <c r="AS37" s="6">
        <f t="shared" si="80"/>
        <v>0.158</v>
      </c>
      <c r="AT37" s="115">
        <f t="shared" si="81"/>
        <v>0.99</v>
      </c>
      <c r="AU37" s="115">
        <f t="shared" si="82"/>
        <v>1.1100000000000001</v>
      </c>
      <c r="AV37" s="115">
        <f t="shared" si="83"/>
        <v>1.05</v>
      </c>
      <c r="AW37" s="106">
        <f t="shared" si="84"/>
        <v>4</v>
      </c>
      <c r="AX37" s="106">
        <f t="shared" si="85"/>
        <v>3</v>
      </c>
      <c r="AY37" s="116">
        <f t="shared" si="86"/>
        <v>3</v>
      </c>
    </row>
    <row r="38" spans="1:51" ht="13.15" customHeight="1">
      <c r="A38" s="75"/>
      <c r="B38" s="68"/>
      <c r="C38" s="210" t="str">
        <f>Rollover!A38</f>
        <v>Rivian</v>
      </c>
      <c r="D38" s="211" t="str">
        <f>Rollover!B38</f>
        <v>R1S SUV BEV AWD</v>
      </c>
      <c r="E38" s="188"/>
      <c r="F38" s="117">
        <f>Rollover!C38</f>
        <v>2023</v>
      </c>
      <c r="G38" s="11"/>
      <c r="H38" s="12"/>
      <c r="I38" s="12"/>
      <c r="J38" s="12"/>
      <c r="K38" s="12"/>
      <c r="L38" s="12"/>
      <c r="M38" s="12"/>
      <c r="N38" s="13"/>
      <c r="O38" s="11"/>
      <c r="P38" s="12"/>
      <c r="Q38" s="12"/>
      <c r="R38" s="12"/>
      <c r="S38" s="12"/>
      <c r="T38" s="12"/>
      <c r="U38" s="12"/>
      <c r="V38" s="13"/>
      <c r="W38" s="114" t="e">
        <f t="shared" si="58"/>
        <v>#NUM!</v>
      </c>
      <c r="X38" s="6">
        <f t="shared" si="59"/>
        <v>3.8165882958950202E-2</v>
      </c>
      <c r="Y38" s="6">
        <f t="shared" si="60"/>
        <v>1.713277721572889E-5</v>
      </c>
      <c r="Z38" s="6">
        <f t="shared" si="61"/>
        <v>1.713277721572889E-5</v>
      </c>
      <c r="AA38" s="6">
        <f t="shared" si="62"/>
        <v>3.8165882958950202E-2</v>
      </c>
      <c r="AB38" s="6">
        <f t="shared" si="63"/>
        <v>2.6306978617002889E-5</v>
      </c>
      <c r="AC38" s="6">
        <f t="shared" si="64"/>
        <v>2.6306978617002889E-5</v>
      </c>
      <c r="AD38" s="6">
        <f t="shared" si="65"/>
        <v>3.033802747866758E-3</v>
      </c>
      <c r="AE38" s="6">
        <f t="shared" si="66"/>
        <v>3.033802747866758E-3</v>
      </c>
      <c r="AF38" s="27">
        <f t="shared" si="67"/>
        <v>3.033802747866758E-3</v>
      </c>
      <c r="AG38" s="26" t="e">
        <f t="shared" si="68"/>
        <v>#NUM!</v>
      </c>
      <c r="AH38" s="6">
        <f t="shared" si="69"/>
        <v>3.8165882958950202E-2</v>
      </c>
      <c r="AI38" s="6">
        <f t="shared" si="70"/>
        <v>1.7417808154569238E-5</v>
      </c>
      <c r="AJ38" s="6">
        <f t="shared" si="71"/>
        <v>1.7417808154569238E-5</v>
      </c>
      <c r="AK38" s="6">
        <f t="shared" si="72"/>
        <v>3.8165882958950202E-2</v>
      </c>
      <c r="AL38" s="6">
        <f t="shared" si="73"/>
        <v>2.6306978617002889E-5</v>
      </c>
      <c r="AM38" s="6">
        <f t="shared" si="74"/>
        <v>2.6306978617002889E-5</v>
      </c>
      <c r="AN38" s="6">
        <f t="shared" si="75"/>
        <v>3.033802747866758E-3</v>
      </c>
      <c r="AO38" s="6">
        <f t="shared" si="76"/>
        <v>3.033802747866758E-3</v>
      </c>
      <c r="AP38" s="27">
        <f t="shared" si="77"/>
        <v>3.033802747866758E-3</v>
      </c>
      <c r="AQ38" s="114" t="e">
        <f t="shared" si="78"/>
        <v>#NUM!</v>
      </c>
      <c r="AR38" s="6" t="e">
        <f t="shared" si="79"/>
        <v>#NUM!</v>
      </c>
      <c r="AS38" s="6" t="e">
        <f t="shared" si="80"/>
        <v>#NUM!</v>
      </c>
      <c r="AT38" s="115" t="e">
        <f t="shared" si="81"/>
        <v>#NUM!</v>
      </c>
      <c r="AU38" s="115" t="e">
        <f t="shared" si="82"/>
        <v>#NUM!</v>
      </c>
      <c r="AV38" s="115" t="e">
        <f t="shared" si="83"/>
        <v>#NUM!</v>
      </c>
      <c r="AW38" s="106" t="e">
        <f t="shared" si="84"/>
        <v>#NUM!</v>
      </c>
      <c r="AX38" s="106" t="e">
        <f t="shared" si="85"/>
        <v>#NUM!</v>
      </c>
      <c r="AY38" s="116" t="e">
        <f t="shared" si="86"/>
        <v>#NUM!</v>
      </c>
    </row>
    <row r="39" spans="1:51">
      <c r="AC39" s="113"/>
      <c r="AD39" s="215"/>
      <c r="AE39" s="215"/>
      <c r="AF39" s="113"/>
      <c r="AG39" s="215"/>
      <c r="AH39" s="215"/>
      <c r="AI39" s="215"/>
      <c r="AJ39" s="215"/>
      <c r="AK39" s="215"/>
      <c r="AL39" s="215"/>
      <c r="AM39" s="113"/>
      <c r="AN39" s="215"/>
      <c r="AO39" s="215"/>
      <c r="AP39" s="113"/>
      <c r="AQ39" s="113"/>
      <c r="AR39" s="113"/>
      <c r="AS39" s="113"/>
      <c r="AT39" s="113"/>
      <c r="AU39" s="113"/>
      <c r="AV39" s="113"/>
      <c r="AW39" s="216"/>
      <c r="AX39" s="216"/>
    </row>
    <row r="40" spans="1:51">
      <c r="G40" s="217"/>
      <c r="H40" s="218"/>
      <c r="I40" s="218"/>
      <c r="J40" s="218"/>
      <c r="K40" s="217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</row>
    <row r="41" spans="1:51">
      <c r="G41" s="217"/>
      <c r="H41" s="217"/>
      <c r="I41" s="217"/>
      <c r="J41" s="217"/>
      <c r="K41" s="217"/>
      <c r="L41" s="217"/>
      <c r="M41" s="217"/>
    </row>
    <row r="42" spans="1:51">
      <c r="A42" s="145"/>
      <c r="B42" s="145"/>
      <c r="C42" s="145"/>
    </row>
    <row r="43" spans="1:51">
      <c r="A43" s="145"/>
      <c r="B43" s="145"/>
      <c r="C43" s="145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</row>
    <row r="44" spans="1:51">
      <c r="A44" s="145"/>
      <c r="B44" s="145"/>
      <c r="C44" s="145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</row>
    <row r="45" spans="1:51">
      <c r="A45" s="145"/>
      <c r="B45" s="145"/>
      <c r="C45" s="145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</row>
    <row r="46" spans="1:51">
      <c r="A46" s="145"/>
      <c r="B46" s="145"/>
      <c r="C46" s="145"/>
      <c r="D46" s="145"/>
      <c r="E46" s="145"/>
      <c r="F46" s="145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</row>
    <row r="47" spans="1:51">
      <c r="A47" s="145"/>
      <c r="B47" s="145"/>
      <c r="C47" s="145"/>
      <c r="D47" s="145"/>
      <c r="E47" s="145"/>
      <c r="F47" s="145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</row>
    <row r="48" spans="1:51">
      <c r="A48" s="145"/>
      <c r="B48" s="145"/>
      <c r="C48" s="145"/>
      <c r="D48" s="145"/>
      <c r="E48" s="145"/>
      <c r="F48" s="145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</row>
    <row r="49" spans="1:26">
      <c r="A49" s="145"/>
      <c r="B49" s="145"/>
      <c r="C49" s="145"/>
      <c r="D49" s="145"/>
      <c r="E49" s="145"/>
      <c r="F49" s="145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</row>
    <row r="50" spans="1:26">
      <c r="A50" s="145"/>
      <c r="B50" s="145"/>
      <c r="C50" s="145"/>
      <c r="D50" s="145"/>
      <c r="E50" s="145"/>
      <c r="F50" s="145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</row>
    <row r="51" spans="1:26">
      <c r="A51" s="145"/>
      <c r="B51" s="145"/>
      <c r="C51" s="145"/>
      <c r="D51" s="145"/>
      <c r="E51" s="145"/>
      <c r="F51" s="145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</row>
    <row r="52" spans="1:26">
      <c r="A52" s="221"/>
      <c r="B52" s="221"/>
      <c r="C52" s="145"/>
      <c r="D52" s="145"/>
      <c r="E52" s="145"/>
      <c r="F52" s="145"/>
      <c r="G52" s="220"/>
      <c r="H52" s="220"/>
      <c r="I52" s="220"/>
      <c r="J52" s="220"/>
      <c r="K52" s="220"/>
      <c r="L52" s="222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73"/>
      <c r="X52" s="73"/>
      <c r="Y52" s="73"/>
      <c r="Z52" s="73"/>
    </row>
    <row r="53" spans="1:26">
      <c r="L53" s="222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73"/>
      <c r="X53" s="73"/>
      <c r="Y53" s="73"/>
      <c r="Z53" s="73"/>
    </row>
    <row r="54" spans="1:26">
      <c r="L54" s="222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73"/>
      <c r="X54" s="73"/>
      <c r="Y54" s="73"/>
      <c r="Z54" s="73"/>
    </row>
    <row r="55" spans="1:26">
      <c r="C55" s="146"/>
      <c r="D55" s="146"/>
      <c r="E55" s="146"/>
      <c r="F55" s="146"/>
      <c r="G55" s="217"/>
      <c r="H55" s="217"/>
      <c r="K55" s="217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73"/>
      <c r="X55" s="73"/>
      <c r="Y55" s="73"/>
      <c r="Z55" s="73"/>
    </row>
    <row r="56" spans="1:26">
      <c r="C56" s="146"/>
      <c r="D56" s="146"/>
      <c r="E56" s="146"/>
      <c r="F56" s="146"/>
      <c r="G56" s="217"/>
      <c r="H56" s="217"/>
      <c r="K56" s="223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73"/>
      <c r="X56" s="73"/>
      <c r="Y56" s="73"/>
      <c r="Z56" s="73"/>
    </row>
    <row r="57" spans="1:26">
      <c r="C57" s="146"/>
      <c r="D57" s="146"/>
      <c r="E57" s="146"/>
      <c r="F57" s="146"/>
      <c r="G57" s="217"/>
      <c r="H57" s="217"/>
      <c r="K57" s="217"/>
      <c r="L57" s="222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73"/>
      <c r="X57" s="73"/>
      <c r="Y57" s="73"/>
      <c r="Z57" s="73"/>
    </row>
    <row r="58" spans="1:26">
      <c r="C58" s="146"/>
      <c r="D58" s="146"/>
      <c r="E58" s="146"/>
      <c r="F58" s="146"/>
      <c r="G58" s="217"/>
      <c r="H58" s="217"/>
      <c r="K58" s="217"/>
      <c r="L58" s="222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73"/>
      <c r="X58" s="73"/>
      <c r="Y58" s="73"/>
      <c r="Z58" s="73"/>
    </row>
    <row r="59" spans="1:26">
      <c r="C59" s="146"/>
      <c r="D59" s="146"/>
      <c r="E59" s="146"/>
      <c r="F59" s="146"/>
      <c r="G59" s="217"/>
      <c r="H59" s="217"/>
      <c r="K59" s="223"/>
      <c r="L59" s="222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73"/>
      <c r="X59" s="73"/>
      <c r="Y59" s="73"/>
      <c r="Z59" s="73"/>
    </row>
    <row r="60" spans="1:26">
      <c r="C60" s="146"/>
      <c r="D60" s="146"/>
      <c r="E60" s="146"/>
      <c r="F60" s="146"/>
      <c r="G60" s="217"/>
      <c r="H60" s="217"/>
      <c r="K60" s="217"/>
      <c r="L60" s="222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73"/>
      <c r="X60" s="73"/>
      <c r="Y60" s="73"/>
      <c r="Z60" s="73"/>
    </row>
    <row r="61" spans="1:26">
      <c r="C61" s="146"/>
      <c r="D61" s="146"/>
      <c r="E61" s="146"/>
      <c r="F61" s="146"/>
      <c r="G61" s="217"/>
      <c r="H61" s="217"/>
      <c r="K61" s="217"/>
    </row>
    <row r="62" spans="1:26">
      <c r="C62" s="146"/>
      <c r="D62" s="146"/>
      <c r="E62" s="146"/>
      <c r="F62" s="146"/>
      <c r="G62" s="217"/>
      <c r="H62" s="217"/>
      <c r="K62" s="217"/>
    </row>
    <row r="63" spans="1:26">
      <c r="C63" s="146"/>
      <c r="D63" s="146"/>
      <c r="E63" s="146"/>
      <c r="F63" s="146"/>
      <c r="G63" s="217"/>
      <c r="H63" s="217"/>
      <c r="K63" s="223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</row>
    <row r="64" spans="1:26">
      <c r="C64" s="146"/>
      <c r="D64" s="146"/>
      <c r="E64" s="146"/>
      <c r="F64" s="146"/>
      <c r="G64" s="217"/>
      <c r="H64" s="217"/>
      <c r="K64" s="217"/>
    </row>
    <row r="65" spans="1:31">
      <c r="G65" s="217"/>
      <c r="H65" s="217"/>
      <c r="K65" s="217"/>
    </row>
    <row r="66" spans="1:31">
      <c r="G66" s="217"/>
      <c r="H66" s="217"/>
      <c r="K66" s="217"/>
    </row>
    <row r="67" spans="1:31">
      <c r="C67" s="146"/>
      <c r="D67" s="146"/>
      <c r="E67" s="146"/>
      <c r="F67" s="146"/>
      <c r="G67" s="217"/>
      <c r="H67" s="217"/>
      <c r="K67" s="217"/>
    </row>
    <row r="68" spans="1:31">
      <c r="A68" s="145"/>
      <c r="B68" s="145"/>
      <c r="C68" s="146"/>
      <c r="D68" s="146"/>
      <c r="E68" s="146"/>
      <c r="F68" s="146"/>
      <c r="G68" s="217"/>
      <c r="H68" s="217"/>
      <c r="K68" s="217"/>
    </row>
    <row r="69" spans="1:31">
      <c r="A69" s="145"/>
      <c r="B69" s="145"/>
      <c r="C69" s="146"/>
      <c r="D69" s="146"/>
      <c r="E69" s="146"/>
      <c r="F69" s="146"/>
      <c r="G69" s="217"/>
      <c r="H69" s="217"/>
      <c r="K69" s="217"/>
    </row>
    <row r="70" spans="1:31">
      <c r="A70" s="145"/>
      <c r="B70" s="145"/>
      <c r="C70" s="146"/>
      <c r="D70" s="146"/>
      <c r="E70" s="146"/>
      <c r="F70" s="146"/>
      <c r="G70" s="217"/>
      <c r="H70" s="217"/>
      <c r="K70" s="217"/>
      <c r="N70" s="217"/>
      <c r="O70" s="217"/>
      <c r="P70" s="217"/>
      <c r="Q70" s="217"/>
      <c r="R70" s="217"/>
      <c r="S70" s="217"/>
      <c r="T70" s="217"/>
      <c r="U70" s="217"/>
      <c r="V70" s="217"/>
      <c r="W70" s="215"/>
      <c r="X70" s="224"/>
      <c r="Y70" s="215"/>
      <c r="Z70" s="215"/>
      <c r="AA70" s="146"/>
      <c r="AB70" s="146"/>
      <c r="AC70" s="146"/>
      <c r="AD70" s="146"/>
      <c r="AE70" s="146"/>
    </row>
    <row r="71" spans="1:31">
      <c r="C71" s="146"/>
      <c r="D71" s="146"/>
      <c r="E71" s="146"/>
      <c r="F71" s="146"/>
      <c r="H71" s="169"/>
      <c r="I71" s="169"/>
      <c r="J71" s="169"/>
      <c r="K71" s="169"/>
      <c r="L71" s="169"/>
      <c r="M71" s="169"/>
      <c r="N71" s="217"/>
      <c r="O71" s="217"/>
      <c r="P71" s="217"/>
      <c r="Q71" s="217"/>
      <c r="R71" s="217"/>
      <c r="S71" s="217"/>
      <c r="T71" s="217"/>
      <c r="U71" s="217"/>
      <c r="V71" s="217"/>
      <c r="W71" s="215"/>
      <c r="X71" s="224"/>
      <c r="Y71" s="215"/>
      <c r="Z71" s="215"/>
      <c r="AA71" s="82"/>
      <c r="AB71" s="82"/>
      <c r="AC71" s="82"/>
      <c r="AD71" s="82"/>
      <c r="AE71" s="82"/>
    </row>
    <row r="72" spans="1:31">
      <c r="C72" s="146"/>
      <c r="D72" s="146"/>
      <c r="E72" s="146"/>
      <c r="F72" s="146"/>
      <c r="H72" s="169"/>
      <c r="I72" s="169"/>
      <c r="J72" s="169"/>
      <c r="K72" s="169"/>
      <c r="L72" s="169"/>
      <c r="M72" s="169"/>
      <c r="N72" s="217"/>
      <c r="O72" s="217"/>
      <c r="P72" s="217"/>
      <c r="Q72" s="217"/>
      <c r="R72" s="217"/>
      <c r="S72" s="217"/>
      <c r="T72" s="217"/>
      <c r="U72" s="217"/>
      <c r="V72" s="217"/>
      <c r="W72" s="215"/>
      <c r="X72" s="224"/>
      <c r="Y72" s="215"/>
      <c r="Z72" s="215"/>
      <c r="AA72" s="113"/>
      <c r="AB72" s="215"/>
      <c r="AC72" s="215"/>
      <c r="AD72" s="113"/>
      <c r="AE72" s="113"/>
    </row>
    <row r="73" spans="1:31">
      <c r="A73" s="225"/>
      <c r="B73" s="225"/>
      <c r="C73" s="148"/>
      <c r="D73" s="148"/>
      <c r="E73" s="148"/>
      <c r="F73" s="148"/>
      <c r="G73" s="226"/>
      <c r="H73" s="169"/>
      <c r="I73" s="169"/>
      <c r="J73" s="169"/>
      <c r="K73" s="169"/>
      <c r="L73" s="169"/>
      <c r="M73" s="169"/>
      <c r="N73" s="217"/>
      <c r="O73" s="217"/>
      <c r="P73" s="217"/>
      <c r="Q73" s="217"/>
      <c r="R73" s="217"/>
      <c r="S73" s="217"/>
      <c r="T73" s="217"/>
      <c r="U73" s="217"/>
      <c r="V73" s="217"/>
      <c r="W73" s="215"/>
      <c r="X73" s="224"/>
      <c r="Y73" s="215"/>
      <c r="Z73" s="215"/>
      <c r="AA73" s="113"/>
      <c r="AB73" s="215"/>
      <c r="AC73" s="215"/>
      <c r="AD73" s="113"/>
      <c r="AE73" s="113"/>
    </row>
    <row r="74" spans="1:31">
      <c r="A74" s="145"/>
      <c r="B74" s="145"/>
      <c r="C74" s="145"/>
      <c r="D74" s="145"/>
      <c r="E74" s="145"/>
      <c r="F74" s="145"/>
      <c r="G74" s="220"/>
      <c r="H74" s="169"/>
      <c r="I74" s="169"/>
      <c r="J74" s="169"/>
      <c r="K74" s="169"/>
      <c r="L74" s="169"/>
      <c r="M74" s="169"/>
      <c r="N74" s="217"/>
      <c r="O74" s="217"/>
      <c r="P74" s="217"/>
      <c r="Q74" s="217"/>
      <c r="R74" s="217"/>
      <c r="S74" s="217"/>
      <c r="T74" s="217"/>
      <c r="U74" s="217"/>
      <c r="V74" s="217"/>
      <c r="W74" s="215"/>
      <c r="X74" s="224"/>
      <c r="Y74" s="215"/>
      <c r="Z74" s="215"/>
      <c r="AA74" s="113"/>
      <c r="AB74" s="215"/>
      <c r="AC74" s="215"/>
      <c r="AD74" s="113"/>
      <c r="AE74" s="113"/>
    </row>
    <row r="75" spans="1:31">
      <c r="C75" s="146"/>
      <c r="D75" s="146"/>
      <c r="E75" s="146"/>
      <c r="F75" s="146"/>
      <c r="H75" s="169"/>
      <c r="I75" s="169"/>
      <c r="J75" s="169"/>
      <c r="K75" s="169"/>
      <c r="L75" s="169"/>
      <c r="M75" s="169"/>
      <c r="N75" s="217"/>
      <c r="O75" s="217"/>
      <c r="P75" s="217"/>
      <c r="Q75" s="217"/>
      <c r="R75" s="217"/>
      <c r="S75" s="217"/>
      <c r="T75" s="217"/>
      <c r="U75" s="217"/>
      <c r="V75" s="217"/>
      <c r="W75" s="215"/>
      <c r="X75" s="224"/>
      <c r="Y75" s="215"/>
      <c r="Z75" s="215"/>
      <c r="AA75" s="113"/>
      <c r="AB75" s="215"/>
      <c r="AC75" s="215"/>
      <c r="AD75" s="113"/>
      <c r="AE75" s="113"/>
    </row>
    <row r="76" spans="1:31">
      <c r="A76" s="145"/>
      <c r="B76" s="145"/>
      <c r="C76" s="146"/>
      <c r="D76" s="146"/>
      <c r="E76" s="146"/>
      <c r="F76" s="146"/>
      <c r="H76" s="169"/>
      <c r="I76" s="169"/>
      <c r="J76" s="169"/>
      <c r="K76" s="169"/>
      <c r="L76" s="169"/>
      <c r="M76" s="169"/>
      <c r="N76" s="217"/>
      <c r="O76" s="217"/>
      <c r="P76" s="217"/>
      <c r="Q76" s="217"/>
      <c r="R76" s="217"/>
      <c r="S76" s="217"/>
      <c r="T76" s="217"/>
      <c r="U76" s="217"/>
      <c r="V76" s="217"/>
      <c r="W76" s="215"/>
      <c r="X76" s="224"/>
      <c r="Y76" s="215"/>
      <c r="Z76" s="215"/>
      <c r="AA76" s="113"/>
      <c r="AB76" s="215"/>
      <c r="AC76" s="215"/>
      <c r="AD76" s="113"/>
      <c r="AE76" s="113"/>
    </row>
    <row r="77" spans="1:31">
      <c r="C77" s="146"/>
      <c r="D77" s="146"/>
      <c r="E77" s="146"/>
      <c r="F77" s="146"/>
      <c r="H77" s="169"/>
      <c r="I77" s="169"/>
      <c r="J77" s="169"/>
      <c r="K77" s="169"/>
      <c r="L77" s="169"/>
      <c r="M77" s="169"/>
      <c r="N77" s="217"/>
      <c r="O77" s="217"/>
      <c r="P77" s="217"/>
      <c r="Q77" s="217"/>
      <c r="R77" s="217"/>
      <c r="S77" s="217"/>
      <c r="T77" s="217"/>
      <c r="U77" s="217"/>
      <c r="V77" s="217"/>
      <c r="W77" s="215"/>
      <c r="X77" s="224"/>
      <c r="Y77" s="215"/>
      <c r="Z77" s="215"/>
      <c r="AA77" s="113"/>
      <c r="AB77" s="215"/>
      <c r="AC77" s="215"/>
      <c r="AD77" s="113"/>
      <c r="AE77" s="113"/>
    </row>
    <row r="78" spans="1:31">
      <c r="C78" s="146"/>
      <c r="D78" s="146"/>
      <c r="E78" s="146"/>
      <c r="F78" s="146"/>
      <c r="H78" s="169"/>
      <c r="I78" s="169"/>
      <c r="J78" s="169"/>
      <c r="K78" s="169"/>
      <c r="L78" s="169"/>
      <c r="M78" s="169"/>
      <c r="N78" s="217"/>
      <c r="O78" s="217"/>
      <c r="P78" s="217"/>
      <c r="Q78" s="217"/>
      <c r="R78" s="217"/>
      <c r="S78" s="217"/>
      <c r="T78" s="217"/>
      <c r="U78" s="217"/>
      <c r="V78" s="217"/>
      <c r="W78" s="215"/>
      <c r="X78" s="224"/>
      <c r="Y78" s="215"/>
      <c r="Z78" s="215"/>
      <c r="AA78" s="113"/>
      <c r="AB78" s="215"/>
      <c r="AC78" s="215"/>
      <c r="AD78" s="113"/>
      <c r="AE78" s="113"/>
    </row>
    <row r="79" spans="1:31">
      <c r="A79" s="145"/>
      <c r="B79" s="145"/>
      <c r="C79" s="145"/>
      <c r="D79" s="145"/>
      <c r="E79" s="145"/>
      <c r="F79" s="145"/>
      <c r="G79" s="220"/>
      <c r="H79" s="169"/>
      <c r="I79" s="169"/>
      <c r="J79" s="169"/>
      <c r="K79" s="169"/>
      <c r="L79" s="169"/>
      <c r="M79" s="169"/>
      <c r="N79" s="217"/>
      <c r="O79" s="217"/>
      <c r="P79" s="217"/>
      <c r="Q79" s="217"/>
      <c r="R79" s="217"/>
      <c r="S79" s="217"/>
      <c r="T79" s="217"/>
      <c r="U79" s="217"/>
      <c r="V79" s="217"/>
      <c r="W79" s="215"/>
      <c r="X79" s="224"/>
      <c r="Y79" s="215"/>
      <c r="Z79" s="215"/>
      <c r="AA79" s="113"/>
      <c r="AB79" s="215"/>
      <c r="AC79" s="215"/>
      <c r="AD79" s="113"/>
      <c r="AE79" s="113"/>
    </row>
    <row r="80" spans="1:31">
      <c r="H80" s="169"/>
      <c r="I80" s="169"/>
      <c r="J80" s="169"/>
      <c r="K80" s="169"/>
      <c r="L80" s="169"/>
      <c r="M80" s="169"/>
      <c r="N80" s="217"/>
      <c r="O80" s="217"/>
      <c r="P80" s="217"/>
      <c r="Q80" s="217"/>
      <c r="R80" s="217"/>
      <c r="S80" s="217"/>
      <c r="T80" s="217"/>
      <c r="U80" s="217"/>
      <c r="V80" s="217"/>
      <c r="W80" s="215"/>
      <c r="X80" s="224"/>
      <c r="Y80" s="215"/>
      <c r="Z80" s="215"/>
      <c r="AA80" s="113"/>
      <c r="AB80" s="215"/>
      <c r="AC80" s="215"/>
      <c r="AD80" s="113"/>
      <c r="AE80" s="113"/>
    </row>
    <row r="81" spans="8:31">
      <c r="H81" s="169"/>
      <c r="I81" s="169"/>
      <c r="J81" s="169"/>
      <c r="K81" s="169"/>
      <c r="L81" s="169"/>
      <c r="M81" s="169"/>
      <c r="N81" s="217"/>
      <c r="O81" s="217"/>
      <c r="P81" s="217"/>
      <c r="Q81" s="217"/>
      <c r="R81" s="217"/>
      <c r="S81" s="217"/>
      <c r="T81" s="217"/>
      <c r="U81" s="217"/>
      <c r="V81" s="217"/>
      <c r="W81" s="215"/>
      <c r="X81" s="224"/>
      <c r="Y81" s="215"/>
      <c r="Z81" s="215"/>
      <c r="AA81" s="113"/>
      <c r="AB81" s="215"/>
      <c r="AC81" s="215"/>
      <c r="AD81" s="113"/>
      <c r="AE81" s="113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00"/>
  <sheetViews>
    <sheetView zoomScale="130" zoomScaleNormal="130" workbookViewId="0">
      <pane xSplit="6" ySplit="2" topLeftCell="G3" activePane="bottomRight" state="frozen"/>
      <selection activeCell="B41" sqref="B41"/>
      <selection pane="topRight" activeCell="B41" sqref="B41"/>
      <selection pane="bottomLeft" activeCell="B41" sqref="B41"/>
      <selection pane="bottomRight" activeCell="A2" sqref="A2"/>
    </sheetView>
  </sheetViews>
  <sheetFormatPr defaultRowHeight="12.75"/>
  <cols>
    <col min="1" max="1" width="7.28515625" style="192" customWidth="1"/>
    <col min="2" max="2" width="9" style="192" bestFit="1" customWidth="1"/>
    <col min="3" max="3" width="13.5703125" style="73" bestFit="1" customWidth="1"/>
    <col min="4" max="4" width="36.140625" style="73" customWidth="1"/>
    <col min="5" max="5" width="6.5703125" style="73" bestFit="1" customWidth="1"/>
    <col min="6" max="6" width="5.7109375" style="73" customWidth="1"/>
    <col min="7" max="16" width="8.7109375" style="169" customWidth="1"/>
    <col min="17" max="20" width="9.140625" style="73" customWidth="1"/>
    <col min="21" max="21" width="10.7109375" style="73" customWidth="1"/>
    <col min="22" max="22" width="8.140625" style="73" customWidth="1"/>
    <col min="23" max="23" width="8" style="113" customWidth="1"/>
    <col min="24" max="24" width="10.140625" style="113" customWidth="1"/>
    <col min="25" max="25" width="9.140625" style="113" customWidth="1"/>
    <col min="26" max="26" width="8" style="113" customWidth="1"/>
    <col min="27" max="27" width="9.5703125" style="113" customWidth="1"/>
    <col min="28" max="28" width="6.140625" style="113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3"/>
  </cols>
  <sheetData>
    <row r="1" spans="1:51" s="57" customFormat="1" ht="13.5" thickBot="1">
      <c r="A1" s="179"/>
      <c r="B1" s="180"/>
      <c r="C1" s="181"/>
      <c r="D1" s="181"/>
      <c r="E1" s="182"/>
      <c r="F1" s="182"/>
      <c r="G1" s="233" t="s">
        <v>116</v>
      </c>
      <c r="H1" s="234"/>
      <c r="I1" s="234"/>
      <c r="J1" s="234"/>
      <c r="K1" s="235"/>
      <c r="L1" s="236" t="s">
        <v>117</v>
      </c>
      <c r="M1" s="237"/>
      <c r="N1" s="237"/>
      <c r="O1" s="237"/>
      <c r="P1" s="238"/>
      <c r="Q1" s="239" t="s">
        <v>118</v>
      </c>
      <c r="R1" s="240"/>
      <c r="S1" s="240"/>
      <c r="T1" s="241"/>
      <c r="U1" s="239" t="s">
        <v>117</v>
      </c>
      <c r="V1" s="242"/>
      <c r="W1" s="37" t="s">
        <v>69</v>
      </c>
      <c r="X1" s="38" t="s">
        <v>119</v>
      </c>
      <c r="Y1" s="39" t="s">
        <v>120</v>
      </c>
      <c r="Z1" s="37" t="s">
        <v>69</v>
      </c>
      <c r="AA1" s="38" t="s">
        <v>70</v>
      </c>
      <c r="AB1" s="39" t="s">
        <v>121</v>
      </c>
      <c r="AC1" s="41" t="s">
        <v>69</v>
      </c>
      <c r="AD1" s="42" t="s">
        <v>70</v>
      </c>
      <c r="AE1" s="43" t="s">
        <v>122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83" t="s">
        <v>73</v>
      </c>
      <c r="B2" s="184" t="s">
        <v>74</v>
      </c>
      <c r="C2" s="90" t="s">
        <v>1</v>
      </c>
      <c r="D2" s="58" t="s">
        <v>2</v>
      </c>
      <c r="E2" s="58" t="s">
        <v>75</v>
      </c>
      <c r="F2" s="59" t="s">
        <v>3</v>
      </c>
      <c r="G2" s="185" t="s">
        <v>123</v>
      </c>
      <c r="H2" s="186" t="s">
        <v>124</v>
      </c>
      <c r="I2" s="186" t="s">
        <v>125</v>
      </c>
      <c r="J2" s="186" t="s">
        <v>126</v>
      </c>
      <c r="K2" s="187" t="s">
        <v>127</v>
      </c>
      <c r="L2" s="185" t="s">
        <v>123</v>
      </c>
      <c r="M2" s="186" t="s">
        <v>124</v>
      </c>
      <c r="N2" s="186" t="s">
        <v>125</v>
      </c>
      <c r="O2" s="186" t="s">
        <v>128</v>
      </c>
      <c r="P2" s="187" t="s">
        <v>129</v>
      </c>
      <c r="Q2" s="31" t="s">
        <v>130</v>
      </c>
      <c r="R2" s="32" t="s">
        <v>89</v>
      </c>
      <c r="S2" s="32" t="s">
        <v>131</v>
      </c>
      <c r="T2" s="33" t="s">
        <v>132</v>
      </c>
      <c r="U2" s="31" t="s">
        <v>130</v>
      </c>
      <c r="V2" s="33" t="s">
        <v>132</v>
      </c>
      <c r="W2" s="34" t="s">
        <v>133</v>
      </c>
      <c r="X2" s="35" t="s">
        <v>133</v>
      </c>
      <c r="Y2" s="36" t="s">
        <v>133</v>
      </c>
      <c r="Z2" s="110" t="s">
        <v>134</v>
      </c>
      <c r="AA2" s="111" t="s">
        <v>134</v>
      </c>
      <c r="AB2" s="40" t="s">
        <v>134</v>
      </c>
      <c r="AC2" s="112" t="s">
        <v>10</v>
      </c>
      <c r="AD2" s="101" t="s">
        <v>10</v>
      </c>
      <c r="AE2" s="33" t="s">
        <v>10</v>
      </c>
      <c r="AF2" s="86"/>
      <c r="AG2" s="86"/>
      <c r="AH2" s="87"/>
      <c r="AI2" s="87"/>
      <c r="AJ2" s="87"/>
      <c r="AK2" s="87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7" customFormat="1">
      <c r="A3" s="67">
        <v>14261</v>
      </c>
      <c r="B3" s="188" t="s">
        <v>135</v>
      </c>
      <c r="C3" s="189" t="str">
        <f>Rollover!A3</f>
        <v>Acura</v>
      </c>
      <c r="D3" s="10" t="str">
        <f>Rollover!B3</f>
        <v>Integra 5 HB FWD</v>
      </c>
      <c r="E3" s="10" t="s">
        <v>98</v>
      </c>
      <c r="F3" s="190">
        <f>Rollover!C3</f>
        <v>2023</v>
      </c>
      <c r="G3" s="11">
        <v>144.97499999999999</v>
      </c>
      <c r="H3" s="12">
        <v>23.876999999999999</v>
      </c>
      <c r="I3" s="12">
        <v>37.933999999999997</v>
      </c>
      <c r="J3" s="12">
        <v>1007.45</v>
      </c>
      <c r="K3" s="13">
        <v>1336.9269999999999</v>
      </c>
      <c r="L3" s="11">
        <v>239.345</v>
      </c>
      <c r="M3" s="12">
        <v>26.091999999999999</v>
      </c>
      <c r="N3" s="12">
        <v>60.372999999999998</v>
      </c>
      <c r="O3" s="12">
        <v>21.831</v>
      </c>
      <c r="P3" s="13">
        <v>2363.0349999999999</v>
      </c>
      <c r="Q3" s="26">
        <f t="shared" ref="Q3:Q16" si="0">NORMDIST(LN(G3),7.45231,0.73998,1)</f>
        <v>4.1038051978318157E-4</v>
      </c>
      <c r="R3" s="6">
        <f t="shared" ref="R3:R16" si="1">1/(1+EXP(5.3895-0.0919*H3))</f>
        <v>3.9346615530531315E-2</v>
      </c>
      <c r="S3" s="6">
        <f t="shared" ref="S3:S16" si="2">1/(1+EXP(6.04044-0.002133*J3))</f>
        <v>2.0005315194714112E-2</v>
      </c>
      <c r="T3" s="27">
        <f t="shared" ref="T3:T16" si="3">1/(1+EXP(7.5969-0.0011*K3))</f>
        <v>2.1799297896217783E-3</v>
      </c>
      <c r="U3" s="26">
        <f t="shared" ref="U3:U16" si="4">NORMDIST(LN(L3),7.45231,0.73998,1)</f>
        <v>3.8131059323650777E-3</v>
      </c>
      <c r="V3" s="27">
        <f t="shared" ref="V3:V16" si="5">1/(1+EXP(6.3055-0.00094*P3))</f>
        <v>1.6557058728255376E-2</v>
      </c>
      <c r="W3" s="26">
        <f t="shared" ref="W3:W16" si="6">ROUND(1-(1-Q3)*(1-R3)*(1-S3)*(1-T3),3)</f>
        <v>6.0999999999999999E-2</v>
      </c>
      <c r="X3" s="6">
        <f t="shared" ref="X3:X16" si="7">IF(L3="N/A",L3,ROUND(1-(1-U3)*(1-V3),3))</f>
        <v>0.02</v>
      </c>
      <c r="Y3" s="27">
        <f t="shared" ref="Y3:Y16" si="8">ROUND(AVERAGE(W3:X3),3)</f>
        <v>4.1000000000000002E-2</v>
      </c>
      <c r="Z3" s="28">
        <f t="shared" ref="Z3:Z16" si="9">ROUND(W3/0.15,2)</f>
        <v>0.41</v>
      </c>
      <c r="AA3" s="115">
        <f t="shared" ref="AA3:AA16" si="10">IF(L3="N/A", L3, ROUND(X3/0.15,2))</f>
        <v>0.13</v>
      </c>
      <c r="AB3" s="29">
        <f t="shared" ref="AB3:AB16" si="11">ROUND(Y3/0.15,2)</f>
        <v>0.27</v>
      </c>
      <c r="AC3" s="24">
        <f t="shared" ref="AC3:AC16" si="12">IF(Z3&lt;0.67,5,IF(Z3&lt;1,4,IF(Z3&lt;1.33,3,IF(Z3&lt;2.67,2,1))))</f>
        <v>5</v>
      </c>
      <c r="AD3" s="106">
        <f t="shared" ref="AD3:AD16" si="13">IF(L3="N/A",L3,IF(AA3&lt;0.67,5,IF(AA3&lt;1,4,IF(AA3&lt;1.33,3,IF(AA3&lt;2.67,2,1)))))</f>
        <v>5</v>
      </c>
      <c r="AE3" s="25">
        <f t="shared" ref="AE3:AE16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7"/>
      <c r="B4" s="188"/>
      <c r="C4" s="189" t="str">
        <f>Rollover!A4</f>
        <v>Honda</v>
      </c>
      <c r="D4" s="10" t="str">
        <f>Rollover!B4</f>
        <v>Civic Hatchback FWD</v>
      </c>
      <c r="E4" s="10"/>
      <c r="F4" s="190">
        <f>Rollover!C4</f>
        <v>2023</v>
      </c>
      <c r="G4" s="11"/>
      <c r="H4" s="12"/>
      <c r="I4" s="12"/>
      <c r="J4" s="12"/>
      <c r="K4" s="13"/>
      <c r="L4" s="11"/>
      <c r="M4" s="12"/>
      <c r="N4" s="12"/>
      <c r="O4" s="12"/>
      <c r="P4" s="13"/>
      <c r="Q4" s="26" t="e">
        <f t="shared" si="0"/>
        <v>#NUM!</v>
      </c>
      <c r="R4" s="6">
        <f t="shared" si="1"/>
        <v>4.5435171224880964E-3</v>
      </c>
      <c r="S4" s="6">
        <f t="shared" si="2"/>
        <v>2.3748578822706131E-3</v>
      </c>
      <c r="T4" s="27">
        <f t="shared" si="3"/>
        <v>5.0175335722563109E-4</v>
      </c>
      <c r="U4" s="26" t="e">
        <f t="shared" si="4"/>
        <v>#NUM!</v>
      </c>
      <c r="V4" s="27">
        <f t="shared" si="5"/>
        <v>1.8229037773026034E-3</v>
      </c>
      <c r="W4" s="26" t="e">
        <f t="shared" si="6"/>
        <v>#NUM!</v>
      </c>
      <c r="X4" s="6" t="e">
        <f t="shared" si="7"/>
        <v>#NUM!</v>
      </c>
      <c r="Y4" s="27" t="e">
        <f t="shared" si="8"/>
        <v>#NUM!</v>
      </c>
      <c r="Z4" s="28" t="e">
        <f t="shared" si="9"/>
        <v>#NUM!</v>
      </c>
      <c r="AA4" s="115" t="e">
        <f t="shared" si="10"/>
        <v>#NUM!</v>
      </c>
      <c r="AB4" s="29" t="e">
        <f t="shared" si="11"/>
        <v>#NUM!</v>
      </c>
      <c r="AC4" s="24" t="e">
        <f t="shared" si="12"/>
        <v>#NUM!</v>
      </c>
      <c r="AD4" s="106" t="e">
        <f t="shared" si="13"/>
        <v>#NUM!</v>
      </c>
      <c r="AE4" s="25" t="e">
        <f t="shared" si="14"/>
        <v>#NUM!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>
      <c r="A5" s="67"/>
      <c r="B5" s="188"/>
      <c r="C5" s="189" t="str">
        <f>Rollover!A5</f>
        <v>Honda</v>
      </c>
      <c r="D5" s="10" t="str">
        <f>Rollover!B5</f>
        <v>Civic Hatchback Typer R FWD</v>
      </c>
      <c r="E5" s="10"/>
      <c r="F5" s="190">
        <f>Rollover!C5</f>
        <v>2023</v>
      </c>
      <c r="G5" s="11"/>
      <c r="H5" s="12"/>
      <c r="I5" s="12"/>
      <c r="J5" s="12"/>
      <c r="K5" s="13"/>
      <c r="L5" s="11"/>
      <c r="M5" s="12"/>
      <c r="N5" s="12"/>
      <c r="O5" s="12"/>
      <c r="P5" s="13"/>
      <c r="Q5" s="26" t="e">
        <f t="shared" si="0"/>
        <v>#NUM!</v>
      </c>
      <c r="R5" s="6">
        <f t="shared" si="1"/>
        <v>4.5435171224880964E-3</v>
      </c>
      <c r="S5" s="6">
        <f t="shared" si="2"/>
        <v>2.3748578822706131E-3</v>
      </c>
      <c r="T5" s="27">
        <f t="shared" si="3"/>
        <v>5.0175335722563109E-4</v>
      </c>
      <c r="U5" s="26" t="e">
        <f t="shared" si="4"/>
        <v>#NUM!</v>
      </c>
      <c r="V5" s="27">
        <f t="shared" si="5"/>
        <v>1.8229037773026034E-3</v>
      </c>
      <c r="W5" s="26" t="e">
        <f t="shared" si="6"/>
        <v>#NUM!</v>
      </c>
      <c r="X5" s="6" t="e">
        <f t="shared" si="7"/>
        <v>#NUM!</v>
      </c>
      <c r="Y5" s="27" t="e">
        <f t="shared" si="8"/>
        <v>#NUM!</v>
      </c>
      <c r="Z5" s="28" t="e">
        <f t="shared" si="9"/>
        <v>#NUM!</v>
      </c>
      <c r="AA5" s="115" t="e">
        <f t="shared" si="10"/>
        <v>#NUM!</v>
      </c>
      <c r="AB5" s="29" t="e">
        <f t="shared" si="11"/>
        <v>#NUM!</v>
      </c>
      <c r="AC5" s="24" t="e">
        <f t="shared" si="12"/>
        <v>#NUM!</v>
      </c>
      <c r="AD5" s="106" t="e">
        <f t="shared" si="13"/>
        <v>#NUM!</v>
      </c>
      <c r="AE5" s="25" t="e">
        <f t="shared" si="14"/>
        <v>#NUM!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3.15" customHeight="1">
      <c r="A6" s="67"/>
      <c r="B6" s="188"/>
      <c r="C6" s="189" t="str">
        <f>Rollover!A6</f>
        <v>Honda</v>
      </c>
      <c r="D6" s="10" t="str">
        <f>Rollover!B6</f>
        <v>Civic Sedan FWD</v>
      </c>
      <c r="E6" s="10"/>
      <c r="F6" s="190">
        <f>Rollover!C6</f>
        <v>2023</v>
      </c>
      <c r="G6" s="11"/>
      <c r="H6" s="12"/>
      <c r="I6" s="12"/>
      <c r="J6" s="12"/>
      <c r="K6" s="13"/>
      <c r="L6" s="11"/>
      <c r="M6" s="12"/>
      <c r="N6" s="12"/>
      <c r="O6" s="12"/>
      <c r="P6" s="13"/>
      <c r="Q6" s="26" t="e">
        <f t="shared" si="0"/>
        <v>#NUM!</v>
      </c>
      <c r="R6" s="6">
        <f t="shared" si="1"/>
        <v>4.5435171224880964E-3</v>
      </c>
      <c r="S6" s="6">
        <f t="shared" si="2"/>
        <v>2.3748578822706131E-3</v>
      </c>
      <c r="T6" s="27">
        <f t="shared" si="3"/>
        <v>5.0175335722563109E-4</v>
      </c>
      <c r="U6" s="26" t="e">
        <f t="shared" si="4"/>
        <v>#NUM!</v>
      </c>
      <c r="V6" s="27">
        <f t="shared" si="5"/>
        <v>1.8229037773026034E-3</v>
      </c>
      <c r="W6" s="26" t="e">
        <f t="shared" si="6"/>
        <v>#NUM!</v>
      </c>
      <c r="X6" s="6" t="e">
        <f t="shared" si="7"/>
        <v>#NUM!</v>
      </c>
      <c r="Y6" s="27" t="e">
        <f t="shared" si="8"/>
        <v>#NUM!</v>
      </c>
      <c r="Z6" s="28" t="e">
        <f t="shared" si="9"/>
        <v>#NUM!</v>
      </c>
      <c r="AA6" s="115" t="e">
        <f t="shared" si="10"/>
        <v>#NUM!</v>
      </c>
      <c r="AB6" s="29" t="e">
        <f t="shared" si="11"/>
        <v>#NUM!</v>
      </c>
      <c r="AC6" s="24" t="e">
        <f t="shared" si="12"/>
        <v>#NUM!</v>
      </c>
      <c r="AD6" s="106" t="e">
        <f t="shared" si="13"/>
        <v>#NUM!</v>
      </c>
      <c r="AE6" s="25" t="e">
        <f t="shared" si="14"/>
        <v>#NUM!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18">
        <v>14274</v>
      </c>
      <c r="B7" s="191" t="s">
        <v>136</v>
      </c>
      <c r="C7" s="189" t="str">
        <f>Rollover!A7</f>
        <v>Audi</v>
      </c>
      <c r="D7" s="10" t="str">
        <f>Rollover!B7</f>
        <v>Q8 AWD</v>
      </c>
      <c r="E7" s="10" t="s">
        <v>99</v>
      </c>
      <c r="F7" s="190">
        <f>Rollover!C7</f>
        <v>2023</v>
      </c>
      <c r="G7" s="19">
        <v>59.756999999999998</v>
      </c>
      <c r="H7" s="20">
        <v>16.727</v>
      </c>
      <c r="I7" s="20">
        <v>19.741</v>
      </c>
      <c r="J7" s="20">
        <v>612.15300000000002</v>
      </c>
      <c r="K7" s="21">
        <v>1077.9190000000001</v>
      </c>
      <c r="L7" s="19">
        <v>50.834000000000003</v>
      </c>
      <c r="M7" s="20">
        <v>6.83</v>
      </c>
      <c r="N7" s="20">
        <v>32.082000000000001</v>
      </c>
      <c r="O7" s="20">
        <v>4.2590000000000003</v>
      </c>
      <c r="P7" s="21">
        <v>2031.0309999999999</v>
      </c>
      <c r="Q7" s="26">
        <f>NORMDIST(LN(G7),7.45231,0.73998,1)</f>
        <v>2.767729645284086E-6</v>
      </c>
      <c r="R7" s="6">
        <f>1/(1+EXP(5.3895-0.0919*H7))</f>
        <v>2.0789701195843922E-2</v>
      </c>
      <c r="S7" s="6">
        <f>1/(1+EXP(6.04044-0.002133*J7))</f>
        <v>8.7084259943421248E-3</v>
      </c>
      <c r="T7" s="27">
        <f>1/(1+EXP(7.5969-0.0011*K7))</f>
        <v>1.640374316855941E-3</v>
      </c>
      <c r="U7" s="26">
        <f>NORMDIST(LN(L7),7.45231,0.73998,1)</f>
        <v>9.5867640607014258E-7</v>
      </c>
      <c r="V7" s="27">
        <f>1/(1+EXP(6.3055-0.00094*P7))</f>
        <v>1.2172474968832156E-2</v>
      </c>
      <c r="W7" s="26">
        <f>ROUND(1-(1-Q7)*(1-R7)*(1-S7)*(1-T7),3)</f>
        <v>3.1E-2</v>
      </c>
      <c r="X7" s="6">
        <f>IF(L7="N/A",L7,ROUND(1-(1-U7)*(1-V7),3))</f>
        <v>1.2E-2</v>
      </c>
      <c r="Y7" s="27">
        <f>ROUND(AVERAGE(W7:X7),3)</f>
        <v>2.1999999999999999E-2</v>
      </c>
      <c r="Z7" s="28">
        <f>ROUND(W7/0.15,2)</f>
        <v>0.21</v>
      </c>
      <c r="AA7" s="115">
        <f>IF(L7="N/A", L7, ROUND(X7/0.15,2))</f>
        <v>0.08</v>
      </c>
      <c r="AB7" s="29">
        <f>ROUND(Y7/0.15,2)</f>
        <v>0.15</v>
      </c>
      <c r="AC7" s="24">
        <f>IF(Z7&lt;0.67,5,IF(Z7&lt;1,4,IF(Z7&lt;1.33,3,IF(Z7&lt;2.67,2,1))))</f>
        <v>5</v>
      </c>
      <c r="AD7" s="106">
        <f>IF(L7="N/A",L7,IF(AA7&lt;0.67,5,IF(AA7&lt;1,4,IF(AA7&lt;1.33,3,IF(AA7&lt;2.67,2,1)))))</f>
        <v>5</v>
      </c>
      <c r="AE7" s="25">
        <f>IF(AB7&lt;0.67,5,IF(AB7&lt;1,4,IF(AB7&lt;1.33,3,IF(AB7&lt;2.67,2,1))))</f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67"/>
      <c r="B8" s="188"/>
      <c r="C8" s="189" t="str">
        <f>Rollover!A8</f>
        <v>Audi</v>
      </c>
      <c r="D8" s="10" t="str">
        <f>Rollover!B8</f>
        <v>SQ8 AWD</v>
      </c>
      <c r="E8" s="10"/>
      <c r="F8" s="190">
        <f>Rollover!C8</f>
        <v>2023</v>
      </c>
      <c r="G8" s="11"/>
      <c r="H8" s="12"/>
      <c r="I8" s="12"/>
      <c r="J8" s="12"/>
      <c r="K8" s="13"/>
      <c r="L8" s="11"/>
      <c r="M8" s="12"/>
      <c r="N8" s="12"/>
      <c r="O8" s="12"/>
      <c r="P8" s="13"/>
      <c r="Q8" s="26" t="e">
        <f t="shared" si="0"/>
        <v>#NUM!</v>
      </c>
      <c r="R8" s="6">
        <f t="shared" si="1"/>
        <v>4.5435171224880964E-3</v>
      </c>
      <c r="S8" s="6">
        <f t="shared" si="2"/>
        <v>2.3748578822706131E-3</v>
      </c>
      <c r="T8" s="27">
        <f t="shared" si="3"/>
        <v>5.0175335722563109E-4</v>
      </c>
      <c r="U8" s="26" t="e">
        <f t="shared" si="4"/>
        <v>#NUM!</v>
      </c>
      <c r="V8" s="27">
        <f t="shared" si="5"/>
        <v>1.8229037773026034E-3</v>
      </c>
      <c r="W8" s="26" t="e">
        <f t="shared" si="6"/>
        <v>#NUM!</v>
      </c>
      <c r="X8" s="6" t="e">
        <f t="shared" si="7"/>
        <v>#NUM!</v>
      </c>
      <c r="Y8" s="27" t="e">
        <f t="shared" si="8"/>
        <v>#NUM!</v>
      </c>
      <c r="Z8" s="28" t="e">
        <f t="shared" si="9"/>
        <v>#NUM!</v>
      </c>
      <c r="AA8" s="115" t="e">
        <f t="shared" si="10"/>
        <v>#NUM!</v>
      </c>
      <c r="AB8" s="29" t="e">
        <f t="shared" si="11"/>
        <v>#NUM!</v>
      </c>
      <c r="AC8" s="24" t="e">
        <f t="shared" si="12"/>
        <v>#NUM!</v>
      </c>
      <c r="AD8" s="106" t="e">
        <f t="shared" si="13"/>
        <v>#NUM!</v>
      </c>
      <c r="AE8" s="25" t="e">
        <f t="shared" si="14"/>
        <v>#NUM!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3.5" customHeight="1">
      <c r="A9" s="67"/>
      <c r="B9" s="188"/>
      <c r="C9" s="189" t="str">
        <f>Rollover!A9</f>
        <v>Audi</v>
      </c>
      <c r="D9" s="10" t="str">
        <f>Rollover!B9</f>
        <v>RS Q8 AWD</v>
      </c>
      <c r="E9" s="10"/>
      <c r="F9" s="190">
        <f>Rollover!C9</f>
        <v>2023</v>
      </c>
      <c r="G9" s="11"/>
      <c r="H9" s="12"/>
      <c r="I9" s="12"/>
      <c r="J9" s="12"/>
      <c r="K9" s="13"/>
      <c r="L9" s="11"/>
      <c r="M9" s="12"/>
      <c r="N9" s="12"/>
      <c r="O9" s="12"/>
      <c r="P9" s="13"/>
      <c r="Q9" s="26" t="e">
        <f t="shared" si="0"/>
        <v>#NUM!</v>
      </c>
      <c r="R9" s="6">
        <f t="shared" si="1"/>
        <v>4.5435171224880964E-3</v>
      </c>
      <c r="S9" s="6">
        <f t="shared" si="2"/>
        <v>2.3748578822706131E-3</v>
      </c>
      <c r="T9" s="27">
        <f t="shared" si="3"/>
        <v>5.0175335722563109E-4</v>
      </c>
      <c r="U9" s="26" t="e">
        <f t="shared" si="4"/>
        <v>#NUM!</v>
      </c>
      <c r="V9" s="27">
        <f t="shared" si="5"/>
        <v>1.8229037773026034E-3</v>
      </c>
      <c r="W9" s="26" t="e">
        <f t="shared" si="6"/>
        <v>#NUM!</v>
      </c>
      <c r="X9" s="6" t="e">
        <f t="shared" si="7"/>
        <v>#NUM!</v>
      </c>
      <c r="Y9" s="27" t="e">
        <f t="shared" si="8"/>
        <v>#NUM!</v>
      </c>
      <c r="Z9" s="28" t="e">
        <f t="shared" si="9"/>
        <v>#NUM!</v>
      </c>
      <c r="AA9" s="115" t="e">
        <f t="shared" si="10"/>
        <v>#NUM!</v>
      </c>
      <c r="AB9" s="29" t="e">
        <f t="shared" si="11"/>
        <v>#NUM!</v>
      </c>
      <c r="AC9" s="24" t="e">
        <f t="shared" si="12"/>
        <v>#NUM!</v>
      </c>
      <c r="AD9" s="106" t="e">
        <f t="shared" si="13"/>
        <v>#NUM!</v>
      </c>
      <c r="AE9" s="25" t="e">
        <f t="shared" si="14"/>
        <v>#NUM!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15" customHeight="1">
      <c r="A10" s="67">
        <v>14275</v>
      </c>
      <c r="B10" s="188" t="s">
        <v>137</v>
      </c>
      <c r="C10" s="189" t="str">
        <f>Rollover!A10</f>
        <v>Chevrolet</v>
      </c>
      <c r="D10" s="10" t="str">
        <f>Rollover!B10</f>
        <v>Malibu 4DR FWD</v>
      </c>
      <c r="E10" s="10" t="s">
        <v>99</v>
      </c>
      <c r="F10" s="190">
        <f>Rollover!C10</f>
        <v>2023</v>
      </c>
      <c r="G10" s="11">
        <v>231.21</v>
      </c>
      <c r="H10" s="12">
        <v>29.649000000000001</v>
      </c>
      <c r="I10" s="12">
        <v>32.805999999999997</v>
      </c>
      <c r="J10" s="12">
        <v>1112.498</v>
      </c>
      <c r="K10" s="13">
        <v>1225.6659999999999</v>
      </c>
      <c r="L10" s="11">
        <v>323.10599999999999</v>
      </c>
      <c r="M10" s="12">
        <v>35.347999999999999</v>
      </c>
      <c r="N10" s="12">
        <v>60.045000000000002</v>
      </c>
      <c r="O10" s="12">
        <v>32.554000000000002</v>
      </c>
      <c r="P10" s="13">
        <v>3929.5970000000002</v>
      </c>
      <c r="Q10" s="26">
        <f t="shared" si="0"/>
        <v>3.3146281941913887E-3</v>
      </c>
      <c r="R10" s="6">
        <f t="shared" si="1"/>
        <v>6.5085280401427303E-2</v>
      </c>
      <c r="S10" s="6">
        <f t="shared" si="2"/>
        <v>2.4904624794362104E-2</v>
      </c>
      <c r="T10" s="27">
        <f t="shared" si="3"/>
        <v>1.9292989845639268E-3</v>
      </c>
      <c r="U10" s="26">
        <f t="shared" si="4"/>
        <v>1.1828060978370828E-2</v>
      </c>
      <c r="V10" s="27">
        <f t="shared" si="5"/>
        <v>6.8390563036261731E-2</v>
      </c>
      <c r="W10" s="26">
        <f t="shared" si="6"/>
        <v>9.2999999999999999E-2</v>
      </c>
      <c r="X10" s="6">
        <f t="shared" si="7"/>
        <v>7.9000000000000001E-2</v>
      </c>
      <c r="Y10" s="27">
        <f t="shared" si="8"/>
        <v>8.5999999999999993E-2</v>
      </c>
      <c r="Z10" s="28">
        <f t="shared" si="9"/>
        <v>0.62</v>
      </c>
      <c r="AA10" s="115">
        <f t="shared" si="10"/>
        <v>0.53</v>
      </c>
      <c r="AB10" s="29">
        <f t="shared" si="11"/>
        <v>0.56999999999999995</v>
      </c>
      <c r="AC10" s="24">
        <f t="shared" si="12"/>
        <v>5</v>
      </c>
      <c r="AD10" s="106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13.15" customHeight="1">
      <c r="A11" s="67">
        <v>11052</v>
      </c>
      <c r="B11" s="188" t="s">
        <v>138</v>
      </c>
      <c r="C11" s="30" t="str">
        <f>Rollover!A11</f>
        <v>Ford</v>
      </c>
      <c r="D11" s="53" t="str">
        <f>Rollover!B11</f>
        <v>Explorer SUV RWD</v>
      </c>
      <c r="E11" s="10" t="s">
        <v>99</v>
      </c>
      <c r="F11" s="190">
        <f>Rollover!C11</f>
        <v>2023</v>
      </c>
      <c r="G11" s="11">
        <v>65.322000000000003</v>
      </c>
      <c r="H11" s="12">
        <v>23.38</v>
      </c>
      <c r="I11" s="12">
        <v>25.954999999999998</v>
      </c>
      <c r="J11" s="12">
        <v>717.81600000000003</v>
      </c>
      <c r="K11" s="13">
        <v>995.78800000000001</v>
      </c>
      <c r="L11" s="11">
        <v>85.927000000000007</v>
      </c>
      <c r="M11" s="12">
        <v>5.3220000000000001</v>
      </c>
      <c r="N11" s="12">
        <v>37.997999999999998</v>
      </c>
      <c r="O11" s="12">
        <v>17.690000000000001</v>
      </c>
      <c r="P11" s="13">
        <v>2684.75</v>
      </c>
      <c r="Q11" s="26">
        <f t="shared" si="0"/>
        <v>4.865477539214934E-6</v>
      </c>
      <c r="R11" s="6">
        <f t="shared" si="1"/>
        <v>3.7656060553967911E-2</v>
      </c>
      <c r="S11" s="6">
        <f t="shared" si="2"/>
        <v>1.0885930667405867E-2</v>
      </c>
      <c r="T11" s="27">
        <f t="shared" si="3"/>
        <v>1.4988858548271365E-3</v>
      </c>
      <c r="U11" s="26">
        <f t="shared" si="4"/>
        <v>2.5330324765789975E-5</v>
      </c>
      <c r="V11" s="27">
        <f t="shared" si="5"/>
        <v>2.2273442236653236E-2</v>
      </c>
      <c r="W11" s="26">
        <f t="shared" si="6"/>
        <v>0.05</v>
      </c>
      <c r="X11" s="6">
        <f t="shared" si="7"/>
        <v>2.1999999999999999E-2</v>
      </c>
      <c r="Y11" s="27">
        <f t="shared" si="8"/>
        <v>3.5999999999999997E-2</v>
      </c>
      <c r="Z11" s="28">
        <f t="shared" si="9"/>
        <v>0.33</v>
      </c>
      <c r="AA11" s="115">
        <f t="shared" si="10"/>
        <v>0.15</v>
      </c>
      <c r="AB11" s="29">
        <f t="shared" si="11"/>
        <v>0.24</v>
      </c>
      <c r="AC11" s="24">
        <f t="shared" si="12"/>
        <v>5</v>
      </c>
      <c r="AD11" s="106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13.15" customHeight="1">
      <c r="A12" s="67">
        <v>11052</v>
      </c>
      <c r="B12" s="188" t="s">
        <v>138</v>
      </c>
      <c r="C12" s="30" t="str">
        <f>Rollover!A12</f>
        <v>Ford</v>
      </c>
      <c r="D12" s="53" t="str">
        <f>Rollover!B12</f>
        <v>Explorer SUV 4WD</v>
      </c>
      <c r="E12" s="10" t="s">
        <v>99</v>
      </c>
      <c r="F12" s="190">
        <f>Rollover!C12</f>
        <v>2023</v>
      </c>
      <c r="G12" s="11">
        <v>65.322000000000003</v>
      </c>
      <c r="H12" s="12">
        <v>23.38</v>
      </c>
      <c r="I12" s="12">
        <v>25.954999999999998</v>
      </c>
      <c r="J12" s="12">
        <v>717.81600000000003</v>
      </c>
      <c r="K12" s="13">
        <v>995.78800000000001</v>
      </c>
      <c r="L12" s="11">
        <v>85.927000000000007</v>
      </c>
      <c r="M12" s="12">
        <v>5.3220000000000001</v>
      </c>
      <c r="N12" s="12">
        <v>37.997999999999998</v>
      </c>
      <c r="O12" s="12">
        <v>17.690000000000001</v>
      </c>
      <c r="P12" s="13">
        <v>2684.75</v>
      </c>
      <c r="Q12" s="26">
        <f t="shared" si="0"/>
        <v>4.865477539214934E-6</v>
      </c>
      <c r="R12" s="6">
        <f t="shared" si="1"/>
        <v>3.7656060553967911E-2</v>
      </c>
      <c r="S12" s="6">
        <f t="shared" si="2"/>
        <v>1.0885930667405867E-2</v>
      </c>
      <c r="T12" s="27">
        <f t="shared" si="3"/>
        <v>1.4988858548271365E-3</v>
      </c>
      <c r="U12" s="26">
        <f t="shared" si="4"/>
        <v>2.5330324765789975E-5</v>
      </c>
      <c r="V12" s="27">
        <f t="shared" si="5"/>
        <v>2.2273442236653236E-2</v>
      </c>
      <c r="W12" s="26">
        <f t="shared" si="6"/>
        <v>0.05</v>
      </c>
      <c r="X12" s="6">
        <f t="shared" si="7"/>
        <v>2.1999999999999999E-2</v>
      </c>
      <c r="Y12" s="27">
        <f t="shared" si="8"/>
        <v>3.5999999999999997E-2</v>
      </c>
      <c r="Z12" s="28">
        <f t="shared" si="9"/>
        <v>0.33</v>
      </c>
      <c r="AA12" s="115">
        <f t="shared" si="10"/>
        <v>0.15</v>
      </c>
      <c r="AB12" s="29">
        <f t="shared" si="11"/>
        <v>0.24</v>
      </c>
      <c r="AC12" s="24">
        <f t="shared" si="12"/>
        <v>5</v>
      </c>
      <c r="AD12" s="106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67">
        <v>11052</v>
      </c>
      <c r="B13" s="188" t="s">
        <v>138</v>
      </c>
      <c r="C13" s="189" t="str">
        <f>Rollover!A13</f>
        <v>Ford</v>
      </c>
      <c r="D13" s="10" t="str">
        <f>Rollover!B13</f>
        <v>Explorer HEV SUV RWD</v>
      </c>
      <c r="E13" s="10" t="s">
        <v>99</v>
      </c>
      <c r="F13" s="190">
        <f>Rollover!C13</f>
        <v>2023</v>
      </c>
      <c r="G13" s="11">
        <v>65.322000000000003</v>
      </c>
      <c r="H13" s="12">
        <v>23.38</v>
      </c>
      <c r="I13" s="12">
        <v>25.954999999999998</v>
      </c>
      <c r="J13" s="12">
        <v>717.81600000000003</v>
      </c>
      <c r="K13" s="13">
        <v>995.78800000000001</v>
      </c>
      <c r="L13" s="11">
        <v>85.927000000000007</v>
      </c>
      <c r="M13" s="12">
        <v>5.3220000000000001</v>
      </c>
      <c r="N13" s="12">
        <v>37.997999999999998</v>
      </c>
      <c r="O13" s="12">
        <v>17.690000000000001</v>
      </c>
      <c r="P13" s="13">
        <v>2684.75</v>
      </c>
      <c r="Q13" s="26">
        <f t="shared" si="0"/>
        <v>4.865477539214934E-6</v>
      </c>
      <c r="R13" s="6">
        <f t="shared" si="1"/>
        <v>3.7656060553967911E-2</v>
      </c>
      <c r="S13" s="6">
        <f t="shared" si="2"/>
        <v>1.0885930667405867E-2</v>
      </c>
      <c r="T13" s="27">
        <f t="shared" si="3"/>
        <v>1.4988858548271365E-3</v>
      </c>
      <c r="U13" s="26">
        <f t="shared" si="4"/>
        <v>2.5330324765789975E-5</v>
      </c>
      <c r="V13" s="27">
        <f t="shared" si="5"/>
        <v>2.2273442236653236E-2</v>
      </c>
      <c r="W13" s="26">
        <f t="shared" si="6"/>
        <v>0.05</v>
      </c>
      <c r="X13" s="6">
        <f t="shared" si="7"/>
        <v>2.1999999999999999E-2</v>
      </c>
      <c r="Y13" s="27">
        <f t="shared" si="8"/>
        <v>3.5999999999999997E-2</v>
      </c>
      <c r="Z13" s="28">
        <f t="shared" si="9"/>
        <v>0.33</v>
      </c>
      <c r="AA13" s="115">
        <f t="shared" si="10"/>
        <v>0.15</v>
      </c>
      <c r="AB13" s="29">
        <f t="shared" si="11"/>
        <v>0.24</v>
      </c>
      <c r="AC13" s="24">
        <f t="shared" si="12"/>
        <v>5</v>
      </c>
      <c r="AD13" s="106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67">
        <v>11052</v>
      </c>
      <c r="B14" s="188" t="s">
        <v>138</v>
      </c>
      <c r="C14" s="189" t="str">
        <f>Rollover!A14</f>
        <v>Ford</v>
      </c>
      <c r="D14" s="10" t="str">
        <f>Rollover!B14</f>
        <v>Explorer HEV SUV 4WD</v>
      </c>
      <c r="E14" s="10" t="s">
        <v>99</v>
      </c>
      <c r="F14" s="190">
        <f>Rollover!C14</f>
        <v>2023</v>
      </c>
      <c r="G14" s="11">
        <v>65.322000000000003</v>
      </c>
      <c r="H14" s="12">
        <v>23.38</v>
      </c>
      <c r="I14" s="12">
        <v>25.954999999999998</v>
      </c>
      <c r="J14" s="12">
        <v>717.81600000000003</v>
      </c>
      <c r="K14" s="13">
        <v>995.78800000000001</v>
      </c>
      <c r="L14" s="11">
        <v>85.927000000000007</v>
      </c>
      <c r="M14" s="12">
        <v>5.3220000000000001</v>
      </c>
      <c r="N14" s="12">
        <v>37.997999999999998</v>
      </c>
      <c r="O14" s="12">
        <v>17.690000000000001</v>
      </c>
      <c r="P14" s="13">
        <v>2684.75</v>
      </c>
      <c r="Q14" s="26">
        <f t="shared" si="0"/>
        <v>4.865477539214934E-6</v>
      </c>
      <c r="R14" s="6">
        <f t="shared" si="1"/>
        <v>3.7656060553967911E-2</v>
      </c>
      <c r="S14" s="6">
        <f t="shared" si="2"/>
        <v>1.0885930667405867E-2</v>
      </c>
      <c r="T14" s="27">
        <f t="shared" si="3"/>
        <v>1.4988858548271365E-3</v>
      </c>
      <c r="U14" s="26">
        <f t="shared" si="4"/>
        <v>2.5330324765789975E-5</v>
      </c>
      <c r="V14" s="27">
        <f t="shared" si="5"/>
        <v>2.2273442236653236E-2</v>
      </c>
      <c r="W14" s="26">
        <f t="shared" si="6"/>
        <v>0.05</v>
      </c>
      <c r="X14" s="6">
        <f t="shared" si="7"/>
        <v>2.1999999999999999E-2</v>
      </c>
      <c r="Y14" s="27">
        <f t="shared" si="8"/>
        <v>3.5999999999999997E-2</v>
      </c>
      <c r="Z14" s="28">
        <f t="shared" si="9"/>
        <v>0.33</v>
      </c>
      <c r="AA14" s="115">
        <f t="shared" si="10"/>
        <v>0.15</v>
      </c>
      <c r="AB14" s="29">
        <f t="shared" si="11"/>
        <v>0.24</v>
      </c>
      <c r="AC14" s="24">
        <f t="shared" si="12"/>
        <v>5</v>
      </c>
      <c r="AD14" s="106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67">
        <v>11052</v>
      </c>
      <c r="B15" s="188" t="s">
        <v>138</v>
      </c>
      <c r="C15" s="189" t="str">
        <f>Rollover!A15</f>
        <v>Lincoln</v>
      </c>
      <c r="D15" s="10" t="str">
        <f>Rollover!B15</f>
        <v>Aviator SUV RWD</v>
      </c>
      <c r="E15" s="10" t="s">
        <v>99</v>
      </c>
      <c r="F15" s="190">
        <f>Rollover!C15</f>
        <v>2023</v>
      </c>
      <c r="G15" s="11">
        <v>65.322000000000003</v>
      </c>
      <c r="H15" s="12">
        <v>23.38</v>
      </c>
      <c r="I15" s="12">
        <v>25.954999999999998</v>
      </c>
      <c r="J15" s="12">
        <v>717.81600000000003</v>
      </c>
      <c r="K15" s="13">
        <v>995.78800000000001</v>
      </c>
      <c r="L15" s="11">
        <v>85.927000000000007</v>
      </c>
      <c r="M15" s="12">
        <v>5.3220000000000001</v>
      </c>
      <c r="N15" s="12">
        <v>37.997999999999998</v>
      </c>
      <c r="O15" s="12">
        <v>17.690000000000001</v>
      </c>
      <c r="P15" s="13">
        <v>2684.75</v>
      </c>
      <c r="Q15" s="26">
        <f t="shared" si="0"/>
        <v>4.865477539214934E-6</v>
      </c>
      <c r="R15" s="6">
        <f t="shared" si="1"/>
        <v>3.7656060553967911E-2</v>
      </c>
      <c r="S15" s="6">
        <f t="shared" si="2"/>
        <v>1.0885930667405867E-2</v>
      </c>
      <c r="T15" s="27">
        <f t="shared" si="3"/>
        <v>1.4988858548271365E-3</v>
      </c>
      <c r="U15" s="26">
        <f t="shared" si="4"/>
        <v>2.5330324765789975E-5</v>
      </c>
      <c r="V15" s="27">
        <f t="shared" si="5"/>
        <v>2.2273442236653236E-2</v>
      </c>
      <c r="W15" s="26">
        <f t="shared" si="6"/>
        <v>0.05</v>
      </c>
      <c r="X15" s="6">
        <f t="shared" si="7"/>
        <v>2.1999999999999999E-2</v>
      </c>
      <c r="Y15" s="27">
        <f t="shared" si="8"/>
        <v>3.5999999999999997E-2</v>
      </c>
      <c r="Z15" s="28">
        <f t="shared" si="9"/>
        <v>0.33</v>
      </c>
      <c r="AA15" s="115">
        <f t="shared" si="10"/>
        <v>0.15</v>
      </c>
      <c r="AB15" s="29">
        <f t="shared" si="11"/>
        <v>0.24</v>
      </c>
      <c r="AC15" s="24">
        <f t="shared" si="12"/>
        <v>5</v>
      </c>
      <c r="AD15" s="106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67">
        <v>11052</v>
      </c>
      <c r="B16" s="188" t="s">
        <v>138</v>
      </c>
      <c r="C16" s="189" t="str">
        <f>Rollover!A16</f>
        <v>Lincoln</v>
      </c>
      <c r="D16" s="10" t="str">
        <f>Rollover!B16</f>
        <v>Aviator SUV 4WD</v>
      </c>
      <c r="E16" s="10" t="s">
        <v>99</v>
      </c>
      <c r="F16" s="190">
        <f>Rollover!C16</f>
        <v>2023</v>
      </c>
      <c r="G16" s="11">
        <v>65.322000000000003</v>
      </c>
      <c r="H16" s="12">
        <v>23.38</v>
      </c>
      <c r="I16" s="12">
        <v>25.954999999999998</v>
      </c>
      <c r="J16" s="12">
        <v>717.81600000000003</v>
      </c>
      <c r="K16" s="13">
        <v>995.78800000000001</v>
      </c>
      <c r="L16" s="11">
        <v>85.927000000000007</v>
      </c>
      <c r="M16" s="12">
        <v>5.3220000000000001</v>
      </c>
      <c r="N16" s="12">
        <v>37.997999999999998</v>
      </c>
      <c r="O16" s="12">
        <v>17.690000000000001</v>
      </c>
      <c r="P16" s="13">
        <v>2684.75</v>
      </c>
      <c r="Q16" s="26">
        <f t="shared" si="0"/>
        <v>4.865477539214934E-6</v>
      </c>
      <c r="R16" s="6">
        <f t="shared" si="1"/>
        <v>3.7656060553967911E-2</v>
      </c>
      <c r="S16" s="6">
        <f t="shared" si="2"/>
        <v>1.0885930667405867E-2</v>
      </c>
      <c r="T16" s="27">
        <f t="shared" si="3"/>
        <v>1.4988858548271365E-3</v>
      </c>
      <c r="U16" s="26">
        <f t="shared" si="4"/>
        <v>2.5330324765789975E-5</v>
      </c>
      <c r="V16" s="27">
        <f t="shared" si="5"/>
        <v>2.2273442236653236E-2</v>
      </c>
      <c r="W16" s="26">
        <f t="shared" si="6"/>
        <v>0.05</v>
      </c>
      <c r="X16" s="6">
        <f t="shared" si="7"/>
        <v>2.1999999999999999E-2</v>
      </c>
      <c r="Y16" s="27">
        <f t="shared" si="8"/>
        <v>3.5999999999999997E-2</v>
      </c>
      <c r="Z16" s="28">
        <f t="shared" si="9"/>
        <v>0.33</v>
      </c>
      <c r="AA16" s="115">
        <f t="shared" si="10"/>
        <v>0.15</v>
      </c>
      <c r="AB16" s="29">
        <f t="shared" si="11"/>
        <v>0.24</v>
      </c>
      <c r="AC16" s="24">
        <f t="shared" si="12"/>
        <v>5</v>
      </c>
      <c r="AD16" s="106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>
      <c r="A17" s="67">
        <v>14273</v>
      </c>
      <c r="B17" s="67" t="s">
        <v>139</v>
      </c>
      <c r="C17" s="30" t="str">
        <f>Rollover!A17</f>
        <v xml:space="preserve">Honda </v>
      </c>
      <c r="D17" s="53" t="str">
        <f>Rollover!B17</f>
        <v>HR-V SUV FWD</v>
      </c>
      <c r="E17" s="10" t="s">
        <v>98</v>
      </c>
      <c r="F17" s="190">
        <f>Rollover!C17</f>
        <v>2023</v>
      </c>
      <c r="G17" s="11">
        <v>87.486000000000004</v>
      </c>
      <c r="H17" s="12">
        <v>17.439</v>
      </c>
      <c r="I17" s="12">
        <v>26.102</v>
      </c>
      <c r="J17" s="12">
        <v>524.91700000000003</v>
      </c>
      <c r="K17" s="13">
        <v>1861.2329999999999</v>
      </c>
      <c r="L17" s="11">
        <v>173.38200000000001</v>
      </c>
      <c r="M17" s="12">
        <v>12.121</v>
      </c>
      <c r="N17" s="12">
        <v>60.603000000000002</v>
      </c>
      <c r="O17" s="12">
        <v>9.7119999999999997</v>
      </c>
      <c r="P17" s="13">
        <v>4047.0810000000001</v>
      </c>
      <c r="Q17" s="26">
        <f t="shared" ref="Q17:Q35" si="15">NORMDIST(LN(G17),7.45231,0.73998,1)</f>
        <v>2.8095690632962448E-5</v>
      </c>
      <c r="R17" s="6">
        <f t="shared" ref="R17:R35" si="16">1/(1+EXP(5.3895-0.0919*H17))</f>
        <v>2.2164362280513397E-2</v>
      </c>
      <c r="S17" s="6">
        <f t="shared" ref="S17:S35" si="17">1/(1+EXP(6.04044-0.002133*J17))</f>
        <v>7.2405441029785231E-3</v>
      </c>
      <c r="T17" s="27">
        <f t="shared" ref="T17:T35" si="18">1/(1+EXP(7.5969-0.0011*K17))</f>
        <v>3.8741639744349337E-3</v>
      </c>
      <c r="U17" s="26">
        <f t="shared" ref="U17:U35" si="19">NORMDIST(LN(L17),7.45231,0.73998,1)</f>
        <v>9.5498809979887092E-4</v>
      </c>
      <c r="V17" s="27">
        <f t="shared" ref="V17:V35" si="20">1/(1+EXP(6.3055-0.00094*P17))</f>
        <v>7.5771026803307107E-2</v>
      </c>
      <c r="W17" s="26">
        <f t="shared" ref="W17:W35" si="21">ROUND(1-(1-Q17)*(1-R17)*(1-S17)*(1-T17),3)</f>
        <v>3.3000000000000002E-2</v>
      </c>
      <c r="X17" s="6">
        <f t="shared" ref="X17:X35" si="22">IF(L17="N/A",L17,ROUND(1-(1-U17)*(1-V17),3))</f>
        <v>7.6999999999999999E-2</v>
      </c>
      <c r="Y17" s="27">
        <f t="shared" ref="Y17:Y35" si="23">ROUND(AVERAGE(W17:X17),3)</f>
        <v>5.5E-2</v>
      </c>
      <c r="Z17" s="28">
        <f t="shared" ref="Z17:Z35" si="24">ROUND(W17/0.15,2)</f>
        <v>0.22</v>
      </c>
      <c r="AA17" s="115">
        <f t="shared" ref="AA17:AA35" si="25">IF(L17="N/A", L17, ROUND(X17/0.15,2))</f>
        <v>0.51</v>
      </c>
      <c r="AB17" s="29">
        <f t="shared" ref="AB17:AB35" si="26">ROUND(Y17/0.15,2)</f>
        <v>0.37</v>
      </c>
      <c r="AC17" s="24">
        <f t="shared" ref="AC17:AC35" si="27">IF(Z17&lt;0.67,5,IF(Z17&lt;1,4,IF(Z17&lt;1.33,3,IF(Z17&lt;2.67,2,1))))</f>
        <v>5</v>
      </c>
      <c r="AD17" s="106">
        <f t="shared" ref="AD17:AD35" si="28">IF(L17="N/A",L17,IF(AA17&lt;0.67,5,IF(AA17&lt;1,4,IF(AA17&lt;1.33,3,IF(AA17&lt;2.67,2,1)))))</f>
        <v>5</v>
      </c>
      <c r="AE17" s="25">
        <f t="shared" ref="AE17:AE35" si="29">IF(AB17&lt;0.67,5,IF(AB17&lt;1,4,IF(AB17&lt;1.33,3,IF(AB17&lt;2.67,2,1))))</f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>
      <c r="A18" s="67">
        <v>14273</v>
      </c>
      <c r="B18" s="67" t="s">
        <v>139</v>
      </c>
      <c r="C18" s="30" t="str">
        <f>Rollover!A18</f>
        <v xml:space="preserve">Honda </v>
      </c>
      <c r="D18" s="53" t="str">
        <f>Rollover!B18</f>
        <v>HR-V SUV AWD</v>
      </c>
      <c r="E18" s="10" t="s">
        <v>98</v>
      </c>
      <c r="F18" s="190">
        <f>Rollover!C18</f>
        <v>2023</v>
      </c>
      <c r="G18" s="11">
        <v>87.486000000000004</v>
      </c>
      <c r="H18" s="12">
        <v>17.439</v>
      </c>
      <c r="I18" s="12">
        <v>26.102</v>
      </c>
      <c r="J18" s="12">
        <v>524.91700000000003</v>
      </c>
      <c r="K18" s="13">
        <v>1861.2329999999999</v>
      </c>
      <c r="L18" s="11">
        <v>173.38200000000001</v>
      </c>
      <c r="M18" s="12">
        <v>12.121</v>
      </c>
      <c r="N18" s="12">
        <v>60.603000000000002</v>
      </c>
      <c r="O18" s="12">
        <v>9.7119999999999997</v>
      </c>
      <c r="P18" s="13">
        <v>4047.0810000000001</v>
      </c>
      <c r="Q18" s="26">
        <f t="shared" si="15"/>
        <v>2.8095690632962448E-5</v>
      </c>
      <c r="R18" s="6">
        <f t="shared" si="16"/>
        <v>2.2164362280513397E-2</v>
      </c>
      <c r="S18" s="6">
        <f t="shared" si="17"/>
        <v>7.2405441029785231E-3</v>
      </c>
      <c r="T18" s="27">
        <f t="shared" si="18"/>
        <v>3.8741639744349337E-3</v>
      </c>
      <c r="U18" s="26">
        <f t="shared" si="19"/>
        <v>9.5498809979887092E-4</v>
      </c>
      <c r="V18" s="27">
        <f t="shared" si="20"/>
        <v>7.5771026803307107E-2</v>
      </c>
      <c r="W18" s="26">
        <f t="shared" si="21"/>
        <v>3.3000000000000002E-2</v>
      </c>
      <c r="X18" s="6">
        <f t="shared" si="22"/>
        <v>7.6999999999999999E-2</v>
      </c>
      <c r="Y18" s="27">
        <f t="shared" si="23"/>
        <v>5.5E-2</v>
      </c>
      <c r="Z18" s="28">
        <f t="shared" si="24"/>
        <v>0.22</v>
      </c>
      <c r="AA18" s="115">
        <f t="shared" si="25"/>
        <v>0.51</v>
      </c>
      <c r="AB18" s="29">
        <f t="shared" si="26"/>
        <v>0.37</v>
      </c>
      <c r="AC18" s="24">
        <f t="shared" si="27"/>
        <v>5</v>
      </c>
      <c r="AD18" s="106">
        <f t="shared" si="28"/>
        <v>5</v>
      </c>
      <c r="AE18" s="25">
        <f t="shared" si="29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>
      <c r="A19" s="67">
        <v>14297</v>
      </c>
      <c r="B19" s="67" t="s">
        <v>140</v>
      </c>
      <c r="C19" s="30" t="str">
        <f>Rollover!A19</f>
        <v>Hyundai</v>
      </c>
      <c r="D19" s="53" t="str">
        <f>Rollover!B19</f>
        <v>Santa Cruz PU/CC FWD</v>
      </c>
      <c r="E19" s="10" t="s">
        <v>107</v>
      </c>
      <c r="F19" s="190">
        <f>Rollover!C19</f>
        <v>2023</v>
      </c>
      <c r="G19" s="11">
        <v>54.404000000000003</v>
      </c>
      <c r="H19" s="12">
        <v>17.617000000000001</v>
      </c>
      <c r="I19" s="12">
        <v>27.704000000000001</v>
      </c>
      <c r="J19" s="12">
        <v>950.625</v>
      </c>
      <c r="K19" s="13">
        <v>1415.2260000000001</v>
      </c>
      <c r="L19" s="11">
        <v>171.566</v>
      </c>
      <c r="M19" s="12">
        <v>8.4580000000000002</v>
      </c>
      <c r="N19" s="12">
        <v>43.063000000000002</v>
      </c>
      <c r="O19" s="12">
        <v>35.551000000000002</v>
      </c>
      <c r="P19" s="13">
        <v>2203.3040000000001</v>
      </c>
      <c r="Q19" s="26">
        <f t="shared" ref="Q19:Q25" si="30">NORMDIST(LN(G19),7.45231,0.73998,1)</f>
        <v>1.5043577328320129E-6</v>
      </c>
      <c r="R19" s="6">
        <f t="shared" ref="R19:R25" si="31">1/(1+EXP(5.3895-0.0919*H19))</f>
        <v>2.252168025847541E-2</v>
      </c>
      <c r="S19" s="6">
        <f t="shared" ref="S19:S25" si="32">1/(1+EXP(6.04044-0.002133*J19))</f>
        <v>1.7762269073937818E-2</v>
      </c>
      <c r="T19" s="27">
        <f t="shared" ref="T19:T25" si="33">1/(1+EXP(7.5969-0.0011*K19))</f>
        <v>2.3755417367726352E-3</v>
      </c>
      <c r="U19" s="26">
        <f t="shared" ref="U19:U25" si="34">NORMDIST(LN(L19),7.45231,0.73998,1)</f>
        <v>9.100620568079648E-4</v>
      </c>
      <c r="V19" s="27">
        <f t="shared" ref="V19:V25" si="35">1/(1+EXP(6.3055-0.00094*P19))</f>
        <v>1.4281663067686429E-2</v>
      </c>
      <c r="W19" s="26">
        <f t="shared" ref="W19:W25" si="36">ROUND(1-(1-Q19)*(1-R19)*(1-S19)*(1-T19),3)</f>
        <v>4.2000000000000003E-2</v>
      </c>
      <c r="X19" s="6">
        <f t="shared" ref="X19:X25" si="37">IF(L19="N/A",L19,ROUND(1-(1-U19)*(1-V19),3))</f>
        <v>1.4999999999999999E-2</v>
      </c>
      <c r="Y19" s="27">
        <f t="shared" ref="Y19:Y25" si="38">ROUND(AVERAGE(W19:X19),3)</f>
        <v>2.9000000000000001E-2</v>
      </c>
      <c r="Z19" s="28">
        <f t="shared" ref="Z19:Z25" si="39">ROUND(W19/0.15,2)</f>
        <v>0.28000000000000003</v>
      </c>
      <c r="AA19" s="115">
        <f t="shared" ref="AA19:AA25" si="40">IF(L19="N/A", L19, ROUND(X19/0.15,2))</f>
        <v>0.1</v>
      </c>
      <c r="AB19" s="29">
        <f t="shared" ref="AB19:AB25" si="41">ROUND(Y19/0.15,2)</f>
        <v>0.19</v>
      </c>
      <c r="AC19" s="24">
        <f t="shared" ref="AC19:AC25" si="42">IF(Z19&lt;0.67,5,IF(Z19&lt;1,4,IF(Z19&lt;1.33,3,IF(Z19&lt;2.67,2,1))))</f>
        <v>5</v>
      </c>
      <c r="AD19" s="106">
        <f t="shared" ref="AD19:AD25" si="43">IF(L19="N/A",L19,IF(AA19&lt;0.67,5,IF(AA19&lt;1,4,IF(AA19&lt;1.33,3,IF(AA19&lt;2.67,2,1)))))</f>
        <v>5</v>
      </c>
      <c r="AE19" s="25">
        <f t="shared" ref="AE19:AE25" si="44">IF(AB19&lt;0.67,5,IF(AB19&lt;1,4,IF(AB19&lt;1.33,3,IF(AB19&lt;2.67,2,1))))</f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>
      <c r="A20" s="67">
        <v>14297</v>
      </c>
      <c r="B20" s="67" t="s">
        <v>140</v>
      </c>
      <c r="C20" s="30" t="str">
        <f>Rollover!A20</f>
        <v>Hyundai</v>
      </c>
      <c r="D20" s="53" t="str">
        <f>Rollover!B20</f>
        <v>Santa Cruz PU/CC AWD</v>
      </c>
      <c r="E20" s="10" t="s">
        <v>107</v>
      </c>
      <c r="F20" s="190">
        <f>Rollover!C20</f>
        <v>2023</v>
      </c>
      <c r="G20" s="11">
        <v>54.404000000000003</v>
      </c>
      <c r="H20" s="12">
        <v>17.617000000000001</v>
      </c>
      <c r="I20" s="12">
        <v>27.704000000000001</v>
      </c>
      <c r="J20" s="12">
        <v>950.625</v>
      </c>
      <c r="K20" s="13">
        <v>1415.2260000000001</v>
      </c>
      <c r="L20" s="11">
        <v>171.566</v>
      </c>
      <c r="M20" s="12">
        <v>8.4580000000000002</v>
      </c>
      <c r="N20" s="12">
        <v>43.063000000000002</v>
      </c>
      <c r="O20" s="12">
        <v>35.551000000000002</v>
      </c>
      <c r="P20" s="13">
        <v>2203.3040000000001</v>
      </c>
      <c r="Q20" s="26">
        <f t="shared" si="30"/>
        <v>1.5043577328320129E-6</v>
      </c>
      <c r="R20" s="6">
        <f t="shared" si="31"/>
        <v>2.252168025847541E-2</v>
      </c>
      <c r="S20" s="6">
        <f t="shared" si="32"/>
        <v>1.7762269073937818E-2</v>
      </c>
      <c r="T20" s="27">
        <f t="shared" si="33"/>
        <v>2.3755417367726352E-3</v>
      </c>
      <c r="U20" s="26">
        <f t="shared" si="34"/>
        <v>9.100620568079648E-4</v>
      </c>
      <c r="V20" s="27">
        <f t="shared" si="35"/>
        <v>1.4281663067686429E-2</v>
      </c>
      <c r="W20" s="26">
        <f t="shared" si="36"/>
        <v>4.2000000000000003E-2</v>
      </c>
      <c r="X20" s="6">
        <f t="shared" si="37"/>
        <v>1.4999999999999999E-2</v>
      </c>
      <c r="Y20" s="27">
        <f t="shared" si="38"/>
        <v>2.9000000000000001E-2</v>
      </c>
      <c r="Z20" s="28">
        <f t="shared" si="39"/>
        <v>0.28000000000000003</v>
      </c>
      <c r="AA20" s="115">
        <f t="shared" si="40"/>
        <v>0.1</v>
      </c>
      <c r="AB20" s="29">
        <f t="shared" si="41"/>
        <v>0.19</v>
      </c>
      <c r="AC20" s="24">
        <f t="shared" si="42"/>
        <v>5</v>
      </c>
      <c r="AD20" s="106">
        <f t="shared" si="43"/>
        <v>5</v>
      </c>
      <c r="AE20" s="25">
        <f t="shared" si="4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>
      <c r="A21" s="67">
        <v>14284</v>
      </c>
      <c r="B21" s="67" t="s">
        <v>141</v>
      </c>
      <c r="C21" s="30" t="str">
        <f>Rollover!A21</f>
        <v>Jeep</v>
      </c>
      <c r="D21" s="53" t="str">
        <f>Rollover!B21</f>
        <v>Grand Cherokee SUV RWD</v>
      </c>
      <c r="E21" s="10" t="s">
        <v>107</v>
      </c>
      <c r="F21" s="190">
        <f>Rollover!C21</f>
        <v>2023</v>
      </c>
      <c r="G21" s="11">
        <v>87.034999999999997</v>
      </c>
      <c r="H21" s="12">
        <v>21.468</v>
      </c>
      <c r="I21" s="12">
        <v>24.266999999999999</v>
      </c>
      <c r="J21" s="12">
        <v>855.88699999999994</v>
      </c>
      <c r="K21" s="13">
        <v>1045.3900000000001</v>
      </c>
      <c r="L21" s="11">
        <v>163.732</v>
      </c>
      <c r="M21" s="12">
        <v>15.403</v>
      </c>
      <c r="N21" s="12">
        <v>38.738999999999997</v>
      </c>
      <c r="O21" s="12">
        <v>28.488</v>
      </c>
      <c r="P21" s="13">
        <v>2343.462</v>
      </c>
      <c r="Q21" s="26">
        <f t="shared" si="30"/>
        <v>2.7272821706389078E-5</v>
      </c>
      <c r="R21" s="6">
        <f t="shared" si="31"/>
        <v>3.1780965364620432E-2</v>
      </c>
      <c r="S21" s="6">
        <f t="shared" si="32"/>
        <v>1.4559672441086009E-2</v>
      </c>
      <c r="T21" s="27">
        <f t="shared" si="33"/>
        <v>1.5828075767440083E-3</v>
      </c>
      <c r="U21" s="26">
        <f t="shared" si="34"/>
        <v>7.3314465768704363E-4</v>
      </c>
      <c r="V21" s="27">
        <f t="shared" si="35"/>
        <v>1.626012493221983E-2</v>
      </c>
      <c r="W21" s="26">
        <f t="shared" si="36"/>
        <v>4.7E-2</v>
      </c>
      <c r="X21" s="6">
        <f t="shared" si="37"/>
        <v>1.7000000000000001E-2</v>
      </c>
      <c r="Y21" s="27">
        <f t="shared" si="38"/>
        <v>3.2000000000000001E-2</v>
      </c>
      <c r="Z21" s="28">
        <f t="shared" si="39"/>
        <v>0.31</v>
      </c>
      <c r="AA21" s="115">
        <f t="shared" si="40"/>
        <v>0.11</v>
      </c>
      <c r="AB21" s="29">
        <f>ROUND(Y21/0.15,2)</f>
        <v>0.21</v>
      </c>
      <c r="AC21" s="24">
        <f t="shared" si="42"/>
        <v>5</v>
      </c>
      <c r="AD21" s="106">
        <f t="shared" si="43"/>
        <v>5</v>
      </c>
      <c r="AE21" s="25">
        <f t="shared" si="4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67">
        <v>14284</v>
      </c>
      <c r="B22" s="67" t="s">
        <v>141</v>
      </c>
      <c r="C22" s="30" t="str">
        <f>Rollover!A22</f>
        <v xml:space="preserve">Jeep </v>
      </c>
      <c r="D22" s="53" t="str">
        <f>Rollover!B22</f>
        <v>Grand Cherokee SUV 4WD</v>
      </c>
      <c r="E22" s="10" t="s">
        <v>107</v>
      </c>
      <c r="F22" s="190">
        <f>Rollover!C22</f>
        <v>2023</v>
      </c>
      <c r="G22" s="11">
        <v>87.034999999999997</v>
      </c>
      <c r="H22" s="12">
        <v>21.468</v>
      </c>
      <c r="I22" s="12">
        <v>24.266999999999999</v>
      </c>
      <c r="J22" s="12">
        <v>855.88699999999994</v>
      </c>
      <c r="K22" s="13">
        <v>1045.3900000000001</v>
      </c>
      <c r="L22" s="11">
        <v>163.732</v>
      </c>
      <c r="M22" s="12">
        <v>15.403</v>
      </c>
      <c r="N22" s="12">
        <v>38.738999999999997</v>
      </c>
      <c r="O22" s="12">
        <v>28.488</v>
      </c>
      <c r="P22" s="13">
        <v>2343.462</v>
      </c>
      <c r="Q22" s="26">
        <f t="shared" si="30"/>
        <v>2.7272821706389078E-5</v>
      </c>
      <c r="R22" s="6">
        <f t="shared" si="31"/>
        <v>3.1780965364620432E-2</v>
      </c>
      <c r="S22" s="6">
        <f t="shared" si="32"/>
        <v>1.4559672441086009E-2</v>
      </c>
      <c r="T22" s="27">
        <f t="shared" si="33"/>
        <v>1.5828075767440083E-3</v>
      </c>
      <c r="U22" s="26">
        <f t="shared" si="34"/>
        <v>7.3314465768704363E-4</v>
      </c>
      <c r="V22" s="27">
        <f t="shared" si="35"/>
        <v>1.626012493221983E-2</v>
      </c>
      <c r="W22" s="26">
        <f t="shared" si="36"/>
        <v>4.7E-2</v>
      </c>
      <c r="X22" s="6">
        <f t="shared" si="37"/>
        <v>1.7000000000000001E-2</v>
      </c>
      <c r="Y22" s="27">
        <f t="shared" si="38"/>
        <v>3.2000000000000001E-2</v>
      </c>
      <c r="Z22" s="28">
        <f t="shared" si="39"/>
        <v>0.31</v>
      </c>
      <c r="AA22" s="115">
        <f t="shared" si="40"/>
        <v>0.11</v>
      </c>
      <c r="AB22" s="29">
        <f t="shared" si="41"/>
        <v>0.21</v>
      </c>
      <c r="AC22" s="24">
        <f t="shared" si="42"/>
        <v>5</v>
      </c>
      <c r="AD22" s="106">
        <f t="shared" si="43"/>
        <v>5</v>
      </c>
      <c r="AE22" s="25">
        <f t="shared" si="4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67">
        <v>14263</v>
      </c>
      <c r="B23" s="67" t="s">
        <v>142</v>
      </c>
      <c r="C23" s="189" t="str">
        <f>Rollover!A23</f>
        <v>Jeep</v>
      </c>
      <c r="D23" s="10" t="str">
        <f>Rollover!B23</f>
        <v>Grand Cherokee L SUV RWD</v>
      </c>
      <c r="E23" s="10" t="s">
        <v>108</v>
      </c>
      <c r="F23" s="190">
        <f>Rollover!C23</f>
        <v>2023</v>
      </c>
      <c r="G23" s="11">
        <v>89.466999999999999</v>
      </c>
      <c r="H23" s="12">
        <v>19.847999999999999</v>
      </c>
      <c r="I23" s="12">
        <v>26.631</v>
      </c>
      <c r="J23" s="12">
        <v>654.84299999999996</v>
      </c>
      <c r="K23" s="13">
        <v>1226.6030000000001</v>
      </c>
      <c r="L23" s="11">
        <v>91.754999999999995</v>
      </c>
      <c r="M23" s="12">
        <v>11.555999999999999</v>
      </c>
      <c r="N23" s="12">
        <v>33.531999999999996</v>
      </c>
      <c r="O23" s="12">
        <v>26.486000000000001</v>
      </c>
      <c r="P23" s="13">
        <v>1669.9090000000001</v>
      </c>
      <c r="Q23" s="26">
        <f t="shared" si="30"/>
        <v>3.1939954132623259E-5</v>
      </c>
      <c r="R23" s="6">
        <f t="shared" si="31"/>
        <v>2.7505757734622802E-2</v>
      </c>
      <c r="S23" s="6">
        <f t="shared" si="32"/>
        <v>9.5307077688838848E-3</v>
      </c>
      <c r="T23" s="27">
        <f t="shared" si="33"/>
        <v>1.9312846957732083E-3</v>
      </c>
      <c r="U23" s="26">
        <f t="shared" si="34"/>
        <v>3.6871480710660846E-5</v>
      </c>
      <c r="V23" s="27">
        <f t="shared" si="35"/>
        <v>8.6992121820302984E-3</v>
      </c>
      <c r="W23" s="26">
        <f t="shared" si="36"/>
        <v>3.9E-2</v>
      </c>
      <c r="X23" s="6">
        <f t="shared" si="37"/>
        <v>8.9999999999999993E-3</v>
      </c>
      <c r="Y23" s="27">
        <f t="shared" si="38"/>
        <v>2.4E-2</v>
      </c>
      <c r="Z23" s="28">
        <f t="shared" si="39"/>
        <v>0.26</v>
      </c>
      <c r="AA23" s="115">
        <f t="shared" si="40"/>
        <v>0.06</v>
      </c>
      <c r="AB23" s="29">
        <f t="shared" si="41"/>
        <v>0.16</v>
      </c>
      <c r="AC23" s="24">
        <f t="shared" si="42"/>
        <v>5</v>
      </c>
      <c r="AD23" s="106">
        <f t="shared" si="43"/>
        <v>5</v>
      </c>
      <c r="AE23" s="25">
        <f t="shared" si="4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67">
        <v>14263</v>
      </c>
      <c r="B24" s="67" t="s">
        <v>142</v>
      </c>
      <c r="C24" s="189" t="str">
        <f>Rollover!A24</f>
        <v>Jeep</v>
      </c>
      <c r="D24" s="10" t="str">
        <f>Rollover!B24</f>
        <v>Grand Cherokee L SUV 4WD</v>
      </c>
      <c r="E24" s="10" t="s">
        <v>108</v>
      </c>
      <c r="F24" s="190">
        <f>Rollover!C24</f>
        <v>2023</v>
      </c>
      <c r="G24" s="11">
        <v>89.466999999999999</v>
      </c>
      <c r="H24" s="12">
        <v>19.847999999999999</v>
      </c>
      <c r="I24" s="12">
        <v>26.631</v>
      </c>
      <c r="J24" s="12">
        <v>654.84299999999996</v>
      </c>
      <c r="K24" s="13">
        <v>1226.6030000000001</v>
      </c>
      <c r="L24" s="11">
        <v>91.754999999999995</v>
      </c>
      <c r="M24" s="12">
        <v>11.555999999999999</v>
      </c>
      <c r="N24" s="12">
        <v>33.531999999999996</v>
      </c>
      <c r="O24" s="12">
        <v>26.486000000000001</v>
      </c>
      <c r="P24" s="13">
        <v>1669.9090000000001</v>
      </c>
      <c r="Q24" s="26">
        <f t="shared" si="30"/>
        <v>3.1939954132623259E-5</v>
      </c>
      <c r="R24" s="6">
        <f t="shared" si="31"/>
        <v>2.7505757734622802E-2</v>
      </c>
      <c r="S24" s="6">
        <f t="shared" si="32"/>
        <v>9.5307077688838848E-3</v>
      </c>
      <c r="T24" s="27">
        <f t="shared" si="33"/>
        <v>1.9312846957732083E-3</v>
      </c>
      <c r="U24" s="26">
        <f t="shared" si="34"/>
        <v>3.6871480710660846E-5</v>
      </c>
      <c r="V24" s="27">
        <f t="shared" si="35"/>
        <v>8.6992121820302984E-3</v>
      </c>
      <c r="W24" s="26">
        <f t="shared" si="36"/>
        <v>3.9E-2</v>
      </c>
      <c r="X24" s="6">
        <f t="shared" si="37"/>
        <v>8.9999999999999993E-3</v>
      </c>
      <c r="Y24" s="27">
        <f t="shared" si="38"/>
        <v>2.4E-2</v>
      </c>
      <c r="Z24" s="28">
        <f t="shared" si="39"/>
        <v>0.26</v>
      </c>
      <c r="AA24" s="115">
        <f t="shared" si="40"/>
        <v>0.06</v>
      </c>
      <c r="AB24" s="29">
        <f t="shared" si="41"/>
        <v>0.16</v>
      </c>
      <c r="AC24" s="24">
        <f t="shared" si="42"/>
        <v>5</v>
      </c>
      <c r="AD24" s="106">
        <f t="shared" si="43"/>
        <v>5</v>
      </c>
      <c r="AE24" s="25">
        <f t="shared" si="4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67">
        <v>14286</v>
      </c>
      <c r="B25" s="67" t="s">
        <v>143</v>
      </c>
      <c r="C25" s="30" t="str">
        <f>Rollover!A25</f>
        <v>Jeep</v>
      </c>
      <c r="D25" s="53" t="str">
        <f>Rollover!B25</f>
        <v>Grand Cherokee 4xe PHEV SUV 4WD</v>
      </c>
      <c r="E25" s="10" t="s">
        <v>99</v>
      </c>
      <c r="F25" s="190">
        <f>Rollover!C25</f>
        <v>2023</v>
      </c>
      <c r="G25" s="11">
        <v>60.040999999999997</v>
      </c>
      <c r="H25" s="12">
        <v>16.465</v>
      </c>
      <c r="I25" s="12">
        <v>16.882000000000001</v>
      </c>
      <c r="J25" s="12">
        <v>580.12800000000004</v>
      </c>
      <c r="K25" s="13">
        <v>671.43600000000004</v>
      </c>
      <c r="L25" s="11">
        <v>127.23399999999999</v>
      </c>
      <c r="M25" s="12">
        <v>12.789</v>
      </c>
      <c r="N25" s="12">
        <v>35.588000000000001</v>
      </c>
      <c r="O25" s="12">
        <v>27.959</v>
      </c>
      <c r="P25" s="13">
        <v>2479.739</v>
      </c>
      <c r="Q25" s="26">
        <f t="shared" si="30"/>
        <v>2.8531318335332454E-6</v>
      </c>
      <c r="R25" s="6">
        <f t="shared" si="31"/>
        <v>2.0305151933019204E-2</v>
      </c>
      <c r="S25" s="6">
        <f t="shared" si="32"/>
        <v>8.1381013750321703E-3</v>
      </c>
      <c r="T25" s="27">
        <f t="shared" si="33"/>
        <v>1.0495744049560044E-3</v>
      </c>
      <c r="U25" s="26">
        <f t="shared" si="34"/>
        <v>2.1407290752320041E-4</v>
      </c>
      <c r="V25" s="27">
        <f t="shared" si="35"/>
        <v>1.8441368129272512E-2</v>
      </c>
      <c r="W25" s="26">
        <f t="shared" si="36"/>
        <v>2.9000000000000001E-2</v>
      </c>
      <c r="X25" s="6">
        <f t="shared" si="37"/>
        <v>1.9E-2</v>
      </c>
      <c r="Y25" s="27">
        <f t="shared" si="38"/>
        <v>2.4E-2</v>
      </c>
      <c r="Z25" s="28">
        <f t="shared" si="39"/>
        <v>0.19</v>
      </c>
      <c r="AA25" s="115">
        <f t="shared" si="40"/>
        <v>0.13</v>
      </c>
      <c r="AB25" s="29">
        <f t="shared" si="41"/>
        <v>0.16</v>
      </c>
      <c r="AC25" s="24">
        <f t="shared" si="42"/>
        <v>5</v>
      </c>
      <c r="AD25" s="106">
        <f t="shared" si="43"/>
        <v>5</v>
      </c>
      <c r="AE25" s="25">
        <f t="shared" si="4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>
      <c r="A26" s="18"/>
      <c r="B26" s="188"/>
      <c r="C26" s="30" t="str">
        <f>Rollover!A26</f>
        <v>Jeep</v>
      </c>
      <c r="D26" s="53" t="str">
        <f>Rollover!B26</f>
        <v>Wrangler 4xe SUV PHEV 4WD</v>
      </c>
      <c r="E26" s="10"/>
      <c r="F26" s="190">
        <f>Rollover!C26</f>
        <v>2023</v>
      </c>
      <c r="G26" s="19"/>
      <c r="H26" s="20"/>
      <c r="I26" s="20"/>
      <c r="J26" s="20"/>
      <c r="K26" s="21"/>
      <c r="L26" s="19"/>
      <c r="M26" s="20"/>
      <c r="N26" s="20"/>
      <c r="O26" s="20"/>
      <c r="P26" s="21"/>
      <c r="Q26" s="26" t="e">
        <f t="shared" si="15"/>
        <v>#NUM!</v>
      </c>
      <c r="R26" s="6">
        <f t="shared" si="16"/>
        <v>4.5435171224880964E-3</v>
      </c>
      <c r="S26" s="6">
        <f t="shared" si="17"/>
        <v>2.3748578822706131E-3</v>
      </c>
      <c r="T26" s="27">
        <f t="shared" si="18"/>
        <v>5.0175335722563109E-4</v>
      </c>
      <c r="U26" s="26" t="e">
        <f t="shared" si="19"/>
        <v>#NUM!</v>
      </c>
      <c r="V26" s="27">
        <f t="shared" si="20"/>
        <v>1.8229037773026034E-3</v>
      </c>
      <c r="W26" s="26" t="e">
        <f t="shared" si="21"/>
        <v>#NUM!</v>
      </c>
      <c r="X26" s="6" t="e">
        <f t="shared" si="22"/>
        <v>#NUM!</v>
      </c>
      <c r="Y26" s="27" t="e">
        <f t="shared" si="23"/>
        <v>#NUM!</v>
      </c>
      <c r="Z26" s="28" t="e">
        <f t="shared" si="24"/>
        <v>#NUM!</v>
      </c>
      <c r="AA26" s="115" t="e">
        <f t="shared" si="25"/>
        <v>#NUM!</v>
      </c>
      <c r="AB26" s="29" t="e">
        <f t="shared" si="26"/>
        <v>#NUM!</v>
      </c>
      <c r="AC26" s="24" t="e">
        <f t="shared" si="27"/>
        <v>#NUM!</v>
      </c>
      <c r="AD26" s="106" t="e">
        <f t="shared" si="28"/>
        <v>#NUM!</v>
      </c>
      <c r="AE26" s="25" t="e">
        <f t="shared" si="29"/>
        <v>#NUM!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67">
        <v>14279</v>
      </c>
      <c r="B27" s="188" t="s">
        <v>144</v>
      </c>
      <c r="C27" s="30" t="str">
        <f>Rollover!A27</f>
        <v>Kia</v>
      </c>
      <c r="D27" s="53" t="str">
        <f>Rollover!B27</f>
        <v>Sportage SUV FWD</v>
      </c>
      <c r="E27" s="10" t="s">
        <v>99</v>
      </c>
      <c r="F27" s="190">
        <f>Rollover!C27</f>
        <v>2023</v>
      </c>
      <c r="G27" s="11">
        <v>64.322999999999993</v>
      </c>
      <c r="H27" s="12">
        <v>21.84</v>
      </c>
      <c r="I27" s="12">
        <v>29.079000000000001</v>
      </c>
      <c r="J27" s="12">
        <v>1060.3699999999999</v>
      </c>
      <c r="K27" s="13">
        <v>1155.624</v>
      </c>
      <c r="L27" s="11">
        <v>118.084</v>
      </c>
      <c r="M27" s="12">
        <v>9.9550000000000001</v>
      </c>
      <c r="N27" s="12">
        <v>48.423999999999999</v>
      </c>
      <c r="O27" s="12">
        <v>39.161999999999999</v>
      </c>
      <c r="P27" s="13">
        <v>2531.7779999999998</v>
      </c>
      <c r="Q27" s="26">
        <f t="shared" si="15"/>
        <v>4.4172557013024087E-6</v>
      </c>
      <c r="R27" s="6">
        <f t="shared" si="16"/>
        <v>3.2849931928341576E-2</v>
      </c>
      <c r="S27" s="6">
        <f t="shared" si="17"/>
        <v>2.2342454564349547E-2</v>
      </c>
      <c r="T27" s="27">
        <f t="shared" si="18"/>
        <v>1.7864914094789838E-3</v>
      </c>
      <c r="U27" s="26">
        <f t="shared" si="19"/>
        <v>1.4562861671688648E-4</v>
      </c>
      <c r="V27" s="27">
        <f t="shared" si="20"/>
        <v>1.9347998512623452E-2</v>
      </c>
      <c r="W27" s="26">
        <f t="shared" si="21"/>
        <v>5.6000000000000001E-2</v>
      </c>
      <c r="X27" s="6">
        <f t="shared" si="22"/>
        <v>1.9E-2</v>
      </c>
      <c r="Y27" s="27">
        <f t="shared" si="23"/>
        <v>3.7999999999999999E-2</v>
      </c>
      <c r="Z27" s="28">
        <f t="shared" si="24"/>
        <v>0.37</v>
      </c>
      <c r="AA27" s="115">
        <f t="shared" si="25"/>
        <v>0.13</v>
      </c>
      <c r="AB27" s="29">
        <f t="shared" si="26"/>
        <v>0.25</v>
      </c>
      <c r="AC27" s="24">
        <f t="shared" si="27"/>
        <v>5</v>
      </c>
      <c r="AD27" s="106">
        <f t="shared" si="28"/>
        <v>5</v>
      </c>
      <c r="AE27" s="25">
        <f t="shared" si="29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ht="13.5" customHeight="1">
      <c r="A28" s="67">
        <v>14279</v>
      </c>
      <c r="B28" s="188" t="s">
        <v>144</v>
      </c>
      <c r="C28" s="30" t="str">
        <f>Rollover!A28</f>
        <v>Kia</v>
      </c>
      <c r="D28" s="53" t="str">
        <f>Rollover!B28</f>
        <v>Sportage SUV AWD</v>
      </c>
      <c r="E28" s="10" t="s">
        <v>99</v>
      </c>
      <c r="F28" s="190">
        <f>Rollover!C28</f>
        <v>2023</v>
      </c>
      <c r="G28" s="11">
        <v>64.322999999999993</v>
      </c>
      <c r="H28" s="12">
        <v>21.84</v>
      </c>
      <c r="I28" s="12">
        <v>29.079000000000001</v>
      </c>
      <c r="J28" s="12">
        <v>1060.3699999999999</v>
      </c>
      <c r="K28" s="13">
        <v>1155.624</v>
      </c>
      <c r="L28" s="11">
        <v>118.084</v>
      </c>
      <c r="M28" s="12">
        <v>9.9550000000000001</v>
      </c>
      <c r="N28" s="12">
        <v>48.423999999999999</v>
      </c>
      <c r="O28" s="12">
        <v>39.161999999999999</v>
      </c>
      <c r="P28" s="13">
        <v>2531.7779999999998</v>
      </c>
      <c r="Q28" s="26">
        <f t="shared" si="15"/>
        <v>4.4172557013024087E-6</v>
      </c>
      <c r="R28" s="6">
        <f t="shared" si="16"/>
        <v>3.2849931928341576E-2</v>
      </c>
      <c r="S28" s="6">
        <f t="shared" si="17"/>
        <v>2.2342454564349547E-2</v>
      </c>
      <c r="T28" s="27">
        <f t="shared" si="18"/>
        <v>1.7864914094789838E-3</v>
      </c>
      <c r="U28" s="26">
        <f t="shared" si="19"/>
        <v>1.4562861671688648E-4</v>
      </c>
      <c r="V28" s="27">
        <f t="shared" si="20"/>
        <v>1.9347998512623452E-2</v>
      </c>
      <c r="W28" s="26">
        <f t="shared" si="21"/>
        <v>5.6000000000000001E-2</v>
      </c>
      <c r="X28" s="6">
        <f t="shared" si="22"/>
        <v>1.9E-2</v>
      </c>
      <c r="Y28" s="27">
        <f t="shared" si="23"/>
        <v>3.7999999999999999E-2</v>
      </c>
      <c r="Z28" s="28">
        <f t="shared" si="24"/>
        <v>0.37</v>
      </c>
      <c r="AA28" s="115">
        <f t="shared" si="25"/>
        <v>0.13</v>
      </c>
      <c r="AB28" s="29">
        <f t="shared" si="26"/>
        <v>0.25</v>
      </c>
      <c r="AC28" s="24">
        <f t="shared" si="27"/>
        <v>5</v>
      </c>
      <c r="AD28" s="106">
        <f t="shared" si="28"/>
        <v>5</v>
      </c>
      <c r="AE28" s="25">
        <f t="shared" si="29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67">
        <v>14279</v>
      </c>
      <c r="B29" s="188" t="s">
        <v>144</v>
      </c>
      <c r="C29" s="189" t="str">
        <f>Rollover!A29</f>
        <v>Kia</v>
      </c>
      <c r="D29" s="10" t="str">
        <f>Rollover!B29</f>
        <v>Sportage Hybrid SUV FWD</v>
      </c>
      <c r="E29" s="10" t="s">
        <v>99</v>
      </c>
      <c r="F29" s="190">
        <f>Rollover!C29</f>
        <v>2023</v>
      </c>
      <c r="G29" s="11">
        <v>64.322999999999993</v>
      </c>
      <c r="H29" s="12">
        <v>21.84</v>
      </c>
      <c r="I29" s="12">
        <v>29.079000000000001</v>
      </c>
      <c r="J29" s="12">
        <v>1060.3699999999999</v>
      </c>
      <c r="K29" s="13">
        <v>1155.624</v>
      </c>
      <c r="L29" s="11">
        <v>118.084</v>
      </c>
      <c r="M29" s="12">
        <v>9.9550000000000001</v>
      </c>
      <c r="N29" s="12">
        <v>48.423999999999999</v>
      </c>
      <c r="O29" s="12">
        <v>39.161999999999999</v>
      </c>
      <c r="P29" s="13">
        <v>2531.7779999999998</v>
      </c>
      <c r="Q29" s="26">
        <f t="shared" si="15"/>
        <v>4.4172557013024087E-6</v>
      </c>
      <c r="R29" s="6">
        <f t="shared" si="16"/>
        <v>3.2849931928341576E-2</v>
      </c>
      <c r="S29" s="6">
        <f t="shared" si="17"/>
        <v>2.2342454564349547E-2</v>
      </c>
      <c r="T29" s="27">
        <f t="shared" si="18"/>
        <v>1.7864914094789838E-3</v>
      </c>
      <c r="U29" s="26">
        <f t="shared" si="19"/>
        <v>1.4562861671688648E-4</v>
      </c>
      <c r="V29" s="27">
        <f t="shared" si="20"/>
        <v>1.9347998512623452E-2</v>
      </c>
      <c r="W29" s="26">
        <f t="shared" si="21"/>
        <v>5.6000000000000001E-2</v>
      </c>
      <c r="X29" s="6">
        <f t="shared" si="22"/>
        <v>1.9E-2</v>
      </c>
      <c r="Y29" s="27">
        <f t="shared" si="23"/>
        <v>3.7999999999999999E-2</v>
      </c>
      <c r="Z29" s="28">
        <f t="shared" si="24"/>
        <v>0.37</v>
      </c>
      <c r="AA29" s="115">
        <f t="shared" si="25"/>
        <v>0.13</v>
      </c>
      <c r="AB29" s="29">
        <f t="shared" si="26"/>
        <v>0.25</v>
      </c>
      <c r="AC29" s="24">
        <f t="shared" si="27"/>
        <v>5</v>
      </c>
      <c r="AD29" s="106">
        <f t="shared" si="28"/>
        <v>5</v>
      </c>
      <c r="AE29" s="25">
        <f t="shared" si="29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67">
        <v>14279</v>
      </c>
      <c r="B30" s="188" t="s">
        <v>144</v>
      </c>
      <c r="C30" s="189" t="str">
        <f>Rollover!A30</f>
        <v>Kia</v>
      </c>
      <c r="D30" s="10" t="str">
        <f>Rollover!B30</f>
        <v>Sportage Hybrid SUV AWD</v>
      </c>
      <c r="E30" s="10" t="s">
        <v>99</v>
      </c>
      <c r="F30" s="190">
        <f>Rollover!C30</f>
        <v>2023</v>
      </c>
      <c r="G30" s="11">
        <v>64.322999999999993</v>
      </c>
      <c r="H30" s="12">
        <v>21.84</v>
      </c>
      <c r="I30" s="12">
        <v>29.079000000000001</v>
      </c>
      <c r="J30" s="12">
        <v>1060.3699999999999</v>
      </c>
      <c r="K30" s="13">
        <v>1155.624</v>
      </c>
      <c r="L30" s="11">
        <v>118.084</v>
      </c>
      <c r="M30" s="12">
        <v>9.9550000000000001</v>
      </c>
      <c r="N30" s="12">
        <v>48.423999999999999</v>
      </c>
      <c r="O30" s="12">
        <v>39.161999999999999</v>
      </c>
      <c r="P30" s="13">
        <v>2531.7779999999998</v>
      </c>
      <c r="Q30" s="26">
        <f t="shared" si="15"/>
        <v>4.4172557013024087E-6</v>
      </c>
      <c r="R30" s="6">
        <f t="shared" si="16"/>
        <v>3.2849931928341576E-2</v>
      </c>
      <c r="S30" s="6">
        <f t="shared" si="17"/>
        <v>2.2342454564349547E-2</v>
      </c>
      <c r="T30" s="27">
        <f t="shared" si="18"/>
        <v>1.7864914094789838E-3</v>
      </c>
      <c r="U30" s="26">
        <f t="shared" si="19"/>
        <v>1.4562861671688648E-4</v>
      </c>
      <c r="V30" s="27">
        <f t="shared" si="20"/>
        <v>1.9347998512623452E-2</v>
      </c>
      <c r="W30" s="26">
        <f t="shared" si="21"/>
        <v>5.6000000000000001E-2</v>
      </c>
      <c r="X30" s="6">
        <f t="shared" si="22"/>
        <v>1.9E-2</v>
      </c>
      <c r="Y30" s="27">
        <f t="shared" si="23"/>
        <v>3.7999999999999999E-2</v>
      </c>
      <c r="Z30" s="28">
        <f t="shared" si="24"/>
        <v>0.37</v>
      </c>
      <c r="AA30" s="115">
        <f t="shared" si="25"/>
        <v>0.13</v>
      </c>
      <c r="AB30" s="29">
        <f t="shared" si="26"/>
        <v>0.25</v>
      </c>
      <c r="AC30" s="24">
        <f t="shared" si="27"/>
        <v>5</v>
      </c>
      <c r="AD30" s="106">
        <f t="shared" si="28"/>
        <v>5</v>
      </c>
      <c r="AE30" s="25">
        <f t="shared" si="29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67">
        <v>14365</v>
      </c>
      <c r="B31" s="188" t="s">
        <v>145</v>
      </c>
      <c r="C31" s="30" t="str">
        <f>Rollover!A31</f>
        <v>Mazda</v>
      </c>
      <c r="D31" s="53" t="str">
        <f>Rollover!B31</f>
        <v>Mazda CX-50 SUV AWD</v>
      </c>
      <c r="E31" s="10" t="s">
        <v>98</v>
      </c>
      <c r="F31" s="190">
        <f>Rollover!C31</f>
        <v>2023</v>
      </c>
      <c r="G31" s="19"/>
      <c r="H31" s="20"/>
      <c r="I31" s="20"/>
      <c r="J31" s="20"/>
      <c r="K31" s="21"/>
      <c r="L31" s="19"/>
      <c r="M31" s="20"/>
      <c r="N31" s="20"/>
      <c r="O31" s="20"/>
      <c r="P31" s="21"/>
      <c r="Q31" s="26" t="e">
        <f t="shared" ref="Q31" si="45">NORMDIST(LN(G31),7.45231,0.73998,1)</f>
        <v>#NUM!</v>
      </c>
      <c r="R31" s="6">
        <f t="shared" ref="R31" si="46">1/(1+EXP(5.3895-0.0919*H31))</f>
        <v>4.5435171224880964E-3</v>
      </c>
      <c r="S31" s="6">
        <f t="shared" ref="S31" si="47">1/(1+EXP(6.04044-0.002133*J31))</f>
        <v>2.3748578822706131E-3</v>
      </c>
      <c r="T31" s="27">
        <f t="shared" ref="T31" si="48">1/(1+EXP(7.5969-0.0011*K31))</f>
        <v>5.0175335722563109E-4</v>
      </c>
      <c r="U31" s="26" t="e">
        <f t="shared" ref="U31" si="49">NORMDIST(LN(L31),7.45231,0.73998,1)</f>
        <v>#NUM!</v>
      </c>
      <c r="V31" s="27">
        <f t="shared" ref="V31" si="50">1/(1+EXP(6.3055-0.00094*P31))</f>
        <v>1.8229037773026034E-3</v>
      </c>
      <c r="W31" s="26" t="e">
        <f t="shared" ref="W31" si="51">ROUND(1-(1-Q31)*(1-R31)*(1-S31)*(1-T31),3)</f>
        <v>#NUM!</v>
      </c>
      <c r="X31" s="6" t="e">
        <f t="shared" ref="X31" si="52">IF(L31="N/A",L31,ROUND(1-(1-U31)*(1-V31),3))</f>
        <v>#NUM!</v>
      </c>
      <c r="Y31" s="27" t="e">
        <f t="shared" ref="Y31" si="53">ROUND(AVERAGE(W31:X31),3)</f>
        <v>#NUM!</v>
      </c>
      <c r="Z31" s="28" t="e">
        <f t="shared" ref="Z31" si="54">ROUND(W31/0.15,2)</f>
        <v>#NUM!</v>
      </c>
      <c r="AA31" s="115" t="e">
        <f t="shared" ref="AA31" si="55">IF(L31="N/A", L31, ROUND(X31/0.15,2))</f>
        <v>#NUM!</v>
      </c>
      <c r="AB31" s="29" t="e">
        <f t="shared" ref="AB31" si="56">ROUND(Y31/0.15,2)</f>
        <v>#NUM!</v>
      </c>
      <c r="AC31" s="24" t="e">
        <f t="shared" ref="AC31" si="57">IF(Z31&lt;0.67,5,IF(Z31&lt;1,4,IF(Z31&lt;1.33,3,IF(Z31&lt;2.67,2,1))))</f>
        <v>#NUM!</v>
      </c>
      <c r="AD31" s="106" t="e">
        <f t="shared" ref="AD31" si="58">IF(L31="N/A",L31,IF(AA31&lt;0.67,5,IF(AA31&lt;1,4,IF(AA31&lt;1.33,3,IF(AA31&lt;2.67,2,1)))))</f>
        <v>#NUM!</v>
      </c>
      <c r="AE31" s="25" t="e">
        <f t="shared" ref="AE31" si="59">IF(AB31&lt;0.67,5,IF(AB31&lt;1,4,IF(AB31&lt;1.33,3,IF(AB31&lt;2.67,2,1))))</f>
        <v>#NUM!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67">
        <v>14298</v>
      </c>
      <c r="B32" s="188" t="s">
        <v>146</v>
      </c>
      <c r="C32" s="30" t="str">
        <f>Rollover!A32</f>
        <v xml:space="preserve">Mitsubishi </v>
      </c>
      <c r="D32" s="53" t="str">
        <f>Rollover!B32</f>
        <v>Outlander SUV FWD</v>
      </c>
      <c r="E32" s="10" t="s">
        <v>108</v>
      </c>
      <c r="F32" s="190">
        <f>Rollover!C32</f>
        <v>2023</v>
      </c>
      <c r="G32" s="11">
        <v>140.232</v>
      </c>
      <c r="H32" s="12">
        <v>21.132000000000001</v>
      </c>
      <c r="I32" s="12">
        <v>27.753</v>
      </c>
      <c r="J32" s="12">
        <v>826.13400000000001</v>
      </c>
      <c r="K32" s="13">
        <v>1678.42</v>
      </c>
      <c r="L32" s="11">
        <v>176.41300000000001</v>
      </c>
      <c r="M32" s="12">
        <v>15.756</v>
      </c>
      <c r="N32" s="12">
        <v>31.068000000000001</v>
      </c>
      <c r="O32" s="12">
        <v>17.681999999999999</v>
      </c>
      <c r="P32" s="13">
        <v>2263.8580000000002</v>
      </c>
      <c r="Q32" s="26">
        <f t="shared" si="15"/>
        <v>3.4863780302565812E-4</v>
      </c>
      <c r="R32" s="6">
        <f t="shared" si="16"/>
        <v>3.0844422914256535E-2</v>
      </c>
      <c r="S32" s="6">
        <f t="shared" si="17"/>
        <v>1.3676623895672858E-2</v>
      </c>
      <c r="T32" s="27">
        <f t="shared" si="18"/>
        <v>3.1706657323299441E-3</v>
      </c>
      <c r="U32" s="26">
        <f t="shared" si="19"/>
        <v>1.0333897572288723E-3</v>
      </c>
      <c r="V32" s="27">
        <f t="shared" si="20"/>
        <v>1.5105531732234178E-2</v>
      </c>
      <c r="W32" s="26">
        <f t="shared" si="21"/>
        <v>4.7E-2</v>
      </c>
      <c r="X32" s="6">
        <f t="shared" si="22"/>
        <v>1.6E-2</v>
      </c>
      <c r="Y32" s="27">
        <f t="shared" si="23"/>
        <v>3.2000000000000001E-2</v>
      </c>
      <c r="Z32" s="28">
        <f t="shared" si="24"/>
        <v>0.31</v>
      </c>
      <c r="AA32" s="115">
        <f t="shared" si="25"/>
        <v>0.11</v>
      </c>
      <c r="AB32" s="29">
        <f t="shared" si="26"/>
        <v>0.21</v>
      </c>
      <c r="AC32" s="24">
        <f t="shared" si="27"/>
        <v>5</v>
      </c>
      <c r="AD32" s="106">
        <f t="shared" si="28"/>
        <v>5</v>
      </c>
      <c r="AE32" s="25">
        <f t="shared" si="29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67">
        <v>14298</v>
      </c>
      <c r="B33" s="188" t="s">
        <v>146</v>
      </c>
      <c r="C33" s="30" t="str">
        <f>Rollover!A33</f>
        <v xml:space="preserve">Mitsubishi </v>
      </c>
      <c r="D33" s="53" t="str">
        <f>Rollover!B33</f>
        <v>Outlander SUV AWD</v>
      </c>
      <c r="E33" s="10" t="s">
        <v>108</v>
      </c>
      <c r="F33" s="190">
        <f>Rollover!C33</f>
        <v>2023</v>
      </c>
      <c r="G33" s="11">
        <v>140.232</v>
      </c>
      <c r="H33" s="12">
        <v>21.132000000000001</v>
      </c>
      <c r="I33" s="12">
        <v>27.753</v>
      </c>
      <c r="J33" s="12">
        <v>826.13400000000001</v>
      </c>
      <c r="K33" s="13">
        <v>1678.42</v>
      </c>
      <c r="L33" s="11">
        <v>176.41300000000001</v>
      </c>
      <c r="M33" s="12">
        <v>15.756</v>
      </c>
      <c r="N33" s="12">
        <v>31.068000000000001</v>
      </c>
      <c r="O33" s="12">
        <v>17.681999999999999</v>
      </c>
      <c r="P33" s="13">
        <v>2263.8580000000002</v>
      </c>
      <c r="Q33" s="26">
        <f t="shared" si="15"/>
        <v>3.4863780302565812E-4</v>
      </c>
      <c r="R33" s="6">
        <f t="shared" si="16"/>
        <v>3.0844422914256535E-2</v>
      </c>
      <c r="S33" s="6">
        <f t="shared" si="17"/>
        <v>1.3676623895672858E-2</v>
      </c>
      <c r="T33" s="27">
        <f t="shared" si="18"/>
        <v>3.1706657323299441E-3</v>
      </c>
      <c r="U33" s="26">
        <f t="shared" si="19"/>
        <v>1.0333897572288723E-3</v>
      </c>
      <c r="V33" s="27">
        <f t="shared" si="20"/>
        <v>1.5105531732234178E-2</v>
      </c>
      <c r="W33" s="26">
        <f t="shared" si="21"/>
        <v>4.7E-2</v>
      </c>
      <c r="X33" s="6">
        <f t="shared" si="22"/>
        <v>1.6E-2</v>
      </c>
      <c r="Y33" s="27">
        <f t="shared" si="23"/>
        <v>3.2000000000000001E-2</v>
      </c>
      <c r="Z33" s="28">
        <f t="shared" si="24"/>
        <v>0.31</v>
      </c>
      <c r="AA33" s="115">
        <f t="shared" si="25"/>
        <v>0.11</v>
      </c>
      <c r="AB33" s="29">
        <f t="shared" si="26"/>
        <v>0.21</v>
      </c>
      <c r="AC33" s="24">
        <f t="shared" si="27"/>
        <v>5</v>
      </c>
      <c r="AD33" s="106">
        <f t="shared" si="28"/>
        <v>5</v>
      </c>
      <c r="AE33" s="25">
        <f t="shared" si="29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>
      <c r="A34" s="18">
        <v>14296</v>
      </c>
      <c r="B34" s="188" t="s">
        <v>147</v>
      </c>
      <c r="C34" s="30" t="str">
        <f>Rollover!A34</f>
        <v>Nissan</v>
      </c>
      <c r="D34" s="53" t="str">
        <f>Rollover!B34</f>
        <v>Armada SUV RWD</v>
      </c>
      <c r="E34" s="10" t="s">
        <v>108</v>
      </c>
      <c r="F34" s="190">
        <f>Rollover!C34</f>
        <v>2023</v>
      </c>
      <c r="G34" s="19">
        <v>29.303999999999998</v>
      </c>
      <c r="H34" s="20">
        <v>21.878</v>
      </c>
      <c r="I34" s="20">
        <v>23.06</v>
      </c>
      <c r="J34" s="20">
        <v>277.94200000000001</v>
      </c>
      <c r="K34" s="21">
        <v>682.50599999999997</v>
      </c>
      <c r="L34" s="19">
        <v>15.222</v>
      </c>
      <c r="M34" s="20">
        <v>0.08</v>
      </c>
      <c r="N34" s="20">
        <v>14.442</v>
      </c>
      <c r="O34" s="20">
        <v>0.67</v>
      </c>
      <c r="P34" s="21">
        <v>832.00199999999995</v>
      </c>
      <c r="Q34" s="26">
        <f t="shared" si="15"/>
        <v>1.8317898973802062E-8</v>
      </c>
      <c r="R34" s="6">
        <f t="shared" si="16"/>
        <v>3.2961063149118133E-2</v>
      </c>
      <c r="S34" s="6">
        <f t="shared" si="17"/>
        <v>4.2882046105921032E-3</v>
      </c>
      <c r="T34" s="27">
        <f t="shared" si="18"/>
        <v>1.0624195429549265E-3</v>
      </c>
      <c r="U34" s="26">
        <f t="shared" si="19"/>
        <v>8.2143247808291304E-11</v>
      </c>
      <c r="V34" s="27">
        <f t="shared" si="20"/>
        <v>3.9763047281059323E-3</v>
      </c>
      <c r="W34" s="26">
        <f t="shared" si="21"/>
        <v>3.7999999999999999E-2</v>
      </c>
      <c r="X34" s="6">
        <f t="shared" si="22"/>
        <v>4.0000000000000001E-3</v>
      </c>
      <c r="Y34" s="27">
        <f t="shared" si="23"/>
        <v>2.1000000000000001E-2</v>
      </c>
      <c r="Z34" s="28">
        <f t="shared" si="24"/>
        <v>0.25</v>
      </c>
      <c r="AA34" s="115">
        <f t="shared" si="25"/>
        <v>0.03</v>
      </c>
      <c r="AB34" s="29">
        <f t="shared" si="26"/>
        <v>0.14000000000000001</v>
      </c>
      <c r="AC34" s="24">
        <f t="shared" si="27"/>
        <v>5</v>
      </c>
      <c r="AD34" s="106">
        <f t="shared" si="28"/>
        <v>5</v>
      </c>
      <c r="AE34" s="25">
        <f t="shared" si="29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>
      <c r="A35" s="67">
        <v>14296</v>
      </c>
      <c r="B35" s="188" t="s">
        <v>147</v>
      </c>
      <c r="C35" s="30" t="str">
        <f>Rollover!A35</f>
        <v>Nissan</v>
      </c>
      <c r="D35" s="53" t="str">
        <f>Rollover!B35</f>
        <v>Armada SUV 4WD</v>
      </c>
      <c r="E35" s="10" t="s">
        <v>108</v>
      </c>
      <c r="F35" s="190">
        <f>Rollover!C35</f>
        <v>2023</v>
      </c>
      <c r="G35" s="19">
        <v>29.303999999999998</v>
      </c>
      <c r="H35" s="20">
        <v>21.878</v>
      </c>
      <c r="I35" s="20">
        <v>23.06</v>
      </c>
      <c r="J35" s="20">
        <v>277.94200000000001</v>
      </c>
      <c r="K35" s="21">
        <v>682.50599999999997</v>
      </c>
      <c r="L35" s="19">
        <v>15.222</v>
      </c>
      <c r="M35" s="20">
        <v>0.08</v>
      </c>
      <c r="N35" s="20">
        <v>14.442</v>
      </c>
      <c r="O35" s="20">
        <v>0.67</v>
      </c>
      <c r="P35" s="21">
        <v>832.00199999999995</v>
      </c>
      <c r="Q35" s="26">
        <f t="shared" si="15"/>
        <v>1.8317898973802062E-8</v>
      </c>
      <c r="R35" s="6">
        <f t="shared" si="16"/>
        <v>3.2961063149118133E-2</v>
      </c>
      <c r="S35" s="6">
        <f t="shared" si="17"/>
        <v>4.2882046105921032E-3</v>
      </c>
      <c r="T35" s="27">
        <f t="shared" si="18"/>
        <v>1.0624195429549265E-3</v>
      </c>
      <c r="U35" s="26">
        <f t="shared" si="19"/>
        <v>8.2143247808291304E-11</v>
      </c>
      <c r="V35" s="27">
        <f t="shared" si="20"/>
        <v>3.9763047281059323E-3</v>
      </c>
      <c r="W35" s="26">
        <f t="shared" si="21"/>
        <v>3.7999999999999999E-2</v>
      </c>
      <c r="X35" s="6">
        <f t="shared" si="22"/>
        <v>4.0000000000000001E-3</v>
      </c>
      <c r="Y35" s="27">
        <f t="shared" si="23"/>
        <v>2.1000000000000001E-2</v>
      </c>
      <c r="Z35" s="28">
        <f t="shared" si="24"/>
        <v>0.25</v>
      </c>
      <c r="AA35" s="115">
        <f t="shared" si="25"/>
        <v>0.03</v>
      </c>
      <c r="AB35" s="29">
        <f t="shared" si="26"/>
        <v>0.14000000000000001</v>
      </c>
      <c r="AC35" s="24">
        <f t="shared" si="27"/>
        <v>5</v>
      </c>
      <c r="AD35" s="106">
        <f t="shared" si="28"/>
        <v>5</v>
      </c>
      <c r="AE35" s="25">
        <f t="shared" si="29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>
      <c r="A36" s="18">
        <v>14296</v>
      </c>
      <c r="B36" s="188" t="s">
        <v>147</v>
      </c>
      <c r="C36" s="189" t="str">
        <f>Rollover!A36</f>
        <v xml:space="preserve">Infiniti </v>
      </c>
      <c r="D36" s="10" t="str">
        <f>Rollover!B36</f>
        <v>QX80 SUV RWD</v>
      </c>
      <c r="E36" s="10" t="s">
        <v>108</v>
      </c>
      <c r="F36" s="190">
        <f>Rollover!C36</f>
        <v>2023</v>
      </c>
      <c r="G36" s="19">
        <v>29.303999999999998</v>
      </c>
      <c r="H36" s="20">
        <v>21.878</v>
      </c>
      <c r="I36" s="20">
        <v>23.06</v>
      </c>
      <c r="J36" s="20">
        <v>277.94200000000001</v>
      </c>
      <c r="K36" s="21">
        <v>682.50599999999997</v>
      </c>
      <c r="L36" s="19">
        <v>15.222</v>
      </c>
      <c r="M36" s="20">
        <v>0.08</v>
      </c>
      <c r="N36" s="20">
        <v>14.442</v>
      </c>
      <c r="O36" s="20">
        <v>0.67</v>
      </c>
      <c r="P36" s="21">
        <v>832.00199999999995</v>
      </c>
      <c r="Q36" s="26">
        <f t="shared" ref="Q36" si="60">NORMDIST(LN(G36),7.45231,0.73998,1)</f>
        <v>1.8317898973802062E-8</v>
      </c>
      <c r="R36" s="6">
        <f t="shared" ref="R36" si="61">1/(1+EXP(5.3895-0.0919*H36))</f>
        <v>3.2961063149118133E-2</v>
      </c>
      <c r="S36" s="6">
        <f t="shared" ref="S36" si="62">1/(1+EXP(6.04044-0.002133*J36))</f>
        <v>4.2882046105921032E-3</v>
      </c>
      <c r="T36" s="27">
        <f t="shared" ref="T36" si="63">1/(1+EXP(7.5969-0.0011*K36))</f>
        <v>1.0624195429549265E-3</v>
      </c>
      <c r="U36" s="26">
        <f t="shared" ref="U36" si="64">NORMDIST(LN(L36),7.45231,0.73998,1)</f>
        <v>8.2143247808291304E-11</v>
      </c>
      <c r="V36" s="27">
        <f t="shared" ref="V36" si="65">1/(1+EXP(6.3055-0.00094*P36))</f>
        <v>3.9763047281059323E-3</v>
      </c>
      <c r="W36" s="26">
        <f t="shared" ref="W36" si="66">ROUND(1-(1-Q36)*(1-R36)*(1-S36)*(1-T36),3)</f>
        <v>3.7999999999999999E-2</v>
      </c>
      <c r="X36" s="6">
        <f t="shared" ref="X36" si="67">IF(L36="N/A",L36,ROUND(1-(1-U36)*(1-V36),3))</f>
        <v>4.0000000000000001E-3</v>
      </c>
      <c r="Y36" s="27">
        <f t="shared" ref="Y36" si="68">ROUND(AVERAGE(W36:X36),3)</f>
        <v>2.1000000000000001E-2</v>
      </c>
      <c r="Z36" s="28">
        <f t="shared" ref="Z36" si="69">ROUND(W36/0.15,2)</f>
        <v>0.25</v>
      </c>
      <c r="AA36" s="115">
        <f t="shared" ref="AA36" si="70">IF(L36="N/A", L36, ROUND(X36/0.15,2))</f>
        <v>0.03</v>
      </c>
      <c r="AB36" s="29">
        <f t="shared" ref="AB36" si="71">ROUND(Y36/0.15,2)</f>
        <v>0.14000000000000001</v>
      </c>
      <c r="AC36" s="24">
        <f t="shared" ref="AC36" si="72">IF(Z36&lt;0.67,5,IF(Z36&lt;1,4,IF(Z36&lt;1.33,3,IF(Z36&lt;2.67,2,1))))</f>
        <v>5</v>
      </c>
      <c r="AD36" s="106">
        <f t="shared" ref="AD36" si="73">IF(L36="N/A",L36,IF(AA36&lt;0.67,5,IF(AA36&lt;1,4,IF(AA36&lt;1.33,3,IF(AA36&lt;2.67,2,1)))))</f>
        <v>5</v>
      </c>
      <c r="AE36" s="25">
        <f t="shared" ref="AE36" si="74">IF(AB36&lt;0.67,5,IF(AB36&lt;1,4,IF(AB36&lt;1.33,3,IF(AB36&lt;2.67,2,1))))</f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>
      <c r="A37" s="67">
        <v>14296</v>
      </c>
      <c r="B37" s="188" t="s">
        <v>147</v>
      </c>
      <c r="C37" s="189" t="str">
        <f>Rollover!A37</f>
        <v xml:space="preserve">Infiniti </v>
      </c>
      <c r="D37" s="10" t="str">
        <f>Rollover!B37</f>
        <v>QX80 SUV 4WD</v>
      </c>
      <c r="E37" s="10" t="s">
        <v>108</v>
      </c>
      <c r="F37" s="190">
        <f>Rollover!C37</f>
        <v>2023</v>
      </c>
      <c r="G37" s="19">
        <v>29.303999999999998</v>
      </c>
      <c r="H37" s="20">
        <v>21.878</v>
      </c>
      <c r="I37" s="20">
        <v>23.06</v>
      </c>
      <c r="J37" s="20">
        <v>277.94200000000001</v>
      </c>
      <c r="K37" s="21">
        <v>682.50599999999997</v>
      </c>
      <c r="L37" s="19">
        <v>15.222</v>
      </c>
      <c r="M37" s="20">
        <v>0.08</v>
      </c>
      <c r="N37" s="20">
        <v>14.442</v>
      </c>
      <c r="O37" s="20">
        <v>0.67</v>
      </c>
      <c r="P37" s="21">
        <v>832.00199999999995</v>
      </c>
      <c r="Q37" s="26">
        <f t="shared" ref="Q37:Q38" si="75">NORMDIST(LN(G37),7.45231,0.73998,1)</f>
        <v>1.8317898973802062E-8</v>
      </c>
      <c r="R37" s="6">
        <f t="shared" ref="R37:R38" si="76">1/(1+EXP(5.3895-0.0919*H37))</f>
        <v>3.2961063149118133E-2</v>
      </c>
      <c r="S37" s="6">
        <f t="shared" ref="S37:S38" si="77">1/(1+EXP(6.04044-0.002133*J37))</f>
        <v>4.2882046105921032E-3</v>
      </c>
      <c r="T37" s="27">
        <f t="shared" ref="T37:T38" si="78">1/(1+EXP(7.5969-0.0011*K37))</f>
        <v>1.0624195429549265E-3</v>
      </c>
      <c r="U37" s="26">
        <f t="shared" ref="U37:U38" si="79">NORMDIST(LN(L37),7.45231,0.73998,1)</f>
        <v>8.2143247808291304E-11</v>
      </c>
      <c r="V37" s="27">
        <f t="shared" ref="V37:V38" si="80">1/(1+EXP(6.3055-0.00094*P37))</f>
        <v>3.9763047281059323E-3</v>
      </c>
      <c r="W37" s="26">
        <f t="shared" ref="W37:W38" si="81">ROUND(1-(1-Q37)*(1-R37)*(1-S37)*(1-T37),3)</f>
        <v>3.7999999999999999E-2</v>
      </c>
      <c r="X37" s="6">
        <f t="shared" ref="X37:X38" si="82">IF(L37="N/A",L37,ROUND(1-(1-U37)*(1-V37),3))</f>
        <v>4.0000000000000001E-3</v>
      </c>
      <c r="Y37" s="27">
        <f t="shared" ref="Y37:Y38" si="83">ROUND(AVERAGE(W37:X37),3)</f>
        <v>2.1000000000000001E-2</v>
      </c>
      <c r="Z37" s="28">
        <f t="shared" ref="Z37:Z38" si="84">ROUND(W37/0.15,2)</f>
        <v>0.25</v>
      </c>
      <c r="AA37" s="115">
        <f t="shared" ref="AA37:AA38" si="85">IF(L37="N/A", L37, ROUND(X37/0.15,2))</f>
        <v>0.03</v>
      </c>
      <c r="AB37" s="29">
        <f t="shared" ref="AB37:AB38" si="86">ROUND(Y37/0.15,2)</f>
        <v>0.14000000000000001</v>
      </c>
      <c r="AC37" s="24">
        <f t="shared" ref="AC37:AC38" si="87">IF(Z37&lt;0.67,5,IF(Z37&lt;1,4,IF(Z37&lt;1.33,3,IF(Z37&lt;2.67,2,1))))</f>
        <v>5</v>
      </c>
      <c r="AD37" s="106">
        <f t="shared" ref="AD37:AD38" si="88">IF(L37="N/A",L37,IF(AA37&lt;0.67,5,IF(AA37&lt;1,4,IF(AA37&lt;1.33,3,IF(AA37&lt;2.67,2,1)))))</f>
        <v>5</v>
      </c>
      <c r="AE37" s="25">
        <f t="shared" ref="AE37:AE38" si="89">IF(AB37&lt;0.67,5,IF(AB37&lt;1,4,IF(AB37&lt;1.33,3,IF(AB37&lt;2.67,2,1))))</f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>
      <c r="A38" s="67"/>
      <c r="B38" s="188"/>
      <c r="C38" s="30" t="str">
        <f>Rollover!A38</f>
        <v>Rivian</v>
      </c>
      <c r="D38" s="53" t="str">
        <f>Rollover!B38</f>
        <v>R1S SUV BEV AWD</v>
      </c>
      <c r="E38" s="10"/>
      <c r="F38" s="190">
        <f>Rollover!C38</f>
        <v>2023</v>
      </c>
      <c r="G38" s="11"/>
      <c r="H38" s="12"/>
      <c r="I38" s="12"/>
      <c r="J38" s="12"/>
      <c r="K38" s="13"/>
      <c r="L38" s="11"/>
      <c r="M38" s="12"/>
      <c r="N38" s="12"/>
      <c r="O38" s="12"/>
      <c r="P38" s="13"/>
      <c r="Q38" s="26" t="e">
        <f t="shared" si="75"/>
        <v>#NUM!</v>
      </c>
      <c r="R38" s="6">
        <f t="shared" si="76"/>
        <v>4.5435171224880964E-3</v>
      </c>
      <c r="S38" s="6">
        <f t="shared" si="77"/>
        <v>2.3748578822706131E-3</v>
      </c>
      <c r="T38" s="27">
        <f t="shared" si="78"/>
        <v>5.0175335722563109E-4</v>
      </c>
      <c r="U38" s="26" t="e">
        <f t="shared" si="79"/>
        <v>#NUM!</v>
      </c>
      <c r="V38" s="27">
        <f t="shared" si="80"/>
        <v>1.8229037773026034E-3</v>
      </c>
      <c r="W38" s="26" t="e">
        <f t="shared" si="81"/>
        <v>#NUM!</v>
      </c>
      <c r="X38" s="6" t="e">
        <f t="shared" si="82"/>
        <v>#NUM!</v>
      </c>
      <c r="Y38" s="27" t="e">
        <f t="shared" si="83"/>
        <v>#NUM!</v>
      </c>
      <c r="Z38" s="28" t="e">
        <f t="shared" si="84"/>
        <v>#NUM!</v>
      </c>
      <c r="AA38" s="115" t="e">
        <f t="shared" si="85"/>
        <v>#NUM!</v>
      </c>
      <c r="AB38" s="29" t="e">
        <f t="shared" si="86"/>
        <v>#NUM!</v>
      </c>
      <c r="AC38" s="24" t="e">
        <f t="shared" si="87"/>
        <v>#NUM!</v>
      </c>
      <c r="AD38" s="106" t="e">
        <f t="shared" si="88"/>
        <v>#NUM!</v>
      </c>
      <c r="AE38" s="25" t="e">
        <f t="shared" si="89"/>
        <v>#NUM!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E39" s="2"/>
    </row>
    <row r="40" spans="1:51">
      <c r="AE40" s="2"/>
    </row>
    <row r="41" spans="1:51">
      <c r="AE41" s="2"/>
    </row>
    <row r="42" spans="1:51">
      <c r="AE42" s="2"/>
    </row>
    <row r="43" spans="1:51">
      <c r="AE43" s="2"/>
    </row>
    <row r="44" spans="1:51">
      <c r="AE44" s="2"/>
    </row>
    <row r="45" spans="1:51">
      <c r="AE45" s="2"/>
    </row>
    <row r="46" spans="1:51">
      <c r="AE46" s="2"/>
    </row>
    <row r="47" spans="1:51">
      <c r="AE47" s="2"/>
    </row>
    <row r="48" spans="1:5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71"/>
  <sheetViews>
    <sheetView zoomScale="130" zoomScaleNormal="130" workbookViewId="0">
      <pane xSplit="6" ySplit="2" topLeftCell="G3" activePane="bottomRight" state="frozen"/>
      <selection activeCell="B41" sqref="B41"/>
      <selection pane="topRight" activeCell="B41" sqref="B41"/>
      <selection pane="bottomLeft" activeCell="B41" sqref="B41"/>
      <selection pane="bottomRight" activeCell="A2" sqref="A2"/>
    </sheetView>
  </sheetViews>
  <sheetFormatPr defaultColWidth="9.140625" defaultRowHeight="13.9" customHeight="1"/>
  <cols>
    <col min="1" max="1" width="8.5703125" style="173" bestFit="1" customWidth="1"/>
    <col min="2" max="2" width="9" style="173" bestFit="1" customWidth="1"/>
    <col min="3" max="3" width="12" style="174" bestFit="1" customWidth="1"/>
    <col min="4" max="4" width="31" style="174" customWidth="1"/>
    <col min="5" max="5" width="6.5703125" style="175" customWidth="1"/>
    <col min="6" max="6" width="7.42578125" style="176" bestFit="1" customWidth="1"/>
    <col min="7" max="10" width="8.7109375" style="169" customWidth="1"/>
    <col min="11" max="11" width="9.85546875" style="169" customWidth="1"/>
    <col min="12" max="12" width="7" style="169" customWidth="1"/>
    <col min="13" max="13" width="7.42578125" style="169" customWidth="1"/>
    <col min="14" max="14" width="7.85546875" style="177" customWidth="1"/>
    <col min="15" max="15" width="8.5703125" style="177" bestFit="1" customWidth="1"/>
    <col min="16" max="16" width="8.28515625" style="178" customWidth="1"/>
    <col min="17" max="17" width="9.28515625" style="177" customWidth="1"/>
    <col min="18" max="18" width="10.140625" style="169" customWidth="1"/>
    <col min="19" max="19" width="6" style="173" customWidth="1"/>
    <col min="20" max="20" width="10.28515625" style="173" bestFit="1" customWidth="1"/>
    <col min="21" max="21" width="10.140625" style="173" customWidth="1"/>
    <col min="22" max="22" width="10.28515625" style="173" bestFit="1" customWidth="1"/>
    <col min="23" max="16384" width="9.140625" style="169"/>
  </cols>
  <sheetData>
    <row r="1" spans="1:37" s="158" customFormat="1" ht="13.9" customHeight="1" thickBot="1">
      <c r="A1" s="150"/>
      <c r="B1" s="151"/>
      <c r="C1" s="152"/>
      <c r="D1" s="152"/>
      <c r="E1" s="153"/>
      <c r="F1" s="154"/>
      <c r="G1" s="243" t="s">
        <v>148</v>
      </c>
      <c r="H1" s="244"/>
      <c r="I1" s="244"/>
      <c r="J1" s="244"/>
      <c r="K1" s="245"/>
      <c r="L1" s="227" t="s">
        <v>148</v>
      </c>
      <c r="M1" s="229"/>
      <c r="N1" s="155" t="s">
        <v>69</v>
      </c>
      <c r="O1" s="156" t="s">
        <v>69</v>
      </c>
      <c r="P1" s="43" t="s">
        <v>149</v>
      </c>
      <c r="Q1" s="157" t="s">
        <v>69</v>
      </c>
      <c r="R1" s="95" t="s">
        <v>69</v>
      </c>
      <c r="S1" s="42" t="s">
        <v>69</v>
      </c>
      <c r="T1" s="42" t="s">
        <v>150</v>
      </c>
      <c r="U1" s="42" t="s">
        <v>151</v>
      </c>
      <c r="V1" s="43" t="s">
        <v>150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164" customFormat="1" ht="45.75" thickBot="1">
      <c r="A2" s="41" t="s">
        <v>73</v>
      </c>
      <c r="B2" s="42" t="s">
        <v>74</v>
      </c>
      <c r="C2" s="159" t="s">
        <v>1</v>
      </c>
      <c r="D2" s="159" t="s">
        <v>2</v>
      </c>
      <c r="E2" s="160" t="s">
        <v>75</v>
      </c>
      <c r="F2" s="161" t="s">
        <v>3</v>
      </c>
      <c r="G2" s="162" t="s">
        <v>123</v>
      </c>
      <c r="H2" s="100" t="s">
        <v>152</v>
      </c>
      <c r="I2" s="100" t="s">
        <v>153</v>
      </c>
      <c r="J2" s="100" t="s">
        <v>154</v>
      </c>
      <c r="K2" s="163" t="s">
        <v>129</v>
      </c>
      <c r="L2" s="96" t="s">
        <v>130</v>
      </c>
      <c r="M2" s="97" t="s">
        <v>132</v>
      </c>
      <c r="N2" s="96" t="s">
        <v>133</v>
      </c>
      <c r="O2" s="98" t="s">
        <v>155</v>
      </c>
      <c r="P2" s="33" t="s">
        <v>10</v>
      </c>
      <c r="Q2" s="99" t="s">
        <v>156</v>
      </c>
      <c r="R2" s="100" t="s">
        <v>157</v>
      </c>
      <c r="S2" s="101" t="s">
        <v>158</v>
      </c>
      <c r="T2" s="100" t="s">
        <v>159</v>
      </c>
      <c r="U2" s="100" t="s">
        <v>160</v>
      </c>
      <c r="V2" s="46" t="s">
        <v>161</v>
      </c>
      <c r="W2" s="5"/>
      <c r="X2" s="47"/>
      <c r="Y2" s="47"/>
      <c r="Z2" s="47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3.9" customHeight="1">
      <c r="A3" s="165">
        <v>14260</v>
      </c>
      <c r="B3" s="166" t="s">
        <v>162</v>
      </c>
      <c r="C3" s="167" t="str">
        <f>Rollover!A3</f>
        <v>Acura</v>
      </c>
      <c r="D3" s="167" t="str">
        <f>Rollover!B3</f>
        <v>Integra 5 HB FWD</v>
      </c>
      <c r="E3" s="70" t="s">
        <v>98</v>
      </c>
      <c r="F3" s="168">
        <f>Rollover!C3</f>
        <v>2023</v>
      </c>
      <c r="G3" s="102">
        <v>235.989</v>
      </c>
      <c r="H3" s="12">
        <v>19.187000000000001</v>
      </c>
      <c r="I3" s="12">
        <v>45.485999999999997</v>
      </c>
      <c r="J3" s="103">
        <v>21.614999999999998</v>
      </c>
      <c r="K3" s="13">
        <v>2871.9740000000002</v>
      </c>
      <c r="L3" s="26">
        <f>NORMDIST(LN(G3),7.45231,0.73998,1)</f>
        <v>3.6019529688484063E-3</v>
      </c>
      <c r="M3" s="27">
        <f t="shared" ref="M3:M16" si="0">1/(1+EXP(6.3055-0.00094*K3))</f>
        <v>2.6446101315489901E-2</v>
      </c>
      <c r="N3" s="26">
        <f t="shared" ref="N3:N16" si="1">ROUND(1-(1-L3)*(1-M3),3)</f>
        <v>0.03</v>
      </c>
      <c r="O3" s="6">
        <f t="shared" ref="O3:O16" si="2">ROUND(N3/0.15,2)</f>
        <v>0.2</v>
      </c>
      <c r="P3" s="25">
        <f t="shared" ref="P3:P16" si="3">IF(O3&lt;0.67,5,IF(O3&lt;1,4,IF(O3&lt;1.33,3,IF(O3&lt;2.67,2,1))))</f>
        <v>5</v>
      </c>
      <c r="Q3" s="104">
        <f>ROUND((0.8*'Side MDB'!W3+0.2*'Side Pole'!N3),3)</f>
        <v>5.5E-2</v>
      </c>
      <c r="R3" s="105">
        <f t="shared" ref="R3:R16" si="4">ROUND((Q3)/0.15,2)</f>
        <v>0.37</v>
      </c>
      <c r="S3" s="106">
        <f t="shared" ref="S3:S16" si="5">IF(R3&lt;0.67,5,IF(R3&lt;1,4,IF(R3&lt;1.33,3,IF(R3&lt;2.67,2,1))))</f>
        <v>5</v>
      </c>
      <c r="T3" s="105">
        <f>ROUND(((0.8*'Side MDB'!W3+0.2*'Side Pole'!N3)+(IF('Side MDB'!X3="N/A",(0.8*'Side MDB'!W3+0.2*'Side Pole'!N3),'Side MDB'!X3)))/2,3)</f>
        <v>3.6999999999999998E-2</v>
      </c>
      <c r="U3" s="105">
        <f t="shared" ref="U3:U16" si="6">ROUND((T3)/0.15,2)</f>
        <v>0.25</v>
      </c>
      <c r="V3" s="25">
        <f t="shared" ref="V3:V16" si="7">IF(U3&lt;0.67,5,IF(U3&lt;1,4,IF(U3&lt;1.33,3,IF(U3&lt;2.67,2,1))))</f>
        <v>5</v>
      </c>
      <c r="W3" s="16"/>
      <c r="X3" s="88"/>
      <c r="Y3" s="88"/>
      <c r="Z3" s="88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ht="13.9" customHeight="1">
      <c r="A4" s="165"/>
      <c r="B4" s="166"/>
      <c r="C4" s="170" t="str">
        <f>Rollover!A4</f>
        <v>Honda</v>
      </c>
      <c r="D4" s="170" t="str">
        <f>Rollover!B4</f>
        <v>Civic Hatchback FWD</v>
      </c>
      <c r="E4" s="70"/>
      <c r="F4" s="168">
        <f>Rollover!C4</f>
        <v>2023</v>
      </c>
      <c r="G4" s="102"/>
      <c r="H4" s="12"/>
      <c r="I4" s="12"/>
      <c r="J4" s="103"/>
      <c r="K4" s="13"/>
      <c r="L4" s="26" t="e">
        <f t="shared" ref="L4" si="8">NORMDIST(LN(G4),7.45231,0.73998,1)</f>
        <v>#NUM!</v>
      </c>
      <c r="M4" s="27">
        <f t="shared" si="0"/>
        <v>1.8229037773026034E-3</v>
      </c>
      <c r="N4" s="26" t="e">
        <f t="shared" si="1"/>
        <v>#NUM!</v>
      </c>
      <c r="O4" s="6" t="e">
        <f t="shared" si="2"/>
        <v>#NUM!</v>
      </c>
      <c r="P4" s="25" t="e">
        <f t="shared" si="3"/>
        <v>#NUM!</v>
      </c>
      <c r="Q4" s="104" t="e">
        <f>ROUND((0.8*'Side MDB'!W4+0.2*'Side Pole'!N4),3)</f>
        <v>#NUM!</v>
      </c>
      <c r="R4" s="105" t="e">
        <f t="shared" si="4"/>
        <v>#NUM!</v>
      </c>
      <c r="S4" s="106" t="e">
        <f t="shared" si="5"/>
        <v>#NUM!</v>
      </c>
      <c r="T4" s="105" t="e">
        <f>ROUND(((0.8*'Side MDB'!W4+0.2*'Side Pole'!N4)+(IF('Side MDB'!X4="N/A",(0.8*'Side MDB'!W4+0.2*'Side Pole'!N4),'Side MDB'!X4)))/2,3)</f>
        <v>#NUM!</v>
      </c>
      <c r="U4" s="105" t="e">
        <f t="shared" si="6"/>
        <v>#NUM!</v>
      </c>
      <c r="V4" s="25" t="e">
        <f t="shared" si="7"/>
        <v>#NUM!</v>
      </c>
      <c r="W4" s="16"/>
      <c r="X4" s="88"/>
      <c r="Y4" s="88"/>
      <c r="Z4" s="88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 ht="13.9" customHeight="1">
      <c r="A5" s="165"/>
      <c r="B5" s="166"/>
      <c r="C5" s="170" t="str">
        <f>Rollover!A5</f>
        <v>Honda</v>
      </c>
      <c r="D5" s="170" t="str">
        <f>Rollover!B5</f>
        <v>Civic Hatchback Typer R FWD</v>
      </c>
      <c r="E5" s="70"/>
      <c r="F5" s="168">
        <f>Rollover!C5</f>
        <v>2023</v>
      </c>
      <c r="G5" s="102"/>
      <c r="H5" s="12"/>
      <c r="I5" s="12"/>
      <c r="J5" s="103"/>
      <c r="K5" s="13"/>
      <c r="L5" s="26" t="e">
        <f t="shared" ref="L5:L6" si="9">NORMDIST(LN(G5),7.45231,0.73998,1)</f>
        <v>#NUM!</v>
      </c>
      <c r="M5" s="27">
        <f t="shared" si="0"/>
        <v>1.8229037773026034E-3</v>
      </c>
      <c r="N5" s="26" t="e">
        <f t="shared" si="1"/>
        <v>#NUM!</v>
      </c>
      <c r="O5" s="6" t="e">
        <f t="shared" si="2"/>
        <v>#NUM!</v>
      </c>
      <c r="P5" s="25" t="e">
        <f t="shared" si="3"/>
        <v>#NUM!</v>
      </c>
      <c r="Q5" s="104" t="e">
        <f>ROUND((0.8*'Side MDB'!W5+0.2*'Side Pole'!N5),3)</f>
        <v>#NUM!</v>
      </c>
      <c r="R5" s="105" t="e">
        <f t="shared" si="4"/>
        <v>#NUM!</v>
      </c>
      <c r="S5" s="106" t="e">
        <f t="shared" si="5"/>
        <v>#NUM!</v>
      </c>
      <c r="T5" s="105" t="e">
        <f>ROUND(((0.8*'Side MDB'!W5+0.2*'Side Pole'!N5)+(IF('Side MDB'!X5="N/A",(0.8*'Side MDB'!W5+0.2*'Side Pole'!N5),'Side MDB'!X5)))/2,3)</f>
        <v>#NUM!</v>
      </c>
      <c r="U5" s="105" t="e">
        <f t="shared" si="6"/>
        <v>#NUM!</v>
      </c>
      <c r="V5" s="25" t="e">
        <f t="shared" si="7"/>
        <v>#NUM!</v>
      </c>
      <c r="W5" s="16"/>
      <c r="X5" s="88"/>
      <c r="Y5" s="88"/>
      <c r="Z5" s="88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 ht="13.9" customHeight="1">
      <c r="A6" s="165"/>
      <c r="B6" s="166"/>
      <c r="C6" s="170" t="str">
        <f>Rollover!A6</f>
        <v>Honda</v>
      </c>
      <c r="D6" s="170" t="str">
        <f>Rollover!B6</f>
        <v>Civic Sedan FWD</v>
      </c>
      <c r="E6" s="70"/>
      <c r="F6" s="168">
        <f>Rollover!C6</f>
        <v>2023</v>
      </c>
      <c r="G6" s="102"/>
      <c r="H6" s="12"/>
      <c r="I6" s="12"/>
      <c r="J6" s="103"/>
      <c r="K6" s="13"/>
      <c r="L6" s="26" t="e">
        <f t="shared" si="9"/>
        <v>#NUM!</v>
      </c>
      <c r="M6" s="27">
        <f t="shared" si="0"/>
        <v>1.8229037773026034E-3</v>
      </c>
      <c r="N6" s="26" t="e">
        <f t="shared" si="1"/>
        <v>#NUM!</v>
      </c>
      <c r="O6" s="6" t="e">
        <f t="shared" si="2"/>
        <v>#NUM!</v>
      </c>
      <c r="P6" s="25" t="e">
        <f t="shared" si="3"/>
        <v>#NUM!</v>
      </c>
      <c r="Q6" s="104" t="e">
        <f>ROUND((0.8*'Side MDB'!W6+0.2*'Side Pole'!N6),3)</f>
        <v>#NUM!</v>
      </c>
      <c r="R6" s="105" t="e">
        <f t="shared" si="4"/>
        <v>#NUM!</v>
      </c>
      <c r="S6" s="106" t="e">
        <f t="shared" si="5"/>
        <v>#NUM!</v>
      </c>
      <c r="T6" s="105" t="e">
        <f>ROUND(((0.8*'Side MDB'!W6+0.2*'Side Pole'!N6)+(IF('Side MDB'!X6="N/A",(0.8*'Side MDB'!W6+0.2*'Side Pole'!N6),'Side MDB'!X6)))/2,3)</f>
        <v>#NUM!</v>
      </c>
      <c r="U6" s="105" t="e">
        <f t="shared" si="6"/>
        <v>#NUM!</v>
      </c>
      <c r="V6" s="25" t="e">
        <f t="shared" si="7"/>
        <v>#NUM!</v>
      </c>
      <c r="W6" s="16"/>
      <c r="X6" s="88"/>
      <c r="Y6" s="88"/>
      <c r="Z6" s="88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ht="13.9" customHeight="1">
      <c r="A7" s="165">
        <v>10659</v>
      </c>
      <c r="B7" s="166" t="s">
        <v>163</v>
      </c>
      <c r="C7" s="167" t="str">
        <f>Rollover!A7</f>
        <v>Audi</v>
      </c>
      <c r="D7" s="167" t="str">
        <f>Rollover!B7</f>
        <v>Q8 AWD</v>
      </c>
      <c r="E7" s="70" t="s">
        <v>98</v>
      </c>
      <c r="F7" s="168">
        <f>Rollover!C7</f>
        <v>2023</v>
      </c>
      <c r="G7" s="102">
        <v>282.40699999999998</v>
      </c>
      <c r="H7" s="12">
        <v>23.873000000000001</v>
      </c>
      <c r="I7" s="12">
        <v>49.451000000000001</v>
      </c>
      <c r="J7" s="103">
        <v>19.324000000000002</v>
      </c>
      <c r="K7" s="13">
        <v>2639.1370000000002</v>
      </c>
      <c r="L7" s="26">
        <f t="shared" ref="L7:L16" si="10">NORMDIST(LN(G7),7.45231,0.73998,1)</f>
        <v>7.2504915713740578E-3</v>
      </c>
      <c r="M7" s="27">
        <f t="shared" si="0"/>
        <v>2.1358591522434224E-2</v>
      </c>
      <c r="N7" s="26">
        <f t="shared" si="1"/>
        <v>2.8000000000000001E-2</v>
      </c>
      <c r="O7" s="6">
        <f t="shared" si="2"/>
        <v>0.19</v>
      </c>
      <c r="P7" s="25">
        <f t="shared" si="3"/>
        <v>5</v>
      </c>
      <c r="Q7" s="104">
        <f>ROUND((0.8*'Side MDB'!W7+0.2*'Side Pole'!N7),3)</f>
        <v>0.03</v>
      </c>
      <c r="R7" s="105">
        <f t="shared" si="4"/>
        <v>0.2</v>
      </c>
      <c r="S7" s="106">
        <f t="shared" si="5"/>
        <v>5</v>
      </c>
      <c r="T7" s="105">
        <f>ROUND(((0.8*'Side MDB'!W7+0.2*'Side Pole'!N7)+(IF('Side MDB'!X7="N/A",(0.8*'Side MDB'!W7+0.2*'Side Pole'!N7),'Side MDB'!X7)))/2,3)</f>
        <v>2.1000000000000001E-2</v>
      </c>
      <c r="U7" s="105">
        <f t="shared" si="6"/>
        <v>0.14000000000000001</v>
      </c>
      <c r="V7" s="25">
        <f t="shared" si="7"/>
        <v>5</v>
      </c>
      <c r="W7" s="16"/>
      <c r="X7" s="88"/>
      <c r="Y7" s="88"/>
      <c r="Z7" s="88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ht="13.9" customHeight="1">
      <c r="A8" s="165"/>
      <c r="B8" s="166"/>
      <c r="C8" s="170" t="str">
        <f>Rollover!A8</f>
        <v>Audi</v>
      </c>
      <c r="D8" s="170" t="str">
        <f>Rollover!B8</f>
        <v>SQ8 AWD</v>
      </c>
      <c r="E8" s="70"/>
      <c r="F8" s="168">
        <f>Rollover!C8</f>
        <v>2023</v>
      </c>
      <c r="G8" s="102"/>
      <c r="H8" s="12"/>
      <c r="I8" s="12"/>
      <c r="J8" s="103"/>
      <c r="K8" s="13"/>
      <c r="L8" s="26" t="e">
        <f t="shared" si="10"/>
        <v>#NUM!</v>
      </c>
      <c r="M8" s="27">
        <f t="shared" si="0"/>
        <v>1.8229037773026034E-3</v>
      </c>
      <c r="N8" s="26" t="e">
        <f t="shared" si="1"/>
        <v>#NUM!</v>
      </c>
      <c r="O8" s="6" t="e">
        <f t="shared" si="2"/>
        <v>#NUM!</v>
      </c>
      <c r="P8" s="25" t="e">
        <f t="shared" si="3"/>
        <v>#NUM!</v>
      </c>
      <c r="Q8" s="104" t="e">
        <f>ROUND((0.8*'Side MDB'!W8+0.2*'Side Pole'!N8),3)</f>
        <v>#NUM!</v>
      </c>
      <c r="R8" s="105" t="e">
        <f t="shared" si="4"/>
        <v>#NUM!</v>
      </c>
      <c r="S8" s="106" t="e">
        <f t="shared" si="5"/>
        <v>#NUM!</v>
      </c>
      <c r="T8" s="105" t="e">
        <f>ROUND(((0.8*'Side MDB'!W8+0.2*'Side Pole'!N8)+(IF('Side MDB'!X8="N/A",(0.8*'Side MDB'!W8+0.2*'Side Pole'!N8),'Side MDB'!X8)))/2,3)</f>
        <v>#NUM!</v>
      </c>
      <c r="U8" s="105" t="e">
        <f t="shared" si="6"/>
        <v>#NUM!</v>
      </c>
      <c r="V8" s="25" t="e">
        <f t="shared" si="7"/>
        <v>#NUM!</v>
      </c>
      <c r="W8" s="16"/>
      <c r="X8" s="88"/>
      <c r="Y8" s="88"/>
      <c r="Z8" s="88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3.9" customHeight="1">
      <c r="A9" s="165"/>
      <c r="B9" s="166"/>
      <c r="C9" s="170" t="str">
        <f>Rollover!A9</f>
        <v>Audi</v>
      </c>
      <c r="D9" s="170" t="str">
        <f>Rollover!B9</f>
        <v>RS Q8 AWD</v>
      </c>
      <c r="E9" s="70"/>
      <c r="F9" s="168">
        <f>Rollover!C9</f>
        <v>2023</v>
      </c>
      <c r="G9" s="102"/>
      <c r="H9" s="12"/>
      <c r="I9" s="12"/>
      <c r="J9" s="103"/>
      <c r="K9" s="13"/>
      <c r="L9" s="26" t="e">
        <f t="shared" si="10"/>
        <v>#NUM!</v>
      </c>
      <c r="M9" s="27">
        <f t="shared" si="0"/>
        <v>1.8229037773026034E-3</v>
      </c>
      <c r="N9" s="26" t="e">
        <f t="shared" si="1"/>
        <v>#NUM!</v>
      </c>
      <c r="O9" s="6" t="e">
        <f t="shared" si="2"/>
        <v>#NUM!</v>
      </c>
      <c r="P9" s="25" t="e">
        <f t="shared" si="3"/>
        <v>#NUM!</v>
      </c>
      <c r="Q9" s="104" t="e">
        <f>ROUND((0.8*'Side MDB'!W9+0.2*'Side Pole'!N9),3)</f>
        <v>#NUM!</v>
      </c>
      <c r="R9" s="105" t="e">
        <f t="shared" si="4"/>
        <v>#NUM!</v>
      </c>
      <c r="S9" s="106" t="e">
        <f t="shared" si="5"/>
        <v>#NUM!</v>
      </c>
      <c r="T9" s="105" t="e">
        <f>ROUND(((0.8*'Side MDB'!W9+0.2*'Side Pole'!N9)+(IF('Side MDB'!X9="N/A",(0.8*'Side MDB'!W9+0.2*'Side Pole'!N9),'Side MDB'!X9)))/2,3)</f>
        <v>#NUM!</v>
      </c>
      <c r="U9" s="105" t="e">
        <f t="shared" si="6"/>
        <v>#NUM!</v>
      </c>
      <c r="V9" s="25" t="e">
        <f t="shared" si="7"/>
        <v>#NUM!</v>
      </c>
      <c r="W9" s="16"/>
      <c r="X9" s="88"/>
      <c r="Y9" s="88"/>
      <c r="Z9" s="88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3.9" customHeight="1">
      <c r="A10" s="171">
        <v>14276</v>
      </c>
      <c r="B10" s="172" t="s">
        <v>164</v>
      </c>
      <c r="C10" s="170" t="str">
        <f>Rollover!A10</f>
        <v>Chevrolet</v>
      </c>
      <c r="D10" s="170" t="str">
        <f>Rollover!B10</f>
        <v>Malibu 4DR FWD</v>
      </c>
      <c r="E10" s="70" t="s">
        <v>99</v>
      </c>
      <c r="F10" s="168">
        <f>Rollover!C10</f>
        <v>2023</v>
      </c>
      <c r="G10" s="108">
        <v>395.714</v>
      </c>
      <c r="H10" s="20">
        <v>15.023999999999999</v>
      </c>
      <c r="I10" s="20">
        <v>31.832000000000001</v>
      </c>
      <c r="J10" s="109">
        <v>15.891</v>
      </c>
      <c r="K10" s="21">
        <v>2202.7109999999998</v>
      </c>
      <c r="L10" s="26">
        <f t="shared" si="10"/>
        <v>2.3365667102117772E-2</v>
      </c>
      <c r="M10" s="27">
        <f t="shared" si="0"/>
        <v>1.4273818001978942E-2</v>
      </c>
      <c r="N10" s="26">
        <f t="shared" si="1"/>
        <v>3.6999999999999998E-2</v>
      </c>
      <c r="O10" s="6">
        <f t="shared" si="2"/>
        <v>0.25</v>
      </c>
      <c r="P10" s="25">
        <f t="shared" si="3"/>
        <v>5</v>
      </c>
      <c r="Q10" s="104">
        <f>ROUND((0.8*'Side MDB'!W10+0.2*'Side Pole'!N10),3)</f>
        <v>8.2000000000000003E-2</v>
      </c>
      <c r="R10" s="105">
        <f t="shared" si="4"/>
        <v>0.55000000000000004</v>
      </c>
      <c r="S10" s="106">
        <f t="shared" si="5"/>
        <v>5</v>
      </c>
      <c r="T10" s="105">
        <f>ROUND(((0.8*'Side MDB'!W10+0.2*'Side Pole'!N10)+(IF('Side MDB'!X10="N/A",(0.8*'Side MDB'!W10+0.2*'Side Pole'!N10),'Side MDB'!X10)))/2,3)</f>
        <v>0.08</v>
      </c>
      <c r="U10" s="105">
        <f t="shared" si="6"/>
        <v>0.53</v>
      </c>
      <c r="V10" s="25">
        <f t="shared" si="7"/>
        <v>5</v>
      </c>
      <c r="W10" s="16"/>
      <c r="X10" s="88"/>
      <c r="Y10" s="88"/>
      <c r="Z10" s="88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3.9" customHeight="1">
      <c r="A11" s="171">
        <v>11051</v>
      </c>
      <c r="B11" s="172" t="s">
        <v>165</v>
      </c>
      <c r="C11" s="167" t="str">
        <f>Rollover!A11</f>
        <v>Ford</v>
      </c>
      <c r="D11" s="167" t="str">
        <f>Rollover!B11</f>
        <v>Explorer SUV RWD</v>
      </c>
      <c r="E11" s="6" t="s">
        <v>102</v>
      </c>
      <c r="F11" s="168">
        <f>Rollover!C11</f>
        <v>2023</v>
      </c>
      <c r="G11" s="102">
        <v>287.851</v>
      </c>
      <c r="H11" s="12">
        <v>21.36</v>
      </c>
      <c r="I11" s="12">
        <v>39.426000000000002</v>
      </c>
      <c r="J11" s="103">
        <v>22.838000000000001</v>
      </c>
      <c r="K11" s="103">
        <v>2546.933</v>
      </c>
      <c r="L11" s="26">
        <f t="shared" si="10"/>
        <v>7.785801547796658E-3</v>
      </c>
      <c r="M11" s="27">
        <f t="shared" si="0"/>
        <v>1.9620150370070557E-2</v>
      </c>
      <c r="N11" s="26">
        <f t="shared" si="1"/>
        <v>2.7E-2</v>
      </c>
      <c r="O11" s="6">
        <f t="shared" si="2"/>
        <v>0.18</v>
      </c>
      <c r="P11" s="25">
        <f t="shared" si="3"/>
        <v>5</v>
      </c>
      <c r="Q11" s="104">
        <f>ROUND((0.8*'Side MDB'!W11+0.2*'Side Pole'!N11),3)</f>
        <v>4.4999999999999998E-2</v>
      </c>
      <c r="R11" s="105">
        <f t="shared" si="4"/>
        <v>0.3</v>
      </c>
      <c r="S11" s="106">
        <f t="shared" si="5"/>
        <v>5</v>
      </c>
      <c r="T11" s="105">
        <f>ROUND(((0.8*'Side MDB'!W11+0.2*'Side Pole'!N11)+(IF('Side MDB'!X11="N/A",(0.8*'Side MDB'!W11+0.2*'Side Pole'!N11),'Side MDB'!X11)))/2,3)</f>
        <v>3.4000000000000002E-2</v>
      </c>
      <c r="U11" s="105">
        <f t="shared" si="6"/>
        <v>0.23</v>
      </c>
      <c r="V11" s="25">
        <f t="shared" si="7"/>
        <v>5</v>
      </c>
      <c r="W11" s="16"/>
      <c r="X11" s="88"/>
      <c r="Y11" s="88"/>
      <c r="Z11" s="8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13.9" customHeight="1">
      <c r="A12" s="171">
        <v>11051</v>
      </c>
      <c r="B12" s="172" t="s">
        <v>165</v>
      </c>
      <c r="C12" s="167" t="str">
        <f>Rollover!A12</f>
        <v>Ford</v>
      </c>
      <c r="D12" s="167" t="str">
        <f>Rollover!B12</f>
        <v>Explorer SUV 4WD</v>
      </c>
      <c r="E12" s="6" t="s">
        <v>102</v>
      </c>
      <c r="F12" s="168">
        <f>Rollover!C12</f>
        <v>2023</v>
      </c>
      <c r="G12" s="102">
        <v>287.851</v>
      </c>
      <c r="H12" s="12">
        <v>21.36</v>
      </c>
      <c r="I12" s="12">
        <v>39.426000000000002</v>
      </c>
      <c r="J12" s="103">
        <v>22.838000000000001</v>
      </c>
      <c r="K12" s="103">
        <v>2546.933</v>
      </c>
      <c r="L12" s="26">
        <f t="shared" si="10"/>
        <v>7.785801547796658E-3</v>
      </c>
      <c r="M12" s="27">
        <f t="shared" si="0"/>
        <v>1.9620150370070557E-2</v>
      </c>
      <c r="N12" s="26">
        <f t="shared" si="1"/>
        <v>2.7E-2</v>
      </c>
      <c r="O12" s="6">
        <f t="shared" si="2"/>
        <v>0.18</v>
      </c>
      <c r="P12" s="25">
        <f t="shared" si="3"/>
        <v>5</v>
      </c>
      <c r="Q12" s="104">
        <f>ROUND((0.8*'Side MDB'!W12+0.2*'Side Pole'!N12),3)</f>
        <v>4.4999999999999998E-2</v>
      </c>
      <c r="R12" s="105">
        <f t="shared" si="4"/>
        <v>0.3</v>
      </c>
      <c r="S12" s="106">
        <f t="shared" si="5"/>
        <v>5</v>
      </c>
      <c r="T12" s="105">
        <f>ROUND(((0.8*'Side MDB'!W12+0.2*'Side Pole'!N12)+(IF('Side MDB'!X12="N/A",(0.8*'Side MDB'!W12+0.2*'Side Pole'!N12),'Side MDB'!X12)))/2,3)</f>
        <v>3.4000000000000002E-2</v>
      </c>
      <c r="U12" s="105">
        <f t="shared" si="6"/>
        <v>0.23</v>
      </c>
      <c r="V12" s="25">
        <f t="shared" si="7"/>
        <v>5</v>
      </c>
      <c r="W12" s="16"/>
      <c r="X12" s="88"/>
      <c r="Y12" s="88"/>
      <c r="Z12" s="88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7" ht="13.9" customHeight="1">
      <c r="A13" s="171">
        <v>11051</v>
      </c>
      <c r="B13" s="172" t="s">
        <v>165</v>
      </c>
      <c r="C13" s="170" t="str">
        <f>Rollover!A13</f>
        <v>Ford</v>
      </c>
      <c r="D13" s="170" t="str">
        <f>Rollover!B13</f>
        <v>Explorer HEV SUV RWD</v>
      </c>
      <c r="E13" s="6" t="s">
        <v>102</v>
      </c>
      <c r="F13" s="168">
        <f>Rollover!C13</f>
        <v>2023</v>
      </c>
      <c r="G13" s="102">
        <v>287.851</v>
      </c>
      <c r="H13" s="12">
        <v>21.36</v>
      </c>
      <c r="I13" s="12">
        <v>39.426000000000002</v>
      </c>
      <c r="J13" s="103">
        <v>22.838000000000001</v>
      </c>
      <c r="K13" s="103">
        <v>2546.933</v>
      </c>
      <c r="L13" s="26">
        <f t="shared" si="10"/>
        <v>7.785801547796658E-3</v>
      </c>
      <c r="M13" s="27">
        <f t="shared" si="0"/>
        <v>1.9620150370070557E-2</v>
      </c>
      <c r="N13" s="26">
        <f t="shared" si="1"/>
        <v>2.7E-2</v>
      </c>
      <c r="O13" s="6">
        <f t="shared" si="2"/>
        <v>0.18</v>
      </c>
      <c r="P13" s="25">
        <f t="shared" si="3"/>
        <v>5</v>
      </c>
      <c r="Q13" s="104">
        <f>ROUND((0.8*'Side MDB'!W13+0.2*'Side Pole'!N13),3)</f>
        <v>4.4999999999999998E-2</v>
      </c>
      <c r="R13" s="105">
        <f t="shared" si="4"/>
        <v>0.3</v>
      </c>
      <c r="S13" s="106">
        <f t="shared" si="5"/>
        <v>5</v>
      </c>
      <c r="T13" s="105">
        <f>ROUND(((0.8*'Side MDB'!W13+0.2*'Side Pole'!N13)+(IF('Side MDB'!X13="N/A",(0.8*'Side MDB'!W13+0.2*'Side Pole'!N13),'Side MDB'!X13)))/2,3)</f>
        <v>3.4000000000000002E-2</v>
      </c>
      <c r="U13" s="105">
        <f t="shared" si="6"/>
        <v>0.23</v>
      </c>
      <c r="V13" s="25">
        <f t="shared" si="7"/>
        <v>5</v>
      </c>
      <c r="W13" s="16"/>
      <c r="X13" s="88"/>
      <c r="Y13" s="88"/>
      <c r="Z13" s="88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ht="13.9" customHeight="1">
      <c r="A14" s="171">
        <v>11051</v>
      </c>
      <c r="B14" s="172" t="s">
        <v>165</v>
      </c>
      <c r="C14" s="170" t="str">
        <f>Rollover!A14</f>
        <v>Ford</v>
      </c>
      <c r="D14" s="170" t="str">
        <f>Rollover!B14</f>
        <v>Explorer HEV SUV 4WD</v>
      </c>
      <c r="E14" s="6" t="s">
        <v>102</v>
      </c>
      <c r="F14" s="168">
        <f>Rollover!C14</f>
        <v>2023</v>
      </c>
      <c r="G14" s="102">
        <v>287.851</v>
      </c>
      <c r="H14" s="12">
        <v>21.36</v>
      </c>
      <c r="I14" s="12">
        <v>39.426000000000002</v>
      </c>
      <c r="J14" s="103">
        <v>22.838000000000001</v>
      </c>
      <c r="K14" s="103">
        <v>2546.933</v>
      </c>
      <c r="L14" s="26">
        <f t="shared" si="10"/>
        <v>7.785801547796658E-3</v>
      </c>
      <c r="M14" s="27">
        <f t="shared" si="0"/>
        <v>1.9620150370070557E-2</v>
      </c>
      <c r="N14" s="26">
        <f t="shared" si="1"/>
        <v>2.7E-2</v>
      </c>
      <c r="O14" s="6">
        <f t="shared" si="2"/>
        <v>0.18</v>
      </c>
      <c r="P14" s="25">
        <f t="shared" si="3"/>
        <v>5</v>
      </c>
      <c r="Q14" s="104">
        <f>ROUND((0.8*'Side MDB'!W14+0.2*'Side Pole'!N14),3)</f>
        <v>4.4999999999999998E-2</v>
      </c>
      <c r="R14" s="105">
        <f t="shared" si="4"/>
        <v>0.3</v>
      </c>
      <c r="S14" s="106">
        <f t="shared" si="5"/>
        <v>5</v>
      </c>
      <c r="T14" s="105">
        <f>ROUND(((0.8*'Side MDB'!W14+0.2*'Side Pole'!N14)+(IF('Side MDB'!X14="N/A",(0.8*'Side MDB'!W14+0.2*'Side Pole'!N14),'Side MDB'!X14)))/2,3)</f>
        <v>3.4000000000000002E-2</v>
      </c>
      <c r="U14" s="105">
        <f t="shared" si="6"/>
        <v>0.23</v>
      </c>
      <c r="V14" s="25">
        <f t="shared" si="7"/>
        <v>5</v>
      </c>
      <c r="W14" s="16"/>
      <c r="X14" s="88"/>
      <c r="Y14" s="88"/>
      <c r="Z14" s="88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ht="13.9" customHeight="1">
      <c r="A15" s="171">
        <v>11051</v>
      </c>
      <c r="B15" s="172" t="s">
        <v>165</v>
      </c>
      <c r="C15" s="170" t="str">
        <f>Rollover!A15</f>
        <v>Lincoln</v>
      </c>
      <c r="D15" s="170" t="str">
        <f>Rollover!B15</f>
        <v>Aviator SUV RWD</v>
      </c>
      <c r="E15" s="6" t="s">
        <v>102</v>
      </c>
      <c r="F15" s="168">
        <f>Rollover!C15</f>
        <v>2023</v>
      </c>
      <c r="G15" s="102">
        <v>287.851</v>
      </c>
      <c r="H15" s="12">
        <v>21.36</v>
      </c>
      <c r="I15" s="12">
        <v>39.426000000000002</v>
      </c>
      <c r="J15" s="103">
        <v>22.838000000000001</v>
      </c>
      <c r="K15" s="103">
        <v>2546.933</v>
      </c>
      <c r="L15" s="26">
        <f t="shared" si="10"/>
        <v>7.785801547796658E-3</v>
      </c>
      <c r="M15" s="27">
        <f t="shared" si="0"/>
        <v>1.9620150370070557E-2</v>
      </c>
      <c r="N15" s="26">
        <f t="shared" si="1"/>
        <v>2.7E-2</v>
      </c>
      <c r="O15" s="6">
        <f t="shared" si="2"/>
        <v>0.18</v>
      </c>
      <c r="P15" s="25">
        <f t="shared" si="3"/>
        <v>5</v>
      </c>
      <c r="Q15" s="104">
        <f>ROUND((0.8*'Side MDB'!W15+0.2*'Side Pole'!N15),3)</f>
        <v>4.4999999999999998E-2</v>
      </c>
      <c r="R15" s="105">
        <f t="shared" si="4"/>
        <v>0.3</v>
      </c>
      <c r="S15" s="106">
        <f t="shared" si="5"/>
        <v>5</v>
      </c>
      <c r="T15" s="105">
        <f>ROUND(((0.8*'Side MDB'!W15+0.2*'Side Pole'!N15)+(IF('Side MDB'!X15="N/A",(0.8*'Side MDB'!W15+0.2*'Side Pole'!N15),'Side MDB'!X15)))/2,3)</f>
        <v>3.4000000000000002E-2</v>
      </c>
      <c r="U15" s="105">
        <f t="shared" si="6"/>
        <v>0.23</v>
      </c>
      <c r="V15" s="25">
        <f t="shared" si="7"/>
        <v>5</v>
      </c>
      <c r="W15" s="16"/>
      <c r="X15" s="88"/>
      <c r="Y15" s="88"/>
      <c r="Z15" s="88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3.9" customHeight="1">
      <c r="A16" s="171">
        <v>11051</v>
      </c>
      <c r="B16" s="172" t="s">
        <v>165</v>
      </c>
      <c r="C16" s="170" t="str">
        <f>Rollover!A16</f>
        <v>Lincoln</v>
      </c>
      <c r="D16" s="170" t="str">
        <f>Rollover!B16</f>
        <v>Aviator SUV 4WD</v>
      </c>
      <c r="E16" s="6" t="s">
        <v>102</v>
      </c>
      <c r="F16" s="168">
        <f>Rollover!C16</f>
        <v>2023</v>
      </c>
      <c r="G16" s="102">
        <v>287.851</v>
      </c>
      <c r="H16" s="12">
        <v>21.36</v>
      </c>
      <c r="I16" s="12">
        <v>39.426000000000002</v>
      </c>
      <c r="J16" s="103">
        <v>22.838000000000001</v>
      </c>
      <c r="K16" s="103">
        <v>2546.933</v>
      </c>
      <c r="L16" s="26">
        <f t="shared" si="10"/>
        <v>7.785801547796658E-3</v>
      </c>
      <c r="M16" s="27">
        <f t="shared" si="0"/>
        <v>1.9620150370070557E-2</v>
      </c>
      <c r="N16" s="26">
        <f t="shared" si="1"/>
        <v>2.7E-2</v>
      </c>
      <c r="O16" s="6">
        <f t="shared" si="2"/>
        <v>0.18</v>
      </c>
      <c r="P16" s="25">
        <f t="shared" si="3"/>
        <v>5</v>
      </c>
      <c r="Q16" s="104">
        <f>ROUND((0.8*'Side MDB'!W16+0.2*'Side Pole'!N16),3)</f>
        <v>4.4999999999999998E-2</v>
      </c>
      <c r="R16" s="105">
        <f t="shared" si="4"/>
        <v>0.3</v>
      </c>
      <c r="S16" s="106">
        <f t="shared" si="5"/>
        <v>5</v>
      </c>
      <c r="T16" s="105">
        <f>ROUND(((0.8*'Side MDB'!W16+0.2*'Side Pole'!N16)+(IF('Side MDB'!X16="N/A",(0.8*'Side MDB'!W16+0.2*'Side Pole'!N16),'Side MDB'!X16)))/2,3)</f>
        <v>3.4000000000000002E-2</v>
      </c>
      <c r="U16" s="105">
        <f t="shared" si="6"/>
        <v>0.23</v>
      </c>
      <c r="V16" s="25">
        <f t="shared" si="7"/>
        <v>5</v>
      </c>
      <c r="W16" s="16"/>
      <c r="X16" s="88"/>
      <c r="Y16" s="88"/>
      <c r="Z16" s="88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3.9" customHeight="1">
      <c r="A17" s="166">
        <v>14291</v>
      </c>
      <c r="B17" s="166" t="s">
        <v>166</v>
      </c>
      <c r="C17" s="167" t="str">
        <f>Rollover!A17</f>
        <v xml:space="preserve">Honda </v>
      </c>
      <c r="D17" s="167" t="str">
        <f>Rollover!B17</f>
        <v>HR-V SUV FWD</v>
      </c>
      <c r="E17" s="70" t="s">
        <v>98</v>
      </c>
      <c r="F17" s="168">
        <f>Rollover!C17</f>
        <v>2023</v>
      </c>
      <c r="G17" s="102">
        <v>292.072</v>
      </c>
      <c r="H17" s="12">
        <v>19.196999999999999</v>
      </c>
      <c r="I17" s="12">
        <v>41.743000000000002</v>
      </c>
      <c r="J17" s="103">
        <v>18.065999999999999</v>
      </c>
      <c r="K17" s="103">
        <v>2510.424</v>
      </c>
      <c r="L17" s="26">
        <f t="shared" ref="L17:L35" si="11">NORMDIST(LN(G17),7.45231,0.73998,1)</f>
        <v>8.216995987454857E-3</v>
      </c>
      <c r="M17" s="27">
        <f t="shared" ref="M17:M35" si="12">1/(1+EXP(6.3055-0.00094*K17))</f>
        <v>1.8970796831674203E-2</v>
      </c>
      <c r="N17" s="26">
        <f t="shared" ref="N17:N35" si="13">ROUND(1-(1-L17)*(1-M17),3)</f>
        <v>2.7E-2</v>
      </c>
      <c r="O17" s="6">
        <f t="shared" ref="O17:O35" si="14">ROUND(N17/0.15,2)</f>
        <v>0.18</v>
      </c>
      <c r="P17" s="25">
        <f t="shared" ref="P17:P35" si="15">IF(O17&lt;0.67,5,IF(O17&lt;1,4,IF(O17&lt;1.33,3,IF(O17&lt;2.67,2,1))))</f>
        <v>5</v>
      </c>
      <c r="Q17" s="104">
        <f>ROUND((0.8*'Side MDB'!W17+0.2*'Side Pole'!N17),3)</f>
        <v>3.2000000000000001E-2</v>
      </c>
      <c r="R17" s="105">
        <f t="shared" ref="R17:R35" si="16">ROUND((Q17)/0.15,2)</f>
        <v>0.21</v>
      </c>
      <c r="S17" s="106">
        <f t="shared" ref="S17:S35" si="17">IF(R17&lt;0.67,5,IF(R17&lt;1,4,IF(R17&lt;1.33,3,IF(R17&lt;2.67,2,1))))</f>
        <v>5</v>
      </c>
      <c r="T17" s="105">
        <f>ROUND(((0.8*'Side MDB'!W17+0.2*'Side Pole'!N17)+(IF('Side MDB'!X17="N/A",(0.8*'Side MDB'!W17+0.2*'Side Pole'!N17),'Side MDB'!X17)))/2,3)</f>
        <v>5.3999999999999999E-2</v>
      </c>
      <c r="U17" s="105">
        <f t="shared" ref="U17:U35" si="18">ROUND((T17)/0.15,2)</f>
        <v>0.36</v>
      </c>
      <c r="V17" s="25">
        <f t="shared" ref="V17:V35" si="19">IF(U17&lt;0.67,5,IF(U17&lt;1,4,IF(U17&lt;1.33,3,IF(U17&lt;2.67,2,1))))</f>
        <v>5</v>
      </c>
      <c r="W17" s="16"/>
      <c r="X17" s="88"/>
      <c r="Y17" s="88"/>
      <c r="Z17" s="88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t="13.9" customHeight="1">
      <c r="A18" s="166">
        <v>14291</v>
      </c>
      <c r="B18" s="166" t="s">
        <v>166</v>
      </c>
      <c r="C18" s="167" t="str">
        <f>Rollover!A18</f>
        <v xml:space="preserve">Honda </v>
      </c>
      <c r="D18" s="167" t="str">
        <f>Rollover!B18</f>
        <v>HR-V SUV AWD</v>
      </c>
      <c r="E18" s="70" t="s">
        <v>98</v>
      </c>
      <c r="F18" s="168">
        <f>Rollover!C18</f>
        <v>2023</v>
      </c>
      <c r="G18" s="102">
        <v>292.072</v>
      </c>
      <c r="H18" s="12">
        <v>19.196999999999999</v>
      </c>
      <c r="I18" s="12">
        <v>41.743000000000002</v>
      </c>
      <c r="J18" s="103">
        <v>18.065999999999999</v>
      </c>
      <c r="K18" s="103">
        <v>2510.424</v>
      </c>
      <c r="L18" s="26">
        <f t="shared" si="11"/>
        <v>8.216995987454857E-3</v>
      </c>
      <c r="M18" s="27">
        <f t="shared" si="12"/>
        <v>1.8970796831674203E-2</v>
      </c>
      <c r="N18" s="26">
        <f t="shared" si="13"/>
        <v>2.7E-2</v>
      </c>
      <c r="O18" s="6">
        <f t="shared" si="14"/>
        <v>0.18</v>
      </c>
      <c r="P18" s="25">
        <f t="shared" si="15"/>
        <v>5</v>
      </c>
      <c r="Q18" s="104">
        <f>ROUND((0.8*'Side MDB'!W18+0.2*'Side Pole'!N18),3)</f>
        <v>3.2000000000000001E-2</v>
      </c>
      <c r="R18" s="105">
        <f t="shared" si="16"/>
        <v>0.21</v>
      </c>
      <c r="S18" s="106">
        <f t="shared" si="17"/>
        <v>5</v>
      </c>
      <c r="T18" s="105">
        <f>ROUND(((0.8*'Side MDB'!W18+0.2*'Side Pole'!N18)+(IF('Side MDB'!X18="N/A",(0.8*'Side MDB'!W18+0.2*'Side Pole'!N18),'Side MDB'!X18)))/2,3)</f>
        <v>5.3999999999999999E-2</v>
      </c>
      <c r="U18" s="105">
        <f t="shared" si="18"/>
        <v>0.36</v>
      </c>
      <c r="V18" s="25">
        <f t="shared" si="19"/>
        <v>5</v>
      </c>
      <c r="W18" s="16"/>
      <c r="X18" s="88"/>
      <c r="Y18" s="88"/>
      <c r="Z18" s="88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 ht="13.9" customHeight="1">
      <c r="A19" s="166">
        <v>14288</v>
      </c>
      <c r="B19" s="166" t="s">
        <v>167</v>
      </c>
      <c r="C19" s="167" t="str">
        <f>Rollover!A19</f>
        <v>Hyundai</v>
      </c>
      <c r="D19" s="167" t="str">
        <f>Rollover!B19</f>
        <v>Santa Cruz PU/CC FWD</v>
      </c>
      <c r="E19" s="70" t="s">
        <v>107</v>
      </c>
      <c r="F19" s="168">
        <f>Rollover!C19</f>
        <v>2023</v>
      </c>
      <c r="G19" s="102">
        <v>303.279</v>
      </c>
      <c r="H19" s="12">
        <v>26.388999999999999</v>
      </c>
      <c r="I19" s="12">
        <v>37.317</v>
      </c>
      <c r="J19" s="103">
        <v>17.004000000000001</v>
      </c>
      <c r="K19" s="103">
        <v>3017.1260000000002</v>
      </c>
      <c r="L19" s="26">
        <f t="shared" ref="L19:L25" si="20">NORMDIST(LN(G19),7.45231,0.73998,1)</f>
        <v>9.4309696370993342E-3</v>
      </c>
      <c r="M19" s="27">
        <f t="shared" ref="M19:M25" si="21">1/(1+EXP(6.3055-0.00094*K19))</f>
        <v>3.0195501116786514E-2</v>
      </c>
      <c r="N19" s="26">
        <f t="shared" ref="N19:N25" si="22">ROUND(1-(1-L19)*(1-M19),3)</f>
        <v>3.9E-2</v>
      </c>
      <c r="O19" s="6">
        <f t="shared" ref="O19:O25" si="23">ROUND(N19/0.15,2)</f>
        <v>0.26</v>
      </c>
      <c r="P19" s="25">
        <f t="shared" ref="P19:P25" si="24">IF(O19&lt;0.67,5,IF(O19&lt;1,4,IF(O19&lt;1.33,3,IF(O19&lt;2.67,2,1))))</f>
        <v>5</v>
      </c>
      <c r="Q19" s="104">
        <f>ROUND((0.8*'Side MDB'!W19+0.2*'Side Pole'!N19),3)</f>
        <v>4.1000000000000002E-2</v>
      </c>
      <c r="R19" s="105">
        <f t="shared" ref="R19:R25" si="25">ROUND((Q19)/0.15,2)</f>
        <v>0.27</v>
      </c>
      <c r="S19" s="106">
        <f t="shared" ref="S19:S25" si="26">IF(R19&lt;0.67,5,IF(R19&lt;1,4,IF(R19&lt;1.33,3,IF(R19&lt;2.67,2,1))))</f>
        <v>5</v>
      </c>
      <c r="T19" s="105">
        <f>ROUND(((0.8*'Side MDB'!W19+0.2*'Side Pole'!N19)+(IF('Side MDB'!X19="N/A",(0.8*'Side MDB'!W19+0.2*'Side Pole'!N19),'Side MDB'!X19)))/2,3)</f>
        <v>2.8000000000000001E-2</v>
      </c>
      <c r="U19" s="105">
        <f t="shared" ref="U19:U25" si="27">ROUND((T19)/0.15,2)</f>
        <v>0.19</v>
      </c>
      <c r="V19" s="25">
        <f t="shared" ref="V19:V25" si="28">IF(U19&lt;0.67,5,IF(U19&lt;1,4,IF(U19&lt;1.33,3,IF(U19&lt;2.67,2,1))))</f>
        <v>5</v>
      </c>
      <c r="W19" s="16"/>
      <c r="X19" s="88"/>
      <c r="Y19" s="88"/>
      <c r="Z19" s="88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ht="13.9" customHeight="1">
      <c r="A20" s="166">
        <v>14288</v>
      </c>
      <c r="B20" s="166" t="s">
        <v>167</v>
      </c>
      <c r="C20" s="167" t="str">
        <f>Rollover!A20</f>
        <v>Hyundai</v>
      </c>
      <c r="D20" s="167" t="str">
        <f>Rollover!B20</f>
        <v>Santa Cruz PU/CC AWD</v>
      </c>
      <c r="E20" s="70" t="s">
        <v>107</v>
      </c>
      <c r="F20" s="168">
        <f>Rollover!C20</f>
        <v>2023</v>
      </c>
      <c r="G20" s="102">
        <v>303.279</v>
      </c>
      <c r="H20" s="12">
        <v>26.388999999999999</v>
      </c>
      <c r="I20" s="12">
        <v>37.317</v>
      </c>
      <c r="J20" s="103">
        <v>17.004000000000001</v>
      </c>
      <c r="K20" s="103">
        <v>3017.1260000000002</v>
      </c>
      <c r="L20" s="26">
        <f t="shared" si="20"/>
        <v>9.4309696370993342E-3</v>
      </c>
      <c r="M20" s="27">
        <f t="shared" si="21"/>
        <v>3.0195501116786514E-2</v>
      </c>
      <c r="N20" s="26">
        <f t="shared" si="22"/>
        <v>3.9E-2</v>
      </c>
      <c r="O20" s="6">
        <f t="shared" si="23"/>
        <v>0.26</v>
      </c>
      <c r="P20" s="25">
        <f t="shared" si="24"/>
        <v>5</v>
      </c>
      <c r="Q20" s="104">
        <f>ROUND((0.8*'Side MDB'!W20+0.2*'Side Pole'!N20),3)</f>
        <v>4.1000000000000002E-2</v>
      </c>
      <c r="R20" s="105">
        <f t="shared" si="25"/>
        <v>0.27</v>
      </c>
      <c r="S20" s="106">
        <f t="shared" si="26"/>
        <v>5</v>
      </c>
      <c r="T20" s="105">
        <f>ROUND(((0.8*'Side MDB'!W20+0.2*'Side Pole'!N20)+(IF('Side MDB'!X20="N/A",(0.8*'Side MDB'!W20+0.2*'Side Pole'!N20),'Side MDB'!X20)))/2,3)</f>
        <v>2.8000000000000001E-2</v>
      </c>
      <c r="U20" s="105">
        <f t="shared" si="27"/>
        <v>0.19</v>
      </c>
      <c r="V20" s="25">
        <f t="shared" si="28"/>
        <v>5</v>
      </c>
      <c r="W20" s="16"/>
      <c r="X20" s="88"/>
      <c r="Y20" s="88"/>
      <c r="Z20" s="88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3.9" customHeight="1">
      <c r="A21" s="166">
        <v>14277</v>
      </c>
      <c r="B21" s="166" t="s">
        <v>168</v>
      </c>
      <c r="C21" s="167" t="str">
        <f>Rollover!A21</f>
        <v>Jeep</v>
      </c>
      <c r="D21" s="167" t="str">
        <f>Rollover!B21</f>
        <v>Grand Cherokee SUV RWD</v>
      </c>
      <c r="E21" s="70" t="s">
        <v>107</v>
      </c>
      <c r="F21" s="168">
        <f>Rollover!C21</f>
        <v>2023</v>
      </c>
      <c r="G21" s="102">
        <v>458.16500000000002</v>
      </c>
      <c r="H21" s="12">
        <v>27.802</v>
      </c>
      <c r="I21" s="12">
        <v>41.142000000000003</v>
      </c>
      <c r="J21" s="103">
        <v>27.253</v>
      </c>
      <c r="K21" s="103">
        <v>2348.3760000000002</v>
      </c>
      <c r="L21" s="26">
        <f t="shared" si="20"/>
        <v>3.6670894891490342E-2</v>
      </c>
      <c r="M21" s="27">
        <f t="shared" si="21"/>
        <v>1.6334177119369801E-2</v>
      </c>
      <c r="N21" s="26">
        <f t="shared" si="22"/>
        <v>5.1999999999999998E-2</v>
      </c>
      <c r="O21" s="6">
        <f t="shared" si="23"/>
        <v>0.35</v>
      </c>
      <c r="P21" s="25">
        <f t="shared" si="24"/>
        <v>5</v>
      </c>
      <c r="Q21" s="104">
        <f>ROUND((0.8*'Side MDB'!W21+0.2*'Side Pole'!N21),3)</f>
        <v>4.8000000000000001E-2</v>
      </c>
      <c r="R21" s="105">
        <f t="shared" si="25"/>
        <v>0.32</v>
      </c>
      <c r="S21" s="106">
        <f t="shared" si="26"/>
        <v>5</v>
      </c>
      <c r="T21" s="105">
        <f>ROUND(((0.8*'Side MDB'!W21+0.2*'Side Pole'!N21)+(IF('Side MDB'!X21="N/A",(0.8*'Side MDB'!W21+0.2*'Side Pole'!N21),'Side MDB'!X21)))/2,3)</f>
        <v>3.3000000000000002E-2</v>
      </c>
      <c r="U21" s="105">
        <f t="shared" si="27"/>
        <v>0.22</v>
      </c>
      <c r="V21" s="25">
        <f t="shared" si="28"/>
        <v>5</v>
      </c>
      <c r="W21" s="16"/>
      <c r="X21" s="88"/>
      <c r="Y21" s="88"/>
      <c r="Z21" s="88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3.9" customHeight="1">
      <c r="A22" s="166">
        <v>14277</v>
      </c>
      <c r="B22" s="166" t="s">
        <v>168</v>
      </c>
      <c r="C22" s="167" t="str">
        <f>Rollover!A22</f>
        <v xml:space="preserve">Jeep </v>
      </c>
      <c r="D22" s="167" t="str">
        <f>Rollover!B22</f>
        <v>Grand Cherokee SUV 4WD</v>
      </c>
      <c r="E22" s="70" t="s">
        <v>107</v>
      </c>
      <c r="F22" s="168">
        <f>Rollover!C22</f>
        <v>2023</v>
      </c>
      <c r="G22" s="102">
        <v>458.16500000000002</v>
      </c>
      <c r="H22" s="12">
        <v>27.802</v>
      </c>
      <c r="I22" s="12">
        <v>41.142000000000003</v>
      </c>
      <c r="J22" s="103">
        <v>27.253</v>
      </c>
      <c r="K22" s="103">
        <v>2348.3760000000002</v>
      </c>
      <c r="L22" s="26">
        <f t="shared" si="20"/>
        <v>3.6670894891490342E-2</v>
      </c>
      <c r="M22" s="27">
        <f t="shared" si="21"/>
        <v>1.6334177119369801E-2</v>
      </c>
      <c r="N22" s="26">
        <f t="shared" si="22"/>
        <v>5.1999999999999998E-2</v>
      </c>
      <c r="O22" s="6">
        <f t="shared" si="23"/>
        <v>0.35</v>
      </c>
      <c r="P22" s="25">
        <f t="shared" si="24"/>
        <v>5</v>
      </c>
      <c r="Q22" s="104">
        <f>ROUND((0.8*'Side MDB'!W22+0.2*'Side Pole'!N22),3)</f>
        <v>4.8000000000000001E-2</v>
      </c>
      <c r="R22" s="105">
        <f t="shared" si="25"/>
        <v>0.32</v>
      </c>
      <c r="S22" s="106">
        <f t="shared" si="26"/>
        <v>5</v>
      </c>
      <c r="T22" s="105">
        <f>ROUND(((0.8*'Side MDB'!W22+0.2*'Side Pole'!N22)+(IF('Side MDB'!X22="N/A",(0.8*'Side MDB'!W22+0.2*'Side Pole'!N22),'Side MDB'!X22)))/2,3)</f>
        <v>3.3000000000000002E-2</v>
      </c>
      <c r="U22" s="105">
        <f t="shared" si="27"/>
        <v>0.22</v>
      </c>
      <c r="V22" s="25">
        <f t="shared" si="28"/>
        <v>5</v>
      </c>
      <c r="W22" s="16"/>
      <c r="X22" s="88"/>
      <c r="Y22" s="88"/>
      <c r="Z22" s="88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3.9" customHeight="1">
      <c r="A23" s="166">
        <v>14249</v>
      </c>
      <c r="B23" s="166" t="s">
        <v>169</v>
      </c>
      <c r="C23" s="170" t="str">
        <f>Rollover!A23</f>
        <v>Jeep</v>
      </c>
      <c r="D23" s="170" t="str">
        <f>Rollover!B23</f>
        <v>Grand Cherokee L SUV RWD</v>
      </c>
      <c r="E23" s="6" t="s">
        <v>108</v>
      </c>
      <c r="F23" s="168">
        <f>Rollover!C23</f>
        <v>2023</v>
      </c>
      <c r="G23" s="102">
        <v>376.43900000000002</v>
      </c>
      <c r="H23" s="12">
        <v>23.91</v>
      </c>
      <c r="I23" s="12">
        <v>31.498000000000001</v>
      </c>
      <c r="J23" s="103">
        <v>21.652999999999999</v>
      </c>
      <c r="K23" s="103">
        <v>1921.046</v>
      </c>
      <c r="L23" s="26">
        <f t="shared" si="20"/>
        <v>1.9881158367278041E-2</v>
      </c>
      <c r="M23" s="27">
        <f t="shared" si="21"/>
        <v>1.0990020807831475E-2</v>
      </c>
      <c r="N23" s="26">
        <f t="shared" si="22"/>
        <v>3.1E-2</v>
      </c>
      <c r="O23" s="6">
        <f t="shared" si="23"/>
        <v>0.21</v>
      </c>
      <c r="P23" s="25">
        <f t="shared" si="24"/>
        <v>5</v>
      </c>
      <c r="Q23" s="104">
        <f>ROUND((0.8*'Side MDB'!W23+0.2*'Side Pole'!N23),3)</f>
        <v>3.6999999999999998E-2</v>
      </c>
      <c r="R23" s="105">
        <f t="shared" si="25"/>
        <v>0.25</v>
      </c>
      <c r="S23" s="106">
        <f t="shared" si="26"/>
        <v>5</v>
      </c>
      <c r="T23" s="105">
        <f>ROUND(((0.8*'Side MDB'!W23+0.2*'Side Pole'!N23)+(IF('Side MDB'!X23="N/A",(0.8*'Side MDB'!W23+0.2*'Side Pole'!N23),'Side MDB'!X23)))/2,3)</f>
        <v>2.3E-2</v>
      </c>
      <c r="U23" s="105">
        <f t="shared" si="27"/>
        <v>0.15</v>
      </c>
      <c r="V23" s="25">
        <f t="shared" si="28"/>
        <v>5</v>
      </c>
      <c r="W23" s="16"/>
      <c r="X23" s="88"/>
      <c r="Y23" s="88"/>
      <c r="Z23" s="88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13.9" customHeight="1">
      <c r="A24" s="166">
        <v>14249</v>
      </c>
      <c r="B24" s="166" t="s">
        <v>169</v>
      </c>
      <c r="C24" s="170" t="str">
        <f>Rollover!A24</f>
        <v>Jeep</v>
      </c>
      <c r="D24" s="170" t="str">
        <f>Rollover!B24</f>
        <v>Grand Cherokee L SUV 4WD</v>
      </c>
      <c r="E24" s="6" t="s">
        <v>108</v>
      </c>
      <c r="F24" s="168">
        <f>Rollover!C24</f>
        <v>2023</v>
      </c>
      <c r="G24" s="102">
        <v>376.43900000000002</v>
      </c>
      <c r="H24" s="12">
        <v>23.91</v>
      </c>
      <c r="I24" s="12">
        <v>31.498000000000001</v>
      </c>
      <c r="J24" s="103">
        <v>21.652999999999999</v>
      </c>
      <c r="K24" s="103">
        <v>1921.046</v>
      </c>
      <c r="L24" s="26">
        <f t="shared" si="20"/>
        <v>1.9881158367278041E-2</v>
      </c>
      <c r="M24" s="27">
        <f t="shared" si="21"/>
        <v>1.0990020807831475E-2</v>
      </c>
      <c r="N24" s="26">
        <f t="shared" si="22"/>
        <v>3.1E-2</v>
      </c>
      <c r="O24" s="6">
        <f t="shared" si="23"/>
        <v>0.21</v>
      </c>
      <c r="P24" s="25">
        <f t="shared" si="24"/>
        <v>5</v>
      </c>
      <c r="Q24" s="104">
        <f>ROUND((0.8*'Side MDB'!W24+0.2*'Side Pole'!N24),3)</f>
        <v>3.6999999999999998E-2</v>
      </c>
      <c r="R24" s="105">
        <f t="shared" si="25"/>
        <v>0.25</v>
      </c>
      <c r="S24" s="106">
        <f t="shared" si="26"/>
        <v>5</v>
      </c>
      <c r="T24" s="105">
        <f>ROUND(((0.8*'Side MDB'!W24+0.2*'Side Pole'!N24)+(IF('Side MDB'!X24="N/A",(0.8*'Side MDB'!W24+0.2*'Side Pole'!N24),'Side MDB'!X24)))/2,3)</f>
        <v>2.3E-2</v>
      </c>
      <c r="U24" s="105">
        <f t="shared" si="27"/>
        <v>0.15</v>
      </c>
      <c r="V24" s="25">
        <f t="shared" si="28"/>
        <v>5</v>
      </c>
      <c r="W24" s="16"/>
      <c r="X24" s="88"/>
      <c r="Y24" s="88"/>
      <c r="Z24" s="88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ht="13.9" customHeight="1">
      <c r="A25" s="166">
        <v>14285</v>
      </c>
      <c r="B25" s="166" t="s">
        <v>170</v>
      </c>
      <c r="C25" s="167" t="str">
        <f>Rollover!A25</f>
        <v>Jeep</v>
      </c>
      <c r="D25" s="167" t="str">
        <f>Rollover!B25</f>
        <v>Grand Cherokee 4xe PHEV SUV 4WD</v>
      </c>
      <c r="E25" s="70" t="s">
        <v>102</v>
      </c>
      <c r="F25" s="168">
        <f>Rollover!C25</f>
        <v>2023</v>
      </c>
      <c r="G25" s="102">
        <v>286.03199999999998</v>
      </c>
      <c r="H25" s="12">
        <v>21.111999999999998</v>
      </c>
      <c r="I25" s="12">
        <v>39.401000000000003</v>
      </c>
      <c r="J25" s="103">
        <v>17.605</v>
      </c>
      <c r="K25" s="103">
        <v>2308.5940000000001</v>
      </c>
      <c r="L25" s="26">
        <f t="shared" si="20"/>
        <v>7.6043382912081882E-3</v>
      </c>
      <c r="M25" s="27">
        <f t="shared" si="21"/>
        <v>1.5744078186014261E-2</v>
      </c>
      <c r="N25" s="26">
        <f t="shared" si="22"/>
        <v>2.3E-2</v>
      </c>
      <c r="O25" s="6">
        <f t="shared" si="23"/>
        <v>0.15</v>
      </c>
      <c r="P25" s="25">
        <f t="shared" si="24"/>
        <v>5</v>
      </c>
      <c r="Q25" s="104">
        <f>ROUND((0.8*'Side MDB'!W25+0.2*'Side Pole'!N25),3)</f>
        <v>2.8000000000000001E-2</v>
      </c>
      <c r="R25" s="105">
        <f t="shared" si="25"/>
        <v>0.19</v>
      </c>
      <c r="S25" s="106">
        <f t="shared" si="26"/>
        <v>5</v>
      </c>
      <c r="T25" s="105">
        <f>ROUND(((0.8*'Side MDB'!W25+0.2*'Side Pole'!N25)+(IF('Side MDB'!X25="N/A",(0.8*'Side MDB'!W25+0.2*'Side Pole'!N25),'Side MDB'!X25)))/2,3)</f>
        <v>2.3E-2</v>
      </c>
      <c r="U25" s="105">
        <f t="shared" si="27"/>
        <v>0.15</v>
      </c>
      <c r="V25" s="25">
        <f t="shared" si="28"/>
        <v>5</v>
      </c>
      <c r="W25" s="16"/>
      <c r="X25" s="88"/>
      <c r="Y25" s="88"/>
      <c r="Z25" s="88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ht="13.9" customHeight="1">
      <c r="A26" s="171"/>
      <c r="B26" s="166"/>
      <c r="C26" s="167" t="str">
        <f>Rollover!A26</f>
        <v>Jeep</v>
      </c>
      <c r="D26" s="167" t="str">
        <f>Rollover!B26</f>
        <v>Wrangler 4xe SUV PHEV 4WD</v>
      </c>
      <c r="E26" s="70"/>
      <c r="F26" s="168">
        <f>Rollover!C26</f>
        <v>2023</v>
      </c>
      <c r="G26" s="102"/>
      <c r="H26" s="12"/>
      <c r="I26" s="12"/>
      <c r="J26" s="103"/>
      <c r="K26" s="13"/>
      <c r="L26" s="26" t="e">
        <f t="shared" si="11"/>
        <v>#NUM!</v>
      </c>
      <c r="M26" s="27">
        <f t="shared" si="12"/>
        <v>1.8229037773026034E-3</v>
      </c>
      <c r="N26" s="26" t="e">
        <f t="shared" si="13"/>
        <v>#NUM!</v>
      </c>
      <c r="O26" s="6" t="e">
        <f t="shared" si="14"/>
        <v>#NUM!</v>
      </c>
      <c r="P26" s="25" t="e">
        <f t="shared" si="15"/>
        <v>#NUM!</v>
      </c>
      <c r="Q26" s="104" t="e">
        <f>ROUND((0.8*'Side MDB'!W26+0.2*'Side Pole'!N26),3)</f>
        <v>#NUM!</v>
      </c>
      <c r="R26" s="105" t="e">
        <f t="shared" si="16"/>
        <v>#NUM!</v>
      </c>
      <c r="S26" s="106" t="e">
        <f t="shared" si="17"/>
        <v>#NUM!</v>
      </c>
      <c r="T26" s="105" t="e">
        <f>ROUND(((0.8*'Side MDB'!W26+0.2*'Side Pole'!N26)+(IF('Side MDB'!X26="N/A",(0.8*'Side MDB'!W26+0.2*'Side Pole'!N26),'Side MDB'!X26)))/2,3)</f>
        <v>#NUM!</v>
      </c>
      <c r="U26" s="105" t="e">
        <f t="shared" si="18"/>
        <v>#NUM!</v>
      </c>
      <c r="V26" s="25" t="e">
        <f t="shared" si="19"/>
        <v>#NUM!</v>
      </c>
      <c r="W26" s="16"/>
      <c r="X26" s="88"/>
      <c r="Y26" s="88"/>
      <c r="Z26" s="88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ht="13.9" customHeight="1">
      <c r="A27" s="165">
        <v>14278</v>
      </c>
      <c r="B27" s="166" t="s">
        <v>171</v>
      </c>
      <c r="C27" s="167" t="str">
        <f>Rollover!A27</f>
        <v>Kia</v>
      </c>
      <c r="D27" s="167" t="str">
        <f>Rollover!B27</f>
        <v>Sportage SUV FWD</v>
      </c>
      <c r="E27" s="70" t="s">
        <v>99</v>
      </c>
      <c r="F27" s="168">
        <f>Rollover!C27</f>
        <v>2023</v>
      </c>
      <c r="G27" s="102">
        <v>293.28699999999998</v>
      </c>
      <c r="H27" s="12">
        <v>19.539000000000001</v>
      </c>
      <c r="I27" s="12">
        <v>43.857999999999997</v>
      </c>
      <c r="J27" s="103">
        <v>27.492000000000001</v>
      </c>
      <c r="K27" s="13">
        <v>3246.58</v>
      </c>
      <c r="L27" s="26">
        <f t="shared" si="11"/>
        <v>8.3437421478290887E-3</v>
      </c>
      <c r="M27" s="27">
        <f t="shared" si="12"/>
        <v>3.719363042791022E-2</v>
      </c>
      <c r="N27" s="26">
        <f t="shared" si="13"/>
        <v>4.4999999999999998E-2</v>
      </c>
      <c r="O27" s="6">
        <f t="shared" si="14"/>
        <v>0.3</v>
      </c>
      <c r="P27" s="25">
        <f t="shared" si="15"/>
        <v>5</v>
      </c>
      <c r="Q27" s="104">
        <f>ROUND((0.8*'Side MDB'!W27+0.2*'Side Pole'!N27),3)</f>
        <v>5.3999999999999999E-2</v>
      </c>
      <c r="R27" s="105">
        <f t="shared" si="16"/>
        <v>0.36</v>
      </c>
      <c r="S27" s="106">
        <f t="shared" si="17"/>
        <v>5</v>
      </c>
      <c r="T27" s="105">
        <f>ROUND(((0.8*'Side MDB'!W27+0.2*'Side Pole'!N27)+(IF('Side MDB'!X27="N/A",(0.8*'Side MDB'!W27+0.2*'Side Pole'!N27),'Side MDB'!X27)))/2,3)</f>
        <v>3.5999999999999997E-2</v>
      </c>
      <c r="U27" s="105">
        <f t="shared" si="18"/>
        <v>0.24</v>
      </c>
      <c r="V27" s="25">
        <f t="shared" si="19"/>
        <v>5</v>
      </c>
      <c r="W27" s="16"/>
      <c r="X27" s="88"/>
      <c r="Y27" s="88"/>
      <c r="Z27" s="88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3.9" customHeight="1">
      <c r="A28" s="165">
        <v>14278</v>
      </c>
      <c r="B28" s="166" t="s">
        <v>171</v>
      </c>
      <c r="C28" s="167" t="str">
        <f>Rollover!A28</f>
        <v>Kia</v>
      </c>
      <c r="D28" s="167" t="str">
        <f>Rollover!B28</f>
        <v>Sportage SUV AWD</v>
      </c>
      <c r="E28" s="70" t="s">
        <v>99</v>
      </c>
      <c r="F28" s="168">
        <f>Rollover!C28</f>
        <v>2023</v>
      </c>
      <c r="G28" s="102">
        <v>293.28699999999998</v>
      </c>
      <c r="H28" s="12">
        <v>19.539000000000001</v>
      </c>
      <c r="I28" s="12">
        <v>43.857999999999997</v>
      </c>
      <c r="J28" s="103">
        <v>27.492000000000001</v>
      </c>
      <c r="K28" s="13">
        <v>3246.58</v>
      </c>
      <c r="L28" s="26">
        <f t="shared" si="11"/>
        <v>8.3437421478290887E-3</v>
      </c>
      <c r="M28" s="27">
        <f t="shared" si="12"/>
        <v>3.719363042791022E-2</v>
      </c>
      <c r="N28" s="26">
        <f t="shared" si="13"/>
        <v>4.4999999999999998E-2</v>
      </c>
      <c r="O28" s="6">
        <f t="shared" si="14"/>
        <v>0.3</v>
      </c>
      <c r="P28" s="25">
        <f t="shared" si="15"/>
        <v>5</v>
      </c>
      <c r="Q28" s="104">
        <f>ROUND((0.8*'Side MDB'!W28+0.2*'Side Pole'!N28),3)</f>
        <v>5.3999999999999999E-2</v>
      </c>
      <c r="R28" s="105">
        <f t="shared" si="16"/>
        <v>0.36</v>
      </c>
      <c r="S28" s="106">
        <f t="shared" si="17"/>
        <v>5</v>
      </c>
      <c r="T28" s="105">
        <f>ROUND(((0.8*'Side MDB'!W28+0.2*'Side Pole'!N28)+(IF('Side MDB'!X28="N/A",(0.8*'Side MDB'!W28+0.2*'Side Pole'!N28),'Side MDB'!X28)))/2,3)</f>
        <v>3.5999999999999997E-2</v>
      </c>
      <c r="U28" s="105">
        <f t="shared" si="18"/>
        <v>0.24</v>
      </c>
      <c r="V28" s="25">
        <f t="shared" si="19"/>
        <v>5</v>
      </c>
      <c r="W28" s="16"/>
      <c r="X28" s="88"/>
      <c r="Y28" s="88"/>
      <c r="Z28" s="88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 ht="13.9" customHeight="1">
      <c r="A29" s="165">
        <v>14278</v>
      </c>
      <c r="B29" s="166" t="s">
        <v>171</v>
      </c>
      <c r="C29" s="170" t="str">
        <f>Rollover!A29</f>
        <v>Kia</v>
      </c>
      <c r="D29" s="170" t="str">
        <f>Rollover!B29</f>
        <v>Sportage Hybrid SUV FWD</v>
      </c>
      <c r="E29" s="70" t="s">
        <v>99</v>
      </c>
      <c r="F29" s="168">
        <f>Rollover!C29</f>
        <v>2023</v>
      </c>
      <c r="G29" s="102">
        <v>293.28699999999998</v>
      </c>
      <c r="H29" s="12">
        <v>19.539000000000001</v>
      </c>
      <c r="I29" s="12">
        <v>43.857999999999997</v>
      </c>
      <c r="J29" s="103">
        <v>27.492000000000001</v>
      </c>
      <c r="K29" s="13">
        <v>3246.58</v>
      </c>
      <c r="L29" s="26">
        <f t="shared" si="11"/>
        <v>8.3437421478290887E-3</v>
      </c>
      <c r="M29" s="27">
        <f t="shared" si="12"/>
        <v>3.719363042791022E-2</v>
      </c>
      <c r="N29" s="26">
        <f t="shared" si="13"/>
        <v>4.4999999999999998E-2</v>
      </c>
      <c r="O29" s="6">
        <f t="shared" si="14"/>
        <v>0.3</v>
      </c>
      <c r="P29" s="25">
        <f t="shared" si="15"/>
        <v>5</v>
      </c>
      <c r="Q29" s="104">
        <f>ROUND((0.8*'Side MDB'!W29+0.2*'Side Pole'!N29),3)</f>
        <v>5.3999999999999999E-2</v>
      </c>
      <c r="R29" s="105">
        <f t="shared" si="16"/>
        <v>0.36</v>
      </c>
      <c r="S29" s="106">
        <f t="shared" si="17"/>
        <v>5</v>
      </c>
      <c r="T29" s="105">
        <f>ROUND(((0.8*'Side MDB'!W29+0.2*'Side Pole'!N29)+(IF('Side MDB'!X29="N/A",(0.8*'Side MDB'!W29+0.2*'Side Pole'!N29),'Side MDB'!X29)))/2,3)</f>
        <v>3.5999999999999997E-2</v>
      </c>
      <c r="U29" s="105">
        <f t="shared" si="18"/>
        <v>0.24</v>
      </c>
      <c r="V29" s="25">
        <f t="shared" si="19"/>
        <v>5</v>
      </c>
      <c r="W29" s="16"/>
      <c r="X29" s="88"/>
      <c r="Y29" s="88"/>
      <c r="Z29" s="88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3.9" customHeight="1">
      <c r="A30" s="165">
        <v>14278</v>
      </c>
      <c r="B30" s="166" t="s">
        <v>171</v>
      </c>
      <c r="C30" s="170" t="str">
        <f>Rollover!A30</f>
        <v>Kia</v>
      </c>
      <c r="D30" s="170" t="str">
        <f>Rollover!B30</f>
        <v>Sportage Hybrid SUV AWD</v>
      </c>
      <c r="E30" s="70" t="s">
        <v>99</v>
      </c>
      <c r="F30" s="168">
        <f>Rollover!C30</f>
        <v>2023</v>
      </c>
      <c r="G30" s="102">
        <v>293.28699999999998</v>
      </c>
      <c r="H30" s="12">
        <v>19.539000000000001</v>
      </c>
      <c r="I30" s="12">
        <v>43.857999999999997</v>
      </c>
      <c r="J30" s="103">
        <v>27.492000000000001</v>
      </c>
      <c r="K30" s="13">
        <v>3246.58</v>
      </c>
      <c r="L30" s="26">
        <f t="shared" si="11"/>
        <v>8.3437421478290887E-3</v>
      </c>
      <c r="M30" s="27">
        <f t="shared" si="12"/>
        <v>3.719363042791022E-2</v>
      </c>
      <c r="N30" s="26">
        <f t="shared" si="13"/>
        <v>4.4999999999999998E-2</v>
      </c>
      <c r="O30" s="6">
        <f t="shared" si="14"/>
        <v>0.3</v>
      </c>
      <c r="P30" s="25">
        <f t="shared" si="15"/>
        <v>5</v>
      </c>
      <c r="Q30" s="104">
        <f>ROUND((0.8*'Side MDB'!W30+0.2*'Side Pole'!N30),3)</f>
        <v>5.3999999999999999E-2</v>
      </c>
      <c r="R30" s="105">
        <f t="shared" si="16"/>
        <v>0.36</v>
      </c>
      <c r="S30" s="106">
        <f t="shared" si="17"/>
        <v>5</v>
      </c>
      <c r="T30" s="105">
        <f>ROUND(((0.8*'Side MDB'!W30+0.2*'Side Pole'!N30)+(IF('Side MDB'!X30="N/A",(0.8*'Side MDB'!W30+0.2*'Side Pole'!N30),'Side MDB'!X30)))/2,3)</f>
        <v>3.5999999999999997E-2</v>
      </c>
      <c r="U30" s="105">
        <f t="shared" si="18"/>
        <v>0.24</v>
      </c>
      <c r="V30" s="25">
        <f t="shared" si="19"/>
        <v>5</v>
      </c>
      <c r="W30" s="16"/>
      <c r="X30" s="88"/>
      <c r="Y30" s="88"/>
      <c r="Z30" s="88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ht="13.9" customHeight="1">
      <c r="A31" s="165">
        <v>14389</v>
      </c>
      <c r="B31" s="166" t="s">
        <v>172</v>
      </c>
      <c r="C31" s="167" t="str">
        <f>Rollover!A31</f>
        <v>Mazda</v>
      </c>
      <c r="D31" s="167" t="str">
        <f>Rollover!B31</f>
        <v>Mazda CX-50 SUV AWD</v>
      </c>
      <c r="E31" s="70" t="s">
        <v>98</v>
      </c>
      <c r="F31" s="168">
        <f>Rollover!C31</f>
        <v>2023</v>
      </c>
      <c r="G31" s="108"/>
      <c r="H31" s="20"/>
      <c r="I31" s="20"/>
      <c r="J31" s="109"/>
      <c r="K31" s="21"/>
      <c r="L31" s="26" t="e">
        <f t="shared" ref="L31" si="29">NORMDIST(LN(G31),7.45231,0.73998,1)</f>
        <v>#NUM!</v>
      </c>
      <c r="M31" s="27">
        <f t="shared" ref="M31" si="30">1/(1+EXP(6.3055-0.00094*K31))</f>
        <v>1.8229037773026034E-3</v>
      </c>
      <c r="N31" s="26" t="e">
        <f t="shared" ref="N31" si="31">ROUND(1-(1-L31)*(1-M31),3)</f>
        <v>#NUM!</v>
      </c>
      <c r="O31" s="6" t="e">
        <f t="shared" ref="O31" si="32">ROUND(N31/0.15,2)</f>
        <v>#NUM!</v>
      </c>
      <c r="P31" s="25" t="e">
        <f t="shared" ref="P31" si="33">IF(O31&lt;0.67,5,IF(O31&lt;1,4,IF(O31&lt;1.33,3,IF(O31&lt;2.67,2,1))))</f>
        <v>#NUM!</v>
      </c>
      <c r="Q31" s="104" t="e">
        <f>ROUND((0.8*'Side MDB'!W31+0.2*'Side Pole'!N31),3)</f>
        <v>#NUM!</v>
      </c>
      <c r="R31" s="105" t="e">
        <f t="shared" ref="R31" si="34">ROUND((Q31)/0.15,2)</f>
        <v>#NUM!</v>
      </c>
      <c r="S31" s="106" t="e">
        <f t="shared" ref="S31" si="35">IF(R31&lt;0.67,5,IF(R31&lt;1,4,IF(R31&lt;1.33,3,IF(R31&lt;2.67,2,1))))</f>
        <v>#NUM!</v>
      </c>
      <c r="T31" s="105" t="e">
        <f>ROUND(((0.8*'Side MDB'!W31+0.2*'Side Pole'!N31)+(IF('Side MDB'!X31="N/A",(0.8*'Side MDB'!W31+0.2*'Side Pole'!N31),'Side MDB'!X31)))/2,3)</f>
        <v>#NUM!</v>
      </c>
      <c r="U31" s="105" t="e">
        <f t="shared" ref="U31" si="36">ROUND((T31)/0.15,2)</f>
        <v>#NUM!</v>
      </c>
      <c r="V31" s="25" t="e">
        <f t="shared" ref="V31" si="37">IF(U31&lt;0.67,5,IF(U31&lt;1,4,IF(U31&lt;1.33,3,IF(U31&lt;2.67,2,1))))</f>
        <v>#NUM!</v>
      </c>
      <c r="W31" s="16"/>
      <c r="X31" s="88"/>
      <c r="Y31" s="88"/>
      <c r="Z31" s="88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3.9" customHeight="1">
      <c r="A32" s="165">
        <v>14287</v>
      </c>
      <c r="B32" s="166" t="s">
        <v>173</v>
      </c>
      <c r="C32" s="167" t="str">
        <f>Rollover!A32</f>
        <v xml:space="preserve">Mitsubishi </v>
      </c>
      <c r="D32" s="167" t="str">
        <f>Rollover!B32</f>
        <v>Outlander SUV FWD</v>
      </c>
      <c r="E32" s="70" t="s">
        <v>108</v>
      </c>
      <c r="F32" s="168">
        <f>Rollover!C32</f>
        <v>2023</v>
      </c>
      <c r="G32" s="102">
        <v>335.69900000000001</v>
      </c>
      <c r="H32" s="12">
        <v>21.617000000000001</v>
      </c>
      <c r="I32" s="12">
        <v>36.158000000000001</v>
      </c>
      <c r="J32" s="103">
        <v>17.225000000000001</v>
      </c>
      <c r="K32" s="13">
        <v>2735.703</v>
      </c>
      <c r="L32" s="26">
        <f t="shared" si="11"/>
        <v>1.3517951523300719E-2</v>
      </c>
      <c r="M32" s="27">
        <f t="shared" si="12"/>
        <v>2.3340701659832964E-2</v>
      </c>
      <c r="N32" s="26">
        <f t="shared" si="13"/>
        <v>3.6999999999999998E-2</v>
      </c>
      <c r="O32" s="6">
        <f t="shared" si="14"/>
        <v>0.25</v>
      </c>
      <c r="P32" s="25">
        <f t="shared" si="15"/>
        <v>5</v>
      </c>
      <c r="Q32" s="104">
        <f>ROUND((0.8*'Side MDB'!W32+0.2*'Side Pole'!N32),3)</f>
        <v>4.4999999999999998E-2</v>
      </c>
      <c r="R32" s="105">
        <f t="shared" si="16"/>
        <v>0.3</v>
      </c>
      <c r="S32" s="106">
        <f t="shared" si="17"/>
        <v>5</v>
      </c>
      <c r="T32" s="105">
        <f>ROUND(((0.8*'Side MDB'!W32+0.2*'Side Pole'!N32)+(IF('Side MDB'!X32="N/A",(0.8*'Side MDB'!W32+0.2*'Side Pole'!N32),'Side MDB'!X32)))/2,3)</f>
        <v>3.1E-2</v>
      </c>
      <c r="U32" s="105">
        <f t="shared" si="18"/>
        <v>0.21</v>
      </c>
      <c r="V32" s="25">
        <f t="shared" si="19"/>
        <v>5</v>
      </c>
      <c r="W32" s="16"/>
      <c r="X32" s="88"/>
      <c r="Y32" s="88"/>
      <c r="Z32" s="88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ht="13.9" customHeight="1">
      <c r="A33" s="166">
        <v>14287</v>
      </c>
      <c r="B33" s="166" t="s">
        <v>173</v>
      </c>
      <c r="C33" s="167" t="str">
        <f>Rollover!A33</f>
        <v xml:space="preserve">Mitsubishi </v>
      </c>
      <c r="D33" s="167" t="str">
        <f>Rollover!B33</f>
        <v>Outlander SUV AWD</v>
      </c>
      <c r="E33" s="70" t="s">
        <v>108</v>
      </c>
      <c r="F33" s="168">
        <f>Rollover!C33</f>
        <v>2023</v>
      </c>
      <c r="G33" s="102">
        <v>335.69900000000001</v>
      </c>
      <c r="H33" s="12">
        <v>21.617000000000001</v>
      </c>
      <c r="I33" s="12">
        <v>36.158000000000001</v>
      </c>
      <c r="J33" s="103">
        <v>17.225000000000001</v>
      </c>
      <c r="K33" s="103">
        <v>2735.703</v>
      </c>
      <c r="L33" s="26">
        <f>NORMDIST(LN(G33),7.45231,0.73998,1)</f>
        <v>1.3517951523300719E-2</v>
      </c>
      <c r="M33" s="27">
        <f>1/(1+EXP(6.3055-0.00094*K33))</f>
        <v>2.3340701659832964E-2</v>
      </c>
      <c r="N33" s="26">
        <f>ROUND(1-(1-L33)*(1-M33),3)</f>
        <v>3.6999999999999998E-2</v>
      </c>
      <c r="O33" s="6">
        <f t="shared" si="14"/>
        <v>0.25</v>
      </c>
      <c r="P33" s="25">
        <f t="shared" si="15"/>
        <v>5</v>
      </c>
      <c r="Q33" s="104">
        <f>ROUND((0.8*'Side MDB'!W33+0.2*'Side Pole'!N33),3)</f>
        <v>4.4999999999999998E-2</v>
      </c>
      <c r="R33" s="105">
        <f t="shared" si="16"/>
        <v>0.3</v>
      </c>
      <c r="S33" s="106">
        <f t="shared" si="17"/>
        <v>5</v>
      </c>
      <c r="T33" s="105">
        <f>ROUND(((0.8*'Side MDB'!W33+0.2*'Side Pole'!N33)+(IF('Side MDB'!X33="N/A",(0.8*'Side MDB'!W33+0.2*'Side Pole'!N33),'Side MDB'!X33)))/2,3)</f>
        <v>3.1E-2</v>
      </c>
      <c r="U33" s="105">
        <f t="shared" si="18"/>
        <v>0.21</v>
      </c>
      <c r="V33" s="25">
        <f t="shared" si="19"/>
        <v>5</v>
      </c>
      <c r="W33" s="16"/>
      <c r="X33" s="88"/>
      <c r="Y33" s="88"/>
      <c r="Z33" s="88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ht="13.9" customHeight="1">
      <c r="A34" s="165">
        <v>14280</v>
      </c>
      <c r="B34" s="166" t="s">
        <v>174</v>
      </c>
      <c r="C34" s="167" t="str">
        <f>Rollover!A34</f>
        <v>Nissan</v>
      </c>
      <c r="D34" s="167" t="str">
        <f>Rollover!B34</f>
        <v>Armada SUV RWD</v>
      </c>
      <c r="E34" s="70" t="s">
        <v>108</v>
      </c>
      <c r="F34" s="168">
        <f>Rollover!C34</f>
        <v>2023</v>
      </c>
      <c r="G34" s="108">
        <v>287.33800000000002</v>
      </c>
      <c r="H34" s="20">
        <v>18.010999999999999</v>
      </c>
      <c r="I34" s="20">
        <v>63.542000000000002</v>
      </c>
      <c r="J34" s="109">
        <v>14.643000000000001</v>
      </c>
      <c r="K34" s="109">
        <v>2591.3789999999999</v>
      </c>
      <c r="L34" s="26">
        <f t="shared" si="11"/>
        <v>7.7343597622726093E-3</v>
      </c>
      <c r="M34" s="27">
        <f t="shared" si="12"/>
        <v>2.0440119851584899E-2</v>
      </c>
      <c r="N34" s="26">
        <f t="shared" si="13"/>
        <v>2.8000000000000001E-2</v>
      </c>
      <c r="O34" s="6">
        <f t="shared" si="14"/>
        <v>0.19</v>
      </c>
      <c r="P34" s="25">
        <f t="shared" si="15"/>
        <v>5</v>
      </c>
      <c r="Q34" s="104">
        <f>ROUND((0.8*'Side MDB'!W34+0.2*'Side Pole'!N34),3)</f>
        <v>3.5999999999999997E-2</v>
      </c>
      <c r="R34" s="105">
        <f t="shared" si="16"/>
        <v>0.24</v>
      </c>
      <c r="S34" s="106">
        <f t="shared" si="17"/>
        <v>5</v>
      </c>
      <c r="T34" s="105">
        <f>ROUND(((0.8*'Side MDB'!W34+0.2*'Side Pole'!N34)+(IF('Side MDB'!X34="N/A",(0.8*'Side MDB'!W34+0.2*'Side Pole'!N34),'Side MDB'!X34)))/2,3)</f>
        <v>0.02</v>
      </c>
      <c r="U34" s="105">
        <f t="shared" si="18"/>
        <v>0.13</v>
      </c>
      <c r="V34" s="25">
        <f t="shared" si="19"/>
        <v>5</v>
      </c>
      <c r="W34" s="16"/>
      <c r="X34" s="88"/>
      <c r="Y34" s="88"/>
      <c r="Z34" s="88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3.9" customHeight="1">
      <c r="A35" s="171">
        <v>14280</v>
      </c>
      <c r="B35" s="172" t="s">
        <v>174</v>
      </c>
      <c r="C35" s="167" t="str">
        <f>Rollover!A35</f>
        <v>Nissan</v>
      </c>
      <c r="D35" s="167" t="str">
        <f>Rollover!B35</f>
        <v>Armada SUV 4WD</v>
      </c>
      <c r="E35" s="70" t="s">
        <v>108</v>
      </c>
      <c r="F35" s="168">
        <f>Rollover!C35</f>
        <v>2023</v>
      </c>
      <c r="G35" s="102">
        <v>287.33800000000002</v>
      </c>
      <c r="H35" s="12">
        <v>18.010999999999999</v>
      </c>
      <c r="I35" s="12">
        <v>63.542000000000002</v>
      </c>
      <c r="J35" s="103">
        <v>14.643000000000001</v>
      </c>
      <c r="K35" s="13">
        <v>2591.3789999999999</v>
      </c>
      <c r="L35" s="26">
        <f t="shared" si="11"/>
        <v>7.7343597622726093E-3</v>
      </c>
      <c r="M35" s="27">
        <f t="shared" si="12"/>
        <v>2.0440119851584899E-2</v>
      </c>
      <c r="N35" s="26">
        <f t="shared" si="13"/>
        <v>2.8000000000000001E-2</v>
      </c>
      <c r="O35" s="6">
        <f t="shared" si="14"/>
        <v>0.19</v>
      </c>
      <c r="P35" s="25">
        <f t="shared" si="15"/>
        <v>5</v>
      </c>
      <c r="Q35" s="104">
        <f>ROUND((0.8*'Side MDB'!W35+0.2*'Side Pole'!N35),3)</f>
        <v>3.5999999999999997E-2</v>
      </c>
      <c r="R35" s="105">
        <f t="shared" si="16"/>
        <v>0.24</v>
      </c>
      <c r="S35" s="106">
        <f t="shared" si="17"/>
        <v>5</v>
      </c>
      <c r="T35" s="105">
        <f>ROUND(((0.8*'Side MDB'!W35+0.2*'Side Pole'!N35)+(IF('Side MDB'!X35="N/A",(0.8*'Side MDB'!W35+0.2*'Side Pole'!N35),'Side MDB'!X35)))/2,3)</f>
        <v>0.02</v>
      </c>
      <c r="U35" s="105">
        <f t="shared" si="18"/>
        <v>0.13</v>
      </c>
      <c r="V35" s="25">
        <f t="shared" si="19"/>
        <v>5</v>
      </c>
      <c r="W35" s="16"/>
      <c r="X35" s="88"/>
      <c r="Y35" s="88"/>
      <c r="Z35" s="88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ht="13.9" customHeight="1">
      <c r="A36" s="165">
        <v>14280</v>
      </c>
      <c r="B36" s="166" t="s">
        <v>174</v>
      </c>
      <c r="C36" s="170" t="str">
        <f>Rollover!A36</f>
        <v xml:space="preserve">Infiniti </v>
      </c>
      <c r="D36" s="170" t="str">
        <f>Rollover!B36</f>
        <v>QX80 SUV RWD</v>
      </c>
      <c r="E36" s="70" t="s">
        <v>108</v>
      </c>
      <c r="F36" s="168">
        <f>Rollover!C36</f>
        <v>2023</v>
      </c>
      <c r="G36" s="102">
        <v>287.33800000000002</v>
      </c>
      <c r="H36" s="12">
        <v>18.010999999999999</v>
      </c>
      <c r="I36" s="12">
        <v>63.542000000000002</v>
      </c>
      <c r="J36" s="103">
        <v>14.643000000000001</v>
      </c>
      <c r="K36" s="13">
        <v>2591.3789999999999</v>
      </c>
      <c r="L36" s="26">
        <f t="shared" ref="L36" si="38">NORMDIST(LN(G36),7.45231,0.73998,1)</f>
        <v>7.7343597622726093E-3</v>
      </c>
      <c r="M36" s="27">
        <f t="shared" ref="M36" si="39">1/(1+EXP(6.3055-0.00094*K36))</f>
        <v>2.0440119851584899E-2</v>
      </c>
      <c r="N36" s="26">
        <f t="shared" ref="N36" si="40">ROUND(1-(1-L36)*(1-M36),3)</f>
        <v>2.8000000000000001E-2</v>
      </c>
      <c r="O36" s="6">
        <f t="shared" ref="O36" si="41">ROUND(N36/0.15,2)</f>
        <v>0.19</v>
      </c>
      <c r="P36" s="25">
        <f t="shared" ref="P36" si="42">IF(O36&lt;0.67,5,IF(O36&lt;1,4,IF(O36&lt;1.33,3,IF(O36&lt;2.67,2,1))))</f>
        <v>5</v>
      </c>
      <c r="Q36" s="104">
        <f>ROUND((0.8*'Side MDB'!W36+0.2*'Side Pole'!N36),3)</f>
        <v>3.5999999999999997E-2</v>
      </c>
      <c r="R36" s="105">
        <f t="shared" ref="R36" si="43">ROUND((Q36)/0.15,2)</f>
        <v>0.24</v>
      </c>
      <c r="S36" s="106">
        <f t="shared" ref="S36" si="44">IF(R36&lt;0.67,5,IF(R36&lt;1,4,IF(R36&lt;1.33,3,IF(R36&lt;2.67,2,1))))</f>
        <v>5</v>
      </c>
      <c r="T36" s="105">
        <f>ROUND(((0.8*'Side MDB'!W36+0.2*'Side Pole'!N36)+(IF('Side MDB'!X36="N/A",(0.8*'Side MDB'!W36+0.2*'Side Pole'!N36),'Side MDB'!X36)))/2,3)</f>
        <v>0.02</v>
      </c>
      <c r="U36" s="105">
        <f t="shared" ref="U36" si="45">ROUND((T36)/0.15,2)</f>
        <v>0.13</v>
      </c>
      <c r="V36" s="25">
        <f t="shared" ref="V36" si="46">IF(U36&lt;0.67,5,IF(U36&lt;1,4,IF(U36&lt;1.33,3,IF(U36&lt;2.67,2,1))))</f>
        <v>5</v>
      </c>
      <c r="W36" s="16"/>
      <c r="X36" s="88"/>
      <c r="Y36" s="88"/>
      <c r="Z36" s="88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ht="13.9" customHeight="1">
      <c r="A37" s="165">
        <v>14280</v>
      </c>
      <c r="B37" s="166" t="s">
        <v>174</v>
      </c>
      <c r="C37" s="170" t="str">
        <f>Rollover!A37</f>
        <v xml:space="preserve">Infiniti </v>
      </c>
      <c r="D37" s="170" t="str">
        <f>Rollover!B37</f>
        <v>QX80 SUV 4WD</v>
      </c>
      <c r="E37" s="70" t="s">
        <v>108</v>
      </c>
      <c r="F37" s="168">
        <f>Rollover!C37</f>
        <v>2023</v>
      </c>
      <c r="G37" s="102">
        <v>287.33800000000002</v>
      </c>
      <c r="H37" s="12">
        <v>18.010999999999999</v>
      </c>
      <c r="I37" s="12">
        <v>63.542000000000002</v>
      </c>
      <c r="J37" s="103">
        <v>14.643000000000001</v>
      </c>
      <c r="K37" s="13">
        <v>2591.3789999999999</v>
      </c>
      <c r="L37" s="26">
        <f t="shared" ref="L37:L38" si="47">NORMDIST(LN(G37),7.45231,0.73998,1)</f>
        <v>7.7343597622726093E-3</v>
      </c>
      <c r="M37" s="27">
        <f t="shared" ref="M37:M38" si="48">1/(1+EXP(6.3055-0.00094*K37))</f>
        <v>2.0440119851584899E-2</v>
      </c>
      <c r="N37" s="26">
        <f t="shared" ref="N37:N38" si="49">ROUND(1-(1-L37)*(1-M37),3)</f>
        <v>2.8000000000000001E-2</v>
      </c>
      <c r="O37" s="6">
        <f t="shared" ref="O37:O38" si="50">ROUND(N37/0.15,2)</f>
        <v>0.19</v>
      </c>
      <c r="P37" s="25">
        <f t="shared" ref="P37:P38" si="51">IF(O37&lt;0.67,5,IF(O37&lt;1,4,IF(O37&lt;1.33,3,IF(O37&lt;2.67,2,1))))</f>
        <v>5</v>
      </c>
      <c r="Q37" s="104">
        <f>ROUND((0.8*'Side MDB'!W37+0.2*'Side Pole'!N37),3)</f>
        <v>3.5999999999999997E-2</v>
      </c>
      <c r="R37" s="105">
        <f t="shared" ref="R37:R38" si="52">ROUND((Q37)/0.15,2)</f>
        <v>0.24</v>
      </c>
      <c r="S37" s="106">
        <f t="shared" ref="S37:S38" si="53">IF(R37&lt;0.67,5,IF(R37&lt;1,4,IF(R37&lt;1.33,3,IF(R37&lt;2.67,2,1))))</f>
        <v>5</v>
      </c>
      <c r="T37" s="105">
        <f>ROUND(((0.8*'Side MDB'!W37+0.2*'Side Pole'!N37)+(IF('Side MDB'!X37="N/A",(0.8*'Side MDB'!W37+0.2*'Side Pole'!N37),'Side MDB'!X37)))/2,3)</f>
        <v>0.02</v>
      </c>
      <c r="U37" s="105">
        <f t="shared" ref="U37:U38" si="54">ROUND((T37)/0.15,2)</f>
        <v>0.13</v>
      </c>
      <c r="V37" s="25">
        <f t="shared" ref="V37:V38" si="55">IF(U37&lt;0.67,5,IF(U37&lt;1,4,IF(U37&lt;1.33,3,IF(U37&lt;2.67,2,1))))</f>
        <v>5</v>
      </c>
      <c r="W37" s="16"/>
      <c r="X37" s="88"/>
      <c r="Y37" s="88"/>
      <c r="Z37" s="88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ht="13.9" customHeight="1">
      <c r="A38" s="171"/>
      <c r="B38" s="172"/>
      <c r="C38" s="167" t="str">
        <f>Rollover!A38</f>
        <v>Rivian</v>
      </c>
      <c r="D38" s="167" t="str">
        <f>Rollover!B38</f>
        <v>R1S SUV BEV AWD</v>
      </c>
      <c r="E38" s="70"/>
      <c r="F38" s="168">
        <f>Rollover!C38</f>
        <v>2023</v>
      </c>
      <c r="G38" s="102"/>
      <c r="H38" s="12"/>
      <c r="I38" s="12"/>
      <c r="J38" s="103"/>
      <c r="K38" s="13"/>
      <c r="L38" s="26" t="e">
        <f t="shared" si="47"/>
        <v>#NUM!</v>
      </c>
      <c r="M38" s="27">
        <f t="shared" si="48"/>
        <v>1.8229037773026034E-3</v>
      </c>
      <c r="N38" s="26" t="e">
        <f t="shared" si="49"/>
        <v>#NUM!</v>
      </c>
      <c r="O38" s="6" t="e">
        <f t="shared" si="50"/>
        <v>#NUM!</v>
      </c>
      <c r="P38" s="25" t="e">
        <f t="shared" si="51"/>
        <v>#NUM!</v>
      </c>
      <c r="Q38" s="104" t="e">
        <f>ROUND((0.8*'Side MDB'!W38+0.2*'Side Pole'!N38),3)</f>
        <v>#NUM!</v>
      </c>
      <c r="R38" s="105" t="e">
        <f t="shared" si="52"/>
        <v>#NUM!</v>
      </c>
      <c r="S38" s="106" t="e">
        <f t="shared" si="53"/>
        <v>#NUM!</v>
      </c>
      <c r="T38" s="105" t="e">
        <f>ROUND(((0.8*'Side MDB'!W38+0.2*'Side Pole'!N38)+(IF('Side MDB'!X38="N/A",(0.8*'Side MDB'!W38+0.2*'Side Pole'!N38),'Side MDB'!X38)))/2,3)</f>
        <v>#NUM!</v>
      </c>
      <c r="U38" s="105" t="e">
        <f t="shared" si="54"/>
        <v>#NUM!</v>
      </c>
      <c r="V38" s="25" t="e">
        <f t="shared" si="55"/>
        <v>#NUM!</v>
      </c>
      <c r="W38" s="16"/>
      <c r="X38" s="88"/>
      <c r="Y38" s="88"/>
      <c r="Z38" s="88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ht="13.9" customHeight="1">
      <c r="G39" s="88"/>
      <c r="H39" s="88"/>
      <c r="I39" s="88"/>
      <c r="J39" s="88"/>
      <c r="K39" s="88"/>
      <c r="L39" s="88"/>
      <c r="M39" s="88"/>
      <c r="N39" s="16"/>
      <c r="O39" s="16"/>
      <c r="P39" s="14"/>
      <c r="Q39" s="16"/>
      <c r="R39" s="88"/>
      <c r="S39" s="89"/>
      <c r="T39" s="89"/>
      <c r="U39" s="89"/>
      <c r="V39" s="89"/>
      <c r="W39" s="16"/>
      <c r="X39" s="88"/>
      <c r="Y39" s="88"/>
      <c r="Z39" s="88"/>
      <c r="AA39" s="107"/>
      <c r="AB39" s="107"/>
      <c r="AC39" s="107"/>
      <c r="AD39" s="107"/>
    </row>
    <row r="40" spans="1:37" ht="13.9" customHeight="1">
      <c r="N40" s="169"/>
      <c r="O40" s="169"/>
      <c r="P40" s="173"/>
      <c r="Q40" s="169"/>
    </row>
    <row r="41" spans="1:37" ht="13.9" customHeight="1">
      <c r="N41" s="169"/>
      <c r="O41" s="169"/>
      <c r="P41" s="173"/>
      <c r="Q41" s="169"/>
    </row>
    <row r="42" spans="1:37" ht="13.9" customHeight="1">
      <c r="N42" s="169"/>
      <c r="O42" s="169"/>
      <c r="P42" s="173"/>
      <c r="Q42" s="169"/>
    </row>
    <row r="43" spans="1:37" ht="13.9" customHeight="1">
      <c r="N43" s="169"/>
      <c r="O43" s="169"/>
      <c r="P43" s="173"/>
      <c r="Q43" s="169"/>
    </row>
    <row r="44" spans="1:37" ht="13.9" customHeight="1">
      <c r="N44" s="169"/>
      <c r="O44" s="169"/>
      <c r="P44" s="173"/>
      <c r="Q44" s="169"/>
    </row>
    <row r="45" spans="1:37" ht="13.9" customHeight="1">
      <c r="N45" s="169"/>
      <c r="O45" s="169"/>
      <c r="P45" s="173"/>
      <c r="Q45" s="169"/>
    </row>
    <row r="46" spans="1:37" ht="13.9" customHeight="1">
      <c r="N46" s="169"/>
      <c r="O46" s="169"/>
      <c r="P46" s="173"/>
      <c r="Q46" s="169"/>
    </row>
    <row r="47" spans="1:37" ht="13.9" customHeight="1">
      <c r="N47" s="169"/>
      <c r="O47" s="169"/>
      <c r="P47" s="173"/>
      <c r="Q47" s="169"/>
    </row>
    <row r="48" spans="1:37" ht="13.9" customHeight="1">
      <c r="N48" s="169"/>
      <c r="O48" s="169"/>
      <c r="P48" s="173"/>
      <c r="Q48" s="169"/>
    </row>
    <row r="49" spans="14:17" ht="13.9" customHeight="1">
      <c r="N49" s="169"/>
      <c r="O49" s="169"/>
      <c r="P49" s="173"/>
      <c r="Q49" s="169"/>
    </row>
    <row r="50" spans="14:17" ht="13.9" customHeight="1">
      <c r="N50" s="169"/>
      <c r="O50" s="169"/>
      <c r="P50" s="173"/>
      <c r="Q50" s="169"/>
    </row>
    <row r="51" spans="14:17" ht="13.9" customHeight="1">
      <c r="N51" s="169"/>
      <c r="O51" s="169"/>
      <c r="P51" s="173"/>
      <c r="Q51" s="169"/>
    </row>
    <row r="52" spans="14:17" ht="13.9" customHeight="1">
      <c r="N52" s="169"/>
      <c r="O52" s="169"/>
      <c r="P52" s="173"/>
      <c r="Q52" s="169"/>
    </row>
    <row r="53" spans="14:17" ht="13.9" customHeight="1">
      <c r="N53" s="169"/>
      <c r="O53" s="169"/>
      <c r="P53" s="173"/>
      <c r="Q53" s="169"/>
    </row>
    <row r="54" spans="14:17" ht="13.9" customHeight="1">
      <c r="N54" s="169"/>
      <c r="O54" s="169"/>
      <c r="P54" s="173"/>
      <c r="Q54" s="169"/>
    </row>
    <row r="55" spans="14:17" ht="13.9" customHeight="1">
      <c r="N55" s="169"/>
      <c r="O55" s="169"/>
      <c r="P55" s="173"/>
      <c r="Q55" s="169"/>
    </row>
    <row r="56" spans="14:17" ht="13.9" customHeight="1">
      <c r="N56" s="169"/>
      <c r="O56" s="169"/>
      <c r="P56" s="173"/>
      <c r="Q56" s="169"/>
    </row>
    <row r="57" spans="14:17" ht="13.9" customHeight="1">
      <c r="N57" s="169"/>
      <c r="O57" s="169"/>
      <c r="P57" s="173"/>
      <c r="Q57" s="169"/>
    </row>
    <row r="58" spans="14:17" ht="13.9" customHeight="1">
      <c r="N58" s="169"/>
      <c r="O58" s="169"/>
      <c r="P58" s="173"/>
      <c r="Q58" s="169"/>
    </row>
    <row r="59" spans="14:17" ht="13.9" customHeight="1">
      <c r="N59" s="169"/>
      <c r="O59" s="169"/>
      <c r="P59" s="173"/>
      <c r="Q59" s="169"/>
    </row>
    <row r="60" spans="14:17" ht="13.9" customHeight="1">
      <c r="N60" s="169"/>
      <c r="O60" s="169"/>
      <c r="P60" s="173"/>
      <c r="Q60" s="169"/>
    </row>
    <row r="61" spans="14:17" ht="13.9" customHeight="1">
      <c r="N61" s="169"/>
      <c r="O61" s="169"/>
      <c r="P61" s="173"/>
      <c r="Q61" s="169"/>
    </row>
    <row r="62" spans="14:17" ht="13.9" customHeight="1">
      <c r="N62" s="169"/>
      <c r="O62" s="169"/>
      <c r="P62" s="173"/>
      <c r="Q62" s="169"/>
    </row>
    <row r="63" spans="14:17" ht="13.9" customHeight="1">
      <c r="N63" s="169"/>
      <c r="O63" s="169"/>
      <c r="P63" s="173"/>
      <c r="Q63" s="169"/>
    </row>
    <row r="64" spans="14:17" ht="13.9" customHeight="1">
      <c r="N64" s="169"/>
      <c r="O64" s="169"/>
      <c r="P64" s="173"/>
      <c r="Q64" s="169"/>
    </row>
    <row r="65" spans="14:17" ht="13.9" customHeight="1">
      <c r="N65" s="169"/>
      <c r="O65" s="169"/>
      <c r="P65" s="173"/>
      <c r="Q65" s="169"/>
    </row>
    <row r="66" spans="14:17" ht="13.9" customHeight="1">
      <c r="N66" s="169"/>
      <c r="O66" s="169"/>
      <c r="P66" s="173"/>
      <c r="Q66" s="169"/>
    </row>
    <row r="67" spans="14:17" ht="13.9" customHeight="1">
      <c r="N67" s="169"/>
      <c r="O67" s="169"/>
      <c r="P67" s="173"/>
      <c r="Q67" s="169"/>
    </row>
    <row r="68" spans="14:17" ht="13.9" customHeight="1">
      <c r="N68" s="169"/>
      <c r="O68" s="169"/>
      <c r="P68" s="173"/>
      <c r="Q68" s="169"/>
    </row>
    <row r="69" spans="14:17" ht="13.9" customHeight="1">
      <c r="N69" s="169"/>
      <c r="O69" s="169"/>
      <c r="P69" s="173"/>
      <c r="Q69" s="169"/>
    </row>
    <row r="70" spans="14:17" ht="13.9" customHeight="1">
      <c r="N70" s="169"/>
      <c r="O70" s="169"/>
      <c r="P70" s="173"/>
      <c r="Q70" s="169"/>
    </row>
    <row r="71" spans="14:17" ht="13.9" customHeight="1">
      <c r="N71" s="169"/>
      <c r="O71" s="169"/>
      <c r="P71" s="173"/>
      <c r="Q71" s="169"/>
    </row>
    <row r="72" spans="14:17" ht="13.9" customHeight="1">
      <c r="N72" s="169"/>
      <c r="O72" s="169"/>
      <c r="P72" s="173"/>
      <c r="Q72" s="169"/>
    </row>
    <row r="73" spans="14:17" ht="13.9" customHeight="1">
      <c r="N73" s="169"/>
      <c r="O73" s="169"/>
      <c r="P73" s="173"/>
      <c r="Q73" s="169"/>
    </row>
    <row r="74" spans="14:17" ht="13.9" customHeight="1">
      <c r="N74" s="169"/>
      <c r="O74" s="169"/>
      <c r="P74" s="173"/>
      <c r="Q74" s="169"/>
    </row>
    <row r="75" spans="14:17" ht="13.9" customHeight="1">
      <c r="N75" s="169"/>
      <c r="O75" s="169"/>
      <c r="P75" s="173"/>
      <c r="Q75" s="169"/>
    </row>
    <row r="76" spans="14:17" ht="13.9" customHeight="1">
      <c r="N76" s="169"/>
      <c r="O76" s="169"/>
      <c r="P76" s="173"/>
      <c r="Q76" s="169"/>
    </row>
    <row r="77" spans="14:17" ht="13.9" customHeight="1">
      <c r="N77" s="169"/>
      <c r="O77" s="169"/>
      <c r="P77" s="173"/>
      <c r="Q77" s="169"/>
    </row>
    <row r="78" spans="14:17" ht="13.9" customHeight="1">
      <c r="N78" s="169"/>
      <c r="O78" s="169"/>
      <c r="P78" s="173"/>
      <c r="Q78" s="169"/>
    </row>
    <row r="79" spans="14:17" ht="13.9" customHeight="1">
      <c r="N79" s="169"/>
      <c r="O79" s="169"/>
      <c r="P79" s="173"/>
      <c r="Q79" s="169"/>
    </row>
    <row r="80" spans="14:17" ht="13.9" customHeight="1">
      <c r="N80" s="169"/>
      <c r="O80" s="169"/>
      <c r="P80" s="173"/>
      <c r="Q80" s="169"/>
    </row>
    <row r="81" spans="14:17" ht="13.9" customHeight="1">
      <c r="N81" s="169"/>
      <c r="O81" s="169"/>
      <c r="P81" s="173"/>
      <c r="Q81" s="169"/>
    </row>
    <row r="82" spans="14:17" ht="13.9" customHeight="1">
      <c r="N82" s="169"/>
      <c r="O82" s="169"/>
      <c r="P82" s="173"/>
      <c r="Q82" s="169"/>
    </row>
    <row r="83" spans="14:17" ht="13.9" customHeight="1">
      <c r="N83" s="169"/>
      <c r="O83" s="169"/>
      <c r="P83" s="173"/>
      <c r="Q83" s="169"/>
    </row>
    <row r="84" spans="14:17" ht="13.9" customHeight="1">
      <c r="N84" s="169"/>
      <c r="O84" s="169"/>
      <c r="P84" s="173"/>
      <c r="Q84" s="169"/>
    </row>
    <row r="85" spans="14:17" ht="13.9" customHeight="1">
      <c r="N85" s="169"/>
      <c r="O85" s="169"/>
      <c r="P85" s="173"/>
      <c r="Q85" s="169"/>
    </row>
    <row r="86" spans="14:17" ht="13.9" customHeight="1">
      <c r="N86" s="169"/>
      <c r="O86" s="169"/>
      <c r="P86" s="173"/>
      <c r="Q86" s="169"/>
    </row>
    <row r="87" spans="14:17" ht="13.9" customHeight="1">
      <c r="N87" s="169"/>
      <c r="O87" s="169"/>
      <c r="P87" s="173"/>
      <c r="Q87" s="169"/>
    </row>
    <row r="88" spans="14:17" ht="13.9" customHeight="1">
      <c r="N88" s="169"/>
      <c r="O88" s="169"/>
      <c r="P88" s="173"/>
      <c r="Q88" s="169"/>
    </row>
    <row r="89" spans="14:17" ht="13.9" customHeight="1">
      <c r="N89" s="169"/>
      <c r="O89" s="169"/>
      <c r="P89" s="173"/>
      <c r="Q89" s="169"/>
    </row>
    <row r="90" spans="14:17" ht="13.9" customHeight="1">
      <c r="N90" s="169"/>
      <c r="O90" s="169"/>
      <c r="P90" s="173"/>
      <c r="Q90" s="169"/>
    </row>
    <row r="91" spans="14:17" ht="13.9" customHeight="1">
      <c r="N91" s="169"/>
      <c r="O91" s="169"/>
      <c r="P91" s="173"/>
      <c r="Q91" s="169"/>
    </row>
    <row r="92" spans="14:17" ht="13.9" customHeight="1">
      <c r="N92" s="169"/>
      <c r="O92" s="169"/>
      <c r="P92" s="173"/>
      <c r="Q92" s="169"/>
    </row>
    <row r="93" spans="14:17" ht="13.9" customHeight="1">
      <c r="N93" s="169"/>
      <c r="O93" s="169"/>
      <c r="P93" s="173"/>
      <c r="Q93" s="169"/>
    </row>
    <row r="94" spans="14:17" ht="13.9" customHeight="1">
      <c r="N94" s="169"/>
      <c r="O94" s="169"/>
      <c r="P94" s="173"/>
      <c r="Q94" s="169"/>
    </row>
    <row r="95" spans="14:17" ht="13.9" customHeight="1">
      <c r="N95" s="169"/>
      <c r="O95" s="169"/>
      <c r="P95" s="173"/>
      <c r="Q95" s="169"/>
    </row>
    <row r="96" spans="14:17" ht="13.9" customHeight="1">
      <c r="N96" s="169"/>
      <c r="O96" s="169"/>
      <c r="P96" s="173"/>
      <c r="Q96" s="169"/>
    </row>
    <row r="97" spans="14:17" ht="13.9" customHeight="1">
      <c r="N97" s="169"/>
      <c r="O97" s="169"/>
      <c r="P97" s="173"/>
      <c r="Q97" s="169"/>
    </row>
    <row r="98" spans="14:17" ht="13.9" customHeight="1">
      <c r="N98" s="169"/>
      <c r="O98" s="169"/>
      <c r="P98" s="173"/>
      <c r="Q98" s="169"/>
    </row>
    <row r="99" spans="14:17" ht="13.9" customHeight="1">
      <c r="N99" s="169"/>
      <c r="O99" s="169"/>
      <c r="P99" s="173"/>
      <c r="Q99" s="169"/>
    </row>
    <row r="100" spans="14:17" ht="13.9" customHeight="1">
      <c r="N100" s="169"/>
      <c r="O100" s="169"/>
      <c r="P100" s="173"/>
      <c r="Q100" s="169"/>
    </row>
    <row r="101" spans="14:17" ht="13.9" customHeight="1">
      <c r="N101" s="169"/>
      <c r="O101" s="169"/>
      <c r="P101" s="173"/>
      <c r="Q101" s="169"/>
    </row>
    <row r="102" spans="14:17" ht="13.9" customHeight="1">
      <c r="N102" s="169"/>
      <c r="O102" s="169"/>
      <c r="P102" s="173"/>
      <c r="Q102" s="169"/>
    </row>
    <row r="103" spans="14:17" ht="13.9" customHeight="1">
      <c r="N103" s="169"/>
      <c r="O103" s="169"/>
      <c r="P103" s="173"/>
      <c r="Q103" s="169"/>
    </row>
    <row r="104" spans="14:17" ht="13.9" customHeight="1">
      <c r="N104" s="169"/>
      <c r="O104" s="169"/>
      <c r="P104" s="173"/>
      <c r="Q104" s="169"/>
    </row>
    <row r="105" spans="14:17" ht="13.9" customHeight="1">
      <c r="N105" s="169"/>
      <c r="O105" s="169"/>
      <c r="P105" s="173"/>
      <c r="Q105" s="169"/>
    </row>
    <row r="106" spans="14:17" ht="13.9" customHeight="1">
      <c r="N106" s="169"/>
      <c r="O106" s="169"/>
      <c r="P106" s="173"/>
      <c r="Q106" s="169"/>
    </row>
    <row r="107" spans="14:17" ht="13.9" customHeight="1">
      <c r="N107" s="169"/>
      <c r="O107" s="169"/>
      <c r="P107" s="173"/>
      <c r="Q107" s="169"/>
    </row>
    <row r="108" spans="14:17" ht="13.9" customHeight="1">
      <c r="N108" s="169"/>
      <c r="O108" s="169"/>
      <c r="P108" s="173"/>
      <c r="Q108" s="169"/>
    </row>
    <row r="109" spans="14:17" ht="13.9" customHeight="1">
      <c r="N109" s="169"/>
      <c r="O109" s="169"/>
      <c r="P109" s="173"/>
      <c r="Q109" s="169"/>
    </row>
    <row r="110" spans="14:17" ht="13.9" customHeight="1">
      <c r="N110" s="169"/>
      <c r="O110" s="169"/>
      <c r="P110" s="173"/>
      <c r="Q110" s="169"/>
    </row>
    <row r="111" spans="14:17" ht="13.9" customHeight="1">
      <c r="N111" s="169"/>
      <c r="O111" s="169"/>
      <c r="P111" s="173"/>
      <c r="Q111" s="169"/>
    </row>
    <row r="112" spans="14:17" ht="13.9" customHeight="1">
      <c r="N112" s="169"/>
      <c r="O112" s="169"/>
      <c r="P112" s="173"/>
      <c r="Q112" s="169"/>
    </row>
    <row r="113" spans="14:17" ht="13.9" customHeight="1">
      <c r="N113" s="169"/>
      <c r="O113" s="169"/>
      <c r="P113" s="173"/>
      <c r="Q113" s="169"/>
    </row>
    <row r="114" spans="14:17" ht="13.9" customHeight="1">
      <c r="N114" s="169"/>
      <c r="O114" s="169"/>
      <c r="P114" s="173"/>
      <c r="Q114" s="169"/>
    </row>
    <row r="115" spans="14:17" ht="13.9" customHeight="1">
      <c r="N115" s="169"/>
      <c r="O115" s="169"/>
      <c r="P115" s="173"/>
      <c r="Q115" s="169"/>
    </row>
    <row r="116" spans="14:17" ht="13.9" customHeight="1">
      <c r="N116" s="169"/>
      <c r="O116" s="169"/>
      <c r="P116" s="173"/>
      <c r="Q116" s="169"/>
    </row>
    <row r="117" spans="14:17" ht="13.9" customHeight="1">
      <c r="N117" s="169"/>
      <c r="O117" s="169"/>
      <c r="P117" s="173"/>
      <c r="Q117" s="169"/>
    </row>
    <row r="118" spans="14:17" ht="13.9" customHeight="1">
      <c r="N118" s="169"/>
      <c r="O118" s="169"/>
      <c r="P118" s="173"/>
      <c r="Q118" s="169"/>
    </row>
    <row r="119" spans="14:17" ht="13.9" customHeight="1">
      <c r="N119" s="169"/>
      <c r="O119" s="169"/>
      <c r="P119" s="173"/>
      <c r="Q119" s="169"/>
    </row>
    <row r="120" spans="14:17" ht="13.9" customHeight="1">
      <c r="N120" s="169"/>
      <c r="O120" s="169"/>
      <c r="P120" s="173"/>
      <c r="Q120" s="169"/>
    </row>
    <row r="121" spans="14:17" ht="13.9" customHeight="1">
      <c r="N121" s="169"/>
      <c r="O121" s="169"/>
      <c r="P121" s="173"/>
      <c r="Q121" s="169"/>
    </row>
    <row r="122" spans="14:17" ht="13.9" customHeight="1">
      <c r="N122" s="169"/>
      <c r="O122" s="169"/>
      <c r="P122" s="173"/>
      <c r="Q122" s="169"/>
    </row>
    <row r="123" spans="14:17" ht="13.9" customHeight="1">
      <c r="N123" s="169"/>
      <c r="O123" s="169"/>
      <c r="P123" s="173"/>
      <c r="Q123" s="169"/>
    </row>
    <row r="124" spans="14:17" ht="13.9" customHeight="1">
      <c r="N124" s="169"/>
      <c r="O124" s="169"/>
      <c r="P124" s="173"/>
      <c r="Q124" s="169"/>
    </row>
    <row r="125" spans="14:17" ht="13.9" customHeight="1">
      <c r="N125" s="169"/>
      <c r="O125" s="169"/>
      <c r="P125" s="173"/>
      <c r="Q125" s="169"/>
    </row>
    <row r="126" spans="14:17" ht="13.9" customHeight="1">
      <c r="N126" s="169"/>
      <c r="O126" s="169"/>
      <c r="P126" s="173"/>
      <c r="Q126" s="169"/>
    </row>
    <row r="127" spans="14:17" ht="13.9" customHeight="1">
      <c r="N127" s="169"/>
      <c r="O127" s="169"/>
      <c r="P127" s="173"/>
      <c r="Q127" s="169"/>
    </row>
    <row r="128" spans="14:17" ht="13.9" customHeight="1">
      <c r="N128" s="169"/>
      <c r="O128" s="169"/>
      <c r="P128" s="173"/>
      <c r="Q128" s="169"/>
    </row>
    <row r="129" spans="14:17" ht="13.9" customHeight="1">
      <c r="N129" s="169"/>
      <c r="O129" s="169"/>
      <c r="P129" s="173"/>
      <c r="Q129" s="169"/>
    </row>
    <row r="130" spans="14:17" ht="13.9" customHeight="1">
      <c r="N130" s="169"/>
      <c r="O130" s="169"/>
      <c r="P130" s="173"/>
      <c r="Q130" s="169"/>
    </row>
    <row r="131" spans="14:17" ht="13.9" customHeight="1">
      <c r="N131" s="169"/>
      <c r="O131" s="169"/>
      <c r="P131" s="173"/>
      <c r="Q131" s="169"/>
    </row>
    <row r="132" spans="14:17" ht="13.9" customHeight="1">
      <c r="N132" s="169"/>
      <c r="O132" s="169"/>
      <c r="P132" s="173"/>
      <c r="Q132" s="169"/>
    </row>
    <row r="133" spans="14:17" ht="13.9" customHeight="1">
      <c r="N133" s="169"/>
      <c r="O133" s="169"/>
      <c r="P133" s="173"/>
      <c r="Q133" s="169"/>
    </row>
    <row r="134" spans="14:17" ht="13.9" customHeight="1">
      <c r="N134" s="169"/>
      <c r="O134" s="169"/>
      <c r="P134" s="173"/>
      <c r="Q134" s="169"/>
    </row>
    <row r="135" spans="14:17" ht="13.9" customHeight="1">
      <c r="N135" s="169"/>
      <c r="O135" s="169"/>
      <c r="P135" s="173"/>
      <c r="Q135" s="169"/>
    </row>
    <row r="136" spans="14:17" ht="13.9" customHeight="1">
      <c r="N136" s="169"/>
      <c r="O136" s="169"/>
      <c r="P136" s="173"/>
      <c r="Q136" s="169"/>
    </row>
    <row r="137" spans="14:17" ht="13.9" customHeight="1">
      <c r="N137" s="169"/>
      <c r="O137" s="169"/>
      <c r="P137" s="173"/>
      <c r="Q137" s="169"/>
    </row>
    <row r="138" spans="14:17" ht="13.9" customHeight="1">
      <c r="N138" s="169"/>
      <c r="O138" s="169"/>
      <c r="P138" s="173"/>
      <c r="Q138" s="169"/>
    </row>
    <row r="139" spans="14:17" ht="13.9" customHeight="1">
      <c r="N139" s="169"/>
      <c r="O139" s="169"/>
      <c r="P139" s="173"/>
      <c r="Q139" s="169"/>
    </row>
    <row r="140" spans="14:17" ht="13.9" customHeight="1">
      <c r="N140" s="169"/>
      <c r="O140" s="169"/>
      <c r="P140" s="173"/>
      <c r="Q140" s="169"/>
    </row>
    <row r="141" spans="14:17" ht="13.9" customHeight="1">
      <c r="N141" s="169"/>
      <c r="O141" s="169"/>
      <c r="P141" s="173"/>
      <c r="Q141" s="169"/>
    </row>
    <row r="142" spans="14:17" ht="13.9" customHeight="1">
      <c r="N142" s="169"/>
      <c r="O142" s="169"/>
      <c r="P142" s="173"/>
      <c r="Q142" s="169"/>
    </row>
    <row r="143" spans="14:17" ht="13.9" customHeight="1">
      <c r="N143" s="169"/>
      <c r="O143" s="169"/>
      <c r="P143" s="173"/>
      <c r="Q143" s="169"/>
    </row>
    <row r="144" spans="14:17" ht="13.9" customHeight="1">
      <c r="N144" s="169"/>
      <c r="O144" s="169"/>
      <c r="P144" s="173"/>
      <c r="Q144" s="169"/>
    </row>
    <row r="145" spans="14:17" ht="13.9" customHeight="1">
      <c r="N145" s="169"/>
      <c r="O145" s="169"/>
      <c r="P145" s="173"/>
      <c r="Q145" s="169"/>
    </row>
    <row r="146" spans="14:17" ht="13.9" customHeight="1">
      <c r="N146" s="169"/>
      <c r="O146" s="169"/>
      <c r="P146" s="173"/>
      <c r="Q146" s="169"/>
    </row>
    <row r="147" spans="14:17" ht="13.9" customHeight="1">
      <c r="N147" s="169"/>
      <c r="O147" s="169"/>
      <c r="P147" s="173"/>
      <c r="Q147" s="169"/>
    </row>
    <row r="148" spans="14:17" ht="13.9" customHeight="1">
      <c r="N148" s="169"/>
      <c r="O148" s="169"/>
      <c r="P148" s="173"/>
      <c r="Q148" s="169"/>
    </row>
    <row r="149" spans="14:17" ht="13.9" customHeight="1">
      <c r="N149" s="169"/>
      <c r="O149" s="169"/>
      <c r="P149" s="173"/>
      <c r="Q149" s="169"/>
    </row>
    <row r="150" spans="14:17" ht="13.9" customHeight="1">
      <c r="N150" s="169"/>
      <c r="O150" s="169"/>
      <c r="P150" s="173"/>
      <c r="Q150" s="169"/>
    </row>
    <row r="151" spans="14:17" ht="13.9" customHeight="1">
      <c r="N151" s="169"/>
      <c r="O151" s="169"/>
      <c r="P151" s="173"/>
      <c r="Q151" s="169"/>
    </row>
    <row r="152" spans="14:17" ht="13.9" customHeight="1">
      <c r="N152" s="169"/>
      <c r="O152" s="169"/>
      <c r="P152" s="173"/>
      <c r="Q152" s="169"/>
    </row>
    <row r="153" spans="14:17" ht="13.9" customHeight="1">
      <c r="N153" s="169"/>
      <c r="O153" s="169"/>
      <c r="P153" s="173"/>
      <c r="Q153" s="169"/>
    </row>
    <row r="154" spans="14:17" ht="13.9" customHeight="1">
      <c r="N154" s="169"/>
      <c r="O154" s="169"/>
      <c r="P154" s="173"/>
      <c r="Q154" s="169"/>
    </row>
    <row r="155" spans="14:17" ht="13.9" customHeight="1">
      <c r="N155" s="169"/>
      <c r="O155" s="169"/>
      <c r="P155" s="173"/>
      <c r="Q155" s="169"/>
    </row>
    <row r="156" spans="14:17" ht="13.9" customHeight="1">
      <c r="N156" s="169"/>
      <c r="O156" s="169"/>
      <c r="P156" s="173"/>
      <c r="Q156" s="169"/>
    </row>
    <row r="157" spans="14:17" ht="13.9" customHeight="1">
      <c r="N157" s="169"/>
      <c r="O157" s="169"/>
      <c r="P157" s="173"/>
      <c r="Q157" s="169"/>
    </row>
    <row r="158" spans="14:17" ht="13.9" customHeight="1">
      <c r="N158" s="169"/>
      <c r="O158" s="169"/>
      <c r="P158" s="173"/>
      <c r="Q158" s="169"/>
    </row>
    <row r="159" spans="14:17" ht="13.9" customHeight="1">
      <c r="N159" s="169"/>
      <c r="O159" s="169"/>
      <c r="P159" s="173"/>
      <c r="Q159" s="169"/>
    </row>
    <row r="160" spans="14:17" ht="13.9" customHeight="1">
      <c r="N160" s="169"/>
      <c r="O160" s="169"/>
      <c r="P160" s="173"/>
      <c r="Q160" s="169"/>
    </row>
    <row r="161" spans="14:17" ht="13.9" customHeight="1">
      <c r="N161" s="169"/>
      <c r="O161" s="169"/>
      <c r="P161" s="173"/>
      <c r="Q161" s="169"/>
    </row>
    <row r="162" spans="14:17" ht="13.9" customHeight="1">
      <c r="N162" s="169"/>
      <c r="O162" s="169"/>
      <c r="P162" s="173"/>
      <c r="Q162" s="169"/>
    </row>
    <row r="163" spans="14:17" ht="13.9" customHeight="1">
      <c r="N163" s="169"/>
      <c r="O163" s="169"/>
      <c r="P163" s="173"/>
      <c r="Q163" s="169"/>
    </row>
    <row r="164" spans="14:17" ht="13.9" customHeight="1">
      <c r="N164" s="169"/>
      <c r="O164" s="169"/>
      <c r="P164" s="173"/>
      <c r="Q164" s="169"/>
    </row>
    <row r="165" spans="14:17" ht="13.9" customHeight="1">
      <c r="N165" s="169"/>
      <c r="O165" s="169"/>
      <c r="P165" s="173"/>
      <c r="Q165" s="169"/>
    </row>
    <row r="166" spans="14:17" ht="13.9" customHeight="1">
      <c r="N166" s="169"/>
      <c r="O166" s="169"/>
      <c r="P166" s="173"/>
      <c r="Q166" s="169"/>
    </row>
    <row r="167" spans="14:17" ht="13.9" customHeight="1">
      <c r="N167" s="169"/>
      <c r="O167" s="169"/>
      <c r="P167" s="173"/>
      <c r="Q167" s="169"/>
    </row>
    <row r="168" spans="14:17" ht="13.9" customHeight="1">
      <c r="N168" s="169"/>
      <c r="O168" s="169"/>
      <c r="P168" s="173"/>
      <c r="Q168" s="169"/>
    </row>
    <row r="169" spans="14:17" ht="13.9" customHeight="1">
      <c r="N169" s="169"/>
      <c r="O169" s="169"/>
      <c r="P169" s="173"/>
      <c r="Q169" s="169"/>
    </row>
    <row r="170" spans="14:17" ht="13.9" customHeight="1">
      <c r="N170" s="169"/>
      <c r="O170" s="169"/>
      <c r="P170" s="173"/>
      <c r="Q170" s="169"/>
    </row>
    <row r="171" spans="14:17" ht="13.9" customHeight="1">
      <c r="N171" s="169"/>
      <c r="O171" s="169"/>
      <c r="P171" s="173"/>
      <c r="Q171" s="169"/>
    </row>
  </sheetData>
  <mergeCells count="2">
    <mergeCell ref="G1:K1"/>
    <mergeCell ref="L1:M1"/>
  </mergeCells>
  <phoneticPr fontId="2" type="noConversion"/>
  <conditionalFormatting sqref="H17">
    <cfRule type="cellIs" dxfId="2" priority="5" operator="greaterThan">
      <formula>38*0.8</formula>
    </cfRule>
  </conditionalFormatting>
  <conditionalFormatting sqref="H18:H21">
    <cfRule type="cellIs" dxfId="1" priority="2" operator="greaterThan">
      <formula>38*0.8</formula>
    </cfRule>
  </conditionalFormatting>
  <conditionalFormatting sqref="H22 H25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1"/>
  <sheetViews>
    <sheetView tabSelected="1" zoomScale="115" zoomScaleNormal="115" workbookViewId="0">
      <pane xSplit="4" ySplit="2" topLeftCell="E3" activePane="bottomRight" state="frozen"/>
      <selection activeCell="B41" sqref="B41"/>
      <selection pane="topRight" activeCell="B41" sqref="B41"/>
      <selection pane="bottomLeft" activeCell="B41" sqref="B41"/>
      <selection pane="bottomRight" sqref="A1:A2"/>
    </sheetView>
  </sheetViews>
  <sheetFormatPr defaultColWidth="9.140625" defaultRowHeight="14.45" customHeight="1"/>
  <cols>
    <col min="1" max="1" width="9.28515625" style="135" customWidth="1"/>
    <col min="2" max="2" width="12.85546875" style="137" customWidth="1"/>
    <col min="3" max="3" width="27.5703125" style="137" customWidth="1"/>
    <col min="4" max="4" width="5.85546875" style="137" customWidth="1"/>
    <col min="5" max="5" width="6.140625" style="138" customWidth="1"/>
    <col min="6" max="6" width="5.42578125" style="139" customWidth="1"/>
    <col min="7" max="7" width="6.28515625" style="139" customWidth="1"/>
    <col min="8" max="8" width="6.42578125" style="139" customWidth="1"/>
    <col min="9" max="9" width="5.7109375" style="139" bestFit="1" customWidth="1"/>
    <col min="10" max="10" width="7.140625" style="139" customWidth="1"/>
    <col min="11" max="12" width="9.28515625" style="136" customWidth="1"/>
    <col min="13" max="13" width="10" style="136" customWidth="1"/>
    <col min="14" max="14" width="7.42578125" style="138" customWidth="1"/>
    <col min="15" max="15" width="9" style="144" customWidth="1"/>
    <col min="16" max="16" width="9.7109375" style="135" customWidth="1"/>
    <col min="17" max="16384" width="9.140625" style="135"/>
  </cols>
  <sheetData>
    <row r="1" spans="1:16" s="125" customFormat="1" ht="24" customHeight="1">
      <c r="A1" s="251" t="s">
        <v>175</v>
      </c>
      <c r="B1" s="119"/>
      <c r="C1" s="119"/>
      <c r="D1" s="120"/>
      <c r="E1" s="246" t="s">
        <v>176</v>
      </c>
      <c r="F1" s="247"/>
      <c r="G1" s="248"/>
      <c r="H1" s="246" t="s">
        <v>177</v>
      </c>
      <c r="I1" s="249"/>
      <c r="J1" s="250"/>
      <c r="K1" s="121" t="s">
        <v>178</v>
      </c>
      <c r="L1" s="121" t="s">
        <v>179</v>
      </c>
      <c r="M1" s="121" t="s">
        <v>180</v>
      </c>
      <c r="N1" s="122" t="s">
        <v>181</v>
      </c>
      <c r="O1" s="123" t="s">
        <v>120</v>
      </c>
      <c r="P1" s="124" t="s">
        <v>120</v>
      </c>
    </row>
    <row r="2" spans="1:16" s="82" customFormat="1" ht="19.899999999999999" customHeight="1" thickBot="1">
      <c r="A2" s="252"/>
      <c r="B2" s="126" t="s">
        <v>1</v>
      </c>
      <c r="C2" s="126" t="s">
        <v>2</v>
      </c>
      <c r="D2" s="127" t="s">
        <v>3</v>
      </c>
      <c r="E2" s="128" t="s">
        <v>69</v>
      </c>
      <c r="F2" s="126" t="s">
        <v>182</v>
      </c>
      <c r="G2" s="129" t="s">
        <v>121</v>
      </c>
      <c r="H2" s="128" t="s">
        <v>69</v>
      </c>
      <c r="I2" s="126" t="s">
        <v>182</v>
      </c>
      <c r="J2" s="129" t="s">
        <v>121</v>
      </c>
      <c r="K2" s="130" t="s">
        <v>69</v>
      </c>
      <c r="L2" s="130" t="s">
        <v>69</v>
      </c>
      <c r="M2" s="130" t="s">
        <v>120</v>
      </c>
      <c r="N2" s="131" t="s">
        <v>183</v>
      </c>
      <c r="O2" s="132" t="s">
        <v>184</v>
      </c>
      <c r="P2" s="133" t="s">
        <v>183</v>
      </c>
    </row>
    <row r="3" spans="1:16" ht="14.45" customHeight="1">
      <c r="A3" s="134">
        <v>45035</v>
      </c>
      <c r="B3" s="53" t="str">
        <f>Rollover!A3</f>
        <v>Acura</v>
      </c>
      <c r="C3" s="53" t="str">
        <f>Rollover!B3</f>
        <v>Integra 5 HB FWD</v>
      </c>
      <c r="D3" s="10">
        <f>Rollover!C3</f>
        <v>2023</v>
      </c>
      <c r="E3" s="24">
        <f>Front!AW3</f>
        <v>5</v>
      </c>
      <c r="F3" s="53">
        <f>Front!AX3</f>
        <v>5</v>
      </c>
      <c r="G3" s="53">
        <f>Front!AY3</f>
        <v>5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91">
        <f>'Side Pole'!P3</f>
        <v>5</v>
      </c>
      <c r="L3" s="91">
        <f>'Side Pole'!S3</f>
        <v>5</v>
      </c>
      <c r="M3" s="91">
        <f>'Side Pole'!V3</f>
        <v>5</v>
      </c>
      <c r="N3" s="92">
        <f>Rollover!J3</f>
        <v>5</v>
      </c>
      <c r="O3" s="93">
        <f>ROUND(5/12*Front!AV3+4/12*'Side Pole'!U3+3/12*Rollover!I3,2)</f>
        <v>0.49</v>
      </c>
      <c r="P3" s="94">
        <f t="shared" ref="P3" si="0">IF(O3&lt;0.67,5,IF(O3&lt;1,4,IF(O3&lt;1.33,3,IF(O3&lt;2.67,2,1))))</f>
        <v>5</v>
      </c>
    </row>
    <row r="4" spans="1:16" ht="14.45" customHeight="1">
      <c r="A4" s="134">
        <v>45035</v>
      </c>
      <c r="B4" s="10" t="str">
        <f>Rollover!A4</f>
        <v>Honda</v>
      </c>
      <c r="C4" s="10" t="str">
        <f>Rollover!B4</f>
        <v>Civic Hatchback FWD</v>
      </c>
      <c r="D4" s="10">
        <f>Rollover!C4</f>
        <v>2023</v>
      </c>
      <c r="E4" s="24" t="e">
        <f>Front!AW4</f>
        <v>#NUM!</v>
      </c>
      <c r="F4" s="53" t="e">
        <f>Front!AX4</f>
        <v>#NUM!</v>
      </c>
      <c r="G4" s="53" t="e">
        <f>Front!AY4</f>
        <v>#NUM!</v>
      </c>
      <c r="H4" s="24" t="e">
        <f>'Side MDB'!AC4</f>
        <v>#NUM!</v>
      </c>
      <c r="I4" s="24" t="e">
        <f>'Side MDB'!AD4</f>
        <v>#NUM!</v>
      </c>
      <c r="J4" s="24" t="e">
        <f>'Side MDB'!AE4</f>
        <v>#NUM!</v>
      </c>
      <c r="K4" s="91" t="e">
        <f>'Side Pole'!P4</f>
        <v>#NUM!</v>
      </c>
      <c r="L4" s="91" t="e">
        <f>'Side Pole'!S4</f>
        <v>#NUM!</v>
      </c>
      <c r="M4" s="91" t="e">
        <f>'Side Pole'!V4</f>
        <v>#NUM!</v>
      </c>
      <c r="N4" s="92">
        <f>Rollover!J4</f>
        <v>5</v>
      </c>
      <c r="O4" s="93" t="e">
        <f>ROUND(5/12*Front!AV4+4/12*'Side Pole'!U4+3/12*Rollover!I4,2)</f>
        <v>#NUM!</v>
      </c>
      <c r="P4" s="94" t="e">
        <f t="shared" ref="P4:P31" si="1">IF(O4&lt;0.67,5,IF(O4&lt;1,4,IF(O4&lt;1.33,3,IF(O4&lt;2.67,2,1))))</f>
        <v>#NUM!</v>
      </c>
    </row>
    <row r="5" spans="1:16" ht="14.45" customHeight="1">
      <c r="A5" s="134">
        <v>45035</v>
      </c>
      <c r="B5" s="10" t="str">
        <f>Rollover!A5</f>
        <v>Honda</v>
      </c>
      <c r="C5" s="10" t="str">
        <f>Rollover!B5</f>
        <v>Civic Hatchback Typer R FWD</v>
      </c>
      <c r="D5" s="10">
        <f>Rollover!C5</f>
        <v>2023</v>
      </c>
      <c r="E5" s="24" t="e">
        <f>Front!AW5</f>
        <v>#NUM!</v>
      </c>
      <c r="F5" s="53" t="e">
        <f>Front!AX5</f>
        <v>#NUM!</v>
      </c>
      <c r="G5" s="53" t="e">
        <f>Front!AY5</f>
        <v>#NUM!</v>
      </c>
      <c r="H5" s="24" t="e">
        <f>'Side MDB'!AC5</f>
        <v>#NUM!</v>
      </c>
      <c r="I5" s="24" t="e">
        <f>'Side MDB'!AD5</f>
        <v>#NUM!</v>
      </c>
      <c r="J5" s="24" t="e">
        <f>'Side MDB'!AE5</f>
        <v>#NUM!</v>
      </c>
      <c r="K5" s="91" t="e">
        <f>'Side Pole'!P5</f>
        <v>#NUM!</v>
      </c>
      <c r="L5" s="91" t="e">
        <f>'Side Pole'!S5</f>
        <v>#NUM!</v>
      </c>
      <c r="M5" s="91" t="e">
        <f>'Side Pole'!V5</f>
        <v>#NUM!</v>
      </c>
      <c r="N5" s="92">
        <f>Rollover!J5</f>
        <v>5</v>
      </c>
      <c r="O5" s="93" t="e">
        <f>ROUND(5/12*Front!AV5+4/12*'Side Pole'!U5+3/12*Rollover!I5,2)</f>
        <v>#NUM!</v>
      </c>
      <c r="P5" s="94" t="e">
        <f t="shared" si="1"/>
        <v>#NUM!</v>
      </c>
    </row>
    <row r="6" spans="1:16" ht="14.45" customHeight="1">
      <c r="A6" s="134">
        <v>45035</v>
      </c>
      <c r="B6" s="10" t="str">
        <f>Rollover!A6</f>
        <v>Honda</v>
      </c>
      <c r="C6" s="10" t="str">
        <f>Rollover!B6</f>
        <v>Civic Sedan FWD</v>
      </c>
      <c r="D6" s="10">
        <f>Rollover!C6</f>
        <v>2023</v>
      </c>
      <c r="E6" s="24" t="e">
        <f>Front!AW6</f>
        <v>#NUM!</v>
      </c>
      <c r="F6" s="53" t="e">
        <f>Front!AX6</f>
        <v>#NUM!</v>
      </c>
      <c r="G6" s="53" t="e">
        <f>Front!AY6</f>
        <v>#NUM!</v>
      </c>
      <c r="H6" s="24" t="e">
        <f>'Side MDB'!AC6</f>
        <v>#NUM!</v>
      </c>
      <c r="I6" s="24" t="e">
        <f>'Side MDB'!AD6</f>
        <v>#NUM!</v>
      </c>
      <c r="J6" s="24" t="e">
        <f>'Side MDB'!AE6</f>
        <v>#NUM!</v>
      </c>
      <c r="K6" s="91" t="e">
        <f>'Side Pole'!P6</f>
        <v>#NUM!</v>
      </c>
      <c r="L6" s="91" t="e">
        <f>'Side Pole'!S6</f>
        <v>#NUM!</v>
      </c>
      <c r="M6" s="91" t="e">
        <f>'Side Pole'!V6</f>
        <v>#NUM!</v>
      </c>
      <c r="N6" s="92">
        <f>Rollover!J6</f>
        <v>5</v>
      </c>
      <c r="O6" s="93" t="e">
        <f>ROUND(5/12*Front!AV6+4/12*'Side Pole'!U6+3/12*Rollover!I6,2)</f>
        <v>#NUM!</v>
      </c>
      <c r="P6" s="94" t="e">
        <f t="shared" si="1"/>
        <v>#NUM!</v>
      </c>
    </row>
    <row r="7" spans="1:16" ht="14.45" customHeight="1">
      <c r="A7" s="134">
        <v>45141</v>
      </c>
      <c r="B7" s="53" t="str">
        <f>Rollover!A7</f>
        <v>Audi</v>
      </c>
      <c r="C7" s="53" t="str">
        <f>Rollover!B7</f>
        <v>Q8 AWD</v>
      </c>
      <c r="D7" s="10">
        <f>Rollover!C7</f>
        <v>2023</v>
      </c>
      <c r="E7" s="24">
        <f>Front!AW7</f>
        <v>4</v>
      </c>
      <c r="F7" s="53">
        <f>Front!AX7</f>
        <v>5</v>
      </c>
      <c r="G7" s="53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91">
        <f>'Side Pole'!P7</f>
        <v>5</v>
      </c>
      <c r="L7" s="91">
        <f>'Side Pole'!S7</f>
        <v>5</v>
      </c>
      <c r="M7" s="91">
        <f>'Side Pole'!V7</f>
        <v>5</v>
      </c>
      <c r="N7" s="92">
        <f>Rollover!J7</f>
        <v>4</v>
      </c>
      <c r="O7" s="93">
        <f>ROUND(5/12*Front!AV7+4/12*'Side Pole'!U7+3/12*Rollover!I7,2)</f>
        <v>0.56999999999999995</v>
      </c>
      <c r="P7" s="94">
        <f t="shared" si="1"/>
        <v>5</v>
      </c>
    </row>
    <row r="8" spans="1:16" ht="14.45" customHeight="1">
      <c r="A8" s="134">
        <v>45141</v>
      </c>
      <c r="B8" s="10" t="str">
        <f>Rollover!A8</f>
        <v>Audi</v>
      </c>
      <c r="C8" s="10" t="str">
        <f>Rollover!B8</f>
        <v>SQ8 AWD</v>
      </c>
      <c r="D8" s="10">
        <f>Rollover!C8</f>
        <v>2023</v>
      </c>
      <c r="E8" s="24" t="e">
        <f>Front!AW8</f>
        <v>#NUM!</v>
      </c>
      <c r="F8" s="53" t="e">
        <f>Front!AX8</f>
        <v>#NUM!</v>
      </c>
      <c r="G8" s="53" t="e">
        <f>Front!AY8</f>
        <v>#NUM!</v>
      </c>
      <c r="H8" s="24" t="e">
        <f>'Side MDB'!AC8</f>
        <v>#NUM!</v>
      </c>
      <c r="I8" s="24" t="e">
        <f>'Side MDB'!AD8</f>
        <v>#NUM!</v>
      </c>
      <c r="J8" s="24" t="e">
        <f>'Side MDB'!AE8</f>
        <v>#NUM!</v>
      </c>
      <c r="K8" s="91" t="e">
        <f>'Side Pole'!P8</f>
        <v>#NUM!</v>
      </c>
      <c r="L8" s="91" t="e">
        <f>'Side Pole'!S8</f>
        <v>#NUM!</v>
      </c>
      <c r="M8" s="91" t="e">
        <f>'Side Pole'!V8</f>
        <v>#NUM!</v>
      </c>
      <c r="N8" s="92">
        <f>Rollover!J8</f>
        <v>4</v>
      </c>
      <c r="O8" s="93" t="e">
        <f>ROUND(5/12*Front!AV8+4/12*'Side Pole'!U8+3/12*Rollover!I8,2)</f>
        <v>#NUM!</v>
      </c>
      <c r="P8" s="94" t="e">
        <f t="shared" si="1"/>
        <v>#NUM!</v>
      </c>
    </row>
    <row r="9" spans="1:16" ht="14.45" customHeight="1">
      <c r="A9" s="134">
        <v>45141</v>
      </c>
      <c r="B9" s="10" t="str">
        <f>Rollover!A9</f>
        <v>Audi</v>
      </c>
      <c r="C9" s="10" t="str">
        <f>Rollover!B9</f>
        <v>RS Q8 AWD</v>
      </c>
      <c r="D9" s="10">
        <f>Rollover!C9</f>
        <v>2023</v>
      </c>
      <c r="E9" s="24" t="e">
        <f>Front!AW9</f>
        <v>#NUM!</v>
      </c>
      <c r="F9" s="53" t="e">
        <f>Front!AX9</f>
        <v>#NUM!</v>
      </c>
      <c r="G9" s="53" t="e">
        <f>Front!AY9</f>
        <v>#NUM!</v>
      </c>
      <c r="H9" s="24" t="e">
        <f>'Side MDB'!AC9</f>
        <v>#NUM!</v>
      </c>
      <c r="I9" s="24" t="e">
        <f>'Side MDB'!AD9</f>
        <v>#NUM!</v>
      </c>
      <c r="J9" s="24" t="e">
        <f>'Side MDB'!AE9</f>
        <v>#NUM!</v>
      </c>
      <c r="K9" s="91" t="e">
        <f>'Side Pole'!P9</f>
        <v>#NUM!</v>
      </c>
      <c r="L9" s="91" t="e">
        <f>'Side Pole'!S9</f>
        <v>#NUM!</v>
      </c>
      <c r="M9" s="91" t="e">
        <f>'Side Pole'!V9</f>
        <v>#NUM!</v>
      </c>
      <c r="N9" s="92">
        <f>Rollover!J9</f>
        <v>4</v>
      </c>
      <c r="O9" s="93" t="e">
        <f>ROUND(5/12*Front!AV9+4/12*'Side Pole'!U9+3/12*Rollover!I9,2)</f>
        <v>#NUM!</v>
      </c>
      <c r="P9" s="94" t="e">
        <f t="shared" si="1"/>
        <v>#NUM!</v>
      </c>
    </row>
    <row r="10" spans="1:16" ht="14.45" customHeight="1">
      <c r="A10" s="52">
        <v>45125</v>
      </c>
      <c r="B10" s="53" t="str">
        <f>Rollover!A10</f>
        <v>Chevrolet</v>
      </c>
      <c r="C10" s="53" t="str">
        <f>Rollover!B10</f>
        <v>Malibu 4DR FWD</v>
      </c>
      <c r="D10" s="10">
        <f>Rollover!C10</f>
        <v>2023</v>
      </c>
      <c r="E10" s="24">
        <f>Front!AW10</f>
        <v>5</v>
      </c>
      <c r="F10" s="53">
        <f>Front!AX10</f>
        <v>5</v>
      </c>
      <c r="G10" s="53">
        <f>Front!AY10</f>
        <v>5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91">
        <f>'Side Pole'!P10</f>
        <v>5</v>
      </c>
      <c r="L10" s="91">
        <f>'Side Pole'!S10</f>
        <v>5</v>
      </c>
      <c r="M10" s="91">
        <f>'Side Pole'!V10</f>
        <v>5</v>
      </c>
      <c r="N10" s="92">
        <f>Rollover!J10</f>
        <v>4</v>
      </c>
      <c r="O10" s="93">
        <f>ROUND(5/12*Front!AV10+4/12*'Side Pole'!U10+3/12*Rollover!I10,2)</f>
        <v>0.6</v>
      </c>
      <c r="P10" s="94">
        <f t="shared" si="1"/>
        <v>5</v>
      </c>
    </row>
    <row r="11" spans="1:16" ht="14.45" customHeight="1">
      <c r="A11" s="52">
        <v>45114</v>
      </c>
      <c r="B11" s="53" t="str">
        <f>Rollover!A11</f>
        <v>Ford</v>
      </c>
      <c r="C11" s="53" t="str">
        <f>Rollover!B11</f>
        <v>Explorer SUV RWD</v>
      </c>
      <c r="D11" s="10">
        <f>Rollover!C11</f>
        <v>2023</v>
      </c>
      <c r="E11" s="24">
        <f>Front!AW11</f>
        <v>5</v>
      </c>
      <c r="F11" s="53">
        <f>Front!AX11</f>
        <v>5</v>
      </c>
      <c r="G11" s="53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91">
        <f>'Side Pole'!P11</f>
        <v>5</v>
      </c>
      <c r="L11" s="91">
        <f>'Side Pole'!S11</f>
        <v>5</v>
      </c>
      <c r="M11" s="91">
        <f>'Side Pole'!V11</f>
        <v>5</v>
      </c>
      <c r="N11" s="92">
        <f>Rollover!J11</f>
        <v>4</v>
      </c>
      <c r="O11" s="93">
        <f>ROUND(5/12*Front!AV11+4/12*'Side Pole'!U11+3/12*Rollover!I11,2)</f>
        <v>0.56000000000000005</v>
      </c>
      <c r="P11" s="94">
        <f t="shared" si="1"/>
        <v>5</v>
      </c>
    </row>
    <row r="12" spans="1:16" ht="14.45" customHeight="1">
      <c r="A12" s="52">
        <v>45114</v>
      </c>
      <c r="B12" s="53" t="str">
        <f>Rollover!A12</f>
        <v>Ford</v>
      </c>
      <c r="C12" s="53" t="str">
        <f>Rollover!B12</f>
        <v>Explorer SUV 4WD</v>
      </c>
      <c r="D12" s="10">
        <f>Rollover!C12</f>
        <v>2023</v>
      </c>
      <c r="E12" s="24">
        <f>Front!AW12</f>
        <v>5</v>
      </c>
      <c r="F12" s="53">
        <f>Front!AX12</f>
        <v>5</v>
      </c>
      <c r="G12" s="53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91">
        <f>'Side Pole'!P12</f>
        <v>5</v>
      </c>
      <c r="L12" s="91">
        <f>'Side Pole'!S12</f>
        <v>5</v>
      </c>
      <c r="M12" s="91">
        <f>'Side Pole'!V12</f>
        <v>5</v>
      </c>
      <c r="N12" s="92">
        <f>Rollover!J12</f>
        <v>4</v>
      </c>
      <c r="O12" s="93">
        <f>ROUND(5/12*Front!AV12+4/12*'Side Pole'!U12+3/12*Rollover!I12,2)</f>
        <v>0.56999999999999995</v>
      </c>
      <c r="P12" s="94">
        <f t="shared" si="1"/>
        <v>5</v>
      </c>
    </row>
    <row r="13" spans="1:16" ht="14.45" customHeight="1">
      <c r="A13" s="52">
        <v>45114</v>
      </c>
      <c r="B13" s="10" t="str">
        <f>Rollover!A13</f>
        <v>Ford</v>
      </c>
      <c r="C13" s="10" t="str">
        <f>Rollover!B13</f>
        <v>Explorer HEV SUV RWD</v>
      </c>
      <c r="D13" s="10">
        <f>Rollover!C13</f>
        <v>2023</v>
      </c>
      <c r="E13" s="24">
        <f>Front!AW13</f>
        <v>5</v>
      </c>
      <c r="F13" s="53">
        <f>Front!AX13</f>
        <v>5</v>
      </c>
      <c r="G13" s="53">
        <f>Front!AY13</f>
        <v>5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91">
        <f>'Side Pole'!P13</f>
        <v>5</v>
      </c>
      <c r="L13" s="91">
        <f>'Side Pole'!S13</f>
        <v>5</v>
      </c>
      <c r="M13" s="91">
        <f>'Side Pole'!V13</f>
        <v>5</v>
      </c>
      <c r="N13" s="92">
        <f>Rollover!J13</f>
        <v>4</v>
      </c>
      <c r="O13" s="93">
        <f>ROUND(5/12*Front!AV13+4/12*'Side Pole'!U13+3/12*Rollover!I13,2)</f>
        <v>0.56000000000000005</v>
      </c>
      <c r="P13" s="94">
        <f t="shared" si="1"/>
        <v>5</v>
      </c>
    </row>
    <row r="14" spans="1:16" ht="14.45" customHeight="1">
      <c r="A14" s="52">
        <v>45114</v>
      </c>
      <c r="B14" s="10" t="str">
        <f>Rollover!A14</f>
        <v>Ford</v>
      </c>
      <c r="C14" s="10" t="str">
        <f>Rollover!B14</f>
        <v>Explorer HEV SUV 4WD</v>
      </c>
      <c r="D14" s="10">
        <f>Rollover!C14</f>
        <v>2023</v>
      </c>
      <c r="E14" s="24">
        <f>Front!AW14</f>
        <v>5</v>
      </c>
      <c r="F14" s="53">
        <f>Front!AX14</f>
        <v>5</v>
      </c>
      <c r="G14" s="53">
        <f>Front!AY14</f>
        <v>5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91">
        <f>'Side Pole'!P14</f>
        <v>5</v>
      </c>
      <c r="L14" s="91">
        <f>'Side Pole'!S14</f>
        <v>5</v>
      </c>
      <c r="M14" s="91">
        <f>'Side Pole'!V14</f>
        <v>5</v>
      </c>
      <c r="N14" s="92">
        <f>Rollover!J14</f>
        <v>4</v>
      </c>
      <c r="O14" s="93">
        <f>ROUND(5/12*Front!AV14+4/12*'Side Pole'!U14+3/12*Rollover!I14,2)</f>
        <v>0.56999999999999995</v>
      </c>
      <c r="P14" s="94">
        <f t="shared" si="1"/>
        <v>5</v>
      </c>
    </row>
    <row r="15" spans="1:16" ht="14.45" customHeight="1">
      <c r="A15" s="52">
        <v>45114</v>
      </c>
      <c r="B15" s="10" t="str">
        <f>Rollover!A15</f>
        <v>Lincoln</v>
      </c>
      <c r="C15" s="10" t="str">
        <f>Rollover!B15</f>
        <v>Aviator SUV RWD</v>
      </c>
      <c r="D15" s="10">
        <f>Rollover!C15</f>
        <v>2023</v>
      </c>
      <c r="E15" s="24">
        <f>Front!AW15</f>
        <v>5</v>
      </c>
      <c r="F15" s="53">
        <f>Front!AX15</f>
        <v>5</v>
      </c>
      <c r="G15" s="53">
        <f>Front!AY15</f>
        <v>5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91">
        <f>'Side Pole'!P15</f>
        <v>5</v>
      </c>
      <c r="L15" s="91">
        <f>'Side Pole'!S15</f>
        <v>5</v>
      </c>
      <c r="M15" s="91">
        <f>'Side Pole'!V15</f>
        <v>5</v>
      </c>
      <c r="N15" s="92">
        <f>Rollover!J15</f>
        <v>4</v>
      </c>
      <c r="O15" s="93">
        <f>ROUND(5/12*Front!AV15+4/12*'Side Pole'!U15+3/12*Rollover!I15,2)</f>
        <v>0.56000000000000005</v>
      </c>
      <c r="P15" s="94">
        <f t="shared" si="1"/>
        <v>5</v>
      </c>
    </row>
    <row r="16" spans="1:16" ht="14.45" customHeight="1">
      <c r="A16" s="52">
        <v>45114</v>
      </c>
      <c r="B16" s="10" t="str">
        <f>Rollover!A16</f>
        <v>Lincoln</v>
      </c>
      <c r="C16" s="10" t="str">
        <f>Rollover!B16</f>
        <v>Aviator SUV 4WD</v>
      </c>
      <c r="D16" s="10">
        <f>Rollover!C16</f>
        <v>2023</v>
      </c>
      <c r="E16" s="24">
        <f>Front!AW16</f>
        <v>5</v>
      </c>
      <c r="F16" s="53">
        <f>Front!AX16</f>
        <v>5</v>
      </c>
      <c r="G16" s="53">
        <f>Front!AY16</f>
        <v>5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91">
        <f>'Side Pole'!P16</f>
        <v>5</v>
      </c>
      <c r="L16" s="91">
        <f>'Side Pole'!S16</f>
        <v>5</v>
      </c>
      <c r="M16" s="91">
        <f>'Side Pole'!V16</f>
        <v>5</v>
      </c>
      <c r="N16" s="92">
        <f>Rollover!J16</f>
        <v>4</v>
      </c>
      <c r="O16" s="93">
        <f>ROUND(5/12*Front!AV16+4/12*'Side Pole'!U16+3/12*Rollover!I16,2)</f>
        <v>0.56999999999999995</v>
      </c>
      <c r="P16" s="94">
        <f t="shared" si="1"/>
        <v>5</v>
      </c>
    </row>
    <row r="17" spans="1:16" ht="14.45" customHeight="1">
      <c r="A17" s="52">
        <v>45106</v>
      </c>
      <c r="B17" s="53" t="str">
        <f>Rollover!A17</f>
        <v xml:space="preserve">Honda </v>
      </c>
      <c r="C17" s="53" t="str">
        <f>Rollover!B17</f>
        <v>HR-V SUV FWD</v>
      </c>
      <c r="D17" s="10">
        <f>Rollover!C17</f>
        <v>2023</v>
      </c>
      <c r="E17" s="24">
        <f>Front!AW17</f>
        <v>5</v>
      </c>
      <c r="F17" s="53">
        <f>Front!AX17</f>
        <v>4</v>
      </c>
      <c r="G17" s="53">
        <f>Front!AY17</f>
        <v>5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91">
        <f>'Side Pole'!P17</f>
        <v>5</v>
      </c>
      <c r="L17" s="91">
        <f>'Side Pole'!S17</f>
        <v>5</v>
      </c>
      <c r="M17" s="91">
        <f>'Side Pole'!V17</f>
        <v>5</v>
      </c>
      <c r="N17" s="92">
        <f>Rollover!J17</f>
        <v>4</v>
      </c>
      <c r="O17" s="93">
        <f>ROUND(5/12*Front!AV17+4/12*'Side Pole'!U17+3/12*Rollover!I17,2)</f>
        <v>0.62</v>
      </c>
      <c r="P17" s="94">
        <f t="shared" si="1"/>
        <v>5</v>
      </c>
    </row>
    <row r="18" spans="1:16" ht="14.25" customHeight="1">
      <c r="A18" s="52">
        <v>45106</v>
      </c>
      <c r="B18" s="53" t="str">
        <f>Rollover!A18</f>
        <v xml:space="preserve">Honda </v>
      </c>
      <c r="C18" s="53" t="str">
        <f>Rollover!B18</f>
        <v>HR-V SUV AWD</v>
      </c>
      <c r="D18" s="10">
        <f>Rollover!C18</f>
        <v>2023</v>
      </c>
      <c r="E18" s="24">
        <f>Front!AW18</f>
        <v>5</v>
      </c>
      <c r="F18" s="53">
        <f>Front!AX18</f>
        <v>4</v>
      </c>
      <c r="G18" s="53">
        <f>Front!AY18</f>
        <v>5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91">
        <f>'Side Pole'!P18</f>
        <v>5</v>
      </c>
      <c r="L18" s="91">
        <f>'Side Pole'!S18</f>
        <v>5</v>
      </c>
      <c r="M18" s="91">
        <f>'Side Pole'!V18</f>
        <v>5</v>
      </c>
      <c r="N18" s="92" t="e">
        <f>Rollover!J18</f>
        <v>#NUM!</v>
      </c>
      <c r="O18" s="93" t="e">
        <f>ROUND(5/12*Front!AV18+4/12*'Side Pole'!U18+3/12*Rollover!I18,2)</f>
        <v>#NUM!</v>
      </c>
      <c r="P18" s="94" t="e">
        <f t="shared" si="1"/>
        <v>#NUM!</v>
      </c>
    </row>
    <row r="19" spans="1:16" ht="14.45" customHeight="1">
      <c r="A19" s="52">
        <v>45133</v>
      </c>
      <c r="B19" s="53" t="str">
        <f>Rollover!A19</f>
        <v>Hyundai</v>
      </c>
      <c r="C19" s="53" t="str">
        <f>Rollover!B19</f>
        <v>Santa Cruz PU/CC FWD</v>
      </c>
      <c r="D19" s="10">
        <f>Rollover!C19</f>
        <v>2023</v>
      </c>
      <c r="E19" s="24">
        <f>Front!AW19</f>
        <v>5</v>
      </c>
      <c r="F19" s="53">
        <f>Front!AX19</f>
        <v>5</v>
      </c>
      <c r="G19" s="53">
        <f>Front!AY19</f>
        <v>5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91">
        <f>'Side Pole'!P19</f>
        <v>5</v>
      </c>
      <c r="L19" s="91">
        <f>'Side Pole'!S19</f>
        <v>5</v>
      </c>
      <c r="M19" s="91">
        <f>'Side Pole'!V19</f>
        <v>5</v>
      </c>
      <c r="N19" s="92">
        <f>Rollover!J19</f>
        <v>4</v>
      </c>
      <c r="O19" s="93">
        <f>ROUND(5/12*Front!AV19+4/12*'Side Pole'!U19+3/12*Rollover!I19,2)</f>
        <v>0.59</v>
      </c>
      <c r="P19" s="94">
        <f t="shared" si="1"/>
        <v>5</v>
      </c>
    </row>
    <row r="20" spans="1:16" ht="14.45" customHeight="1">
      <c r="A20" s="52">
        <v>45133</v>
      </c>
      <c r="B20" s="53" t="str">
        <f>Rollover!A20</f>
        <v>Hyundai</v>
      </c>
      <c r="C20" s="53" t="str">
        <f>Rollover!B20</f>
        <v>Santa Cruz PU/CC AWD</v>
      </c>
      <c r="D20" s="10">
        <f>Rollover!C20</f>
        <v>2023</v>
      </c>
      <c r="E20" s="24">
        <f>Front!AW20</f>
        <v>5</v>
      </c>
      <c r="F20" s="53">
        <f>Front!AX20</f>
        <v>5</v>
      </c>
      <c r="G20" s="53">
        <f>Front!AY20</f>
        <v>5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91">
        <f>'Side Pole'!P20</f>
        <v>5</v>
      </c>
      <c r="L20" s="91">
        <f>'Side Pole'!S20</f>
        <v>5</v>
      </c>
      <c r="M20" s="91">
        <f>'Side Pole'!V20</f>
        <v>5</v>
      </c>
      <c r="N20" s="92">
        <f>Rollover!J20</f>
        <v>4</v>
      </c>
      <c r="O20" s="93">
        <f>ROUND(5/12*Front!AV20+4/12*'Side Pole'!U20+3/12*Rollover!I20,2)</f>
        <v>0.59</v>
      </c>
      <c r="P20" s="94">
        <f t="shared" si="1"/>
        <v>5</v>
      </c>
    </row>
    <row r="21" spans="1:16" ht="14.45" customHeight="1">
      <c r="A21" s="52">
        <v>45119</v>
      </c>
      <c r="B21" s="53" t="str">
        <f>Rollover!A21</f>
        <v>Jeep</v>
      </c>
      <c r="C21" s="53" t="str">
        <f>Rollover!B21</f>
        <v>Grand Cherokee SUV RWD</v>
      </c>
      <c r="D21" s="10">
        <f>Rollover!C21</f>
        <v>2023</v>
      </c>
      <c r="E21" s="24">
        <f>Front!AW21</f>
        <v>5</v>
      </c>
      <c r="F21" s="53">
        <f>Front!AX21</f>
        <v>5</v>
      </c>
      <c r="G21" s="53">
        <f>Front!AY21</f>
        <v>5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91">
        <f>'Side Pole'!P21</f>
        <v>5</v>
      </c>
      <c r="L21" s="91">
        <f>'Side Pole'!S21</f>
        <v>5</v>
      </c>
      <c r="M21" s="91">
        <f>'Side Pole'!V21</f>
        <v>5</v>
      </c>
      <c r="N21" s="92" t="e">
        <f>Rollover!J21</f>
        <v>#NUM!</v>
      </c>
      <c r="O21" s="93" t="e">
        <f>ROUND(5/12*Front!AV21+4/12*'Side Pole'!U21+3/12*Rollover!I21,2)</f>
        <v>#NUM!</v>
      </c>
      <c r="P21" s="94" t="e">
        <f t="shared" si="1"/>
        <v>#NUM!</v>
      </c>
    </row>
    <row r="22" spans="1:16" ht="14.45" customHeight="1">
      <c r="A22" s="52">
        <v>45119</v>
      </c>
      <c r="B22" s="53" t="str">
        <f>Rollover!A22</f>
        <v xml:space="preserve">Jeep </v>
      </c>
      <c r="C22" s="53" t="str">
        <f>Rollover!B22</f>
        <v>Grand Cherokee SUV 4WD</v>
      </c>
      <c r="D22" s="10">
        <f>Rollover!C22</f>
        <v>2023</v>
      </c>
      <c r="E22" s="24">
        <f>Front!AW22</f>
        <v>5</v>
      </c>
      <c r="F22" s="53">
        <f>Front!AX22</f>
        <v>5</v>
      </c>
      <c r="G22" s="53">
        <f>Front!AY22</f>
        <v>5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91">
        <f>'Side Pole'!P22</f>
        <v>5</v>
      </c>
      <c r="L22" s="91">
        <f>'Side Pole'!S22</f>
        <v>5</v>
      </c>
      <c r="M22" s="91">
        <f>'Side Pole'!V22</f>
        <v>5</v>
      </c>
      <c r="N22" s="92" t="e">
        <f>Rollover!J22</f>
        <v>#NUM!</v>
      </c>
      <c r="O22" s="93" t="e">
        <f>ROUND(5/12*Front!AV22+4/12*'Side Pole'!U22+3/12*Rollover!I22,2)</f>
        <v>#NUM!</v>
      </c>
      <c r="P22" s="94" t="e">
        <f t="shared" si="1"/>
        <v>#NUM!</v>
      </c>
    </row>
    <row r="23" spans="1:16" ht="14.45" customHeight="1">
      <c r="A23" s="52">
        <v>45119</v>
      </c>
      <c r="B23" s="10" t="str">
        <f>Rollover!A23</f>
        <v>Jeep</v>
      </c>
      <c r="C23" s="10" t="str">
        <f>Rollover!B23</f>
        <v>Grand Cherokee L SUV RWD</v>
      </c>
      <c r="D23" s="10">
        <f>Rollover!C23</f>
        <v>2023</v>
      </c>
      <c r="E23" s="24">
        <f>Front!AW23</f>
        <v>5</v>
      </c>
      <c r="F23" s="53">
        <f>Front!AX23</f>
        <v>5</v>
      </c>
      <c r="G23" s="53">
        <f>Front!AY23</f>
        <v>5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91">
        <f>'Side Pole'!P23</f>
        <v>5</v>
      </c>
      <c r="L23" s="91">
        <f>'Side Pole'!S23</f>
        <v>5</v>
      </c>
      <c r="M23" s="91">
        <f>'Side Pole'!V23</f>
        <v>5</v>
      </c>
      <c r="N23" s="92">
        <f>Rollover!J23</f>
        <v>4</v>
      </c>
      <c r="O23" s="93">
        <f>ROUND(5/12*Front!AV23+4/12*'Side Pole'!U23+3/12*Rollover!I23,2)</f>
        <v>0.59</v>
      </c>
      <c r="P23" s="94">
        <f t="shared" si="1"/>
        <v>5</v>
      </c>
    </row>
    <row r="24" spans="1:16" ht="14.45" customHeight="1">
      <c r="A24" s="52">
        <v>45119</v>
      </c>
      <c r="B24" s="10" t="str">
        <f>Rollover!A24</f>
        <v>Jeep</v>
      </c>
      <c r="C24" s="10" t="str">
        <f>Rollover!B24</f>
        <v>Grand Cherokee L SUV 4WD</v>
      </c>
      <c r="D24" s="10">
        <f>Rollover!C24</f>
        <v>2023</v>
      </c>
      <c r="E24" s="24">
        <f>Front!AW24</f>
        <v>5</v>
      </c>
      <c r="F24" s="53">
        <f>Front!AX24</f>
        <v>5</v>
      </c>
      <c r="G24" s="53">
        <f>Front!AY24</f>
        <v>5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91">
        <f>'Side Pole'!P24</f>
        <v>5</v>
      </c>
      <c r="L24" s="91">
        <f>'Side Pole'!S24</f>
        <v>5</v>
      </c>
      <c r="M24" s="91">
        <f>'Side Pole'!V24</f>
        <v>5</v>
      </c>
      <c r="N24" s="92">
        <f>Rollover!J24</f>
        <v>4</v>
      </c>
      <c r="O24" s="93">
        <f>ROUND(5/12*Front!AV24+4/12*'Side Pole'!U24+3/12*Rollover!I24,2)</f>
        <v>0.59</v>
      </c>
      <c r="P24" s="94">
        <f t="shared" si="1"/>
        <v>5</v>
      </c>
    </row>
    <row r="25" spans="1:16" ht="14.45" customHeight="1">
      <c r="A25" s="52">
        <v>45134</v>
      </c>
      <c r="B25" s="53" t="str">
        <f>Rollover!A25</f>
        <v>Jeep</v>
      </c>
      <c r="C25" s="53" t="str">
        <f>Rollover!B25</f>
        <v>Grand Cherokee 4xe PHEV SUV 4WD</v>
      </c>
      <c r="D25" s="10">
        <f>Rollover!C25</f>
        <v>2023</v>
      </c>
      <c r="E25" s="24">
        <f>Front!AW25</f>
        <v>4</v>
      </c>
      <c r="F25" s="53">
        <f>Front!AX25</f>
        <v>5</v>
      </c>
      <c r="G25" s="53">
        <f>Front!AY25</f>
        <v>5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91">
        <f>'Side Pole'!P25</f>
        <v>5</v>
      </c>
      <c r="L25" s="91">
        <f>'Side Pole'!S25</f>
        <v>5</v>
      </c>
      <c r="M25" s="91">
        <f>'Side Pole'!V25</f>
        <v>5</v>
      </c>
      <c r="N25" s="92">
        <f>Rollover!J25</f>
        <v>4</v>
      </c>
      <c r="O25" s="93">
        <f>ROUND(5/12*Front!AV25+4/12*'Side Pole'!U25+3/12*Rollover!I25,2)</f>
        <v>0.54</v>
      </c>
      <c r="P25" s="94">
        <f t="shared" si="1"/>
        <v>5</v>
      </c>
    </row>
    <row r="26" spans="1:16" ht="14.45" customHeight="1">
      <c r="A26" s="52">
        <v>45147</v>
      </c>
      <c r="B26" s="53" t="str">
        <f>Rollover!A26</f>
        <v>Jeep</v>
      </c>
      <c r="C26" s="53" t="str">
        <f>Rollover!B26</f>
        <v>Wrangler 4xe SUV PHEV 4WD</v>
      </c>
      <c r="D26" s="10">
        <f>Rollover!C26</f>
        <v>2023</v>
      </c>
      <c r="E26" s="24">
        <f>Front!AW26</f>
        <v>4</v>
      </c>
      <c r="F26" s="53">
        <f>Front!AX26</f>
        <v>5</v>
      </c>
      <c r="G26" s="53">
        <f>Front!AY26</f>
        <v>4</v>
      </c>
      <c r="H26" s="24" t="e">
        <f>'Side MDB'!AC26</f>
        <v>#NUM!</v>
      </c>
      <c r="I26" s="24" t="e">
        <f>'Side MDB'!AD26</f>
        <v>#NUM!</v>
      </c>
      <c r="J26" s="24" t="e">
        <f>'Side MDB'!AE26</f>
        <v>#NUM!</v>
      </c>
      <c r="K26" s="91" t="e">
        <f>'Side Pole'!P26</f>
        <v>#NUM!</v>
      </c>
      <c r="L26" s="91" t="e">
        <f>'Side Pole'!S26</f>
        <v>#NUM!</v>
      </c>
      <c r="M26" s="91" t="e">
        <f>'Side Pole'!V26</f>
        <v>#NUM!</v>
      </c>
      <c r="N26" s="92">
        <f>Rollover!J26</f>
        <v>3</v>
      </c>
      <c r="O26" s="93" t="e">
        <f>ROUND(5/12*Front!AV26+4/12*'Side Pole'!U26+3/12*Rollover!I26,2)</f>
        <v>#NUM!</v>
      </c>
      <c r="P26" s="94" t="e">
        <f t="shared" si="1"/>
        <v>#NUM!</v>
      </c>
    </row>
    <row r="27" spans="1:16" ht="14.45" customHeight="1">
      <c r="A27" s="134">
        <v>45126</v>
      </c>
      <c r="B27" s="53" t="str">
        <f>Rollover!A27</f>
        <v>Kia</v>
      </c>
      <c r="C27" s="53" t="str">
        <f>Rollover!B27</f>
        <v>Sportage SUV FWD</v>
      </c>
      <c r="D27" s="10">
        <f>Rollover!C27</f>
        <v>2023</v>
      </c>
      <c r="E27" s="24">
        <f>Front!AW27</f>
        <v>5</v>
      </c>
      <c r="F27" s="53">
        <f>Front!AX27</f>
        <v>5</v>
      </c>
      <c r="G27" s="53">
        <f>Front!AY27</f>
        <v>5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91">
        <f>'Side Pole'!P27</f>
        <v>5</v>
      </c>
      <c r="L27" s="91">
        <f>'Side Pole'!S27</f>
        <v>5</v>
      </c>
      <c r="M27" s="91">
        <f>'Side Pole'!V27</f>
        <v>5</v>
      </c>
      <c r="N27" s="92" t="e">
        <f>Rollover!J27</f>
        <v>#NUM!</v>
      </c>
      <c r="O27" s="93" t="e">
        <f>ROUND(5/12*Front!AV27+4/12*'Side Pole'!U27+3/12*Rollover!I27,2)</f>
        <v>#NUM!</v>
      </c>
      <c r="P27" s="94" t="e">
        <f t="shared" si="1"/>
        <v>#NUM!</v>
      </c>
    </row>
    <row r="28" spans="1:16" ht="14.45" customHeight="1">
      <c r="A28" s="134">
        <v>45126</v>
      </c>
      <c r="B28" s="53" t="str">
        <f>Rollover!A28</f>
        <v>Kia</v>
      </c>
      <c r="C28" s="53" t="str">
        <f>Rollover!B28</f>
        <v>Sportage SUV AWD</v>
      </c>
      <c r="D28" s="10">
        <f>Rollover!C28</f>
        <v>2023</v>
      </c>
      <c r="E28" s="24">
        <f>Front!AW28</f>
        <v>5</v>
      </c>
      <c r="F28" s="53">
        <f>Front!AX28</f>
        <v>5</v>
      </c>
      <c r="G28" s="53">
        <f>Front!AY28</f>
        <v>5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91">
        <f>'Side Pole'!P28</f>
        <v>5</v>
      </c>
      <c r="L28" s="91">
        <f>'Side Pole'!S28</f>
        <v>5</v>
      </c>
      <c r="M28" s="91">
        <f>'Side Pole'!V28</f>
        <v>5</v>
      </c>
      <c r="N28" s="92" t="e">
        <f>Rollover!J28</f>
        <v>#NUM!</v>
      </c>
      <c r="O28" s="93" t="e">
        <f>ROUND(5/12*Front!AV28+4/12*'Side Pole'!U28+3/12*Rollover!I28,2)</f>
        <v>#NUM!</v>
      </c>
      <c r="P28" s="94" t="e">
        <f t="shared" si="1"/>
        <v>#NUM!</v>
      </c>
    </row>
    <row r="29" spans="1:16" ht="14.45" customHeight="1">
      <c r="A29" s="134">
        <v>45126</v>
      </c>
      <c r="B29" s="10" t="str">
        <f>Rollover!A29</f>
        <v>Kia</v>
      </c>
      <c r="C29" s="10" t="str">
        <f>Rollover!B29</f>
        <v>Sportage Hybrid SUV FWD</v>
      </c>
      <c r="D29" s="10">
        <f>Rollover!C29</f>
        <v>2023</v>
      </c>
      <c r="E29" s="24">
        <f>Front!AW29</f>
        <v>5</v>
      </c>
      <c r="F29" s="53">
        <f>Front!AX29</f>
        <v>5</v>
      </c>
      <c r="G29" s="53">
        <f>Front!AY29</f>
        <v>5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91">
        <f>'Side Pole'!P29</f>
        <v>5</v>
      </c>
      <c r="L29" s="91">
        <f>'Side Pole'!S29</f>
        <v>5</v>
      </c>
      <c r="M29" s="91">
        <f>'Side Pole'!V29</f>
        <v>5</v>
      </c>
      <c r="N29" s="92" t="e">
        <f>Rollover!J29</f>
        <v>#NUM!</v>
      </c>
      <c r="O29" s="93" t="e">
        <f>ROUND(5/12*Front!AV29+4/12*'Side Pole'!U29+3/12*Rollover!I29,2)</f>
        <v>#NUM!</v>
      </c>
      <c r="P29" s="94" t="e">
        <f t="shared" si="1"/>
        <v>#NUM!</v>
      </c>
    </row>
    <row r="30" spans="1:16" ht="14.45" customHeight="1">
      <c r="A30" s="134">
        <v>45126</v>
      </c>
      <c r="B30" s="10" t="str">
        <f>Rollover!A30</f>
        <v>Kia</v>
      </c>
      <c r="C30" s="10" t="str">
        <f>Rollover!B30</f>
        <v>Sportage Hybrid SUV AWD</v>
      </c>
      <c r="D30" s="10">
        <f>Rollover!C30</f>
        <v>2023</v>
      </c>
      <c r="E30" s="24">
        <f>Front!AW30</f>
        <v>5</v>
      </c>
      <c r="F30" s="53">
        <f>Front!AX30</f>
        <v>5</v>
      </c>
      <c r="G30" s="53">
        <f>Front!AY30</f>
        <v>5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91">
        <f>'Side Pole'!P30</f>
        <v>5</v>
      </c>
      <c r="L30" s="91">
        <f>'Side Pole'!S30</f>
        <v>5</v>
      </c>
      <c r="M30" s="91">
        <f>'Side Pole'!V30</f>
        <v>5</v>
      </c>
      <c r="N30" s="92" t="e">
        <f>Rollover!J30</f>
        <v>#NUM!</v>
      </c>
      <c r="O30" s="93" t="e">
        <f>ROUND(5/12*Front!AV30+4/12*'Side Pole'!U30+3/12*Rollover!I30,2)</f>
        <v>#NUM!</v>
      </c>
      <c r="P30" s="94" t="e">
        <f t="shared" si="1"/>
        <v>#NUM!</v>
      </c>
    </row>
    <row r="31" spans="1:16" ht="14.45" customHeight="1">
      <c r="A31" s="134">
        <v>45113</v>
      </c>
      <c r="B31" s="53" t="str">
        <f>Rollover!A31</f>
        <v>Mazda</v>
      </c>
      <c r="C31" s="53" t="str">
        <f>Rollover!B31</f>
        <v>Mazda CX-50 SUV AWD</v>
      </c>
      <c r="D31" s="10">
        <f>Rollover!C31</f>
        <v>2023</v>
      </c>
      <c r="E31" s="24" t="e">
        <f>Front!AW31</f>
        <v>#NUM!</v>
      </c>
      <c r="F31" s="53" t="e">
        <f>Front!AX31</f>
        <v>#NUM!</v>
      </c>
      <c r="G31" s="53" t="e">
        <f>Front!AY31</f>
        <v>#NUM!</v>
      </c>
      <c r="H31" s="24" t="e">
        <f>'Side MDB'!AC31</f>
        <v>#NUM!</v>
      </c>
      <c r="I31" s="24" t="e">
        <f>'Side MDB'!AD31</f>
        <v>#NUM!</v>
      </c>
      <c r="J31" s="24" t="e">
        <f>'Side MDB'!AE31</f>
        <v>#NUM!</v>
      </c>
      <c r="K31" s="91" t="e">
        <f>'Side Pole'!P31</f>
        <v>#NUM!</v>
      </c>
      <c r="L31" s="91" t="e">
        <f>'Side Pole'!S31</f>
        <v>#NUM!</v>
      </c>
      <c r="M31" s="91" t="e">
        <f>'Side Pole'!V31</f>
        <v>#NUM!</v>
      </c>
      <c r="N31" s="92">
        <f>Rollover!J31</f>
        <v>4</v>
      </c>
      <c r="O31" s="93" t="e">
        <f>ROUND(5/12*Front!AV31+4/12*'Side Pole'!U31+3/12*Rollover!I31,2)</f>
        <v>#NUM!</v>
      </c>
      <c r="P31" s="94" t="e">
        <f t="shared" si="1"/>
        <v>#NUM!</v>
      </c>
    </row>
    <row r="32" spans="1:16" ht="14.45" customHeight="1">
      <c r="A32" s="52">
        <v>45141</v>
      </c>
      <c r="B32" s="53" t="str">
        <f>Rollover!A32</f>
        <v xml:space="preserve">Mitsubishi </v>
      </c>
      <c r="C32" s="53" t="str">
        <f>Rollover!B32</f>
        <v>Outlander SUV FWD</v>
      </c>
      <c r="D32" s="10">
        <f>Rollover!C32</f>
        <v>2023</v>
      </c>
      <c r="E32" s="24">
        <f>Front!AW32</f>
        <v>4</v>
      </c>
      <c r="F32" s="53">
        <f>Front!AX32</f>
        <v>4</v>
      </c>
      <c r="G32" s="53">
        <f>Front!AY32</f>
        <v>4</v>
      </c>
      <c r="H32" s="24">
        <f>'Side MDB'!AC32</f>
        <v>5</v>
      </c>
      <c r="I32" s="24">
        <f>'Side MDB'!AD32</f>
        <v>5</v>
      </c>
      <c r="J32" s="24">
        <f>'Side MDB'!AE32</f>
        <v>5</v>
      </c>
      <c r="K32" s="91">
        <f>'Side Pole'!P32</f>
        <v>5</v>
      </c>
      <c r="L32" s="91">
        <f>'Side Pole'!S32</f>
        <v>5</v>
      </c>
      <c r="M32" s="91">
        <f>'Side Pole'!V32</f>
        <v>5</v>
      </c>
      <c r="N32" s="92">
        <f>Rollover!J32</f>
        <v>4</v>
      </c>
      <c r="O32" s="93">
        <f>ROUND(5/12*Front!AV32+4/12*'Side Pole'!U32+3/12*Rollover!I32,2)</f>
        <v>0.73</v>
      </c>
      <c r="P32" s="94">
        <f t="shared" ref="P32:P38" si="2">IF(O32&lt;0.67,5,IF(O32&lt;1,4,IF(O32&lt;1.33,3,IF(O32&lt;2.67,2,1))))</f>
        <v>4</v>
      </c>
    </row>
    <row r="33" spans="1:16" ht="14.45" customHeight="1">
      <c r="A33" s="52">
        <v>45141</v>
      </c>
      <c r="B33" s="53" t="str">
        <f>Rollover!A33</f>
        <v xml:space="preserve">Mitsubishi </v>
      </c>
      <c r="C33" s="53" t="str">
        <f>Rollover!B33</f>
        <v>Outlander SUV AWD</v>
      </c>
      <c r="D33" s="10">
        <f>Rollover!C33</f>
        <v>2023</v>
      </c>
      <c r="E33" s="24">
        <f>Front!AW33</f>
        <v>4</v>
      </c>
      <c r="F33" s="53">
        <f>Front!AX33</f>
        <v>4</v>
      </c>
      <c r="G33" s="53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91">
        <f>'Side Pole'!P33</f>
        <v>5</v>
      </c>
      <c r="L33" s="91">
        <f>'Side Pole'!S33</f>
        <v>5</v>
      </c>
      <c r="M33" s="91">
        <f>'Side Pole'!V33</f>
        <v>5</v>
      </c>
      <c r="N33" s="92">
        <f>Rollover!J33</f>
        <v>4</v>
      </c>
      <c r="O33" s="93">
        <f>ROUND(5/12*Front!AV33+4/12*'Side Pole'!U33+3/12*Rollover!I33,2)</f>
        <v>0.7</v>
      </c>
      <c r="P33" s="94">
        <f t="shared" si="2"/>
        <v>4</v>
      </c>
    </row>
    <row r="34" spans="1:16" ht="14.45" customHeight="1">
      <c r="A34" s="52">
        <v>45125</v>
      </c>
      <c r="B34" s="53" t="str">
        <f>Rollover!A34</f>
        <v>Nissan</v>
      </c>
      <c r="C34" s="53" t="str">
        <f>Rollover!B34</f>
        <v>Armada SUV RWD</v>
      </c>
      <c r="D34" s="10">
        <f>Rollover!C34</f>
        <v>2023</v>
      </c>
      <c r="E34" s="24">
        <f>Front!AW34</f>
        <v>4</v>
      </c>
      <c r="F34" s="53">
        <f>Front!AX34</f>
        <v>3</v>
      </c>
      <c r="G34" s="53">
        <f>Front!AY34</f>
        <v>3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91">
        <f>'Side Pole'!P34</f>
        <v>5</v>
      </c>
      <c r="L34" s="91">
        <f>'Side Pole'!S34</f>
        <v>5</v>
      </c>
      <c r="M34" s="91">
        <f>'Side Pole'!V34</f>
        <v>5</v>
      </c>
      <c r="N34" s="92">
        <f>Rollover!J34</f>
        <v>3</v>
      </c>
      <c r="O34" s="93">
        <f>ROUND(5/12*Front!AV34+4/12*'Side Pole'!U34+3/12*Rollover!I34,2)</f>
        <v>0.88</v>
      </c>
      <c r="P34" s="94">
        <f t="shared" si="2"/>
        <v>4</v>
      </c>
    </row>
    <row r="35" spans="1:16" ht="14.45" customHeight="1">
      <c r="A35" s="52">
        <v>45125</v>
      </c>
      <c r="B35" s="53" t="str">
        <f>Rollover!A35</f>
        <v>Nissan</v>
      </c>
      <c r="C35" s="53" t="str">
        <f>Rollover!B35</f>
        <v>Armada SUV 4WD</v>
      </c>
      <c r="D35" s="10">
        <f>Rollover!C35</f>
        <v>2023</v>
      </c>
      <c r="E35" s="24">
        <f>Front!AW35</f>
        <v>4</v>
      </c>
      <c r="F35" s="53">
        <f>Front!AX35</f>
        <v>3</v>
      </c>
      <c r="G35" s="53">
        <f>Front!AY35</f>
        <v>3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91">
        <f>'Side Pole'!P35</f>
        <v>5</v>
      </c>
      <c r="L35" s="91">
        <f>'Side Pole'!S35</f>
        <v>5</v>
      </c>
      <c r="M35" s="91">
        <f>'Side Pole'!V35</f>
        <v>5</v>
      </c>
      <c r="N35" s="92">
        <f>Rollover!J35</f>
        <v>3</v>
      </c>
      <c r="O35" s="93">
        <f>ROUND(5/12*Front!AV35+4/12*'Side Pole'!U35+3/12*Rollover!I35,2)</f>
        <v>0.85</v>
      </c>
      <c r="P35" s="94">
        <f t="shared" si="2"/>
        <v>4</v>
      </c>
    </row>
    <row r="36" spans="1:16" ht="14.45" customHeight="1">
      <c r="A36" s="52">
        <v>45125</v>
      </c>
      <c r="B36" s="10" t="str">
        <f>Rollover!A36</f>
        <v xml:space="preserve">Infiniti </v>
      </c>
      <c r="C36" s="10" t="str">
        <f>Rollover!B36</f>
        <v>QX80 SUV RWD</v>
      </c>
      <c r="D36" s="10">
        <f>Rollover!C36</f>
        <v>2023</v>
      </c>
      <c r="E36" s="24">
        <f>Front!AW36</f>
        <v>4</v>
      </c>
      <c r="F36" s="53">
        <f>Front!AX36</f>
        <v>3</v>
      </c>
      <c r="G36" s="53">
        <f>Front!AY36</f>
        <v>3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91">
        <f>'Side Pole'!P36</f>
        <v>5</v>
      </c>
      <c r="L36" s="91">
        <f>'Side Pole'!S36</f>
        <v>5</v>
      </c>
      <c r="M36" s="91">
        <f>'Side Pole'!V36</f>
        <v>5</v>
      </c>
      <c r="N36" s="92">
        <f>Rollover!J36</f>
        <v>3</v>
      </c>
      <c r="O36" s="93">
        <f>ROUND(5/12*Front!AV36+4/12*'Side Pole'!U36+3/12*Rollover!I36,2)</f>
        <v>0.88</v>
      </c>
      <c r="P36" s="94">
        <f t="shared" si="2"/>
        <v>4</v>
      </c>
    </row>
    <row r="37" spans="1:16" ht="14.45" customHeight="1">
      <c r="A37" s="52">
        <v>45125</v>
      </c>
      <c r="B37" s="10" t="str">
        <f>Rollover!A37</f>
        <v xml:space="preserve">Infiniti </v>
      </c>
      <c r="C37" s="10" t="str">
        <f>Rollover!B37</f>
        <v>QX80 SUV 4WD</v>
      </c>
      <c r="D37" s="10">
        <f>Rollover!C37</f>
        <v>2023</v>
      </c>
      <c r="E37" s="24">
        <f>Front!AW37</f>
        <v>4</v>
      </c>
      <c r="F37" s="53">
        <f>Front!AX37</f>
        <v>3</v>
      </c>
      <c r="G37" s="53">
        <f>Front!AY37</f>
        <v>3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91">
        <f>'Side Pole'!P37</f>
        <v>5</v>
      </c>
      <c r="L37" s="91">
        <f>'Side Pole'!S37</f>
        <v>5</v>
      </c>
      <c r="M37" s="91">
        <f>'Side Pole'!V37</f>
        <v>5</v>
      </c>
      <c r="N37" s="92">
        <f>Rollover!J37</f>
        <v>3</v>
      </c>
      <c r="O37" s="93">
        <f>ROUND(5/12*Front!AV37+4/12*'Side Pole'!U37+3/12*Rollover!I37,2)</f>
        <v>0.85</v>
      </c>
      <c r="P37" s="94">
        <f t="shared" si="2"/>
        <v>4</v>
      </c>
    </row>
    <row r="38" spans="1:16" ht="14.45" customHeight="1">
      <c r="A38" s="52">
        <v>45147</v>
      </c>
      <c r="B38" s="53" t="str">
        <f>Rollover!A38</f>
        <v>Rivian</v>
      </c>
      <c r="C38" s="53" t="str">
        <f>Rollover!B38</f>
        <v>R1S SUV BEV AWD</v>
      </c>
      <c r="D38" s="10">
        <f>Rollover!C38</f>
        <v>2023</v>
      </c>
      <c r="E38" s="24" t="e">
        <f>Front!AW38</f>
        <v>#NUM!</v>
      </c>
      <c r="F38" s="53" t="e">
        <f>Front!AX38</f>
        <v>#NUM!</v>
      </c>
      <c r="G38" s="53" t="e">
        <f>Front!AY38</f>
        <v>#NUM!</v>
      </c>
      <c r="H38" s="24" t="e">
        <f>'Side MDB'!AC38</f>
        <v>#NUM!</v>
      </c>
      <c r="I38" s="24" t="e">
        <f>'Side MDB'!AD38</f>
        <v>#NUM!</v>
      </c>
      <c r="J38" s="24" t="e">
        <f>'Side MDB'!AE38</f>
        <v>#NUM!</v>
      </c>
      <c r="K38" s="91" t="e">
        <f>'Side Pole'!P38</f>
        <v>#NUM!</v>
      </c>
      <c r="L38" s="91" t="e">
        <f>'Side Pole'!S38</f>
        <v>#NUM!</v>
      </c>
      <c r="M38" s="91" t="e">
        <f>'Side Pole'!V38</f>
        <v>#NUM!</v>
      </c>
      <c r="N38" s="92">
        <f>Rollover!J38</f>
        <v>4</v>
      </c>
      <c r="O38" s="93" t="e">
        <f>ROUND(5/12*Front!AV38+4/12*'Side Pole'!U38+3/12*Rollover!I38,2)</f>
        <v>#NUM!</v>
      </c>
      <c r="P38" s="94" t="e">
        <f t="shared" si="2"/>
        <v>#NUM!</v>
      </c>
    </row>
    <row r="39" spans="1:16" ht="14.45" customHeight="1">
      <c r="K39" s="140"/>
      <c r="L39" s="140"/>
      <c r="M39" s="140"/>
      <c r="N39" s="141"/>
      <c r="O39" s="113"/>
      <c r="P39" s="113"/>
    </row>
    <row r="40" spans="1:16" ht="14.45" customHeight="1">
      <c r="E40" s="141"/>
      <c r="F40" s="142"/>
      <c r="G40" s="142"/>
      <c r="H40" s="142"/>
      <c r="I40" s="142"/>
      <c r="J40" s="142"/>
      <c r="K40" s="143"/>
      <c r="L40" s="143"/>
      <c r="M40" s="143"/>
    </row>
    <row r="41" spans="1:16" ht="14.45" customHeight="1">
      <c r="E41" s="141"/>
      <c r="F41" s="145"/>
      <c r="G41" s="145"/>
      <c r="K41" s="143"/>
      <c r="L41" s="143"/>
      <c r="M41" s="143"/>
    </row>
    <row r="42" spans="1:16" ht="14.45" customHeight="1">
      <c r="B42" s="145"/>
      <c r="K42" s="143"/>
      <c r="L42" s="143"/>
      <c r="M42" s="143"/>
    </row>
    <row r="43" spans="1:16" ht="14.45" customHeight="1">
      <c r="B43" s="145"/>
    </row>
    <row r="44" spans="1:16" ht="14.45" customHeight="1">
      <c r="B44" s="145"/>
    </row>
    <row r="45" spans="1:16" ht="14.45" customHeight="1">
      <c r="B45" s="145"/>
    </row>
    <row r="46" spans="1:16" ht="14.45" customHeight="1">
      <c r="B46" s="145"/>
      <c r="C46" s="145"/>
      <c r="D46" s="145"/>
    </row>
    <row r="47" spans="1:16" ht="14.45" customHeight="1">
      <c r="B47" s="145"/>
      <c r="C47" s="145"/>
      <c r="D47" s="145"/>
    </row>
    <row r="48" spans="1:16" ht="14.45" customHeight="1">
      <c r="B48" s="145"/>
      <c r="C48" s="145"/>
      <c r="D48" s="145"/>
    </row>
    <row r="49" spans="2:10" ht="14.45" customHeight="1">
      <c r="B49" s="145"/>
      <c r="C49" s="145"/>
      <c r="D49" s="145"/>
    </row>
    <row r="50" spans="2:10" ht="14.45" customHeight="1">
      <c r="B50" s="145"/>
      <c r="C50" s="145"/>
      <c r="D50" s="145"/>
    </row>
    <row r="51" spans="2:10" ht="14.45" customHeight="1">
      <c r="B51" s="145"/>
      <c r="C51" s="145"/>
      <c r="D51" s="145"/>
    </row>
    <row r="52" spans="2:10" ht="14.45" customHeight="1">
      <c r="B52" s="145"/>
      <c r="C52" s="145"/>
      <c r="D52" s="145"/>
      <c r="H52" s="136"/>
      <c r="I52" s="136"/>
      <c r="J52" s="136"/>
    </row>
    <row r="53" spans="2:10" ht="14.45" customHeight="1">
      <c r="H53" s="136"/>
      <c r="I53" s="136"/>
      <c r="J53" s="136"/>
    </row>
    <row r="54" spans="2:10" ht="14.45" customHeight="1">
      <c r="H54" s="136"/>
      <c r="I54" s="136"/>
      <c r="J54" s="136"/>
    </row>
    <row r="55" spans="2:10" ht="14.45" customHeight="1">
      <c r="B55" s="146"/>
      <c r="C55" s="146"/>
      <c r="D55" s="146"/>
      <c r="E55" s="141"/>
      <c r="F55" s="145"/>
      <c r="H55" s="136"/>
      <c r="I55" s="136"/>
      <c r="J55" s="136"/>
    </row>
    <row r="56" spans="2:10" ht="14.45" customHeight="1">
      <c r="B56" s="146"/>
      <c r="C56" s="146"/>
      <c r="D56" s="146"/>
      <c r="E56" s="141"/>
      <c r="F56" s="145"/>
      <c r="H56" s="136"/>
      <c r="I56" s="136"/>
      <c r="J56" s="136"/>
    </row>
    <row r="57" spans="2:10" ht="14.45" customHeight="1">
      <c r="B57" s="146"/>
      <c r="C57" s="146"/>
      <c r="D57" s="146"/>
      <c r="E57" s="141"/>
      <c r="F57" s="145"/>
      <c r="H57" s="136"/>
      <c r="I57" s="136"/>
      <c r="J57" s="136"/>
    </row>
    <row r="58" spans="2:10" ht="14.45" customHeight="1">
      <c r="B58" s="146"/>
      <c r="C58" s="146"/>
      <c r="D58" s="146"/>
      <c r="E58" s="141"/>
      <c r="F58" s="145"/>
      <c r="H58" s="136"/>
      <c r="I58" s="136"/>
      <c r="J58" s="136"/>
    </row>
    <row r="59" spans="2:10" ht="14.45" customHeight="1">
      <c r="B59" s="146"/>
      <c r="C59" s="146"/>
      <c r="D59" s="146"/>
      <c r="E59" s="141"/>
      <c r="F59" s="145"/>
      <c r="H59" s="136"/>
      <c r="I59" s="136"/>
      <c r="J59" s="136"/>
    </row>
    <row r="60" spans="2:10" ht="14.45" customHeight="1">
      <c r="B60" s="146"/>
      <c r="C60" s="146"/>
      <c r="D60" s="146"/>
      <c r="E60" s="141"/>
      <c r="F60" s="145"/>
      <c r="H60" s="136"/>
      <c r="I60" s="136"/>
      <c r="J60" s="136"/>
    </row>
    <row r="61" spans="2:10" ht="14.45" customHeight="1">
      <c r="B61" s="146"/>
      <c r="C61" s="146"/>
      <c r="D61" s="146"/>
      <c r="E61" s="141"/>
      <c r="F61" s="145"/>
    </row>
    <row r="62" spans="2:10" ht="14.45" customHeight="1">
      <c r="B62" s="146"/>
      <c r="C62" s="146"/>
      <c r="D62" s="146"/>
      <c r="E62" s="141"/>
      <c r="F62" s="145"/>
    </row>
    <row r="63" spans="2:10" ht="14.45" customHeight="1">
      <c r="B63" s="146"/>
      <c r="C63" s="146"/>
      <c r="D63" s="146"/>
      <c r="E63" s="141"/>
      <c r="F63" s="145"/>
    </row>
    <row r="64" spans="2:10" ht="14.45" customHeight="1">
      <c r="B64" s="146"/>
      <c r="C64" s="146"/>
      <c r="D64" s="146"/>
      <c r="E64" s="141"/>
      <c r="F64" s="145"/>
    </row>
    <row r="65" spans="2:10" ht="14.45" customHeight="1">
      <c r="E65" s="141"/>
      <c r="F65" s="145"/>
    </row>
    <row r="66" spans="2:10" ht="14.45" customHeight="1">
      <c r="E66" s="141"/>
      <c r="F66" s="145"/>
    </row>
    <row r="67" spans="2:10" ht="14.45" customHeight="1">
      <c r="B67" s="146"/>
      <c r="C67" s="146"/>
      <c r="D67" s="146"/>
      <c r="E67" s="141"/>
      <c r="F67" s="145"/>
    </row>
    <row r="68" spans="2:10" ht="14.45" customHeight="1">
      <c r="B68" s="146"/>
      <c r="C68" s="146"/>
      <c r="D68" s="146"/>
      <c r="E68" s="141"/>
      <c r="F68" s="145"/>
    </row>
    <row r="69" spans="2:10" ht="14.45" customHeight="1">
      <c r="B69" s="146"/>
      <c r="C69" s="146"/>
      <c r="D69" s="146"/>
      <c r="E69" s="141"/>
      <c r="F69" s="145"/>
    </row>
    <row r="70" spans="2:10" ht="14.45" customHeight="1">
      <c r="B70" s="146"/>
      <c r="C70" s="146"/>
      <c r="D70" s="146"/>
      <c r="E70" s="141"/>
      <c r="F70" s="145"/>
      <c r="H70" s="147"/>
      <c r="I70" s="147"/>
      <c r="J70" s="147"/>
    </row>
    <row r="71" spans="2:10" ht="14.45" customHeight="1">
      <c r="B71" s="146"/>
      <c r="C71" s="146"/>
      <c r="D71" s="146"/>
      <c r="F71" s="136"/>
      <c r="G71" s="136"/>
      <c r="H71" s="147"/>
      <c r="I71" s="147"/>
      <c r="J71" s="147"/>
    </row>
    <row r="72" spans="2:10" ht="14.45" customHeight="1">
      <c r="B72" s="146"/>
      <c r="C72" s="146"/>
      <c r="D72" s="146"/>
      <c r="F72" s="136"/>
      <c r="G72" s="136"/>
      <c r="H72" s="147"/>
      <c r="I72" s="147"/>
      <c r="J72" s="147"/>
    </row>
    <row r="73" spans="2:10" ht="14.45" customHeight="1">
      <c r="B73" s="148"/>
      <c r="C73" s="148"/>
      <c r="D73" s="148"/>
      <c r="E73" s="149"/>
      <c r="F73" s="136"/>
      <c r="G73" s="136"/>
      <c r="H73" s="147"/>
      <c r="I73" s="147"/>
      <c r="J73" s="147"/>
    </row>
    <row r="74" spans="2:10" ht="14.45" customHeight="1">
      <c r="B74" s="145"/>
      <c r="C74" s="145"/>
      <c r="D74" s="145"/>
      <c r="F74" s="136"/>
      <c r="G74" s="136"/>
      <c r="H74" s="147"/>
      <c r="I74" s="147"/>
      <c r="J74" s="147"/>
    </row>
    <row r="75" spans="2:10" ht="14.45" customHeight="1">
      <c r="B75" s="146"/>
      <c r="C75" s="146"/>
      <c r="D75" s="146"/>
      <c r="F75" s="136"/>
      <c r="G75" s="136"/>
      <c r="H75" s="147"/>
      <c r="I75" s="147"/>
      <c r="J75" s="147"/>
    </row>
    <row r="76" spans="2:10" ht="14.45" customHeight="1">
      <c r="B76" s="146"/>
      <c r="C76" s="146"/>
      <c r="D76" s="146"/>
      <c r="F76" s="136"/>
      <c r="G76" s="136"/>
      <c r="H76" s="147"/>
      <c r="I76" s="147"/>
      <c r="J76" s="147"/>
    </row>
    <row r="77" spans="2:10" ht="14.45" customHeight="1">
      <c r="B77" s="146"/>
      <c r="C77" s="146"/>
      <c r="D77" s="146"/>
      <c r="F77" s="136"/>
      <c r="G77" s="136"/>
      <c r="H77" s="147"/>
      <c r="I77" s="147"/>
      <c r="J77" s="147"/>
    </row>
    <row r="78" spans="2:10" ht="14.45" customHeight="1">
      <c r="B78" s="146"/>
      <c r="C78" s="146"/>
      <c r="D78" s="146"/>
      <c r="F78" s="136"/>
      <c r="G78" s="136"/>
      <c r="H78" s="147"/>
      <c r="I78" s="147"/>
      <c r="J78" s="147"/>
    </row>
    <row r="79" spans="2:10" ht="14.45" customHeight="1">
      <c r="B79" s="145"/>
      <c r="C79" s="145"/>
      <c r="D79" s="145"/>
      <c r="F79" s="136"/>
      <c r="G79" s="136"/>
      <c r="H79" s="147"/>
      <c r="I79" s="147"/>
      <c r="J79" s="147"/>
    </row>
    <row r="80" spans="2:10" ht="14.45" customHeight="1">
      <c r="F80" s="136"/>
      <c r="G80" s="136"/>
      <c r="H80" s="147"/>
      <c r="I80" s="147"/>
      <c r="J80" s="147"/>
    </row>
    <row r="81" spans="6:10" ht="14.45" customHeight="1">
      <c r="F81" s="136"/>
      <c r="G81" s="136"/>
      <c r="H81" s="147"/>
      <c r="I81" s="147"/>
      <c r="J81" s="147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2023-08-11T12:52:47Z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