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13_ncr:1_{434E81E1-B47F-46BF-8C26-D8E474A3D79B}" xr6:coauthVersionLast="47" xr6:coauthVersionMax="47" xr10:uidLastSave="{00000000-0000-0000-0000-000000000000}"/>
  <workbookProtection workbookPassword="C8D7" lockStructure="1"/>
  <bookViews>
    <workbookView xWindow="2145" yWindow="1005" windowWidth="33855" windowHeight="18675" tabRatio="537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4" l="1"/>
  <c r="H19" i="24" s="1"/>
  <c r="I19" i="24" s="1"/>
  <c r="J19" i="24" s="1"/>
  <c r="N19" i="31" s="1"/>
  <c r="B19" i="31"/>
  <c r="C19" i="31"/>
  <c r="D19" i="31"/>
  <c r="C19" i="29"/>
  <c r="D19" i="29"/>
  <c r="F19" i="29"/>
  <c r="L19" i="29"/>
  <c r="M19" i="29"/>
  <c r="C19" i="22"/>
  <c r="D19" i="22"/>
  <c r="F19" i="22"/>
  <c r="Q19" i="22"/>
  <c r="R19" i="22"/>
  <c r="S19" i="22"/>
  <c r="T19" i="22"/>
  <c r="U19" i="22"/>
  <c r="V19" i="22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AK19" i="21" l="1"/>
  <c r="AA19" i="21"/>
  <c r="X19" i="22"/>
  <c r="AA19" i="22" s="1"/>
  <c r="AD19" i="22" s="1"/>
  <c r="I19" i="31" s="1"/>
  <c r="AP19" i="21"/>
  <c r="AR19" i="21" s="1"/>
  <c r="AF19" i="21"/>
  <c r="N19" i="29"/>
  <c r="O19" i="29" s="1"/>
  <c r="P19" i="29" s="1"/>
  <c r="K19" i="31" s="1"/>
  <c r="W19" i="22"/>
  <c r="AQ19" i="21" l="1"/>
  <c r="AT19" i="21" s="1"/>
  <c r="AW19" i="21" s="1"/>
  <c r="E19" i="31" s="1"/>
  <c r="T19" i="29"/>
  <c r="U19" i="29" s="1"/>
  <c r="V19" i="29" s="1"/>
  <c r="M19" i="31" s="1"/>
  <c r="Q19" i="29"/>
  <c r="R19" i="29" s="1"/>
  <c r="S19" i="29" s="1"/>
  <c r="L19" i="31" s="1"/>
  <c r="Y19" i="22"/>
  <c r="AB19" i="22" s="1"/>
  <c r="AE19" i="22" s="1"/>
  <c r="J19" i="31" s="1"/>
  <c r="Z19" i="22"/>
  <c r="AC19" i="22" s="1"/>
  <c r="H19" i="31" s="1"/>
  <c r="AS19" i="21"/>
  <c r="AV19" i="21" s="1"/>
  <c r="AU19" i="21"/>
  <c r="AX19" i="21" s="1"/>
  <c r="F19" i="31" s="1"/>
  <c r="O19" i="31" l="1"/>
  <c r="P19" i="31" s="1"/>
  <c r="AY19" i="21"/>
  <c r="G19" i="31" s="1"/>
  <c r="D18" i="31" l="1"/>
  <c r="C18" i="31"/>
  <c r="B18" i="31"/>
  <c r="D17" i="31"/>
  <c r="C17" i="31"/>
  <c r="B17" i="31"/>
  <c r="D16" i="31"/>
  <c r="C16" i="31"/>
  <c r="B16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X17" i="22" l="1"/>
  <c r="AA17" i="22" s="1"/>
  <c r="AD17" i="22" s="1"/>
  <c r="I17" i="31" s="1"/>
  <c r="N17" i="29"/>
  <c r="O17" i="29" s="1"/>
  <c r="P17" i="29" s="1"/>
  <c r="K17" i="31" s="1"/>
  <c r="AF18" i="21"/>
  <c r="X18" i="22"/>
  <c r="AA18" i="22" s="1"/>
  <c r="AD18" i="22" s="1"/>
  <c r="I18" i="31" s="1"/>
  <c r="X16" i="22"/>
  <c r="AA16" i="22" s="1"/>
  <c r="AD16" i="22" s="1"/>
  <c r="I16" i="31" s="1"/>
  <c r="AP18" i="21"/>
  <c r="AK17" i="21"/>
  <c r="AA17" i="21"/>
  <c r="AF16" i="21"/>
  <c r="AP16" i="21"/>
  <c r="AP17" i="21"/>
  <c r="AF17" i="21"/>
  <c r="N16" i="29"/>
  <c r="O16" i="29" s="1"/>
  <c r="P16" i="29" s="1"/>
  <c r="K16" i="31" s="1"/>
  <c r="N18" i="29"/>
  <c r="O18" i="29" s="1"/>
  <c r="P18" i="29" s="1"/>
  <c r="K18" i="31" s="1"/>
  <c r="W18" i="22"/>
  <c r="Z18" i="22" s="1"/>
  <c r="AC18" i="22" s="1"/>
  <c r="H18" i="31" s="1"/>
  <c r="W16" i="22"/>
  <c r="W17" i="22"/>
  <c r="Z17" i="22" s="1"/>
  <c r="AC17" i="22" s="1"/>
  <c r="H17" i="31" s="1"/>
  <c r="AA16" i="21"/>
  <c r="AA18" i="21"/>
  <c r="AK16" i="21"/>
  <c r="AK18" i="21"/>
  <c r="AQ18" i="21" l="1"/>
  <c r="AT18" i="21" s="1"/>
  <c r="AW18" i="21" s="1"/>
  <c r="E18" i="31" s="1"/>
  <c r="AR18" i="21"/>
  <c r="AU18" i="21" s="1"/>
  <c r="AX18" i="21" s="1"/>
  <c r="F18" i="31" s="1"/>
  <c r="AQ17" i="21"/>
  <c r="AT17" i="21" s="1"/>
  <c r="AW17" i="21" s="1"/>
  <c r="E17" i="31" s="1"/>
  <c r="Y16" i="22"/>
  <c r="AB16" i="22" s="1"/>
  <c r="AE16" i="22" s="1"/>
  <c r="J16" i="31" s="1"/>
  <c r="AR17" i="21"/>
  <c r="AU17" i="21" s="1"/>
  <c r="AX17" i="21" s="1"/>
  <c r="F17" i="31" s="1"/>
  <c r="AQ16" i="21"/>
  <c r="AT16" i="21" s="1"/>
  <c r="AW16" i="21" s="1"/>
  <c r="E16" i="31" s="1"/>
  <c r="AR16" i="21"/>
  <c r="Y18" i="22"/>
  <c r="AB18" i="22" s="1"/>
  <c r="AE18" i="22" s="1"/>
  <c r="J18" i="31" s="1"/>
  <c r="Y17" i="22"/>
  <c r="AB17" i="22" s="1"/>
  <c r="AE17" i="22" s="1"/>
  <c r="J17" i="31" s="1"/>
  <c r="Q18" i="29"/>
  <c r="R18" i="29" s="1"/>
  <c r="S18" i="29" s="1"/>
  <c r="L18" i="31" s="1"/>
  <c r="Q16" i="29"/>
  <c r="R16" i="29" s="1"/>
  <c r="S16" i="29" s="1"/>
  <c r="L16" i="31" s="1"/>
  <c r="T18" i="29"/>
  <c r="U18" i="29" s="1"/>
  <c r="V18" i="29" s="1"/>
  <c r="M18" i="31" s="1"/>
  <c r="T17" i="29"/>
  <c r="U17" i="29" s="1"/>
  <c r="V17" i="29" s="1"/>
  <c r="M17" i="31" s="1"/>
  <c r="Q17" i="29"/>
  <c r="R17" i="29" s="1"/>
  <c r="S17" i="29" s="1"/>
  <c r="L17" i="31" s="1"/>
  <c r="T16" i="29"/>
  <c r="U16" i="29" s="1"/>
  <c r="V16" i="29" s="1"/>
  <c r="M16" i="31" s="1"/>
  <c r="Z16" i="22"/>
  <c r="AC16" i="22" s="1"/>
  <c r="H16" i="31" s="1"/>
  <c r="AS18" i="21" l="1"/>
  <c r="AV18" i="21" s="1"/>
  <c r="AY18" i="21" s="1"/>
  <c r="G18" i="31" s="1"/>
  <c r="AS16" i="21"/>
  <c r="AV16" i="21" s="1"/>
  <c r="AY16" i="21" s="1"/>
  <c r="G16" i="31" s="1"/>
  <c r="AU16" i="21"/>
  <c r="AX16" i="21" s="1"/>
  <c r="F16" i="31" s="1"/>
  <c r="AS17" i="21"/>
  <c r="AV17" i="21" s="1"/>
  <c r="AY17" i="21" s="1"/>
  <c r="G17" i="31" s="1"/>
  <c r="O18" i="31" l="1"/>
  <c r="P18" i="31" s="1"/>
  <c r="O16" i="31"/>
  <c r="P16" i="31" s="1"/>
  <c r="O17" i="31"/>
  <c r="P17" i="31" s="1"/>
  <c r="D6" i="31"/>
  <c r="C6" i="31"/>
  <c r="B6" i="31"/>
  <c r="M6" i="29"/>
  <c r="L6" i="29"/>
  <c r="F6" i="29"/>
  <c r="D6" i="29"/>
  <c r="C6" i="29"/>
  <c r="V6" i="22"/>
  <c r="U6" i="22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G6" i="24"/>
  <c r="H6" i="24" s="1"/>
  <c r="I6" i="24" s="1"/>
  <c r="J6" i="24" s="1"/>
  <c r="N6" i="31" s="1"/>
  <c r="N6" i="29" l="1"/>
  <c r="X6" i="22"/>
  <c r="AA6" i="22" s="1"/>
  <c r="AD6" i="22" s="1"/>
  <c r="I6" i="31" s="1"/>
  <c r="AF6" i="21"/>
  <c r="AP6" i="21"/>
  <c r="AA6" i="21"/>
  <c r="AQ6" i="21" s="1"/>
  <c r="AT6" i="21" s="1"/>
  <c r="AW6" i="21" s="1"/>
  <c r="E6" i="31" s="1"/>
  <c r="W6" i="22"/>
  <c r="Y6" i="22" s="1"/>
  <c r="AB6" i="22" s="1"/>
  <c r="AE6" i="22" s="1"/>
  <c r="J6" i="31" s="1"/>
  <c r="AK6" i="21"/>
  <c r="O6" i="29"/>
  <c r="P6" i="29" s="1"/>
  <c r="K6" i="31" s="1"/>
  <c r="T6" i="29" l="1"/>
  <c r="U6" i="29" s="1"/>
  <c r="V6" i="29" s="1"/>
  <c r="M6" i="31" s="1"/>
  <c r="Q6" i="29"/>
  <c r="R6" i="29" s="1"/>
  <c r="S6" i="29" s="1"/>
  <c r="L6" i="31" s="1"/>
  <c r="Z6" i="22"/>
  <c r="AC6" i="22" s="1"/>
  <c r="H6" i="31" s="1"/>
  <c r="AR6" i="21"/>
  <c r="AU6" i="21" s="1"/>
  <c r="AX6" i="21" s="1"/>
  <c r="F6" i="31" s="1"/>
  <c r="D12" i="31"/>
  <c r="C12" i="31"/>
  <c r="B12" i="31"/>
  <c r="D11" i="31"/>
  <c r="C11" i="31"/>
  <c r="B11" i="31"/>
  <c r="M12" i="29"/>
  <c r="L12" i="29"/>
  <c r="F12" i="29"/>
  <c r="D12" i="29"/>
  <c r="C12" i="29"/>
  <c r="M11" i="29"/>
  <c r="L11" i="29"/>
  <c r="F11" i="29"/>
  <c r="D11" i="29"/>
  <c r="C11" i="29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X12" i="22" l="1"/>
  <c r="AA12" i="22" s="1"/>
  <c r="AD12" i="22" s="1"/>
  <c r="I12" i="31" s="1"/>
  <c r="AS6" i="21"/>
  <c r="AV6" i="21" s="1"/>
  <c r="AY6" i="21" s="1"/>
  <c r="G6" i="31" s="1"/>
  <c r="N12" i="29"/>
  <c r="O12" i="29" s="1"/>
  <c r="P12" i="29" s="1"/>
  <c r="K12" i="31" s="1"/>
  <c r="AP12" i="21"/>
  <c r="N11" i="29"/>
  <c r="O11" i="29" s="1"/>
  <c r="P11" i="29" s="1"/>
  <c r="K11" i="31" s="1"/>
  <c r="X11" i="22"/>
  <c r="AA11" i="22" s="1"/>
  <c r="AD11" i="22" s="1"/>
  <c r="I11" i="31" s="1"/>
  <c r="W12" i="22"/>
  <c r="Q12" i="29" s="1"/>
  <c r="R12" i="29" s="1"/>
  <c r="S12" i="29" s="1"/>
  <c r="L12" i="31" s="1"/>
  <c r="AA11" i="21"/>
  <c r="AA12" i="21"/>
  <c r="AF11" i="21"/>
  <c r="AK11" i="21"/>
  <c r="AF12" i="21"/>
  <c r="AK12" i="21"/>
  <c r="W11" i="22"/>
  <c r="AP11" i="21"/>
  <c r="O6" i="31" l="1"/>
  <c r="P6" i="31" s="1"/>
  <c r="AQ12" i="21"/>
  <c r="AT12" i="21" s="1"/>
  <c r="AW12" i="21" s="1"/>
  <c r="E12" i="31" s="1"/>
  <c r="AR12" i="21"/>
  <c r="Q11" i="29"/>
  <c r="R11" i="29" s="1"/>
  <c r="S11" i="29" s="1"/>
  <c r="L11" i="31" s="1"/>
  <c r="AQ11" i="21"/>
  <c r="AT11" i="21" s="1"/>
  <c r="AW11" i="21" s="1"/>
  <c r="E11" i="31" s="1"/>
  <c r="T11" i="29"/>
  <c r="U11" i="29" s="1"/>
  <c r="V11" i="29" s="1"/>
  <c r="M11" i="31" s="1"/>
  <c r="Y11" i="22"/>
  <c r="AB11" i="22" s="1"/>
  <c r="AE11" i="22" s="1"/>
  <c r="J11" i="31" s="1"/>
  <c r="T12" i="29"/>
  <c r="U12" i="29" s="1"/>
  <c r="Z12" i="22"/>
  <c r="AC12" i="22" s="1"/>
  <c r="H12" i="31" s="1"/>
  <c r="Y12" i="22"/>
  <c r="AB12" i="22" s="1"/>
  <c r="AE12" i="22" s="1"/>
  <c r="J12" i="31" s="1"/>
  <c r="Z11" i="22"/>
  <c r="AC11" i="22" s="1"/>
  <c r="H11" i="31" s="1"/>
  <c r="AR11" i="21"/>
  <c r="D8" i="31"/>
  <c r="C8" i="31"/>
  <c r="B8" i="31"/>
  <c r="D7" i="31"/>
  <c r="C7" i="31"/>
  <c r="B7" i="31"/>
  <c r="M8" i="29"/>
  <c r="L8" i="29"/>
  <c r="F8" i="29"/>
  <c r="D8" i="29"/>
  <c r="C8" i="29"/>
  <c r="M7" i="29"/>
  <c r="L7" i="29"/>
  <c r="F7" i="29"/>
  <c r="D7" i="29"/>
  <c r="C7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8" i="24"/>
  <c r="H8" i="24" s="1"/>
  <c r="I8" i="24" s="1"/>
  <c r="J8" i="24" s="1"/>
  <c r="N8" i="31" s="1"/>
  <c r="G7" i="24"/>
  <c r="H7" i="24" s="1"/>
  <c r="I7" i="24" s="1"/>
  <c r="J7" i="24" s="1"/>
  <c r="N7" i="31" s="1"/>
  <c r="AS12" i="21" l="1"/>
  <c r="AV12" i="21" s="1"/>
  <c r="AY12" i="21" s="1"/>
  <c r="G12" i="31" s="1"/>
  <c r="AP7" i="21"/>
  <c r="AU12" i="21"/>
  <c r="AX12" i="21" s="1"/>
  <c r="F12" i="31" s="1"/>
  <c r="X8" i="22"/>
  <c r="AA8" i="22" s="1"/>
  <c r="AD8" i="22" s="1"/>
  <c r="I8" i="31" s="1"/>
  <c r="V12" i="29"/>
  <c r="M12" i="31" s="1"/>
  <c r="AU11" i="21"/>
  <c r="AX11" i="21" s="1"/>
  <c r="F11" i="31" s="1"/>
  <c r="AS11" i="21"/>
  <c r="AV11" i="21" s="1"/>
  <c r="N8" i="29"/>
  <c r="O8" i="29" s="1"/>
  <c r="P8" i="29" s="1"/>
  <c r="K8" i="31" s="1"/>
  <c r="AA7" i="21"/>
  <c r="AF7" i="21"/>
  <c r="X7" i="22"/>
  <c r="AA7" i="22" s="1"/>
  <c r="AD7" i="22" s="1"/>
  <c r="I7" i="31" s="1"/>
  <c r="AF8" i="21"/>
  <c r="W7" i="22"/>
  <c r="Z7" i="22" s="1"/>
  <c r="AC7" i="22" s="1"/>
  <c r="H7" i="31" s="1"/>
  <c r="W8" i="22"/>
  <c r="N7" i="29"/>
  <c r="AK8" i="21"/>
  <c r="AK7" i="21"/>
  <c r="AA8" i="21"/>
  <c r="AP8" i="21"/>
  <c r="AR7" i="21" l="1"/>
  <c r="AU7" i="21" s="1"/>
  <c r="AX7" i="21" s="1"/>
  <c r="F7" i="31" s="1"/>
  <c r="Q7" i="29"/>
  <c r="R7" i="29" s="1"/>
  <c r="S7" i="29" s="1"/>
  <c r="L7" i="31" s="1"/>
  <c r="O12" i="31"/>
  <c r="P12" i="31" s="1"/>
  <c r="AQ8" i="21"/>
  <c r="AQ7" i="21"/>
  <c r="AT7" i="21" s="1"/>
  <c r="AW7" i="21" s="1"/>
  <c r="E7" i="31" s="1"/>
  <c r="Q8" i="29"/>
  <c r="R8" i="29" s="1"/>
  <c r="S8" i="29" s="1"/>
  <c r="L8" i="31" s="1"/>
  <c r="AY11" i="21"/>
  <c r="G11" i="31" s="1"/>
  <c r="O11" i="31"/>
  <c r="P11" i="31" s="1"/>
  <c r="O7" i="29"/>
  <c r="P7" i="29" s="1"/>
  <c r="K7" i="31" s="1"/>
  <c r="Y8" i="22"/>
  <c r="AB8" i="22" s="1"/>
  <c r="AE8" i="22" s="1"/>
  <c r="J8" i="31" s="1"/>
  <c r="AR8" i="21"/>
  <c r="AU8" i="21" s="1"/>
  <c r="AX8" i="21" s="1"/>
  <c r="F8" i="31" s="1"/>
  <c r="T8" i="29"/>
  <c r="U8" i="29" s="1"/>
  <c r="V8" i="29" s="1"/>
  <c r="M8" i="31" s="1"/>
  <c r="T7" i="29"/>
  <c r="U7" i="29" s="1"/>
  <c r="V7" i="29" s="1"/>
  <c r="M7" i="31" s="1"/>
  <c r="Y7" i="22"/>
  <c r="AB7" i="22" s="1"/>
  <c r="AE7" i="22" s="1"/>
  <c r="J7" i="31" s="1"/>
  <c r="Z8" i="22"/>
  <c r="AC8" i="22" s="1"/>
  <c r="H8" i="31" s="1"/>
  <c r="AT8" i="21"/>
  <c r="AW8" i="21" s="1"/>
  <c r="E8" i="31" s="1"/>
  <c r="AS7" i="21" l="1"/>
  <c r="AV7" i="21" s="1"/>
  <c r="AY7" i="21" s="1"/>
  <c r="G7" i="31" s="1"/>
  <c r="AS8" i="21"/>
  <c r="AV8" i="21" s="1"/>
  <c r="AY8" i="21" s="1"/>
  <c r="G8" i="31" s="1"/>
  <c r="O7" i="31" l="1"/>
  <c r="P7" i="31" s="1"/>
  <c r="O8" i="31"/>
  <c r="P8" i="31" s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AQ4" i="21" l="1"/>
  <c r="AT4" i="21" s="1"/>
  <c r="AW4" i="21" s="1"/>
  <c r="E4" i="31" s="1"/>
  <c r="Q4" i="29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C3" i="21" l="1"/>
  <c r="C5" i="21"/>
  <c r="C9" i="21"/>
  <c r="C10" i="21"/>
  <c r="C13" i="21"/>
  <c r="C14" i="21"/>
  <c r="C15" i="21"/>
  <c r="Q5" i="22" l="1"/>
  <c r="R5" i="22"/>
  <c r="S5" i="22"/>
  <c r="D5" i="31"/>
  <c r="C5" i="31"/>
  <c r="B5" i="31"/>
  <c r="M5" i="29"/>
  <c r="L5" i="29"/>
  <c r="F5" i="29"/>
  <c r="D5" i="29"/>
  <c r="C5" i="29"/>
  <c r="V5" i="22"/>
  <c r="U5" i="22"/>
  <c r="T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G5" i="24"/>
  <c r="H5" i="24" s="1"/>
  <c r="I5" i="24" s="1"/>
  <c r="J5" i="24" s="1"/>
  <c r="N5" i="31" s="1"/>
  <c r="W5" i="22" l="1"/>
  <c r="Z5" i="22" s="1"/>
  <c r="AC5" i="22" s="1"/>
  <c r="H5" i="31" s="1"/>
  <c r="AF5" i="21"/>
  <c r="AA5" i="21"/>
  <c r="AP5" i="21"/>
  <c r="N5" i="29"/>
  <c r="AK5" i="21"/>
  <c r="X5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15" i="31"/>
  <c r="C15" i="31"/>
  <c r="B15" i="31"/>
  <c r="M15" i="29"/>
  <c r="L15" i="29"/>
  <c r="F15" i="29"/>
  <c r="D15" i="29"/>
  <c r="C15" i="29"/>
  <c r="V15" i="22"/>
  <c r="U15" i="22"/>
  <c r="T15" i="22"/>
  <c r="S15" i="22"/>
  <c r="R15" i="22"/>
  <c r="Q15" i="22"/>
  <c r="F15" i="22"/>
  <c r="D15" i="22"/>
  <c r="C15" i="22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G15" i="24"/>
  <c r="H15" i="24" s="1"/>
  <c r="I15" i="24" s="1"/>
  <c r="D10" i="31"/>
  <c r="C10" i="31"/>
  <c r="B10" i="31"/>
  <c r="D9" i="31"/>
  <c r="C9" i="31"/>
  <c r="B9" i="31"/>
  <c r="M10" i="29"/>
  <c r="L10" i="29"/>
  <c r="F10" i="29"/>
  <c r="D10" i="29"/>
  <c r="C10" i="29"/>
  <c r="M9" i="29"/>
  <c r="L9" i="29"/>
  <c r="F9" i="29"/>
  <c r="D9" i="29"/>
  <c r="C9" i="29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G10" i="24"/>
  <c r="H10" i="24" s="1"/>
  <c r="I10" i="24" s="1"/>
  <c r="G9" i="24"/>
  <c r="H9" i="24" s="1"/>
  <c r="I9" i="24" s="1"/>
  <c r="J9" i="24" s="1"/>
  <c r="N9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D13" i="29"/>
  <c r="D13" i="21"/>
  <c r="D14" i="21"/>
  <c r="C13" i="22"/>
  <c r="D14" i="31"/>
  <c r="C14" i="31"/>
  <c r="B14" i="31"/>
  <c r="D13" i="31"/>
  <c r="C13" i="31"/>
  <c r="B13" i="31"/>
  <c r="M14" i="29"/>
  <c r="L14" i="29"/>
  <c r="F14" i="29"/>
  <c r="D14" i="29"/>
  <c r="C14" i="29"/>
  <c r="M13" i="29"/>
  <c r="L13" i="29"/>
  <c r="F13" i="29"/>
  <c r="C13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X15" i="22" l="1"/>
  <c r="AA15" i="22" s="1"/>
  <c r="AD15" i="22" s="1"/>
  <c r="I15" i="31" s="1"/>
  <c r="N9" i="29"/>
  <c r="O9" i="29" s="1"/>
  <c r="P9" i="29" s="1"/>
  <c r="K9" i="31" s="1"/>
  <c r="AF15" i="21"/>
  <c r="AK3" i="21"/>
  <c r="AF13" i="21"/>
  <c r="AA13" i="21"/>
  <c r="N10" i="29"/>
  <c r="O10" i="29" s="1"/>
  <c r="P10" i="29" s="1"/>
  <c r="K10" i="31" s="1"/>
  <c r="AP9" i="21"/>
  <c r="AR5" i="21"/>
  <c r="AU5" i="21" s="1"/>
  <c r="AX5" i="21" s="1"/>
  <c r="F5" i="31" s="1"/>
  <c r="AK13" i="21"/>
  <c r="AP13" i="21"/>
  <c r="AF14" i="21"/>
  <c r="AK14" i="21"/>
  <c r="AP14" i="21"/>
  <c r="N13" i="29"/>
  <c r="N14" i="29"/>
  <c r="O14" i="29" s="1"/>
  <c r="P14" i="29" s="1"/>
  <c r="K14" i="31" s="1"/>
  <c r="AQ5" i="21"/>
  <c r="AT5" i="21" s="1"/>
  <c r="AW5" i="21" s="1"/>
  <c r="E5" i="31" s="1"/>
  <c r="AP15" i="21"/>
  <c r="N15" i="29"/>
  <c r="O15" i="29" s="1"/>
  <c r="P15" i="29" s="1"/>
  <c r="K15" i="31" s="1"/>
  <c r="AA3" i="21"/>
  <c r="AF3" i="21"/>
  <c r="W15" i="22"/>
  <c r="AA14" i="21"/>
  <c r="AA5" i="22"/>
  <c r="AD5" i="22" s="1"/>
  <c r="I5" i="31" s="1"/>
  <c r="Y5" i="22"/>
  <c r="AB5" i="22" s="1"/>
  <c r="AE5" i="22" s="1"/>
  <c r="J5" i="31" s="1"/>
  <c r="W13" i="22"/>
  <c r="Z13" i="22" s="1"/>
  <c r="AC13" i="22" s="1"/>
  <c r="H13" i="31" s="1"/>
  <c r="W14" i="22"/>
  <c r="X14" i="22"/>
  <c r="AA14" i="22" s="1"/>
  <c r="AD14" i="22" s="1"/>
  <c r="I14" i="31" s="1"/>
  <c r="AK15" i="21"/>
  <c r="AK9" i="21"/>
  <c r="X13" i="22"/>
  <c r="AA13" i="22" s="1"/>
  <c r="AD13" i="22" s="1"/>
  <c r="I13" i="31" s="1"/>
  <c r="AA9" i="21"/>
  <c r="AF9" i="21"/>
  <c r="AP10" i="21"/>
  <c r="AA15" i="21"/>
  <c r="AA10" i="21"/>
  <c r="AF10" i="21"/>
  <c r="W9" i="22"/>
  <c r="X9" i="22"/>
  <c r="AA9" i="22" s="1"/>
  <c r="AD9" i="22" s="1"/>
  <c r="I9" i="31" s="1"/>
  <c r="W10" i="22"/>
  <c r="Z10" i="22" s="1"/>
  <c r="AC10" i="22" s="1"/>
  <c r="H10" i="31" s="1"/>
  <c r="X10" i="22"/>
  <c r="AA10" i="22" s="1"/>
  <c r="AD10" i="22" s="1"/>
  <c r="I10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AK10" i="21"/>
  <c r="N3" i="29"/>
  <c r="T5" i="29"/>
  <c r="U5" i="29" s="1"/>
  <c r="J10" i="24"/>
  <c r="N10" i="31" s="1"/>
  <c r="J15" i="24"/>
  <c r="N15" i="31" s="1"/>
  <c r="AP3" i="21"/>
  <c r="W3" i="22"/>
  <c r="AR3" i="21" l="1"/>
  <c r="AU3" i="21" s="1"/>
  <c r="AX3" i="21" s="1"/>
  <c r="F3" i="31" s="1"/>
  <c r="AQ15" i="21"/>
  <c r="AT15" i="21" s="1"/>
  <c r="AW15" i="21" s="1"/>
  <c r="E15" i="31" s="1"/>
  <c r="AS5" i="21"/>
  <c r="AV5" i="21" s="1"/>
  <c r="AY5" i="21" s="1"/>
  <c r="G5" i="31" s="1"/>
  <c r="AQ14" i="21"/>
  <c r="AT14" i="21" s="1"/>
  <c r="AW14" i="21" s="1"/>
  <c r="E14" i="31" s="1"/>
  <c r="AQ3" i="21"/>
  <c r="AT3" i="21" s="1"/>
  <c r="AW3" i="21" s="1"/>
  <c r="E3" i="31" s="1"/>
  <c r="AQ13" i="21"/>
  <c r="AT13" i="21" s="1"/>
  <c r="AW13" i="21" s="1"/>
  <c r="E13" i="31" s="1"/>
  <c r="Q13" i="29"/>
  <c r="R13" i="29" s="1"/>
  <c r="S13" i="29" s="1"/>
  <c r="L13" i="31" s="1"/>
  <c r="T15" i="29"/>
  <c r="U15" i="29" s="1"/>
  <c r="V15" i="29" s="1"/>
  <c r="M15" i="31" s="1"/>
  <c r="AR13" i="21"/>
  <c r="AU13" i="21" s="1"/>
  <c r="AX13" i="21" s="1"/>
  <c r="F13" i="31" s="1"/>
  <c r="AR15" i="21"/>
  <c r="AU15" i="21" s="1"/>
  <c r="AX15" i="21" s="1"/>
  <c r="F15" i="31" s="1"/>
  <c r="O13" i="29"/>
  <c r="P13" i="29" s="1"/>
  <c r="K13" i="31" s="1"/>
  <c r="T13" i="29"/>
  <c r="U13" i="29" s="1"/>
  <c r="V13" i="29" s="1"/>
  <c r="M13" i="31" s="1"/>
  <c r="Q9" i="29"/>
  <c r="R9" i="29" s="1"/>
  <c r="S9" i="29" s="1"/>
  <c r="L9" i="31" s="1"/>
  <c r="T9" i="29"/>
  <c r="U9" i="29" s="1"/>
  <c r="V9" i="29" s="1"/>
  <c r="M9" i="31" s="1"/>
  <c r="AR14" i="21"/>
  <c r="AU14" i="21" s="1"/>
  <c r="AX14" i="21" s="1"/>
  <c r="F14" i="31" s="1"/>
  <c r="Z15" i="22"/>
  <c r="AC15" i="22" s="1"/>
  <c r="H15" i="31" s="1"/>
  <c r="Y15" i="22"/>
  <c r="Q10" i="29"/>
  <c r="R10" i="29" s="1"/>
  <c r="S10" i="29" s="1"/>
  <c r="L10" i="31" s="1"/>
  <c r="Y13" i="22"/>
  <c r="AB13" i="22" s="1"/>
  <c r="AE13" i="22" s="1"/>
  <c r="J13" i="31" s="1"/>
  <c r="AR9" i="21"/>
  <c r="AU9" i="21" s="1"/>
  <c r="AX9" i="21" s="1"/>
  <c r="F9" i="31" s="1"/>
  <c r="T14" i="29"/>
  <c r="U14" i="29" s="1"/>
  <c r="V14" i="29" s="1"/>
  <c r="M14" i="31" s="1"/>
  <c r="Y14" i="22"/>
  <c r="AB14" i="22" s="1"/>
  <c r="AE14" i="22" s="1"/>
  <c r="J14" i="31" s="1"/>
  <c r="T3" i="29"/>
  <c r="U3" i="29" s="1"/>
  <c r="Y9" i="22"/>
  <c r="AB9" i="22" s="1"/>
  <c r="AE9" i="22" s="1"/>
  <c r="J9" i="31" s="1"/>
  <c r="AQ10" i="21"/>
  <c r="AT10" i="21" s="1"/>
  <c r="AW10" i="21" s="1"/>
  <c r="E10" i="31" s="1"/>
  <c r="O3" i="29"/>
  <c r="P3" i="29" s="1"/>
  <c r="K3" i="31" s="1"/>
  <c r="Q3" i="29"/>
  <c r="R3" i="29" s="1"/>
  <c r="S3" i="29" s="1"/>
  <c r="L3" i="31" s="1"/>
  <c r="AR10" i="21"/>
  <c r="AU10" i="21" s="1"/>
  <c r="AX10" i="21" s="1"/>
  <c r="F10" i="31" s="1"/>
  <c r="Z9" i="22"/>
  <c r="AC9" i="22" s="1"/>
  <c r="H9" i="31" s="1"/>
  <c r="Q14" i="29"/>
  <c r="R14" i="29" s="1"/>
  <c r="S14" i="29" s="1"/>
  <c r="L14" i="31" s="1"/>
  <c r="Z14" i="22"/>
  <c r="AC14" i="22" s="1"/>
  <c r="H14" i="31" s="1"/>
  <c r="AQ9" i="21"/>
  <c r="AT9" i="21" s="1"/>
  <c r="AW9" i="21" s="1"/>
  <c r="E9" i="31" s="1"/>
  <c r="Q15" i="29"/>
  <c r="R15" i="29" s="1"/>
  <c r="S15" i="29" s="1"/>
  <c r="L15" i="31" s="1"/>
  <c r="Y3" i="22"/>
  <c r="AB3" i="22" s="1"/>
  <c r="AE3" i="22" s="1"/>
  <c r="J3" i="31" s="1"/>
  <c r="Y10" i="22"/>
  <c r="AB10" i="22" s="1"/>
  <c r="AE10" i="22" s="1"/>
  <c r="J10" i="31" s="1"/>
  <c r="T10" i="29"/>
  <c r="U10" i="29" s="1"/>
  <c r="V10" i="29" s="1"/>
  <c r="M10" i="31" s="1"/>
  <c r="V5" i="29"/>
  <c r="M5" i="31" s="1"/>
  <c r="Z3" i="22"/>
  <c r="AC3" i="22" s="1"/>
  <c r="H3" i="31" s="1"/>
  <c r="AB15" i="22" l="1"/>
  <c r="AE15" i="22" s="1"/>
  <c r="J15" i="31" s="1"/>
  <c r="AS3" i="21"/>
  <c r="AV3" i="21" s="1"/>
  <c r="AY3" i="21" s="1"/>
  <c r="G3" i="31" s="1"/>
  <c r="O5" i="31"/>
  <c r="P5" i="31" s="1"/>
  <c r="AS13" i="21"/>
  <c r="AV13" i="21" s="1"/>
  <c r="AY13" i="21" s="1"/>
  <c r="G13" i="31" s="1"/>
  <c r="AS15" i="21"/>
  <c r="AV15" i="21" s="1"/>
  <c r="AY15" i="21" s="1"/>
  <c r="G15" i="31" s="1"/>
  <c r="AS14" i="21"/>
  <c r="AV14" i="21" s="1"/>
  <c r="V3" i="29"/>
  <c r="M3" i="31" s="1"/>
  <c r="AS9" i="21"/>
  <c r="AV9" i="21" s="1"/>
  <c r="O9" i="31" s="1"/>
  <c r="P9" i="31" s="1"/>
  <c r="AS10" i="21"/>
  <c r="AV10" i="21" s="1"/>
  <c r="O10" i="31" s="1"/>
  <c r="P10" i="31" s="1"/>
  <c r="O3" i="31" l="1"/>
  <c r="P3" i="31" s="1"/>
  <c r="O13" i="31"/>
  <c r="P13" i="31" s="1"/>
  <c r="O15" i="31"/>
  <c r="P15" i="31" s="1"/>
  <c r="AY9" i="21"/>
  <c r="G9" i="31" s="1"/>
  <c r="AY14" i="21"/>
  <c r="G14" i="31" s="1"/>
  <c r="O14" i="31"/>
  <c r="P14" i="31" s="1"/>
  <c r="AY10" i="21"/>
  <c r="G10" i="31" s="1"/>
</calcChain>
</file>

<file path=xl/sharedStrings.xml><?xml version="1.0" encoding="utf-8"?>
<sst xmlns="http://schemas.openxmlformats.org/spreadsheetml/2006/main" count="316" uniqueCount="133">
  <si>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</si>
  <si>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</si>
  <si>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</si>
  <si>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</si>
  <si>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</si>
  <si>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</si>
  <si>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</si>
  <si>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</si>
  <si>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</si>
  <si>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</si>
  <si>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</si>
  <si>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</si>
  <si>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</si>
  <si>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</si>
  <si>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</si>
  <si>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</si>
  <si>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</si>
  <si>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</si>
  <si>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</si>
  <si>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Ford</t>
  </si>
  <si>
    <t>Explorer SUV RWD</t>
  </si>
  <si>
    <t>Explorer SUV 4WD</t>
  </si>
  <si>
    <t>Explorer HEV SUV RWD</t>
  </si>
  <si>
    <t>Explorer HEV SUV 4WD</t>
  </si>
  <si>
    <t>Lincoln</t>
  </si>
  <si>
    <t>Aviator SUV RWD</t>
  </si>
  <si>
    <t>Aviator SUV 4WD</t>
  </si>
  <si>
    <t xml:space="preserve">Honda </t>
  </si>
  <si>
    <t>HR-V SUV FWD</t>
  </si>
  <si>
    <t>HR-V SUV AWD</t>
  </si>
  <si>
    <t>Jeep</t>
  </si>
  <si>
    <t>Grand Cherokee SUV RWD</t>
  </si>
  <si>
    <t xml:space="preserve">Jeep </t>
  </si>
  <si>
    <t>Grand Cherokee SUV 4WD</t>
  </si>
  <si>
    <t>Grand Cherokee L SUV RWD</t>
  </si>
  <si>
    <t>Grand Cherokee L SUV 4WD</t>
  </si>
  <si>
    <t>Mazda</t>
  </si>
  <si>
    <t>Mazda CX-50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</si>
  <si>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</si>
  <si>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</si>
  <si>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</si>
  <si>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</si>
  <si>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</si>
  <si>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</si>
  <si>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</si>
  <si>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</si>
  <si>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</si>
  <si>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</si>
  <si>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</si>
  <si>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</si>
  <si>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</si>
  <si>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</si>
  <si>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</si>
  <si>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</si>
  <si>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</si>
  <si>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</si>
  <si>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</si>
  <si>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</si>
  <si>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</si>
  <si>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</si>
  <si>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</si>
  <si>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</si>
  <si>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</si>
  <si>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</si>
  <si>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</si>
  <si>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</si>
  <si>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</si>
  <si>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</si>
  <si>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</si>
  <si>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</si>
  <si>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</si>
  <si>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</si>
  <si>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CAL</t>
  </si>
  <si>
    <t>Calspan</t>
  </si>
  <si>
    <t>M20230200</t>
  </si>
  <si>
    <t>M20200203</t>
  </si>
  <si>
    <t>O20235303</t>
  </si>
  <si>
    <t>KAR</t>
  </si>
  <si>
    <t>M20220303</t>
  </si>
  <si>
    <t>TRC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</si>
  <si>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</si>
  <si>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</si>
  <si>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</si>
  <si>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</si>
  <si>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</si>
  <si>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</si>
  <si>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</si>
  <si>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</si>
  <si>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</si>
  <si>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</si>
  <si>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</si>
  <si>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</si>
  <si>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</si>
  <si>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</si>
  <si>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</si>
  <si>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</si>
  <si>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</si>
  <si>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</si>
  <si>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</si>
  <si>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</si>
  <si>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M20200205</t>
  </si>
  <si>
    <t>O20235305</t>
  </si>
  <si>
    <t>M20230301</t>
  </si>
  <si>
    <t>M20220305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</si>
  <si>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</si>
  <si>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</si>
  <si>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</si>
  <si>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</si>
  <si>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</si>
  <si>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</si>
  <si>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</si>
  <si>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</si>
  <si>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</si>
  <si>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</si>
  <si>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</si>
  <si>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</si>
  <si>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</si>
  <si>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</si>
  <si>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</si>
  <si>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M20200204</t>
  </si>
  <si>
    <t>O20235304</t>
  </si>
  <si>
    <t>M20230300</t>
  </si>
  <si>
    <t>M20220304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</si>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</sst>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44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2" fontId="4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/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</xf>
    <xf numFmtId="1" fontId="4" fillId="0" borderId="27" xfId="0" applyNumberFormat="1" applyFont="1" applyFill="1" applyBorder="1" applyAlignment="1" applyProtection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23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164" fontId="3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/>
    <xf numFmtId="2" fontId="5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3" fillId="0" borderId="0" xfId="0" applyNumberFormat="1" applyFont="1" applyFill="1" applyAlignment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 vertical="center" wrapText="1"/>
    </xf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990099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="145" zoomScaleNormal="145" workbookViewId="0">
      <pane ySplit="2" topLeftCell="A3" activePane="bottomLeft" state="frozen"/>
      <selection sqref="A1:XFD1048576"/>
      <selection pane="bottomLeft" activeCell="D27" sqref="D27"/>
    </sheetView>
  </sheetViews>
  <sheetFormatPr defaultColWidth="9.140625" defaultRowHeight="13.15" customHeight="1"/>
  <cols>
    <col min="1" max="1" width="13.5703125" style="76" customWidth="1"/>
    <col min="2" max="2" width="43.85546875" style="76" customWidth="1"/>
    <col min="3" max="3" width="6.28515625" style="70" customWidth="1"/>
    <col min="4" max="4" width="4.85546875" style="70" bestFit="1" customWidth="1"/>
    <col min="5" max="5" width="18" style="70" bestFit="1" customWidth="1"/>
    <col min="6" max="6" width="13.140625" style="70" bestFit="1" customWidth="1"/>
    <col min="7" max="7" width="7.7109375" style="77" customWidth="1"/>
    <col min="8" max="8" width="7.42578125" style="77" bestFit="1" customWidth="1"/>
    <col min="9" max="9" width="7.7109375" style="78" bestFit="1" customWidth="1"/>
    <col min="10" max="10" width="7.140625" style="77" bestFit="1" customWidth="1"/>
    <col min="11" max="16384" width="9.140625" style="70"/>
  </cols>
  <sheetData>
    <row r="1" spans="1:10" s="54" customFormat="1" ht="13.15" customHeight="1" thickBot="1">
      <c r="A1" s="51"/>
      <c r="B1" s="51"/>
      <c r="C1" s="51"/>
      <c r="D1" s="51"/>
      <c r="E1" s="51"/>
      <c r="F1" s="51"/>
      <c r="G1" s="52"/>
      <c r="H1" s="52"/>
      <c r="I1" s="53"/>
      <c r="J1" s="52" t="s">
        <v>0</v>
      </c>
    </row>
    <row r="2" spans="1:10" s="54" customFormat="1" ht="13.15" customHeight="1" thickBot="1">
      <c r="A2" s="82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7" t="s">
        <v>7</v>
      </c>
      <c r="H2" s="58" t="s">
        <v>8</v>
      </c>
      <c r="I2" s="59" t="s">
        <v>9</v>
      </c>
      <c r="J2" s="60" t="s">
        <v>10</v>
      </c>
    </row>
    <row r="3" spans="1:10" ht="13.15" customHeight="1">
      <c r="A3" s="61" t="s">
        <v>11</v>
      </c>
      <c r="B3" s="62" t="s">
        <v>12</v>
      </c>
      <c r="C3" s="63">
        <v>2023</v>
      </c>
      <c r="D3" s="64">
        <v>1.48</v>
      </c>
      <c r="E3" s="64" t="s">
        <v>13</v>
      </c>
      <c r="F3" s="64" t="s">
        <v>14</v>
      </c>
      <c r="G3" s="66">
        <f t="shared" ref="G3:G12" si="0">IF(F3="Y",((1/(1+EXP(2.6968+(1.1686*LN(D3-0.9)))))),((1/(1+EXP(2.8891+(1.1686*(LN(D3-0.9))))))))</f>
        <v>9.5131298699074329E-2</v>
      </c>
      <c r="H3" s="67">
        <f t="shared" ref="H3:H12" si="1">ROUND(G3,3)</f>
        <v>9.5000000000000001E-2</v>
      </c>
      <c r="I3" s="68">
        <f t="shared" ref="I3:I12" si="2">ROUND(H3/0.15,2)</f>
        <v>0.63</v>
      </c>
      <c r="J3" s="69">
        <f t="shared" ref="J3:J12" si="3">IF(I3&lt;0.673,5,IF(I3&lt;1.33,4,IF(I3&lt;2,3,IF(I3&lt;2.67,2,1))))</f>
        <v>5</v>
      </c>
    </row>
    <row r="4" spans="1:10" ht="13.15" customHeight="1">
      <c r="A4" s="73" t="s">
        <v>15</v>
      </c>
      <c r="B4" s="74" t="s">
        <v>16</v>
      </c>
      <c r="C4" s="63">
        <v>2023</v>
      </c>
      <c r="D4" s="64">
        <v>1.48</v>
      </c>
      <c r="E4" s="64" t="s">
        <v>13</v>
      </c>
      <c r="F4" s="64" t="s">
        <v>14</v>
      </c>
      <c r="G4" s="66">
        <f t="shared" si="0"/>
        <v>9.5131298699074329E-2</v>
      </c>
      <c r="H4" s="67">
        <f t="shared" si="1"/>
        <v>9.5000000000000001E-2</v>
      </c>
      <c r="I4" s="68">
        <f t="shared" si="2"/>
        <v>0.63</v>
      </c>
      <c r="J4" s="69">
        <f t="shared" si="3"/>
        <v>5</v>
      </c>
    </row>
    <row r="5" spans="1:10" ht="13.15" customHeight="1">
      <c r="A5" s="73" t="s">
        <v>15</v>
      </c>
      <c r="B5" s="74" t="s">
        <v>17</v>
      </c>
      <c r="C5" s="63">
        <v>2023</v>
      </c>
      <c r="D5" s="64">
        <v>1.48</v>
      </c>
      <c r="E5" s="64" t="s">
        <v>13</v>
      </c>
      <c r="F5" s="64" t="s">
        <v>14</v>
      </c>
      <c r="G5" s="66">
        <f t="shared" si="0"/>
        <v>9.5131298699074329E-2</v>
      </c>
      <c r="H5" s="67">
        <f t="shared" si="1"/>
        <v>9.5000000000000001E-2</v>
      </c>
      <c r="I5" s="68">
        <f t="shared" si="2"/>
        <v>0.63</v>
      </c>
      <c r="J5" s="69">
        <f t="shared" si="3"/>
        <v>5</v>
      </c>
    </row>
    <row r="6" spans="1:10" ht="13.15" customHeight="1">
      <c r="A6" s="73" t="s">
        <v>15</v>
      </c>
      <c r="B6" s="74" t="s">
        <v>18</v>
      </c>
      <c r="C6" s="63">
        <v>2023</v>
      </c>
      <c r="D6" s="64">
        <v>1.48</v>
      </c>
      <c r="E6" s="64" t="s">
        <v>13</v>
      </c>
      <c r="F6" s="64" t="s">
        <v>14</v>
      </c>
      <c r="G6" s="66">
        <f t="shared" si="0"/>
        <v>9.5131298699074329E-2</v>
      </c>
      <c r="H6" s="67">
        <f t="shared" si="1"/>
        <v>9.5000000000000001E-2</v>
      </c>
      <c r="I6" s="68">
        <f t="shared" si="2"/>
        <v>0.63</v>
      </c>
      <c r="J6" s="69">
        <f t="shared" si="3"/>
        <v>5</v>
      </c>
    </row>
    <row r="7" spans="1:10" ht="13.15" customHeight="1">
      <c r="A7" s="71" t="s">
        <v>19</v>
      </c>
      <c r="B7" s="9" t="s">
        <v>20</v>
      </c>
      <c r="C7" s="63">
        <v>2023</v>
      </c>
      <c r="D7" s="64">
        <v>1.28</v>
      </c>
      <c r="E7" s="64" t="s">
        <v>13</v>
      </c>
      <c r="F7" s="65" t="s">
        <v>14</v>
      </c>
      <c r="G7" s="66">
        <f t="shared" si="0"/>
        <v>0.14699318560666366</v>
      </c>
      <c r="H7" s="67">
        <f t="shared" si="1"/>
        <v>0.14699999999999999</v>
      </c>
      <c r="I7" s="68">
        <f t="shared" si="2"/>
        <v>0.98</v>
      </c>
      <c r="J7" s="69">
        <f t="shared" si="3"/>
        <v>4</v>
      </c>
    </row>
    <row r="8" spans="1:10" ht="13.15" customHeight="1">
      <c r="A8" s="71" t="s">
        <v>19</v>
      </c>
      <c r="B8" s="9" t="s">
        <v>21</v>
      </c>
      <c r="C8" s="63">
        <v>2023</v>
      </c>
      <c r="D8" s="64">
        <v>1.27</v>
      </c>
      <c r="E8" s="64" t="s">
        <v>13</v>
      </c>
      <c r="F8" s="65" t="s">
        <v>14</v>
      </c>
      <c r="G8" s="66">
        <f t="shared" si="0"/>
        <v>0.15094392869398887</v>
      </c>
      <c r="H8" s="67">
        <f t="shared" si="1"/>
        <v>0.151</v>
      </c>
      <c r="I8" s="68">
        <f t="shared" si="2"/>
        <v>1.01</v>
      </c>
      <c r="J8" s="69">
        <f t="shared" si="3"/>
        <v>4</v>
      </c>
    </row>
    <row r="9" spans="1:10" ht="13.15" customHeight="1">
      <c r="A9" s="72" t="s">
        <v>19</v>
      </c>
      <c r="B9" s="64" t="s">
        <v>22</v>
      </c>
      <c r="C9" s="63">
        <v>2023</v>
      </c>
      <c r="D9" s="64">
        <v>1.28</v>
      </c>
      <c r="E9" s="64" t="s">
        <v>13</v>
      </c>
      <c r="F9" s="65" t="s">
        <v>14</v>
      </c>
      <c r="G9" s="66">
        <f t="shared" si="0"/>
        <v>0.14699318560666366</v>
      </c>
      <c r="H9" s="67">
        <f t="shared" si="1"/>
        <v>0.14699999999999999</v>
      </c>
      <c r="I9" s="68">
        <f t="shared" si="2"/>
        <v>0.98</v>
      </c>
      <c r="J9" s="69">
        <f t="shared" si="3"/>
        <v>4</v>
      </c>
    </row>
    <row r="10" spans="1:10" ht="13.15" customHeight="1">
      <c r="A10" s="72" t="s">
        <v>19</v>
      </c>
      <c r="B10" s="64" t="s">
        <v>23</v>
      </c>
      <c r="C10" s="63">
        <v>2023</v>
      </c>
      <c r="D10" s="64">
        <v>1.27</v>
      </c>
      <c r="E10" s="64" t="s">
        <v>13</v>
      </c>
      <c r="F10" s="65" t="s">
        <v>14</v>
      </c>
      <c r="G10" s="66">
        <f t="shared" si="0"/>
        <v>0.15094392869398887</v>
      </c>
      <c r="H10" s="67">
        <f t="shared" si="1"/>
        <v>0.151</v>
      </c>
      <c r="I10" s="68">
        <f t="shared" si="2"/>
        <v>1.01</v>
      </c>
      <c r="J10" s="69">
        <f t="shared" si="3"/>
        <v>4</v>
      </c>
    </row>
    <row r="11" spans="1:10" ht="13.15" customHeight="1">
      <c r="A11" s="72" t="s">
        <v>24</v>
      </c>
      <c r="B11" s="64" t="s">
        <v>25</v>
      </c>
      <c r="C11" s="63">
        <v>2023</v>
      </c>
      <c r="D11" s="64">
        <v>1.28</v>
      </c>
      <c r="E11" s="64" t="s">
        <v>13</v>
      </c>
      <c r="F11" s="64" t="s">
        <v>14</v>
      </c>
      <c r="G11" s="66">
        <f t="shared" si="0"/>
        <v>0.14699318560666366</v>
      </c>
      <c r="H11" s="67">
        <f t="shared" si="1"/>
        <v>0.14699999999999999</v>
      </c>
      <c r="I11" s="68">
        <f t="shared" si="2"/>
        <v>0.98</v>
      </c>
      <c r="J11" s="69">
        <f t="shared" si="3"/>
        <v>4</v>
      </c>
    </row>
    <row r="12" spans="1:10" ht="13.15" customHeight="1">
      <c r="A12" s="72" t="s">
        <v>24</v>
      </c>
      <c r="B12" s="64" t="s">
        <v>26</v>
      </c>
      <c r="C12" s="63">
        <v>2023</v>
      </c>
      <c r="D12" s="64">
        <v>1.27</v>
      </c>
      <c r="E12" s="64" t="s">
        <v>13</v>
      </c>
      <c r="F12" s="64" t="s">
        <v>14</v>
      </c>
      <c r="G12" s="66">
        <f t="shared" si="0"/>
        <v>0.15094392869398887</v>
      </c>
      <c r="H12" s="67">
        <f t="shared" si="1"/>
        <v>0.151</v>
      </c>
      <c r="I12" s="68">
        <f t="shared" si="2"/>
        <v>1.01</v>
      </c>
      <c r="J12" s="69">
        <f t="shared" si="3"/>
        <v>4</v>
      </c>
    </row>
    <row r="13" spans="1:10" ht="13.15" customHeight="1">
      <c r="A13" s="71" t="s">
        <v>27</v>
      </c>
      <c r="B13" s="9" t="s">
        <v>28</v>
      </c>
      <c r="C13" s="63">
        <v>2023</v>
      </c>
      <c r="D13" s="64">
        <v>1.3</v>
      </c>
      <c r="E13" s="64" t="s">
        <v>13</v>
      </c>
      <c r="F13" s="64" t="s">
        <v>14</v>
      </c>
      <c r="G13" s="66">
        <f t="shared" ref="G13:G14" si="4">IF(F13="Y",((1/(1+EXP(2.6968+(1.1686*LN(D13-0.9)))))),((1/(1+EXP(2.8891+(1.1686*(LN(D13-0.9))))))))</f>
        <v>0.13963526332187839</v>
      </c>
      <c r="H13" s="67">
        <f t="shared" ref="H13:H14" si="5">ROUND(G13,3)</f>
        <v>0.14000000000000001</v>
      </c>
      <c r="I13" s="68">
        <f t="shared" ref="I13:I14" si="6">ROUND(H13/0.15,2)</f>
        <v>0.93</v>
      </c>
      <c r="J13" s="69">
        <f t="shared" ref="J13:J14" si="7">IF(I13&lt;0.673,5,IF(I13&lt;1.33,4,IF(I13&lt;2,3,IF(I13&lt;2.67,2,1))))</f>
        <v>4</v>
      </c>
    </row>
    <row r="14" spans="1:10" ht="13.15" customHeight="1">
      <c r="A14" s="71" t="s">
        <v>27</v>
      </c>
      <c r="B14" s="9" t="s">
        <v>29</v>
      </c>
      <c r="C14" s="63">
        <v>2023</v>
      </c>
      <c r="D14" s="64"/>
      <c r="E14" s="64"/>
      <c r="F14" s="64"/>
      <c r="G14" s="66" t="e">
        <f t="shared" si="4"/>
        <v>#NUM!</v>
      </c>
      <c r="H14" s="67" t="e">
        <f t="shared" si="5"/>
        <v>#NUM!</v>
      </c>
      <c r="I14" s="68" t="e">
        <f t="shared" si="6"/>
        <v>#NUM!</v>
      </c>
      <c r="J14" s="69" t="e">
        <f t="shared" si="7"/>
        <v>#NUM!</v>
      </c>
    </row>
    <row r="15" spans="1:10" ht="13.15" customHeight="1">
      <c r="A15" s="71" t="s">
        <v>30</v>
      </c>
      <c r="B15" s="9" t="s">
        <v>31</v>
      </c>
      <c r="C15" s="63">
        <v>2023</v>
      </c>
      <c r="D15" s="64"/>
      <c r="E15" s="64"/>
      <c r="F15" s="64"/>
      <c r="G15" s="66" t="e">
        <f t="shared" ref="G15:G18" si="8">IF(F15="Y",((1/(1+EXP(2.6968+(1.1686*LN(D15-0.9)))))),((1/(1+EXP(2.8891+(1.1686*(LN(D15-0.9))))))))</f>
        <v>#NUM!</v>
      </c>
      <c r="H15" s="67" t="e">
        <f t="shared" ref="H15:H18" si="9">ROUND(G15,3)</f>
        <v>#NUM!</v>
      </c>
      <c r="I15" s="68" t="e">
        <f t="shared" ref="I15:I18" si="10">ROUND(H15/0.15,2)</f>
        <v>#NUM!</v>
      </c>
      <c r="J15" s="69" t="e">
        <f t="shared" ref="J15:J18" si="11">IF(I15&lt;0.673,5,IF(I15&lt;1.33,4,IF(I15&lt;2,3,IF(I15&lt;2.67,2,1))))</f>
        <v>#NUM!</v>
      </c>
    </row>
    <row r="16" spans="1:10" ht="13.15" customHeight="1">
      <c r="A16" s="71" t="s">
        <v>32</v>
      </c>
      <c r="B16" s="9" t="s">
        <v>33</v>
      </c>
      <c r="C16" s="63">
        <v>2023</v>
      </c>
      <c r="D16" s="64"/>
      <c r="E16" s="64"/>
      <c r="F16" s="64"/>
      <c r="G16" s="66" t="e">
        <f t="shared" si="8"/>
        <v>#NUM!</v>
      </c>
      <c r="H16" s="67" t="e">
        <f t="shared" si="9"/>
        <v>#NUM!</v>
      </c>
      <c r="I16" s="68" t="e">
        <f t="shared" si="10"/>
        <v>#NUM!</v>
      </c>
      <c r="J16" s="69" t="e">
        <f t="shared" si="11"/>
        <v>#NUM!</v>
      </c>
    </row>
    <row r="17" spans="1:10" ht="13.15" customHeight="1">
      <c r="A17" s="72" t="s">
        <v>30</v>
      </c>
      <c r="B17" s="64" t="s">
        <v>34</v>
      </c>
      <c r="C17" s="63">
        <v>2023</v>
      </c>
      <c r="D17" s="64">
        <v>1.2</v>
      </c>
      <c r="E17" s="64" t="s">
        <v>13</v>
      </c>
      <c r="F17" s="64" t="s">
        <v>14</v>
      </c>
      <c r="G17" s="66">
        <f t="shared" si="8"/>
        <v>0.1851047975833634</v>
      </c>
      <c r="H17" s="67">
        <f t="shared" si="9"/>
        <v>0.185</v>
      </c>
      <c r="I17" s="68">
        <f t="shared" si="10"/>
        <v>1.23</v>
      </c>
      <c r="J17" s="69">
        <f t="shared" si="11"/>
        <v>4</v>
      </c>
    </row>
    <row r="18" spans="1:10" ht="13.15" customHeight="1">
      <c r="A18" s="72" t="s">
        <v>30</v>
      </c>
      <c r="B18" s="64" t="s">
        <v>35</v>
      </c>
      <c r="C18" s="63">
        <v>2023</v>
      </c>
      <c r="D18" s="18">
        <v>1.2</v>
      </c>
      <c r="E18" s="18" t="s">
        <v>13</v>
      </c>
      <c r="F18" s="18" t="s">
        <v>14</v>
      </c>
      <c r="G18" s="66">
        <f t="shared" si="8"/>
        <v>0.1851047975833634</v>
      </c>
      <c r="H18" s="67">
        <f t="shared" si="9"/>
        <v>0.185</v>
      </c>
      <c r="I18" s="68">
        <f t="shared" si="10"/>
        <v>1.23</v>
      </c>
      <c r="J18" s="69">
        <f t="shared" si="11"/>
        <v>4</v>
      </c>
    </row>
    <row r="19" spans="1:10" ht="13.15" customHeight="1">
      <c r="A19" s="71" t="s">
        <v>36</v>
      </c>
      <c r="B19" s="9" t="s">
        <v>37</v>
      </c>
      <c r="C19" s="63">
        <v>2023</v>
      </c>
      <c r="D19" s="18">
        <v>1.26</v>
      </c>
      <c r="E19" s="64" t="s">
        <v>13</v>
      </c>
      <c r="F19" s="65" t="s">
        <v>14</v>
      </c>
      <c r="G19" s="66">
        <f t="shared" ref="G19" si="12">IF(F19="Y",((1/(1+EXP(2.6968+(1.1686*LN(D19-0.9)))))),((1/(1+EXP(2.8891+(1.1686*(LN(D19-0.9))))))))</f>
        <v>0.15509342889208913</v>
      </c>
      <c r="H19" s="67">
        <f t="shared" ref="H19" si="13">ROUND(G19,3)</f>
        <v>0.155</v>
      </c>
      <c r="I19" s="68">
        <f t="shared" ref="I19" si="14">ROUND(H19/0.15,2)</f>
        <v>1.03</v>
      </c>
      <c r="J19" s="69">
        <f t="shared" ref="J19" si="15">IF(I19&lt;0.673,5,IF(I19&lt;1.33,4,IF(I19&lt;2,3,IF(I19&lt;2.67,2,1))))</f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2"/>
  <sheetViews>
    <sheetView zoomScale="130" zoomScaleNormal="13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8.140625" style="137" customWidth="1"/>
    <col min="2" max="2" width="9.85546875" style="137" bestFit="1" customWidth="1"/>
    <col min="3" max="3" width="11.28515625" style="230" bestFit="1" customWidth="1"/>
    <col min="4" max="4" width="26.140625" style="230" customWidth="1"/>
    <col min="5" max="5" width="7.42578125" style="230" customWidth="1"/>
    <col min="6" max="6" width="8.28515625" style="230" customWidth="1"/>
    <col min="7" max="9" width="8.7109375" style="231" customWidth="1"/>
    <col min="10" max="10" width="8.42578125" style="231" bestFit="1" customWidth="1"/>
    <col min="11" max="22" width="8.7109375" style="231" customWidth="1"/>
    <col min="23" max="23" width="7.42578125" style="225" bestFit="1" customWidth="1"/>
    <col min="24" max="24" width="5.28515625" style="225" bestFit="1" customWidth="1"/>
    <col min="25" max="25" width="10.140625" style="225" bestFit="1" customWidth="1"/>
    <col min="26" max="26" width="11.28515625" style="225" bestFit="1" customWidth="1"/>
    <col min="27" max="27" width="7.28515625" style="225" customWidth="1"/>
    <col min="28" max="28" width="7.5703125" style="225" bestFit="1" customWidth="1"/>
    <col min="29" max="29" width="7.5703125" style="70" bestFit="1" customWidth="1"/>
    <col min="30" max="31" width="9" style="70" bestFit="1" customWidth="1"/>
    <col min="32" max="32" width="8" style="70" bestFit="1" customWidth="1"/>
    <col min="33" max="33" width="7.42578125" style="70" bestFit="1" customWidth="1"/>
    <col min="34" max="34" width="5" style="70" bestFit="1" customWidth="1"/>
    <col min="35" max="35" width="10.140625" style="70" bestFit="1" customWidth="1"/>
    <col min="36" max="36" width="11.5703125" style="70" bestFit="1" customWidth="1"/>
    <col min="37" max="37" width="7" style="70" bestFit="1" customWidth="1"/>
    <col min="38" max="39" width="7.5703125" style="70" bestFit="1" customWidth="1"/>
    <col min="40" max="41" width="9" style="70" bestFit="1" customWidth="1"/>
    <col min="42" max="42" width="8" style="70" bestFit="1" customWidth="1"/>
    <col min="43" max="43" width="7.5703125" style="70" customWidth="1"/>
    <col min="44" max="44" width="9.5703125" style="70" bestFit="1" customWidth="1"/>
    <col min="45" max="45" width="7.140625" style="70" bestFit="1" customWidth="1"/>
    <col min="46" max="46" width="5.7109375" style="225" bestFit="1" customWidth="1"/>
    <col min="47" max="47" width="9.5703125" style="225" bestFit="1" customWidth="1"/>
    <col min="48" max="48" width="5.85546875" style="225" bestFit="1" customWidth="1"/>
    <col min="49" max="49" width="5.7109375" style="226" bestFit="1" customWidth="1"/>
    <col min="50" max="50" width="9.5703125" style="226" bestFit="1" customWidth="1"/>
    <col min="51" max="51" width="5.85546875" style="227" bestFit="1" customWidth="1"/>
    <col min="52" max="16384" width="9.140625" style="70"/>
  </cols>
  <sheetData>
    <row r="1" spans="1:51" s="134" customFormat="1" ht="13.5" thickBot="1">
      <c r="A1" s="198"/>
      <c r="B1" s="178"/>
      <c r="C1" s="199"/>
      <c r="D1" s="199"/>
      <c r="E1" s="200"/>
      <c r="F1" s="200"/>
      <c r="G1" s="150" t="s">
        <v>38</v>
      </c>
      <c r="H1" s="201"/>
      <c r="I1" s="201"/>
      <c r="J1" s="201"/>
      <c r="K1" s="201"/>
      <c r="L1" s="201"/>
      <c r="M1" s="201"/>
      <c r="N1" s="151"/>
      <c r="O1" s="150" t="s">
        <v>39</v>
      </c>
      <c r="P1" s="201"/>
      <c r="Q1" s="201"/>
      <c r="R1" s="201"/>
      <c r="S1" s="201"/>
      <c r="T1" s="201"/>
      <c r="U1" s="201"/>
      <c r="V1" s="151"/>
      <c r="W1" s="202" t="s">
        <v>40</v>
      </c>
      <c r="X1" s="203"/>
      <c r="Y1" s="203"/>
      <c r="Z1" s="203"/>
      <c r="AA1" s="203"/>
      <c r="AB1" s="203"/>
      <c r="AC1" s="203"/>
      <c r="AD1" s="203"/>
      <c r="AE1" s="203"/>
      <c r="AF1" s="204"/>
      <c r="AG1" s="202" t="s">
        <v>41</v>
      </c>
      <c r="AH1" s="203"/>
      <c r="AI1" s="203"/>
      <c r="AJ1" s="203"/>
      <c r="AK1" s="203"/>
      <c r="AL1" s="203"/>
      <c r="AM1" s="203"/>
      <c r="AN1" s="203"/>
      <c r="AO1" s="203"/>
      <c r="AP1" s="204"/>
      <c r="AQ1" s="205" t="s">
        <v>42</v>
      </c>
      <c r="AR1" s="206" t="s">
        <v>43</v>
      </c>
      <c r="AS1" s="207" t="s">
        <v>44</v>
      </c>
      <c r="AT1" s="37" t="s">
        <v>42</v>
      </c>
      <c r="AU1" s="38" t="s">
        <v>43</v>
      </c>
      <c r="AV1" s="39" t="s">
        <v>45</v>
      </c>
      <c r="AW1" s="208" t="s">
        <v>42</v>
      </c>
      <c r="AX1" s="42" t="s">
        <v>43</v>
      </c>
      <c r="AY1" s="43" t="s">
        <v>45</v>
      </c>
    </row>
    <row r="2" spans="1:51" s="7" customFormat="1" ht="34.5" thickBot="1">
      <c r="A2" s="82" t="s">
        <v>46</v>
      </c>
      <c r="B2" s="209" t="s">
        <v>47</v>
      </c>
      <c r="C2" s="82" t="s">
        <v>1</v>
      </c>
      <c r="D2" s="55" t="s">
        <v>2</v>
      </c>
      <c r="E2" s="209" t="s">
        <v>48</v>
      </c>
      <c r="F2" s="56" t="s">
        <v>3</v>
      </c>
      <c r="G2" s="86" t="s">
        <v>49</v>
      </c>
      <c r="H2" s="88" t="s">
        <v>50</v>
      </c>
      <c r="I2" s="90" t="s">
        <v>51</v>
      </c>
      <c r="J2" s="90" t="s">
        <v>52</v>
      </c>
      <c r="K2" s="90" t="s">
        <v>53</v>
      </c>
      <c r="L2" s="90" t="s">
        <v>54</v>
      </c>
      <c r="M2" s="90" t="s">
        <v>55</v>
      </c>
      <c r="N2" s="210" t="s">
        <v>56</v>
      </c>
      <c r="O2" s="86" t="s">
        <v>49</v>
      </c>
      <c r="P2" s="88" t="s">
        <v>50</v>
      </c>
      <c r="Q2" s="90" t="s">
        <v>51</v>
      </c>
      <c r="R2" s="90" t="s">
        <v>52</v>
      </c>
      <c r="S2" s="90" t="s">
        <v>53</v>
      </c>
      <c r="T2" s="90" t="s">
        <v>54</v>
      </c>
      <c r="U2" s="90" t="s">
        <v>55</v>
      </c>
      <c r="V2" s="210" t="s">
        <v>56</v>
      </c>
      <c r="W2" s="211" t="s">
        <v>57</v>
      </c>
      <c r="X2" s="212" t="s">
        <v>58</v>
      </c>
      <c r="Y2" s="35" t="s">
        <v>59</v>
      </c>
      <c r="Z2" s="35" t="s">
        <v>60</v>
      </c>
      <c r="AA2" s="212" t="s">
        <v>61</v>
      </c>
      <c r="AB2" s="35" t="s">
        <v>62</v>
      </c>
      <c r="AC2" s="213" t="s">
        <v>62</v>
      </c>
      <c r="AD2" s="213" t="s">
        <v>63</v>
      </c>
      <c r="AE2" s="213" t="s">
        <v>64</v>
      </c>
      <c r="AF2" s="214" t="s">
        <v>65</v>
      </c>
      <c r="AG2" s="86" t="s">
        <v>57</v>
      </c>
      <c r="AH2" s="88" t="s">
        <v>58</v>
      </c>
      <c r="AI2" s="88" t="s">
        <v>59</v>
      </c>
      <c r="AJ2" s="88" t="s">
        <v>66</v>
      </c>
      <c r="AK2" s="88" t="s">
        <v>61</v>
      </c>
      <c r="AL2" s="88" t="s">
        <v>62</v>
      </c>
      <c r="AM2" s="88" t="s">
        <v>62</v>
      </c>
      <c r="AN2" s="88" t="s">
        <v>63</v>
      </c>
      <c r="AO2" s="88" t="s">
        <v>64</v>
      </c>
      <c r="AP2" s="215" t="s">
        <v>65</v>
      </c>
      <c r="AQ2" s="45" t="s">
        <v>67</v>
      </c>
      <c r="AR2" s="117" t="s">
        <v>8</v>
      </c>
      <c r="AS2" s="216" t="s">
        <v>8</v>
      </c>
      <c r="AT2" s="98" t="s">
        <v>68</v>
      </c>
      <c r="AU2" s="99" t="s">
        <v>68</v>
      </c>
      <c r="AV2" s="40" t="s">
        <v>68</v>
      </c>
      <c r="AW2" s="100" t="s">
        <v>10</v>
      </c>
      <c r="AX2" s="91" t="s">
        <v>10</v>
      </c>
      <c r="AY2" s="217" t="s">
        <v>69</v>
      </c>
    </row>
    <row r="3" spans="1:51" ht="13.15" customHeight="1">
      <c r="A3" s="64">
        <v>14258</v>
      </c>
      <c r="B3" s="64" t="s">
        <v>70</v>
      </c>
      <c r="C3" s="218" t="str">
        <f>Rollover!A3</f>
        <v>Acura</v>
      </c>
      <c r="D3" s="219" t="str">
        <f>Rollover!B3</f>
        <v>Integra 5 HB FWD</v>
      </c>
      <c r="E3" s="193" t="s">
        <v>71</v>
      </c>
      <c r="F3" s="102">
        <f>Rollover!C3</f>
        <v>2023</v>
      </c>
      <c r="G3" s="11">
        <v>231.16</v>
      </c>
      <c r="H3" s="12">
        <v>0.27</v>
      </c>
      <c r="I3" s="12">
        <v>847.85400000000004</v>
      </c>
      <c r="J3" s="12">
        <v>85.427000000000007</v>
      </c>
      <c r="K3" s="12">
        <v>19.751999999999999</v>
      </c>
      <c r="L3" s="12">
        <v>37.284999999999997</v>
      </c>
      <c r="M3" s="12">
        <v>1276.6130000000001</v>
      </c>
      <c r="N3" s="13">
        <v>2553.4580000000001</v>
      </c>
      <c r="O3" s="11">
        <v>328.25900000000001</v>
      </c>
      <c r="P3" s="12">
        <v>0.26700000000000002</v>
      </c>
      <c r="Q3" s="12">
        <v>671.62</v>
      </c>
      <c r="R3" s="12">
        <v>322.96699999999998</v>
      </c>
      <c r="S3" s="12">
        <v>14.266999999999999</v>
      </c>
      <c r="T3" s="12">
        <v>42.319000000000003</v>
      </c>
      <c r="U3" s="12">
        <v>1178.136</v>
      </c>
      <c r="V3" s="13">
        <v>474.15499999999997</v>
      </c>
      <c r="W3" s="220">
        <f t="shared" ref="W3:W12" si="0">NORMDIST(LN(G3),7.45231,0.73998,1)</f>
        <v>3.3117041367638198E-3</v>
      </c>
      <c r="X3" s="6">
        <f t="shared" ref="X3:X12" si="1">1/(1+EXP(3.2269-1.9688*H3))</f>
        <v>6.3249840623120709E-2</v>
      </c>
      <c r="Y3" s="6">
        <f t="shared" ref="Y3:Y12" si="2">1/(1+EXP(10.9745-2.375*I3/1000))</f>
        <v>1.2832106949297898E-4</v>
      </c>
      <c r="Z3" s="6">
        <f t="shared" ref="Z3:Z12" si="3">1/(1+EXP(10.9745-2.375*J3/1000))</f>
        <v>2.0986485779530627E-5</v>
      </c>
      <c r="AA3" s="6">
        <f t="shared" ref="AA3:AA12" si="4">MAX(X3,Y3,Z3)</f>
        <v>6.3249840623120709E-2</v>
      </c>
      <c r="AB3" s="6">
        <f t="shared" ref="AB3:AB12" si="5">1/(1+EXP(12.597-0.05861*35-1.568*(K3^0.4612)))</f>
        <v>1.2885950492916742E-2</v>
      </c>
      <c r="AC3" s="6">
        <f t="shared" ref="AC3:AC12" si="6">AB3</f>
        <v>1.2885950492916742E-2</v>
      </c>
      <c r="AD3" s="6">
        <f t="shared" ref="AD3:AD12" si="7">1/(1+EXP(5.7949-0.5196*M3/1000))</f>
        <v>5.8725767429259786E-3</v>
      </c>
      <c r="AE3" s="6">
        <f t="shared" ref="AE3:AE12" si="8">1/(1+EXP(5.7949-0.5196*N3/1000))</f>
        <v>1.1338777679190577E-2</v>
      </c>
      <c r="AF3" s="27">
        <f t="shared" ref="AF3:AF12" si="9">MAX(AD3,AE3)</f>
        <v>1.1338777679190577E-2</v>
      </c>
      <c r="AG3" s="26">
        <f t="shared" ref="AG3:AG12" si="10">NORMDIST(LN(O3),7.45231,0.73998,1)</f>
        <v>1.2503766468287793E-2</v>
      </c>
      <c r="AH3" s="6">
        <f t="shared" ref="AH3:AH12" si="11">1/(1+EXP(3.2269-1.9688*P3))</f>
        <v>6.2900791995682381E-2</v>
      </c>
      <c r="AI3" s="6">
        <f t="shared" ref="AI3:AI12" si="12">1/(1+EXP(10.958-3.77*Q3/1000))</f>
        <v>2.1904975246422087E-4</v>
      </c>
      <c r="AJ3" s="6">
        <f t="shared" ref="AJ3:AJ12" si="13">1/(1+EXP(10.958-3.77*R3/1000))</f>
        <v>5.8852675373025976E-5</v>
      </c>
      <c r="AK3" s="6">
        <f t="shared" ref="AK3:AK12" si="14">MAX(AH3,AI3,AJ3)</f>
        <v>6.2900791995682381E-2</v>
      </c>
      <c r="AL3" s="6">
        <f t="shared" ref="AL3:AL12" si="15">1/(1+EXP(12.597-0.05861*35-1.568*((S3/0.817)^0.4612)))</f>
        <v>9.1803462434360949E-3</v>
      </c>
      <c r="AM3" s="6">
        <f t="shared" ref="AM3:AM12" si="16">AL3</f>
        <v>9.1803462434360949E-3</v>
      </c>
      <c r="AN3" s="6">
        <f t="shared" ref="AN3:AN12" si="17">1/(1+EXP(5.7949-0.7619*U3/1000))</f>
        <v>7.4115378700983295E-3</v>
      </c>
      <c r="AO3" s="6">
        <f t="shared" ref="AO3:AO12" si="18">1/(1+EXP(5.7949-0.7619*V3/1000))</f>
        <v>4.3481754365519978E-3</v>
      </c>
      <c r="AP3" s="27">
        <f t="shared" ref="AP3:AP12" si="19">MAX(AN3,AO3)</f>
        <v>7.4115378700983295E-3</v>
      </c>
      <c r="AQ3" s="220">
        <f t="shared" ref="AQ3:AQ12" si="20">ROUND(1-(1-W3)*(1-AA3)*(1-AC3)*(1-AF3),3)</f>
        <v>8.8999999999999996E-2</v>
      </c>
      <c r="AR3" s="6">
        <f t="shared" ref="AR3:AR12" si="21">ROUND(1-(1-AG3)*(1-AK3)*(1-AM3)*(1-AP3),3)</f>
        <v>0.09</v>
      </c>
      <c r="AS3" s="6">
        <f t="shared" ref="AS3:AS12" si="22">ROUND(AVERAGE(AR3,AQ3),3)</f>
        <v>0.09</v>
      </c>
      <c r="AT3" s="196">
        <f t="shared" ref="AT3:AT12" si="23">ROUND(AQ3/0.15,2)</f>
        <v>0.59</v>
      </c>
      <c r="AU3" s="196">
        <f t="shared" ref="AU3:AU12" si="24">ROUND(AR3/0.15,2)</f>
        <v>0.6</v>
      </c>
      <c r="AV3" s="196">
        <f t="shared" ref="AV3:AV12" si="25">ROUND(AS3/0.15,2)</f>
        <v>0.6</v>
      </c>
      <c r="AW3" s="96">
        <f t="shared" ref="AW3:AW12" si="26">IF(AT3&lt;0.67,5,IF(AT3&lt;1,4,IF(AT3&lt;1.33,3,IF(AT3&lt;2.67,2,1))))</f>
        <v>5</v>
      </c>
      <c r="AX3" s="96">
        <f t="shared" ref="AX3:AX12" si="27">IF(AU3&lt;0.67,5,IF(AU3&lt;1,4,IF(AU3&lt;1.33,3,IF(AU3&lt;2.67,2,1))))</f>
        <v>5</v>
      </c>
      <c r="AY3" s="221">
        <f t="shared" ref="AY3:AY12" si="28">IF(AV3&lt;0.67,5,IF(AV3&lt;1,4,IF(AV3&lt;1.33,3,IF(AV3&lt;2.67,2,1))))</f>
        <v>5</v>
      </c>
    </row>
    <row r="4" spans="1:51" ht="13.15" customHeight="1">
      <c r="A4" s="64"/>
      <c r="B4" s="64"/>
      <c r="C4" s="218" t="str">
        <f>Rollover!A4</f>
        <v>Honda</v>
      </c>
      <c r="D4" s="219" t="str">
        <f>Rollover!B4</f>
        <v>Civic Hatchback FWD</v>
      </c>
      <c r="E4" s="193"/>
      <c r="F4" s="102">
        <f>Rollover!C4</f>
        <v>2023</v>
      </c>
      <c r="G4" s="11"/>
      <c r="H4" s="12"/>
      <c r="I4" s="12"/>
      <c r="J4" s="12"/>
      <c r="K4" s="12"/>
      <c r="L4" s="12"/>
      <c r="M4" s="12"/>
      <c r="N4" s="13"/>
      <c r="O4" s="11"/>
      <c r="P4" s="12"/>
      <c r="Q4" s="12"/>
      <c r="R4" s="12"/>
      <c r="S4" s="12"/>
      <c r="T4" s="12"/>
      <c r="U4" s="12"/>
      <c r="V4" s="13"/>
      <c r="W4" s="220" t="e">
        <f t="shared" si="0"/>
        <v>#NUM!</v>
      </c>
      <c r="X4" s="6">
        <f t="shared" si="1"/>
        <v>3.8165882958950202E-2</v>
      </c>
      <c r="Y4" s="6">
        <f t="shared" si="2"/>
        <v>1.713277721572889E-5</v>
      </c>
      <c r="Z4" s="6">
        <f t="shared" si="3"/>
        <v>1.713277721572889E-5</v>
      </c>
      <c r="AA4" s="6">
        <f t="shared" si="4"/>
        <v>3.8165882958950202E-2</v>
      </c>
      <c r="AB4" s="6">
        <f t="shared" si="5"/>
        <v>2.6306978617002889E-5</v>
      </c>
      <c r="AC4" s="6">
        <f t="shared" si="6"/>
        <v>2.6306978617002889E-5</v>
      </c>
      <c r="AD4" s="6">
        <f t="shared" si="7"/>
        <v>3.033802747866758E-3</v>
      </c>
      <c r="AE4" s="6">
        <f t="shared" si="8"/>
        <v>3.033802747866758E-3</v>
      </c>
      <c r="AF4" s="27">
        <f t="shared" si="9"/>
        <v>3.033802747866758E-3</v>
      </c>
      <c r="AG4" s="26" t="e">
        <f t="shared" si="10"/>
        <v>#NUM!</v>
      </c>
      <c r="AH4" s="6">
        <f t="shared" si="11"/>
        <v>3.8165882958950202E-2</v>
      </c>
      <c r="AI4" s="6">
        <f t="shared" si="12"/>
        <v>1.7417808154569238E-5</v>
      </c>
      <c r="AJ4" s="6">
        <f t="shared" si="13"/>
        <v>1.7417808154569238E-5</v>
      </c>
      <c r="AK4" s="6">
        <f t="shared" si="14"/>
        <v>3.8165882958950202E-2</v>
      </c>
      <c r="AL4" s="6">
        <f t="shared" si="15"/>
        <v>2.6306978617002889E-5</v>
      </c>
      <c r="AM4" s="6">
        <f t="shared" si="16"/>
        <v>2.6306978617002889E-5</v>
      </c>
      <c r="AN4" s="6">
        <f t="shared" si="17"/>
        <v>3.033802747866758E-3</v>
      </c>
      <c r="AO4" s="6">
        <f t="shared" si="18"/>
        <v>3.033802747866758E-3</v>
      </c>
      <c r="AP4" s="27">
        <f t="shared" si="19"/>
        <v>3.033802747866758E-3</v>
      </c>
      <c r="AQ4" s="220" t="e">
        <f t="shared" si="20"/>
        <v>#NUM!</v>
      </c>
      <c r="AR4" s="6" t="e">
        <f t="shared" si="21"/>
        <v>#NUM!</v>
      </c>
      <c r="AS4" s="6" t="e">
        <f t="shared" si="22"/>
        <v>#NUM!</v>
      </c>
      <c r="AT4" s="196" t="e">
        <f t="shared" si="23"/>
        <v>#NUM!</v>
      </c>
      <c r="AU4" s="196" t="e">
        <f t="shared" si="24"/>
        <v>#NUM!</v>
      </c>
      <c r="AV4" s="196" t="e">
        <f t="shared" si="25"/>
        <v>#NUM!</v>
      </c>
      <c r="AW4" s="96" t="e">
        <f t="shared" si="26"/>
        <v>#NUM!</v>
      </c>
      <c r="AX4" s="96" t="e">
        <f t="shared" si="27"/>
        <v>#NUM!</v>
      </c>
      <c r="AY4" s="221" t="e">
        <f t="shared" si="28"/>
        <v>#NUM!</v>
      </c>
    </row>
    <row r="5" spans="1:51" ht="13.15" customHeight="1">
      <c r="A5" s="72"/>
      <c r="B5" s="65"/>
      <c r="C5" s="218" t="str">
        <f>Rollover!A5</f>
        <v>Honda</v>
      </c>
      <c r="D5" s="219" t="str">
        <f>Rollover!B5</f>
        <v>Civic Hatchback Typer R FWD</v>
      </c>
      <c r="E5" s="193"/>
      <c r="F5" s="102">
        <f>Rollover!C5</f>
        <v>2023</v>
      </c>
      <c r="G5" s="11"/>
      <c r="H5" s="12"/>
      <c r="I5" s="12"/>
      <c r="J5" s="12"/>
      <c r="K5" s="12"/>
      <c r="L5" s="12"/>
      <c r="M5" s="12"/>
      <c r="N5" s="13"/>
      <c r="O5" s="11"/>
      <c r="P5" s="12"/>
      <c r="Q5" s="12"/>
      <c r="R5" s="12"/>
      <c r="S5" s="12"/>
      <c r="T5" s="12"/>
      <c r="U5" s="12"/>
      <c r="V5" s="13"/>
      <c r="W5" s="220" t="e">
        <f t="shared" si="0"/>
        <v>#NUM!</v>
      </c>
      <c r="X5" s="6">
        <f t="shared" si="1"/>
        <v>3.8165882958950202E-2</v>
      </c>
      <c r="Y5" s="6">
        <f t="shared" si="2"/>
        <v>1.713277721572889E-5</v>
      </c>
      <c r="Z5" s="6">
        <f t="shared" si="3"/>
        <v>1.713277721572889E-5</v>
      </c>
      <c r="AA5" s="6">
        <f t="shared" si="4"/>
        <v>3.8165882958950202E-2</v>
      </c>
      <c r="AB5" s="6">
        <f t="shared" si="5"/>
        <v>2.6306978617002889E-5</v>
      </c>
      <c r="AC5" s="6">
        <f t="shared" si="6"/>
        <v>2.6306978617002889E-5</v>
      </c>
      <c r="AD5" s="6">
        <f t="shared" si="7"/>
        <v>3.033802747866758E-3</v>
      </c>
      <c r="AE5" s="6">
        <f t="shared" si="8"/>
        <v>3.033802747866758E-3</v>
      </c>
      <c r="AF5" s="27">
        <f t="shared" si="9"/>
        <v>3.033802747866758E-3</v>
      </c>
      <c r="AG5" s="26" t="e">
        <f t="shared" si="10"/>
        <v>#NUM!</v>
      </c>
      <c r="AH5" s="6">
        <f t="shared" si="11"/>
        <v>3.8165882958950202E-2</v>
      </c>
      <c r="AI5" s="6">
        <f t="shared" si="12"/>
        <v>1.7417808154569238E-5</v>
      </c>
      <c r="AJ5" s="6">
        <f t="shared" si="13"/>
        <v>1.7417808154569238E-5</v>
      </c>
      <c r="AK5" s="6">
        <f t="shared" si="14"/>
        <v>3.8165882958950202E-2</v>
      </c>
      <c r="AL5" s="6">
        <f t="shared" si="15"/>
        <v>2.6306978617002889E-5</v>
      </c>
      <c r="AM5" s="6">
        <f t="shared" si="16"/>
        <v>2.6306978617002889E-5</v>
      </c>
      <c r="AN5" s="6">
        <f t="shared" si="17"/>
        <v>3.033802747866758E-3</v>
      </c>
      <c r="AO5" s="6">
        <f t="shared" si="18"/>
        <v>3.033802747866758E-3</v>
      </c>
      <c r="AP5" s="27">
        <f t="shared" si="19"/>
        <v>3.033802747866758E-3</v>
      </c>
      <c r="AQ5" s="220" t="e">
        <f t="shared" si="20"/>
        <v>#NUM!</v>
      </c>
      <c r="AR5" s="6" t="e">
        <f t="shared" si="21"/>
        <v>#NUM!</v>
      </c>
      <c r="AS5" s="6" t="e">
        <f t="shared" si="22"/>
        <v>#NUM!</v>
      </c>
      <c r="AT5" s="196" t="e">
        <f t="shared" si="23"/>
        <v>#NUM!</v>
      </c>
      <c r="AU5" s="196" t="e">
        <f t="shared" si="24"/>
        <v>#NUM!</v>
      </c>
      <c r="AV5" s="196" t="e">
        <f t="shared" si="25"/>
        <v>#NUM!</v>
      </c>
      <c r="AW5" s="96" t="e">
        <f t="shared" si="26"/>
        <v>#NUM!</v>
      </c>
      <c r="AX5" s="96" t="e">
        <f t="shared" si="27"/>
        <v>#NUM!</v>
      </c>
      <c r="AY5" s="221" t="e">
        <f t="shared" si="28"/>
        <v>#NUM!</v>
      </c>
    </row>
    <row r="6" spans="1:51" ht="13.15" customHeight="1">
      <c r="A6" s="72"/>
      <c r="B6" s="65"/>
      <c r="C6" s="218" t="str">
        <f>Rollover!A6</f>
        <v>Honda</v>
      </c>
      <c r="D6" s="219" t="str">
        <f>Rollover!B6</f>
        <v>Civic Sedan FWD</v>
      </c>
      <c r="E6" s="193"/>
      <c r="F6" s="102">
        <f>Rollover!C6</f>
        <v>2023</v>
      </c>
      <c r="G6" s="11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3"/>
      <c r="W6" s="220" t="e">
        <f t="shared" si="0"/>
        <v>#NUM!</v>
      </c>
      <c r="X6" s="6">
        <f t="shared" si="1"/>
        <v>3.8165882958950202E-2</v>
      </c>
      <c r="Y6" s="6">
        <f t="shared" si="2"/>
        <v>1.713277721572889E-5</v>
      </c>
      <c r="Z6" s="6">
        <f t="shared" si="3"/>
        <v>1.713277721572889E-5</v>
      </c>
      <c r="AA6" s="6">
        <f t="shared" si="4"/>
        <v>3.8165882958950202E-2</v>
      </c>
      <c r="AB6" s="6">
        <f t="shared" si="5"/>
        <v>2.6306978617002889E-5</v>
      </c>
      <c r="AC6" s="6">
        <f t="shared" si="6"/>
        <v>2.6306978617002889E-5</v>
      </c>
      <c r="AD6" s="6">
        <f t="shared" si="7"/>
        <v>3.033802747866758E-3</v>
      </c>
      <c r="AE6" s="6">
        <f t="shared" si="8"/>
        <v>3.033802747866758E-3</v>
      </c>
      <c r="AF6" s="27">
        <f t="shared" si="9"/>
        <v>3.033802747866758E-3</v>
      </c>
      <c r="AG6" s="26" t="e">
        <f t="shared" si="10"/>
        <v>#NUM!</v>
      </c>
      <c r="AH6" s="6">
        <f t="shared" si="11"/>
        <v>3.8165882958950202E-2</v>
      </c>
      <c r="AI6" s="6">
        <f t="shared" si="12"/>
        <v>1.7417808154569238E-5</v>
      </c>
      <c r="AJ6" s="6">
        <f t="shared" si="13"/>
        <v>1.7417808154569238E-5</v>
      </c>
      <c r="AK6" s="6">
        <f t="shared" si="14"/>
        <v>3.8165882958950202E-2</v>
      </c>
      <c r="AL6" s="6">
        <f t="shared" si="15"/>
        <v>2.6306978617002889E-5</v>
      </c>
      <c r="AM6" s="6">
        <f t="shared" si="16"/>
        <v>2.6306978617002889E-5</v>
      </c>
      <c r="AN6" s="6">
        <f t="shared" si="17"/>
        <v>3.033802747866758E-3</v>
      </c>
      <c r="AO6" s="6">
        <f t="shared" si="18"/>
        <v>3.033802747866758E-3</v>
      </c>
      <c r="AP6" s="27">
        <f t="shared" si="19"/>
        <v>3.033802747866758E-3</v>
      </c>
      <c r="AQ6" s="220" t="e">
        <f t="shared" si="20"/>
        <v>#NUM!</v>
      </c>
      <c r="AR6" s="6" t="e">
        <f t="shared" si="21"/>
        <v>#NUM!</v>
      </c>
      <c r="AS6" s="6" t="e">
        <f t="shared" si="22"/>
        <v>#NUM!</v>
      </c>
      <c r="AT6" s="196" t="e">
        <f t="shared" si="23"/>
        <v>#NUM!</v>
      </c>
      <c r="AU6" s="196" t="e">
        <f t="shared" si="24"/>
        <v>#NUM!</v>
      </c>
      <c r="AV6" s="196" t="e">
        <f t="shared" si="25"/>
        <v>#NUM!</v>
      </c>
      <c r="AW6" s="96" t="e">
        <f t="shared" si="26"/>
        <v>#NUM!</v>
      </c>
      <c r="AX6" s="96" t="e">
        <f t="shared" si="27"/>
        <v>#NUM!</v>
      </c>
      <c r="AY6" s="221" t="e">
        <f t="shared" si="28"/>
        <v>#NUM!</v>
      </c>
    </row>
    <row r="7" spans="1:51" ht="13.15" customHeight="1">
      <c r="A7" s="75">
        <v>14290</v>
      </c>
      <c r="B7" s="44" t="s">
        <v>74</v>
      </c>
      <c r="C7" s="222" t="str">
        <f>Rollover!A7</f>
        <v>Ford</v>
      </c>
      <c r="D7" s="223" t="str">
        <f>Rollover!B7</f>
        <v>Explorer SUV RWD</v>
      </c>
      <c r="E7" s="193" t="s">
        <v>71</v>
      </c>
      <c r="F7" s="102">
        <f>Rollover!C7</f>
        <v>2023</v>
      </c>
      <c r="G7" s="19">
        <v>117.89100000000001</v>
      </c>
      <c r="H7" s="20">
        <v>0.28399999999999997</v>
      </c>
      <c r="I7" s="20">
        <v>1040.809</v>
      </c>
      <c r="J7" s="20">
        <v>163.96</v>
      </c>
      <c r="K7" s="20">
        <v>23.013999999999999</v>
      </c>
      <c r="L7" s="20">
        <v>37.485999999999997</v>
      </c>
      <c r="M7" s="20">
        <v>1253.643</v>
      </c>
      <c r="N7" s="21">
        <v>1191.1379999999999</v>
      </c>
      <c r="O7" s="19">
        <v>209.59899999999999</v>
      </c>
      <c r="P7" s="20">
        <v>0.315</v>
      </c>
      <c r="Q7" s="20">
        <v>722.399</v>
      </c>
      <c r="R7" s="20">
        <v>238.047</v>
      </c>
      <c r="S7" s="20">
        <v>9.6419999999999995</v>
      </c>
      <c r="T7" s="20">
        <v>40.354999999999997</v>
      </c>
      <c r="U7" s="20">
        <v>1496.35</v>
      </c>
      <c r="V7" s="21">
        <v>1553.3150000000001</v>
      </c>
      <c r="W7" s="220">
        <f t="shared" si="0"/>
        <v>1.4438855773186101E-4</v>
      </c>
      <c r="X7" s="6">
        <f t="shared" si="1"/>
        <v>6.4902734152616492E-2</v>
      </c>
      <c r="Y7" s="6">
        <f t="shared" si="2"/>
        <v>2.029031982053427E-4</v>
      </c>
      <c r="Z7" s="6">
        <f t="shared" si="3"/>
        <v>2.528952474056951E-5</v>
      </c>
      <c r="AA7" s="6">
        <f t="shared" si="4"/>
        <v>6.4902734152616492E-2</v>
      </c>
      <c r="AB7" s="6">
        <f t="shared" si="5"/>
        <v>2.0128128157530113E-2</v>
      </c>
      <c r="AC7" s="6">
        <f t="shared" si="6"/>
        <v>2.0128128157530113E-2</v>
      </c>
      <c r="AD7" s="6">
        <f t="shared" si="7"/>
        <v>5.8033072462645241E-3</v>
      </c>
      <c r="AE7" s="6">
        <f t="shared" si="8"/>
        <v>5.6188995707207321E-3</v>
      </c>
      <c r="AF7" s="27">
        <f t="shared" si="9"/>
        <v>5.8033072462645241E-3</v>
      </c>
      <c r="AG7" s="26">
        <f t="shared" si="10"/>
        <v>2.2030104453000421E-3</v>
      </c>
      <c r="AH7" s="6">
        <f t="shared" si="11"/>
        <v>6.8706670906238165E-2</v>
      </c>
      <c r="AI7" s="6">
        <f t="shared" si="12"/>
        <v>2.6525443524221383E-4</v>
      </c>
      <c r="AJ7" s="6">
        <f t="shared" si="13"/>
        <v>4.2730160974229408E-5</v>
      </c>
      <c r="AK7" s="6">
        <f t="shared" si="14"/>
        <v>6.8706670906238165E-2</v>
      </c>
      <c r="AL7" s="6">
        <f t="shared" si="15"/>
        <v>3.5019116760698862E-3</v>
      </c>
      <c r="AM7" s="6">
        <f t="shared" si="16"/>
        <v>3.5019116760698862E-3</v>
      </c>
      <c r="AN7" s="6">
        <f t="shared" si="17"/>
        <v>9.42583015490993E-3</v>
      </c>
      <c r="AO7" s="6">
        <f t="shared" si="18"/>
        <v>9.8398200809314777E-3</v>
      </c>
      <c r="AP7" s="27">
        <f t="shared" si="19"/>
        <v>9.8398200809314777E-3</v>
      </c>
      <c r="AQ7" s="220">
        <f t="shared" si="20"/>
        <v>8.8999999999999996E-2</v>
      </c>
      <c r="AR7" s="6">
        <f t="shared" si="21"/>
        <v>8.3000000000000004E-2</v>
      </c>
      <c r="AS7" s="6">
        <f t="shared" si="22"/>
        <v>8.5999999999999993E-2</v>
      </c>
      <c r="AT7" s="196">
        <f t="shared" si="23"/>
        <v>0.59</v>
      </c>
      <c r="AU7" s="196">
        <f t="shared" si="24"/>
        <v>0.55000000000000004</v>
      </c>
      <c r="AV7" s="196">
        <f t="shared" si="25"/>
        <v>0.56999999999999995</v>
      </c>
      <c r="AW7" s="96">
        <f t="shared" si="26"/>
        <v>5</v>
      </c>
      <c r="AX7" s="96">
        <f t="shared" si="27"/>
        <v>5</v>
      </c>
      <c r="AY7" s="221">
        <f t="shared" si="28"/>
        <v>5</v>
      </c>
    </row>
    <row r="8" spans="1:51" ht="13.15" customHeight="1">
      <c r="A8" s="72">
        <v>14290</v>
      </c>
      <c r="B8" s="65" t="s">
        <v>74</v>
      </c>
      <c r="C8" s="222" t="str">
        <f>Rollover!A8</f>
        <v>Ford</v>
      </c>
      <c r="D8" s="223" t="str">
        <f>Rollover!B8</f>
        <v>Explorer SUV 4WD</v>
      </c>
      <c r="E8" s="193" t="s">
        <v>71</v>
      </c>
      <c r="F8" s="102">
        <f>Rollover!C8</f>
        <v>2023</v>
      </c>
      <c r="G8" s="19">
        <v>117.89100000000001</v>
      </c>
      <c r="H8" s="20">
        <v>0.28399999999999997</v>
      </c>
      <c r="I8" s="20">
        <v>1040.809</v>
      </c>
      <c r="J8" s="20">
        <v>163.96</v>
      </c>
      <c r="K8" s="20">
        <v>23.013999999999999</v>
      </c>
      <c r="L8" s="20">
        <v>37.485999999999997</v>
      </c>
      <c r="M8" s="20">
        <v>1253.643</v>
      </c>
      <c r="N8" s="21">
        <v>1191.1379999999999</v>
      </c>
      <c r="O8" s="19">
        <v>209.59899999999999</v>
      </c>
      <c r="P8" s="20">
        <v>0.315</v>
      </c>
      <c r="Q8" s="20">
        <v>722.399</v>
      </c>
      <c r="R8" s="20">
        <v>238.047</v>
      </c>
      <c r="S8" s="20">
        <v>9.6419999999999995</v>
      </c>
      <c r="T8" s="20">
        <v>40.354999999999997</v>
      </c>
      <c r="U8" s="20">
        <v>1496.35</v>
      </c>
      <c r="V8" s="21">
        <v>1553.3150000000001</v>
      </c>
      <c r="W8" s="220">
        <f t="shared" si="0"/>
        <v>1.4438855773186101E-4</v>
      </c>
      <c r="X8" s="6">
        <f t="shared" si="1"/>
        <v>6.4902734152616492E-2</v>
      </c>
      <c r="Y8" s="6">
        <f t="shared" si="2"/>
        <v>2.029031982053427E-4</v>
      </c>
      <c r="Z8" s="6">
        <f t="shared" si="3"/>
        <v>2.528952474056951E-5</v>
      </c>
      <c r="AA8" s="6">
        <f t="shared" si="4"/>
        <v>6.4902734152616492E-2</v>
      </c>
      <c r="AB8" s="6">
        <f t="shared" si="5"/>
        <v>2.0128128157530113E-2</v>
      </c>
      <c r="AC8" s="6">
        <f t="shared" si="6"/>
        <v>2.0128128157530113E-2</v>
      </c>
      <c r="AD8" s="6">
        <f t="shared" si="7"/>
        <v>5.8033072462645241E-3</v>
      </c>
      <c r="AE8" s="6">
        <f t="shared" si="8"/>
        <v>5.6188995707207321E-3</v>
      </c>
      <c r="AF8" s="27">
        <f t="shared" si="9"/>
        <v>5.8033072462645241E-3</v>
      </c>
      <c r="AG8" s="26">
        <f t="shared" si="10"/>
        <v>2.2030104453000421E-3</v>
      </c>
      <c r="AH8" s="6">
        <f t="shared" si="11"/>
        <v>6.8706670906238165E-2</v>
      </c>
      <c r="AI8" s="6">
        <f t="shared" si="12"/>
        <v>2.6525443524221383E-4</v>
      </c>
      <c r="AJ8" s="6">
        <f t="shared" si="13"/>
        <v>4.2730160974229408E-5</v>
      </c>
      <c r="AK8" s="6">
        <f t="shared" si="14"/>
        <v>6.8706670906238165E-2</v>
      </c>
      <c r="AL8" s="6">
        <f t="shared" si="15"/>
        <v>3.5019116760698862E-3</v>
      </c>
      <c r="AM8" s="6">
        <f t="shared" si="16"/>
        <v>3.5019116760698862E-3</v>
      </c>
      <c r="AN8" s="6">
        <f t="shared" si="17"/>
        <v>9.42583015490993E-3</v>
      </c>
      <c r="AO8" s="6">
        <f t="shared" si="18"/>
        <v>9.8398200809314777E-3</v>
      </c>
      <c r="AP8" s="27">
        <f t="shared" si="19"/>
        <v>9.8398200809314777E-3</v>
      </c>
      <c r="AQ8" s="220">
        <f t="shared" si="20"/>
        <v>8.8999999999999996E-2</v>
      </c>
      <c r="AR8" s="6">
        <f t="shared" si="21"/>
        <v>8.3000000000000004E-2</v>
      </c>
      <c r="AS8" s="6">
        <f t="shared" si="22"/>
        <v>8.5999999999999993E-2</v>
      </c>
      <c r="AT8" s="196">
        <f t="shared" si="23"/>
        <v>0.59</v>
      </c>
      <c r="AU8" s="196">
        <f t="shared" si="24"/>
        <v>0.55000000000000004</v>
      </c>
      <c r="AV8" s="196">
        <f t="shared" si="25"/>
        <v>0.56999999999999995</v>
      </c>
      <c r="AW8" s="96">
        <f t="shared" si="26"/>
        <v>5</v>
      </c>
      <c r="AX8" s="96">
        <f t="shared" si="27"/>
        <v>5</v>
      </c>
      <c r="AY8" s="221">
        <f t="shared" si="28"/>
        <v>5</v>
      </c>
    </row>
    <row r="9" spans="1:51" ht="13.15" customHeight="1">
      <c r="A9" s="75">
        <v>14290</v>
      </c>
      <c r="B9" s="44" t="s">
        <v>74</v>
      </c>
      <c r="C9" s="218" t="str">
        <f>Rollover!A9</f>
        <v>Ford</v>
      </c>
      <c r="D9" s="219" t="str">
        <f>Rollover!B9</f>
        <v>Explorer HEV SUV RWD</v>
      </c>
      <c r="E9" s="193" t="s">
        <v>71</v>
      </c>
      <c r="F9" s="102">
        <f>Rollover!C9</f>
        <v>2023</v>
      </c>
      <c r="G9" s="19">
        <v>117.89100000000001</v>
      </c>
      <c r="H9" s="20">
        <v>0.28399999999999997</v>
      </c>
      <c r="I9" s="20">
        <v>1040.809</v>
      </c>
      <c r="J9" s="20">
        <v>163.96</v>
      </c>
      <c r="K9" s="20">
        <v>23.013999999999999</v>
      </c>
      <c r="L9" s="20">
        <v>37.485999999999997</v>
      </c>
      <c r="M9" s="20">
        <v>1253.643</v>
      </c>
      <c r="N9" s="21">
        <v>1191.1379999999999</v>
      </c>
      <c r="O9" s="19">
        <v>209.59899999999999</v>
      </c>
      <c r="P9" s="20">
        <v>0.315</v>
      </c>
      <c r="Q9" s="20">
        <v>722.399</v>
      </c>
      <c r="R9" s="20">
        <v>238.047</v>
      </c>
      <c r="S9" s="20">
        <v>9.6419999999999995</v>
      </c>
      <c r="T9" s="20">
        <v>40.354999999999997</v>
      </c>
      <c r="U9" s="20">
        <v>1496.35</v>
      </c>
      <c r="V9" s="21">
        <v>1553.3150000000001</v>
      </c>
      <c r="W9" s="220">
        <f t="shared" si="0"/>
        <v>1.4438855773186101E-4</v>
      </c>
      <c r="X9" s="6">
        <f t="shared" si="1"/>
        <v>6.4902734152616492E-2</v>
      </c>
      <c r="Y9" s="6">
        <f t="shared" si="2"/>
        <v>2.029031982053427E-4</v>
      </c>
      <c r="Z9" s="6">
        <f t="shared" si="3"/>
        <v>2.528952474056951E-5</v>
      </c>
      <c r="AA9" s="6">
        <f t="shared" si="4"/>
        <v>6.4902734152616492E-2</v>
      </c>
      <c r="AB9" s="6">
        <f t="shared" si="5"/>
        <v>2.0128128157530113E-2</v>
      </c>
      <c r="AC9" s="6">
        <f t="shared" si="6"/>
        <v>2.0128128157530113E-2</v>
      </c>
      <c r="AD9" s="6">
        <f t="shared" si="7"/>
        <v>5.8033072462645241E-3</v>
      </c>
      <c r="AE9" s="6">
        <f t="shared" si="8"/>
        <v>5.6188995707207321E-3</v>
      </c>
      <c r="AF9" s="27">
        <f t="shared" si="9"/>
        <v>5.8033072462645241E-3</v>
      </c>
      <c r="AG9" s="26">
        <f t="shared" si="10"/>
        <v>2.2030104453000421E-3</v>
      </c>
      <c r="AH9" s="6">
        <f t="shared" si="11"/>
        <v>6.8706670906238165E-2</v>
      </c>
      <c r="AI9" s="6">
        <f t="shared" si="12"/>
        <v>2.6525443524221383E-4</v>
      </c>
      <c r="AJ9" s="6">
        <f t="shared" si="13"/>
        <v>4.2730160974229408E-5</v>
      </c>
      <c r="AK9" s="6">
        <f t="shared" si="14"/>
        <v>6.8706670906238165E-2</v>
      </c>
      <c r="AL9" s="6">
        <f t="shared" si="15"/>
        <v>3.5019116760698862E-3</v>
      </c>
      <c r="AM9" s="6">
        <f t="shared" si="16"/>
        <v>3.5019116760698862E-3</v>
      </c>
      <c r="AN9" s="6">
        <f t="shared" si="17"/>
        <v>9.42583015490993E-3</v>
      </c>
      <c r="AO9" s="6">
        <f t="shared" si="18"/>
        <v>9.8398200809314777E-3</v>
      </c>
      <c r="AP9" s="27">
        <f t="shared" si="19"/>
        <v>9.8398200809314777E-3</v>
      </c>
      <c r="AQ9" s="220">
        <f t="shared" si="20"/>
        <v>8.8999999999999996E-2</v>
      </c>
      <c r="AR9" s="6">
        <f t="shared" si="21"/>
        <v>8.3000000000000004E-2</v>
      </c>
      <c r="AS9" s="6">
        <f t="shared" si="22"/>
        <v>8.5999999999999993E-2</v>
      </c>
      <c r="AT9" s="196">
        <f t="shared" si="23"/>
        <v>0.59</v>
      </c>
      <c r="AU9" s="196">
        <f t="shared" si="24"/>
        <v>0.55000000000000004</v>
      </c>
      <c r="AV9" s="196">
        <f t="shared" si="25"/>
        <v>0.56999999999999995</v>
      </c>
      <c r="AW9" s="96">
        <f t="shared" si="26"/>
        <v>5</v>
      </c>
      <c r="AX9" s="96">
        <f t="shared" si="27"/>
        <v>5</v>
      </c>
      <c r="AY9" s="221">
        <f t="shared" si="28"/>
        <v>5</v>
      </c>
    </row>
    <row r="10" spans="1:51" ht="13.15" customHeight="1">
      <c r="A10" s="72">
        <v>14290</v>
      </c>
      <c r="B10" s="65" t="s">
        <v>74</v>
      </c>
      <c r="C10" s="218" t="str">
        <f>Rollover!A10</f>
        <v>Ford</v>
      </c>
      <c r="D10" s="219" t="str">
        <f>Rollover!B10</f>
        <v>Explorer HEV SUV 4WD</v>
      </c>
      <c r="E10" s="193" t="s">
        <v>71</v>
      </c>
      <c r="F10" s="102">
        <f>Rollover!C10</f>
        <v>2023</v>
      </c>
      <c r="G10" s="19">
        <v>117.89100000000001</v>
      </c>
      <c r="H10" s="20">
        <v>0.28399999999999997</v>
      </c>
      <c r="I10" s="20">
        <v>1040.809</v>
      </c>
      <c r="J10" s="20">
        <v>163.96</v>
      </c>
      <c r="K10" s="20">
        <v>23.013999999999999</v>
      </c>
      <c r="L10" s="20">
        <v>37.485999999999997</v>
      </c>
      <c r="M10" s="20">
        <v>1253.643</v>
      </c>
      <c r="N10" s="21">
        <v>1191.1379999999999</v>
      </c>
      <c r="O10" s="19">
        <v>209.59899999999999</v>
      </c>
      <c r="P10" s="20">
        <v>0.315</v>
      </c>
      <c r="Q10" s="20">
        <v>722.399</v>
      </c>
      <c r="R10" s="20">
        <v>238.047</v>
      </c>
      <c r="S10" s="20">
        <v>9.6419999999999995</v>
      </c>
      <c r="T10" s="20">
        <v>40.354999999999997</v>
      </c>
      <c r="U10" s="20">
        <v>1496.35</v>
      </c>
      <c r="V10" s="21">
        <v>1553.3150000000001</v>
      </c>
      <c r="W10" s="220">
        <f t="shared" si="0"/>
        <v>1.4438855773186101E-4</v>
      </c>
      <c r="X10" s="6">
        <f t="shared" si="1"/>
        <v>6.4902734152616492E-2</v>
      </c>
      <c r="Y10" s="6">
        <f t="shared" si="2"/>
        <v>2.029031982053427E-4</v>
      </c>
      <c r="Z10" s="6">
        <f t="shared" si="3"/>
        <v>2.528952474056951E-5</v>
      </c>
      <c r="AA10" s="6">
        <f t="shared" si="4"/>
        <v>6.4902734152616492E-2</v>
      </c>
      <c r="AB10" s="6">
        <f t="shared" si="5"/>
        <v>2.0128128157530113E-2</v>
      </c>
      <c r="AC10" s="6">
        <f t="shared" si="6"/>
        <v>2.0128128157530113E-2</v>
      </c>
      <c r="AD10" s="6">
        <f t="shared" si="7"/>
        <v>5.8033072462645241E-3</v>
      </c>
      <c r="AE10" s="6">
        <f t="shared" si="8"/>
        <v>5.6188995707207321E-3</v>
      </c>
      <c r="AF10" s="27">
        <f t="shared" si="9"/>
        <v>5.8033072462645241E-3</v>
      </c>
      <c r="AG10" s="26">
        <f t="shared" si="10"/>
        <v>2.2030104453000421E-3</v>
      </c>
      <c r="AH10" s="6">
        <f t="shared" si="11"/>
        <v>6.8706670906238165E-2</v>
      </c>
      <c r="AI10" s="6">
        <f t="shared" si="12"/>
        <v>2.6525443524221383E-4</v>
      </c>
      <c r="AJ10" s="6">
        <f t="shared" si="13"/>
        <v>4.2730160974229408E-5</v>
      </c>
      <c r="AK10" s="6">
        <f t="shared" si="14"/>
        <v>6.8706670906238165E-2</v>
      </c>
      <c r="AL10" s="6">
        <f t="shared" si="15"/>
        <v>3.5019116760698862E-3</v>
      </c>
      <c r="AM10" s="6">
        <f t="shared" si="16"/>
        <v>3.5019116760698862E-3</v>
      </c>
      <c r="AN10" s="6">
        <f t="shared" si="17"/>
        <v>9.42583015490993E-3</v>
      </c>
      <c r="AO10" s="6">
        <f t="shared" si="18"/>
        <v>9.8398200809314777E-3</v>
      </c>
      <c r="AP10" s="27">
        <f t="shared" si="19"/>
        <v>9.8398200809314777E-3</v>
      </c>
      <c r="AQ10" s="220">
        <f t="shared" si="20"/>
        <v>8.8999999999999996E-2</v>
      </c>
      <c r="AR10" s="6">
        <f t="shared" si="21"/>
        <v>8.3000000000000004E-2</v>
      </c>
      <c r="AS10" s="6">
        <f t="shared" si="22"/>
        <v>8.5999999999999993E-2</v>
      </c>
      <c r="AT10" s="196">
        <f t="shared" si="23"/>
        <v>0.59</v>
      </c>
      <c r="AU10" s="196">
        <f t="shared" si="24"/>
        <v>0.55000000000000004</v>
      </c>
      <c r="AV10" s="196">
        <f t="shared" si="25"/>
        <v>0.56999999999999995</v>
      </c>
      <c r="AW10" s="96">
        <f t="shared" si="26"/>
        <v>5</v>
      </c>
      <c r="AX10" s="96">
        <f t="shared" si="27"/>
        <v>5</v>
      </c>
      <c r="AY10" s="221">
        <f t="shared" si="28"/>
        <v>5</v>
      </c>
    </row>
    <row r="11" spans="1:51" ht="13.15" customHeight="1">
      <c r="A11" s="72">
        <v>11053</v>
      </c>
      <c r="B11" s="65" t="s">
        <v>75</v>
      </c>
      <c r="C11" s="218" t="str">
        <f>Rollover!A11</f>
        <v>Lincoln</v>
      </c>
      <c r="D11" s="219" t="str">
        <f>Rollover!B11</f>
        <v>Aviator SUV RWD</v>
      </c>
      <c r="E11" s="193" t="s">
        <v>73</v>
      </c>
      <c r="F11" s="102">
        <f>Rollover!C11</f>
        <v>2023</v>
      </c>
      <c r="G11" s="11">
        <v>125.307</v>
      </c>
      <c r="H11" s="12">
        <v>0.26300000000000001</v>
      </c>
      <c r="I11" s="12">
        <v>744.58299999999997</v>
      </c>
      <c r="J11" s="12">
        <v>117.598</v>
      </c>
      <c r="K11" s="12">
        <v>20.210999999999999</v>
      </c>
      <c r="L11" s="12">
        <v>36.331000000000003</v>
      </c>
      <c r="M11" s="12">
        <v>1021.006</v>
      </c>
      <c r="N11" s="13">
        <v>933.33199999999999</v>
      </c>
      <c r="O11" s="11">
        <v>317.53500000000003</v>
      </c>
      <c r="P11" s="12">
        <v>0.29199999999999998</v>
      </c>
      <c r="Q11" s="12">
        <v>830.03</v>
      </c>
      <c r="R11" s="12">
        <v>571.88</v>
      </c>
      <c r="S11" s="12">
        <v>11.41</v>
      </c>
      <c r="T11" s="12">
        <v>40.284999999999997</v>
      </c>
      <c r="U11" s="12">
        <v>1690.646</v>
      </c>
      <c r="V11" s="13">
        <v>1799.577</v>
      </c>
      <c r="W11" s="220">
        <f t="shared" si="0"/>
        <v>1.9801012345019512E-4</v>
      </c>
      <c r="X11" s="6">
        <f t="shared" si="1"/>
        <v>6.2438188767104427E-2</v>
      </c>
      <c r="Y11" s="6">
        <f t="shared" si="2"/>
        <v>1.0041330964059293E-4</v>
      </c>
      <c r="Z11" s="6">
        <f t="shared" si="3"/>
        <v>2.2652792984813518E-5</v>
      </c>
      <c r="AA11" s="6">
        <f t="shared" si="4"/>
        <v>6.2438188767104427E-2</v>
      </c>
      <c r="AB11" s="6">
        <f t="shared" si="5"/>
        <v>1.3754538958953786E-2</v>
      </c>
      <c r="AC11" s="6">
        <f t="shared" si="6"/>
        <v>1.3754538958953786E-2</v>
      </c>
      <c r="AD11" s="6">
        <f t="shared" si="7"/>
        <v>5.1459539064359272E-3</v>
      </c>
      <c r="AE11" s="6">
        <f t="shared" si="8"/>
        <v>4.9179144041748869E-3</v>
      </c>
      <c r="AF11" s="27">
        <f t="shared" si="9"/>
        <v>5.1459539064359272E-3</v>
      </c>
      <c r="AG11" s="26">
        <f t="shared" si="10"/>
        <v>1.1122083464950644E-2</v>
      </c>
      <c r="AH11" s="6">
        <f t="shared" si="11"/>
        <v>6.5865207635833936E-2</v>
      </c>
      <c r="AI11" s="6">
        <f t="shared" si="12"/>
        <v>3.979497054391023E-4</v>
      </c>
      <c r="AJ11" s="6">
        <f t="shared" si="13"/>
        <v>1.5040741907163812E-4</v>
      </c>
      <c r="AK11" s="6">
        <f t="shared" si="14"/>
        <v>6.5865207635833936E-2</v>
      </c>
      <c r="AL11" s="6">
        <f t="shared" si="15"/>
        <v>5.1904723807278509E-3</v>
      </c>
      <c r="AM11" s="6">
        <f t="shared" si="16"/>
        <v>5.1904723807278509E-3</v>
      </c>
      <c r="AN11" s="6">
        <f t="shared" si="17"/>
        <v>1.0913331849253825E-2</v>
      </c>
      <c r="AO11" s="6">
        <f t="shared" si="18"/>
        <v>1.1846538642661502E-2</v>
      </c>
      <c r="AP11" s="27">
        <f t="shared" si="19"/>
        <v>1.1846538642661502E-2</v>
      </c>
      <c r="AQ11" s="220">
        <f t="shared" si="20"/>
        <v>0.08</v>
      </c>
      <c r="AR11" s="6">
        <f t="shared" si="21"/>
        <v>9.1999999999999998E-2</v>
      </c>
      <c r="AS11" s="6">
        <f t="shared" si="22"/>
        <v>8.5999999999999993E-2</v>
      </c>
      <c r="AT11" s="196">
        <f t="shared" si="23"/>
        <v>0.53</v>
      </c>
      <c r="AU11" s="196">
        <f t="shared" si="24"/>
        <v>0.61</v>
      </c>
      <c r="AV11" s="196">
        <f t="shared" si="25"/>
        <v>0.56999999999999995</v>
      </c>
      <c r="AW11" s="96">
        <f t="shared" si="26"/>
        <v>5</v>
      </c>
      <c r="AX11" s="96">
        <f t="shared" si="27"/>
        <v>5</v>
      </c>
      <c r="AY11" s="221">
        <f t="shared" si="28"/>
        <v>5</v>
      </c>
    </row>
    <row r="12" spans="1:51" ht="13.15" customHeight="1">
      <c r="A12" s="72">
        <v>11053</v>
      </c>
      <c r="B12" s="65" t="s">
        <v>75</v>
      </c>
      <c r="C12" s="218" t="str">
        <f>Rollover!A12</f>
        <v>Lincoln</v>
      </c>
      <c r="D12" s="219" t="str">
        <f>Rollover!B12</f>
        <v>Aviator SUV 4WD</v>
      </c>
      <c r="E12" s="193" t="s">
        <v>73</v>
      </c>
      <c r="F12" s="102">
        <f>Rollover!C12</f>
        <v>2023</v>
      </c>
      <c r="G12" s="26">
        <v>125.307</v>
      </c>
      <c r="H12" s="6">
        <v>0.26300000000000001</v>
      </c>
      <c r="I12" s="6">
        <v>744.58299999999997</v>
      </c>
      <c r="J12" s="6">
        <v>117.598</v>
      </c>
      <c r="K12" s="6">
        <v>20.210999999999999</v>
      </c>
      <c r="L12" s="6">
        <v>36.331000000000003</v>
      </c>
      <c r="M12" s="6">
        <v>1021.006</v>
      </c>
      <c r="N12" s="27">
        <v>933.33199999999999</v>
      </c>
      <c r="O12" s="26">
        <v>317.53500000000003</v>
      </c>
      <c r="P12" s="6">
        <v>0.29199999999999998</v>
      </c>
      <c r="Q12" s="6">
        <v>830.03</v>
      </c>
      <c r="R12" s="6">
        <v>571.88</v>
      </c>
      <c r="S12" s="6">
        <v>11.41</v>
      </c>
      <c r="T12" s="6">
        <v>40.284999999999997</v>
      </c>
      <c r="U12" s="6">
        <v>1690.646</v>
      </c>
      <c r="V12" s="27">
        <v>1799.577</v>
      </c>
      <c r="W12" s="220">
        <f t="shared" si="0"/>
        <v>1.9801012345019512E-4</v>
      </c>
      <c r="X12" s="6">
        <f t="shared" si="1"/>
        <v>6.2438188767104427E-2</v>
      </c>
      <c r="Y12" s="6">
        <f t="shared" si="2"/>
        <v>1.0041330964059293E-4</v>
      </c>
      <c r="Z12" s="6">
        <f t="shared" si="3"/>
        <v>2.2652792984813518E-5</v>
      </c>
      <c r="AA12" s="6">
        <f t="shared" si="4"/>
        <v>6.2438188767104427E-2</v>
      </c>
      <c r="AB12" s="6">
        <f t="shared" si="5"/>
        <v>1.3754538958953786E-2</v>
      </c>
      <c r="AC12" s="6">
        <f t="shared" si="6"/>
        <v>1.3754538958953786E-2</v>
      </c>
      <c r="AD12" s="6">
        <f t="shared" si="7"/>
        <v>5.1459539064359272E-3</v>
      </c>
      <c r="AE12" s="6">
        <f t="shared" si="8"/>
        <v>4.9179144041748869E-3</v>
      </c>
      <c r="AF12" s="27">
        <f t="shared" si="9"/>
        <v>5.1459539064359272E-3</v>
      </c>
      <c r="AG12" s="26">
        <f t="shared" si="10"/>
        <v>1.1122083464950644E-2</v>
      </c>
      <c r="AH12" s="6">
        <f t="shared" si="11"/>
        <v>6.5865207635833936E-2</v>
      </c>
      <c r="AI12" s="6">
        <f t="shared" si="12"/>
        <v>3.979497054391023E-4</v>
      </c>
      <c r="AJ12" s="6">
        <f t="shared" si="13"/>
        <v>1.5040741907163812E-4</v>
      </c>
      <c r="AK12" s="6">
        <f t="shared" si="14"/>
        <v>6.5865207635833936E-2</v>
      </c>
      <c r="AL12" s="6">
        <f t="shared" si="15"/>
        <v>5.1904723807278509E-3</v>
      </c>
      <c r="AM12" s="6">
        <f t="shared" si="16"/>
        <v>5.1904723807278509E-3</v>
      </c>
      <c r="AN12" s="6">
        <f t="shared" si="17"/>
        <v>1.0913331849253825E-2</v>
      </c>
      <c r="AO12" s="6">
        <f t="shared" si="18"/>
        <v>1.1846538642661502E-2</v>
      </c>
      <c r="AP12" s="27">
        <f t="shared" si="19"/>
        <v>1.1846538642661502E-2</v>
      </c>
      <c r="AQ12" s="220">
        <f t="shared" si="20"/>
        <v>0.08</v>
      </c>
      <c r="AR12" s="6">
        <f t="shared" si="21"/>
        <v>9.1999999999999998E-2</v>
      </c>
      <c r="AS12" s="6">
        <f t="shared" si="22"/>
        <v>8.5999999999999993E-2</v>
      </c>
      <c r="AT12" s="196">
        <f t="shared" si="23"/>
        <v>0.53</v>
      </c>
      <c r="AU12" s="196">
        <f t="shared" si="24"/>
        <v>0.61</v>
      </c>
      <c r="AV12" s="196">
        <f t="shared" si="25"/>
        <v>0.56999999999999995</v>
      </c>
      <c r="AW12" s="96">
        <f t="shared" si="26"/>
        <v>5</v>
      </c>
      <c r="AX12" s="96">
        <f t="shared" si="27"/>
        <v>5</v>
      </c>
      <c r="AY12" s="221">
        <f t="shared" si="28"/>
        <v>5</v>
      </c>
    </row>
    <row r="13" spans="1:51" ht="13.15" customHeight="1">
      <c r="A13" s="72">
        <v>14272</v>
      </c>
      <c r="B13" s="65" t="s">
        <v>76</v>
      </c>
      <c r="C13" s="222" t="str">
        <f>Rollover!A13</f>
        <v xml:space="preserve">Honda </v>
      </c>
      <c r="D13" s="223" t="str">
        <f>Rollover!B13</f>
        <v>HR-V SUV FWD</v>
      </c>
      <c r="E13" s="193" t="s">
        <v>71</v>
      </c>
      <c r="F13" s="102">
        <f>Rollover!C13</f>
        <v>2023</v>
      </c>
      <c r="G13" s="11">
        <v>138.929</v>
      </c>
      <c r="H13" s="12">
        <v>0.308</v>
      </c>
      <c r="I13" s="12">
        <v>595.76599999999996</v>
      </c>
      <c r="J13" s="12">
        <v>75.576999999999998</v>
      </c>
      <c r="K13" s="12">
        <v>19.484000000000002</v>
      </c>
      <c r="L13" s="12">
        <v>37.268000000000001</v>
      </c>
      <c r="M13" s="12">
        <v>1238.9880000000001</v>
      </c>
      <c r="N13" s="13">
        <v>1389.1410000000001</v>
      </c>
      <c r="O13" s="11">
        <v>278.24799999999999</v>
      </c>
      <c r="P13" s="12">
        <v>0.41299999999999998</v>
      </c>
      <c r="Q13" s="12">
        <v>681.625</v>
      </c>
      <c r="R13" s="12">
        <v>138.607</v>
      </c>
      <c r="S13" s="12">
        <v>14.106</v>
      </c>
      <c r="T13" s="12">
        <v>43.755000000000003</v>
      </c>
      <c r="U13" s="12">
        <v>954.34</v>
      </c>
      <c r="V13" s="13">
        <v>480.16899999999998</v>
      </c>
      <c r="W13" s="220">
        <f t="shared" ref="W13:W14" si="29">NORMDIST(LN(G13),7.45231,0.73998,1)</f>
        <v>3.3293004803999071E-4</v>
      </c>
      <c r="X13" s="6">
        <f t="shared" ref="X13:X14" si="30">1/(1+EXP(3.2269-1.9688*H13))</f>
        <v>6.7830064906435658E-2</v>
      </c>
      <c r="Y13" s="6">
        <f t="shared" ref="Y13:Y14" si="31">1/(1+EXP(10.9745-2.375*I13/1000))</f>
        <v>7.0519148744062186E-5</v>
      </c>
      <c r="Z13" s="6">
        <f t="shared" ref="Z13:Z14" si="32">1/(1+EXP(10.9745-2.375*J13/1000))</f>
        <v>2.0501241217629681E-5</v>
      </c>
      <c r="AA13" s="6">
        <f t="shared" ref="AA13:AA14" si="33">MAX(X13,Y13,Z13)</f>
        <v>6.7830064906435658E-2</v>
      </c>
      <c r="AB13" s="6">
        <f t="shared" ref="AB13:AB14" si="34">1/(1+EXP(12.597-0.05861*35-1.568*(K13^0.4612)))</f>
        <v>1.2399374644606121E-2</v>
      </c>
      <c r="AC13" s="6">
        <f t="shared" ref="AC13:AC14" si="35">AB13</f>
        <v>1.2399374644606121E-2</v>
      </c>
      <c r="AD13" s="6">
        <f t="shared" ref="AD13:AD14" si="36">1/(1+EXP(5.7949-0.5196*M13/1000))</f>
        <v>5.7595379571868596E-3</v>
      </c>
      <c r="AE13" s="6">
        <f t="shared" ref="AE13:AE14" si="37">1/(1+EXP(5.7949-0.5196*N13/1000))</f>
        <v>6.2239796249902472E-3</v>
      </c>
      <c r="AF13" s="27">
        <f t="shared" ref="AF13:AF14" si="38">MAX(AD13,AE13)</f>
        <v>6.2239796249902472E-3</v>
      </c>
      <c r="AG13" s="26">
        <f t="shared" ref="AG13:AG14" si="39">NORMDIST(LN(O13),7.45231,0.73998,1)</f>
        <v>6.8572152721773283E-3</v>
      </c>
      <c r="AH13" s="6">
        <f t="shared" ref="AH13:AH14" si="40">1/(1+EXP(3.2269-1.9688*P13))</f>
        <v>8.2127498065976981E-2</v>
      </c>
      <c r="AI13" s="6">
        <f t="shared" ref="AI13:AI14" si="41">1/(1+EXP(10.958-3.77*Q13/1000))</f>
        <v>2.2746794199353639E-4</v>
      </c>
      <c r="AJ13" s="6">
        <f t="shared" ref="AJ13:AJ14" si="42">1/(1+EXP(10.958-3.77*R13/1000))</f>
        <v>2.9371639792922855E-5</v>
      </c>
      <c r="AK13" s="6">
        <f t="shared" ref="AK13:AK14" si="43">MAX(AH13,AI13,AJ13)</f>
        <v>8.2127498065976981E-2</v>
      </c>
      <c r="AL13" s="6">
        <f t="shared" ref="AL13:AL14" si="44">1/(1+EXP(12.597-0.05861*35-1.568*((S13/0.817)^0.4612)))</f>
        <v>8.9060251930053059E-3</v>
      </c>
      <c r="AM13" s="6">
        <f t="shared" ref="AM13:AM14" si="45">AL13</f>
        <v>8.9060251930053059E-3</v>
      </c>
      <c r="AN13" s="6">
        <f t="shared" ref="AN13:AN14" si="46">1/(1+EXP(5.7949-0.7619*U13/1000))</f>
        <v>6.2569342832796242E-3</v>
      </c>
      <c r="AO13" s="6">
        <f t="shared" ref="AO13:AO14" si="47">1/(1+EXP(5.7949-0.7619*V13/1000))</f>
        <v>4.3680575542384163E-3</v>
      </c>
      <c r="AP13" s="27">
        <f t="shared" ref="AP13:AP14" si="48">MAX(AN13,AO13)</f>
        <v>6.2569342832796242E-3</v>
      </c>
      <c r="AQ13" s="220">
        <f t="shared" ref="AQ13:AQ14" si="49">ROUND(1-(1-W13)*(1-AA13)*(1-AC13)*(1-AF13),3)</f>
        <v>8.5000000000000006E-2</v>
      </c>
      <c r="AR13" s="6">
        <f t="shared" ref="AR13:AR14" si="50">ROUND(1-(1-AG13)*(1-AK13)*(1-AM13)*(1-AP13),3)</f>
        <v>0.10199999999999999</v>
      </c>
      <c r="AS13" s="6">
        <f t="shared" ref="AS13:AS14" si="51">ROUND(AVERAGE(AR13,AQ13),3)</f>
        <v>9.4E-2</v>
      </c>
      <c r="AT13" s="196">
        <f t="shared" ref="AT13:AT14" si="52">ROUND(AQ13/0.15,2)</f>
        <v>0.56999999999999995</v>
      </c>
      <c r="AU13" s="196">
        <f t="shared" ref="AU13:AU14" si="53">ROUND(AR13/0.15,2)</f>
        <v>0.68</v>
      </c>
      <c r="AV13" s="196">
        <f t="shared" ref="AV13:AV14" si="54">ROUND(AS13/0.15,2)</f>
        <v>0.63</v>
      </c>
      <c r="AW13" s="96">
        <f t="shared" ref="AW13:AW14" si="55">IF(AT13&lt;0.67,5,IF(AT13&lt;1,4,IF(AT13&lt;1.33,3,IF(AT13&lt;2.67,2,1))))</f>
        <v>5</v>
      </c>
      <c r="AX13" s="96">
        <f t="shared" ref="AX13:AX14" si="56">IF(AU13&lt;0.67,5,IF(AU13&lt;1,4,IF(AU13&lt;1.33,3,IF(AU13&lt;2.67,2,1))))</f>
        <v>4</v>
      </c>
      <c r="AY13" s="221">
        <f t="shared" ref="AY13:AY14" si="57">IF(AV13&lt;0.67,5,IF(AV13&lt;1,4,IF(AV13&lt;1.33,3,IF(AV13&lt;2.67,2,1))))</f>
        <v>5</v>
      </c>
    </row>
    <row r="14" spans="1:51" ht="13.15" customHeight="1">
      <c r="A14" s="72">
        <v>14272</v>
      </c>
      <c r="B14" s="65" t="s">
        <v>76</v>
      </c>
      <c r="C14" s="222" t="str">
        <f>Rollover!A14</f>
        <v xml:space="preserve">Honda </v>
      </c>
      <c r="D14" s="223" t="str">
        <f>Rollover!B14</f>
        <v>HR-V SUV AWD</v>
      </c>
      <c r="E14" s="193" t="s">
        <v>71</v>
      </c>
      <c r="F14" s="102">
        <f>Rollover!C14</f>
        <v>2023</v>
      </c>
      <c r="G14" s="11">
        <v>138.929</v>
      </c>
      <c r="H14" s="12">
        <v>0.308</v>
      </c>
      <c r="I14" s="12">
        <v>595.76599999999996</v>
      </c>
      <c r="J14" s="12">
        <v>75.576999999999998</v>
      </c>
      <c r="K14" s="12">
        <v>19.484000000000002</v>
      </c>
      <c r="L14" s="12">
        <v>37.268000000000001</v>
      </c>
      <c r="M14" s="12">
        <v>1238.9880000000001</v>
      </c>
      <c r="N14" s="13">
        <v>1389.1410000000001</v>
      </c>
      <c r="O14" s="11">
        <v>278.24799999999999</v>
      </c>
      <c r="P14" s="12">
        <v>0.41299999999999998</v>
      </c>
      <c r="Q14" s="12">
        <v>681.625</v>
      </c>
      <c r="R14" s="12">
        <v>138.607</v>
      </c>
      <c r="S14" s="12">
        <v>14.106</v>
      </c>
      <c r="T14" s="12">
        <v>43.755000000000003</v>
      </c>
      <c r="U14" s="12">
        <v>954.34</v>
      </c>
      <c r="V14" s="13">
        <v>480.16899999999998</v>
      </c>
      <c r="W14" s="220">
        <f t="shared" si="29"/>
        <v>3.3293004803999071E-4</v>
      </c>
      <c r="X14" s="6">
        <f t="shared" si="30"/>
        <v>6.7830064906435658E-2</v>
      </c>
      <c r="Y14" s="6">
        <f t="shared" si="31"/>
        <v>7.0519148744062186E-5</v>
      </c>
      <c r="Z14" s="6">
        <f t="shared" si="32"/>
        <v>2.0501241217629681E-5</v>
      </c>
      <c r="AA14" s="6">
        <f t="shared" si="33"/>
        <v>6.7830064906435658E-2</v>
      </c>
      <c r="AB14" s="6">
        <f t="shared" si="34"/>
        <v>1.2399374644606121E-2</v>
      </c>
      <c r="AC14" s="6">
        <f t="shared" si="35"/>
        <v>1.2399374644606121E-2</v>
      </c>
      <c r="AD14" s="6">
        <f t="shared" si="36"/>
        <v>5.7595379571868596E-3</v>
      </c>
      <c r="AE14" s="6">
        <f t="shared" si="37"/>
        <v>6.2239796249902472E-3</v>
      </c>
      <c r="AF14" s="27">
        <f t="shared" si="38"/>
        <v>6.2239796249902472E-3</v>
      </c>
      <c r="AG14" s="26">
        <f t="shared" si="39"/>
        <v>6.8572152721773283E-3</v>
      </c>
      <c r="AH14" s="6">
        <f t="shared" si="40"/>
        <v>8.2127498065976981E-2</v>
      </c>
      <c r="AI14" s="6">
        <f t="shared" si="41"/>
        <v>2.2746794199353639E-4</v>
      </c>
      <c r="AJ14" s="6">
        <f t="shared" si="42"/>
        <v>2.9371639792922855E-5</v>
      </c>
      <c r="AK14" s="6">
        <f t="shared" si="43"/>
        <v>8.2127498065976981E-2</v>
      </c>
      <c r="AL14" s="6">
        <f t="shared" si="44"/>
        <v>8.9060251930053059E-3</v>
      </c>
      <c r="AM14" s="6">
        <f t="shared" si="45"/>
        <v>8.9060251930053059E-3</v>
      </c>
      <c r="AN14" s="6">
        <f t="shared" si="46"/>
        <v>6.2569342832796242E-3</v>
      </c>
      <c r="AO14" s="6">
        <f t="shared" si="47"/>
        <v>4.3680575542384163E-3</v>
      </c>
      <c r="AP14" s="27">
        <f t="shared" si="48"/>
        <v>6.2569342832796242E-3</v>
      </c>
      <c r="AQ14" s="220">
        <f t="shared" si="49"/>
        <v>8.5000000000000006E-2</v>
      </c>
      <c r="AR14" s="6">
        <f t="shared" si="50"/>
        <v>0.10199999999999999</v>
      </c>
      <c r="AS14" s="6">
        <f t="shared" si="51"/>
        <v>9.4E-2</v>
      </c>
      <c r="AT14" s="196">
        <f t="shared" si="52"/>
        <v>0.56999999999999995</v>
      </c>
      <c r="AU14" s="196">
        <f t="shared" si="53"/>
        <v>0.68</v>
      </c>
      <c r="AV14" s="196">
        <f t="shared" si="54"/>
        <v>0.63</v>
      </c>
      <c r="AW14" s="96">
        <f t="shared" si="55"/>
        <v>5</v>
      </c>
      <c r="AX14" s="96">
        <f t="shared" si="56"/>
        <v>4</v>
      </c>
      <c r="AY14" s="221">
        <f t="shared" si="57"/>
        <v>5</v>
      </c>
    </row>
    <row r="15" spans="1:51" ht="13.15" customHeight="1">
      <c r="A15" s="64">
        <v>14242</v>
      </c>
      <c r="B15" s="64" t="s">
        <v>78</v>
      </c>
      <c r="C15" s="222" t="str">
        <f>Rollover!A15</f>
        <v>Jeep</v>
      </c>
      <c r="D15" s="223" t="str">
        <f>Rollover!B15</f>
        <v>Grand Cherokee SUV RWD</v>
      </c>
      <c r="E15" s="193" t="s">
        <v>79</v>
      </c>
      <c r="F15" s="102">
        <f>Rollover!C15</f>
        <v>2023</v>
      </c>
      <c r="G15" s="11">
        <v>128.6</v>
      </c>
      <c r="H15" s="12">
        <v>0.20899999999999999</v>
      </c>
      <c r="I15" s="12">
        <v>658.84900000000005</v>
      </c>
      <c r="J15" s="12">
        <v>371.97199999999998</v>
      </c>
      <c r="K15" s="12">
        <v>21.193000000000001</v>
      </c>
      <c r="L15" s="12">
        <v>31.693999999999999</v>
      </c>
      <c r="M15" s="12">
        <v>2142.5140000000001</v>
      </c>
      <c r="N15" s="13">
        <v>1151.998</v>
      </c>
      <c r="O15" s="11">
        <v>137.32499999999999</v>
      </c>
      <c r="P15" s="12">
        <v>0.27700000000000002</v>
      </c>
      <c r="Q15" s="12">
        <v>555.37699999999995</v>
      </c>
      <c r="R15" s="12">
        <v>183.06700000000001</v>
      </c>
      <c r="S15" s="12">
        <v>14.856999999999999</v>
      </c>
      <c r="T15" s="12">
        <v>29.652000000000001</v>
      </c>
      <c r="U15" s="12">
        <v>1778.595</v>
      </c>
      <c r="V15" s="93">
        <v>1542.932</v>
      </c>
      <c r="W15" s="220">
        <f t="shared" ref="W15:W18" si="58">NORMDIST(LN(G15),7.45231,0.73998,1)</f>
        <v>2.2602753410383281E-4</v>
      </c>
      <c r="X15" s="6">
        <f t="shared" ref="X15:X18" si="59">1/(1+EXP(3.2269-1.9688*H15))</f>
        <v>5.6496531186568832E-2</v>
      </c>
      <c r="Y15" s="6">
        <f t="shared" ref="Y15:Y18" si="60">1/(1+EXP(10.9745-2.375*I15/1000))</f>
        <v>8.1916055832250234E-5</v>
      </c>
      <c r="Z15" s="6">
        <f t="shared" ref="Z15:Z18" si="61">1/(1+EXP(10.9745-2.375*J15/1000))</f>
        <v>4.1446465670159445E-5</v>
      </c>
      <c r="AA15" s="6">
        <f t="shared" ref="AA15:AA18" si="62">MAX(X15,Y15,Z15)</f>
        <v>5.6496531186568832E-2</v>
      </c>
      <c r="AB15" s="6">
        <f t="shared" ref="AB15:AB18" si="63">1/(1+EXP(12.597-0.05861*35-1.568*(K15^0.4612)))</f>
        <v>1.5769836031900058E-2</v>
      </c>
      <c r="AC15" s="6">
        <f t="shared" ref="AC15:AC18" si="64">AB15</f>
        <v>1.5769836031900058E-2</v>
      </c>
      <c r="AD15" s="6">
        <f t="shared" ref="AD15:AD18" si="65">1/(1+EXP(5.7949-0.5196*M15/1000))</f>
        <v>9.1786898793333738E-3</v>
      </c>
      <c r="AE15" s="6">
        <f t="shared" ref="AE15:AE18" si="66">1/(1+EXP(5.7949-0.5196*N15/1000))</f>
        <v>5.5064042252166304E-3</v>
      </c>
      <c r="AF15" s="27">
        <f t="shared" ref="AF15:AF18" si="67">MAX(AD15,AE15)</f>
        <v>9.1786898793333738E-3</v>
      </c>
      <c r="AG15" s="26">
        <f t="shared" ref="AG15:AG18" si="68">NORMDIST(LN(O15),7.45231,0.73998,1)</f>
        <v>3.1430857884317268E-4</v>
      </c>
      <c r="AH15" s="6">
        <f t="shared" ref="AH15:AH18" si="69">1/(1+EXP(3.2269-1.9688*P15))</f>
        <v>6.4071322343990295E-2</v>
      </c>
      <c r="AI15" s="6">
        <f t="shared" ref="AI15:AI18" si="70">1/(1+EXP(10.958-3.77*Q15/1000))</f>
        <v>1.4133606608857677E-4</v>
      </c>
      <c r="AJ15" s="6">
        <f t="shared" ref="AJ15:AJ18" si="71">1/(1+EXP(10.958-3.77*R15/1000))</f>
        <v>3.4731199921571719E-5</v>
      </c>
      <c r="AK15" s="6">
        <f t="shared" ref="AK15:AK18" si="72">MAX(AH15,AI15,AJ15)</f>
        <v>6.4071322343990295E-2</v>
      </c>
      <c r="AL15" s="6">
        <f t="shared" ref="AL15:AL18" si="73">1/(1+EXP(12.597-0.05861*35-1.568*((S15/0.817)^0.4612)))</f>
        <v>1.0243221995065483E-2</v>
      </c>
      <c r="AM15" s="6">
        <f t="shared" ref="AM15:AM18" si="74">AL15</f>
        <v>1.0243221995065483E-2</v>
      </c>
      <c r="AN15" s="6">
        <f t="shared" ref="AN15:AN18" si="75">1/(1+EXP(5.7949-0.7619*U15/1000))</f>
        <v>1.1660854166364625E-2</v>
      </c>
      <c r="AO15" s="6">
        <f t="shared" ref="AO15:AO18" si="76">1/(1+EXP(5.7949-0.7619*V15/1000))</f>
        <v>9.7630432047256036E-3</v>
      </c>
      <c r="AP15" s="27">
        <f t="shared" ref="AP15:AP18" si="77">MAX(AN15,AO15)</f>
        <v>1.1660854166364625E-2</v>
      </c>
      <c r="AQ15" s="220">
        <f t="shared" ref="AQ15:AQ18" si="78">ROUND(1-(1-W15)*(1-AA15)*(1-AC15)*(1-AF15),3)</f>
        <v>0.08</v>
      </c>
      <c r="AR15" s="6">
        <f t="shared" ref="AR15:AR18" si="79">ROUND(1-(1-AG15)*(1-AK15)*(1-AM15)*(1-AP15),3)</f>
        <v>8.5000000000000006E-2</v>
      </c>
      <c r="AS15" s="6">
        <f t="shared" ref="AS15:AS18" si="80">ROUND(AVERAGE(AR15,AQ15),3)</f>
        <v>8.3000000000000004E-2</v>
      </c>
      <c r="AT15" s="196">
        <f t="shared" ref="AT15:AT18" si="81">ROUND(AQ15/0.15,2)</f>
        <v>0.53</v>
      </c>
      <c r="AU15" s="196">
        <f t="shared" ref="AU15:AU18" si="82">ROUND(AR15/0.15,2)</f>
        <v>0.56999999999999995</v>
      </c>
      <c r="AV15" s="196">
        <f t="shared" ref="AV15:AV18" si="83">ROUND(AS15/0.15,2)</f>
        <v>0.55000000000000004</v>
      </c>
      <c r="AW15" s="96">
        <f t="shared" ref="AW15:AW18" si="84">IF(AT15&lt;0.67,5,IF(AT15&lt;1,4,IF(AT15&lt;1.33,3,IF(AT15&lt;2.67,2,1))))</f>
        <v>5</v>
      </c>
      <c r="AX15" s="96">
        <f t="shared" ref="AX15:AX18" si="85">IF(AU15&lt;0.67,5,IF(AU15&lt;1,4,IF(AU15&lt;1.33,3,IF(AU15&lt;2.67,2,1))))</f>
        <v>5</v>
      </c>
      <c r="AY15" s="221">
        <f t="shared" ref="AY15:AY18" si="86">IF(AV15&lt;0.67,5,IF(AV15&lt;1,4,IF(AV15&lt;1.33,3,IF(AV15&lt;2.67,2,1))))</f>
        <v>5</v>
      </c>
    </row>
    <row r="16" spans="1:51" ht="13.15" customHeight="1">
      <c r="A16" s="64">
        <v>14242</v>
      </c>
      <c r="B16" s="64" t="s">
        <v>78</v>
      </c>
      <c r="C16" s="222" t="str">
        <f>Rollover!A16</f>
        <v xml:space="preserve">Jeep </v>
      </c>
      <c r="D16" s="223" t="str">
        <f>Rollover!B16</f>
        <v>Grand Cherokee SUV 4WD</v>
      </c>
      <c r="E16" s="193" t="s">
        <v>79</v>
      </c>
      <c r="F16" s="102">
        <f>Rollover!C16</f>
        <v>2023</v>
      </c>
      <c r="G16" s="11">
        <v>128.6</v>
      </c>
      <c r="H16" s="12">
        <v>0.20899999999999999</v>
      </c>
      <c r="I16" s="12">
        <v>658.84900000000005</v>
      </c>
      <c r="J16" s="12">
        <v>371.97199999999998</v>
      </c>
      <c r="K16" s="12">
        <v>21.193000000000001</v>
      </c>
      <c r="L16" s="12">
        <v>31.693999999999999</v>
      </c>
      <c r="M16" s="12">
        <v>2142.5140000000001</v>
      </c>
      <c r="N16" s="13">
        <v>1151.998</v>
      </c>
      <c r="O16" s="11">
        <v>137.32499999999999</v>
      </c>
      <c r="P16" s="12">
        <v>0.27700000000000002</v>
      </c>
      <c r="Q16" s="12">
        <v>555.37699999999995</v>
      </c>
      <c r="R16" s="12">
        <v>183.06700000000001</v>
      </c>
      <c r="S16" s="12">
        <v>14.856999999999999</v>
      </c>
      <c r="T16" s="12">
        <v>29.652000000000001</v>
      </c>
      <c r="U16" s="12">
        <v>1778.595</v>
      </c>
      <c r="V16" s="93">
        <v>1542.932</v>
      </c>
      <c r="W16" s="220">
        <f t="shared" si="58"/>
        <v>2.2602753410383281E-4</v>
      </c>
      <c r="X16" s="6">
        <f t="shared" si="59"/>
        <v>5.6496531186568832E-2</v>
      </c>
      <c r="Y16" s="6">
        <f t="shared" si="60"/>
        <v>8.1916055832250234E-5</v>
      </c>
      <c r="Z16" s="6">
        <f t="shared" si="61"/>
        <v>4.1446465670159445E-5</v>
      </c>
      <c r="AA16" s="6">
        <f t="shared" si="62"/>
        <v>5.6496531186568832E-2</v>
      </c>
      <c r="AB16" s="6">
        <f t="shared" si="63"/>
        <v>1.5769836031900058E-2</v>
      </c>
      <c r="AC16" s="6">
        <f t="shared" si="64"/>
        <v>1.5769836031900058E-2</v>
      </c>
      <c r="AD16" s="6">
        <f t="shared" si="65"/>
        <v>9.1786898793333738E-3</v>
      </c>
      <c r="AE16" s="6">
        <f t="shared" si="66"/>
        <v>5.5064042252166304E-3</v>
      </c>
      <c r="AF16" s="27">
        <f t="shared" si="67"/>
        <v>9.1786898793333738E-3</v>
      </c>
      <c r="AG16" s="26">
        <f t="shared" si="68"/>
        <v>3.1430857884317268E-4</v>
      </c>
      <c r="AH16" s="6">
        <f t="shared" si="69"/>
        <v>6.4071322343990295E-2</v>
      </c>
      <c r="AI16" s="6">
        <f t="shared" si="70"/>
        <v>1.4133606608857677E-4</v>
      </c>
      <c r="AJ16" s="6">
        <f t="shared" si="71"/>
        <v>3.4731199921571719E-5</v>
      </c>
      <c r="AK16" s="6">
        <f t="shared" si="72"/>
        <v>6.4071322343990295E-2</v>
      </c>
      <c r="AL16" s="6">
        <f t="shared" si="73"/>
        <v>1.0243221995065483E-2</v>
      </c>
      <c r="AM16" s="6">
        <f t="shared" si="74"/>
        <v>1.0243221995065483E-2</v>
      </c>
      <c r="AN16" s="6">
        <f t="shared" si="75"/>
        <v>1.1660854166364625E-2</v>
      </c>
      <c r="AO16" s="6">
        <f t="shared" si="76"/>
        <v>9.7630432047256036E-3</v>
      </c>
      <c r="AP16" s="27">
        <f t="shared" si="77"/>
        <v>1.1660854166364625E-2</v>
      </c>
      <c r="AQ16" s="220">
        <f t="shared" si="78"/>
        <v>0.08</v>
      </c>
      <c r="AR16" s="6">
        <f t="shared" si="79"/>
        <v>8.5000000000000006E-2</v>
      </c>
      <c r="AS16" s="6">
        <f t="shared" si="80"/>
        <v>8.3000000000000004E-2</v>
      </c>
      <c r="AT16" s="196">
        <f t="shared" si="81"/>
        <v>0.53</v>
      </c>
      <c r="AU16" s="196">
        <f t="shared" si="82"/>
        <v>0.56999999999999995</v>
      </c>
      <c r="AV16" s="196">
        <f t="shared" si="83"/>
        <v>0.55000000000000004</v>
      </c>
      <c r="AW16" s="96">
        <f t="shared" si="84"/>
        <v>5</v>
      </c>
      <c r="AX16" s="96">
        <f t="shared" si="85"/>
        <v>5</v>
      </c>
      <c r="AY16" s="221">
        <f t="shared" si="86"/>
        <v>5</v>
      </c>
    </row>
    <row r="17" spans="1:51" ht="13.15" customHeight="1">
      <c r="A17" s="64">
        <v>14242</v>
      </c>
      <c r="B17" s="64" t="s">
        <v>78</v>
      </c>
      <c r="C17" s="218" t="str">
        <f>Rollover!A17</f>
        <v>Jeep</v>
      </c>
      <c r="D17" s="219" t="str">
        <f>Rollover!B17</f>
        <v>Grand Cherokee L SUV RWD</v>
      </c>
      <c r="E17" s="193" t="s">
        <v>79</v>
      </c>
      <c r="F17" s="102">
        <f>Rollover!C17</f>
        <v>2023</v>
      </c>
      <c r="G17" s="11">
        <v>128.6</v>
      </c>
      <c r="H17" s="12">
        <v>0.20899999999999999</v>
      </c>
      <c r="I17" s="12">
        <v>658.84900000000005</v>
      </c>
      <c r="J17" s="12">
        <v>371.97199999999998</v>
      </c>
      <c r="K17" s="12">
        <v>21.193000000000001</v>
      </c>
      <c r="L17" s="12">
        <v>31.693999999999999</v>
      </c>
      <c r="M17" s="12">
        <v>2142.5140000000001</v>
      </c>
      <c r="N17" s="13">
        <v>1151.998</v>
      </c>
      <c r="O17" s="11">
        <v>137.32499999999999</v>
      </c>
      <c r="P17" s="12">
        <v>0.27700000000000002</v>
      </c>
      <c r="Q17" s="12">
        <v>555.37699999999995</v>
      </c>
      <c r="R17" s="12">
        <v>183.06700000000001</v>
      </c>
      <c r="S17" s="12">
        <v>14.856999999999999</v>
      </c>
      <c r="T17" s="12">
        <v>29.652000000000001</v>
      </c>
      <c r="U17" s="12">
        <v>1778.595</v>
      </c>
      <c r="V17" s="93">
        <v>1542.932</v>
      </c>
      <c r="W17" s="220">
        <f t="shared" si="58"/>
        <v>2.2602753410383281E-4</v>
      </c>
      <c r="X17" s="6">
        <f t="shared" si="59"/>
        <v>5.6496531186568832E-2</v>
      </c>
      <c r="Y17" s="6">
        <f t="shared" si="60"/>
        <v>8.1916055832250234E-5</v>
      </c>
      <c r="Z17" s="6">
        <f t="shared" si="61"/>
        <v>4.1446465670159445E-5</v>
      </c>
      <c r="AA17" s="6">
        <f t="shared" si="62"/>
        <v>5.6496531186568832E-2</v>
      </c>
      <c r="AB17" s="6">
        <f t="shared" si="63"/>
        <v>1.5769836031900058E-2</v>
      </c>
      <c r="AC17" s="6">
        <f t="shared" si="64"/>
        <v>1.5769836031900058E-2</v>
      </c>
      <c r="AD17" s="6">
        <f t="shared" si="65"/>
        <v>9.1786898793333738E-3</v>
      </c>
      <c r="AE17" s="6">
        <f t="shared" si="66"/>
        <v>5.5064042252166304E-3</v>
      </c>
      <c r="AF17" s="27">
        <f t="shared" si="67"/>
        <v>9.1786898793333738E-3</v>
      </c>
      <c r="AG17" s="26">
        <f t="shared" si="68"/>
        <v>3.1430857884317268E-4</v>
      </c>
      <c r="AH17" s="6">
        <f t="shared" si="69"/>
        <v>6.4071322343990295E-2</v>
      </c>
      <c r="AI17" s="6">
        <f t="shared" si="70"/>
        <v>1.4133606608857677E-4</v>
      </c>
      <c r="AJ17" s="6">
        <f t="shared" si="71"/>
        <v>3.4731199921571719E-5</v>
      </c>
      <c r="AK17" s="6">
        <f t="shared" si="72"/>
        <v>6.4071322343990295E-2</v>
      </c>
      <c r="AL17" s="6">
        <f t="shared" si="73"/>
        <v>1.0243221995065483E-2</v>
      </c>
      <c r="AM17" s="6">
        <f t="shared" si="74"/>
        <v>1.0243221995065483E-2</v>
      </c>
      <c r="AN17" s="6">
        <f t="shared" si="75"/>
        <v>1.1660854166364625E-2</v>
      </c>
      <c r="AO17" s="6">
        <f t="shared" si="76"/>
        <v>9.7630432047256036E-3</v>
      </c>
      <c r="AP17" s="27">
        <f t="shared" si="77"/>
        <v>1.1660854166364625E-2</v>
      </c>
      <c r="AQ17" s="220">
        <f t="shared" si="78"/>
        <v>0.08</v>
      </c>
      <c r="AR17" s="6">
        <f t="shared" si="79"/>
        <v>8.5000000000000006E-2</v>
      </c>
      <c r="AS17" s="6">
        <f t="shared" si="80"/>
        <v>8.3000000000000004E-2</v>
      </c>
      <c r="AT17" s="196">
        <f t="shared" si="81"/>
        <v>0.53</v>
      </c>
      <c r="AU17" s="196">
        <f t="shared" si="82"/>
        <v>0.56999999999999995</v>
      </c>
      <c r="AV17" s="196">
        <f t="shared" si="83"/>
        <v>0.55000000000000004</v>
      </c>
      <c r="AW17" s="96">
        <f t="shared" si="84"/>
        <v>5</v>
      </c>
      <c r="AX17" s="96">
        <f t="shared" si="85"/>
        <v>5</v>
      </c>
      <c r="AY17" s="221">
        <f t="shared" si="86"/>
        <v>5</v>
      </c>
    </row>
    <row r="18" spans="1:51" ht="13.15" customHeight="1">
      <c r="A18" s="64">
        <v>14242</v>
      </c>
      <c r="B18" s="64" t="s">
        <v>78</v>
      </c>
      <c r="C18" s="218" t="str">
        <f>Rollover!A18</f>
        <v>Jeep</v>
      </c>
      <c r="D18" s="219" t="str">
        <f>Rollover!B18</f>
        <v>Grand Cherokee L SUV 4WD</v>
      </c>
      <c r="E18" s="193" t="s">
        <v>79</v>
      </c>
      <c r="F18" s="102">
        <f>Rollover!C18</f>
        <v>2023</v>
      </c>
      <c r="G18" s="11">
        <v>128.6</v>
      </c>
      <c r="H18" s="12">
        <v>0.20899999999999999</v>
      </c>
      <c r="I18" s="12">
        <v>658.84900000000005</v>
      </c>
      <c r="J18" s="12">
        <v>371.97199999999998</v>
      </c>
      <c r="K18" s="12">
        <v>21.193000000000001</v>
      </c>
      <c r="L18" s="12">
        <v>31.693999999999999</v>
      </c>
      <c r="M18" s="12">
        <v>2142.5140000000001</v>
      </c>
      <c r="N18" s="13">
        <v>1151.998</v>
      </c>
      <c r="O18" s="11">
        <v>137.32499999999999</v>
      </c>
      <c r="P18" s="12">
        <v>0.27700000000000002</v>
      </c>
      <c r="Q18" s="12">
        <v>555.37699999999995</v>
      </c>
      <c r="R18" s="12">
        <v>183.06700000000001</v>
      </c>
      <c r="S18" s="12">
        <v>14.856999999999999</v>
      </c>
      <c r="T18" s="12">
        <v>29.652000000000001</v>
      </c>
      <c r="U18" s="12">
        <v>1778.595</v>
      </c>
      <c r="V18" s="93">
        <v>1542.932</v>
      </c>
      <c r="W18" s="220">
        <f t="shared" si="58"/>
        <v>2.2602753410383281E-4</v>
      </c>
      <c r="X18" s="6">
        <f t="shared" si="59"/>
        <v>5.6496531186568832E-2</v>
      </c>
      <c r="Y18" s="6">
        <f t="shared" si="60"/>
        <v>8.1916055832250234E-5</v>
      </c>
      <c r="Z18" s="6">
        <f t="shared" si="61"/>
        <v>4.1446465670159445E-5</v>
      </c>
      <c r="AA18" s="6">
        <f t="shared" si="62"/>
        <v>5.6496531186568832E-2</v>
      </c>
      <c r="AB18" s="6">
        <f t="shared" si="63"/>
        <v>1.5769836031900058E-2</v>
      </c>
      <c r="AC18" s="6">
        <f t="shared" si="64"/>
        <v>1.5769836031900058E-2</v>
      </c>
      <c r="AD18" s="6">
        <f t="shared" si="65"/>
        <v>9.1786898793333738E-3</v>
      </c>
      <c r="AE18" s="6">
        <f t="shared" si="66"/>
        <v>5.5064042252166304E-3</v>
      </c>
      <c r="AF18" s="27">
        <f t="shared" si="67"/>
        <v>9.1786898793333738E-3</v>
      </c>
      <c r="AG18" s="26">
        <f t="shared" si="68"/>
        <v>3.1430857884317268E-4</v>
      </c>
      <c r="AH18" s="6">
        <f t="shared" si="69"/>
        <v>6.4071322343990295E-2</v>
      </c>
      <c r="AI18" s="6">
        <f t="shared" si="70"/>
        <v>1.4133606608857677E-4</v>
      </c>
      <c r="AJ18" s="6">
        <f t="shared" si="71"/>
        <v>3.4731199921571719E-5</v>
      </c>
      <c r="AK18" s="6">
        <f t="shared" si="72"/>
        <v>6.4071322343990295E-2</v>
      </c>
      <c r="AL18" s="6">
        <f t="shared" si="73"/>
        <v>1.0243221995065483E-2</v>
      </c>
      <c r="AM18" s="6">
        <f t="shared" si="74"/>
        <v>1.0243221995065483E-2</v>
      </c>
      <c r="AN18" s="6">
        <f t="shared" si="75"/>
        <v>1.1660854166364625E-2</v>
      </c>
      <c r="AO18" s="6">
        <f t="shared" si="76"/>
        <v>9.7630432047256036E-3</v>
      </c>
      <c r="AP18" s="27">
        <f t="shared" si="77"/>
        <v>1.1660854166364625E-2</v>
      </c>
      <c r="AQ18" s="220">
        <f t="shared" si="78"/>
        <v>0.08</v>
      </c>
      <c r="AR18" s="6">
        <f t="shared" si="79"/>
        <v>8.5000000000000006E-2</v>
      </c>
      <c r="AS18" s="6">
        <f t="shared" si="80"/>
        <v>8.3000000000000004E-2</v>
      </c>
      <c r="AT18" s="196">
        <f t="shared" si="81"/>
        <v>0.53</v>
      </c>
      <c r="AU18" s="196">
        <f t="shared" si="82"/>
        <v>0.56999999999999995</v>
      </c>
      <c r="AV18" s="196">
        <f t="shared" si="83"/>
        <v>0.55000000000000004</v>
      </c>
      <c r="AW18" s="96">
        <f t="shared" si="84"/>
        <v>5</v>
      </c>
      <c r="AX18" s="96">
        <f t="shared" si="85"/>
        <v>5</v>
      </c>
      <c r="AY18" s="221">
        <f t="shared" si="86"/>
        <v>5</v>
      </c>
    </row>
    <row r="19" spans="1:51" ht="13.15" customHeight="1">
      <c r="A19" s="75"/>
      <c r="B19" s="44"/>
      <c r="C19" s="222" t="str">
        <f>Rollover!A19</f>
        <v>Mazda</v>
      </c>
      <c r="D19" s="223" t="str">
        <f>Rollover!B19</f>
        <v>Mazda CX-50 SUV AWD</v>
      </c>
      <c r="E19" s="193"/>
      <c r="F19" s="102">
        <f>Rollover!C19</f>
        <v>2023</v>
      </c>
      <c r="G19" s="11"/>
      <c r="H19" s="12"/>
      <c r="I19" s="12"/>
      <c r="J19" s="12"/>
      <c r="K19" s="12"/>
      <c r="L19" s="12"/>
      <c r="M19" s="12"/>
      <c r="N19" s="13"/>
      <c r="O19" s="11"/>
      <c r="P19" s="12"/>
      <c r="Q19" s="12"/>
      <c r="R19" s="12"/>
      <c r="S19" s="12"/>
      <c r="T19" s="12"/>
      <c r="U19" s="12"/>
      <c r="V19" s="13"/>
      <c r="W19" s="220" t="e">
        <f t="shared" ref="W19" si="87">NORMDIST(LN(G19),7.45231,0.73998,1)</f>
        <v>#NUM!</v>
      </c>
      <c r="X19" s="6">
        <f t="shared" ref="X19" si="88">1/(1+EXP(3.2269-1.9688*H19))</f>
        <v>3.8165882958950202E-2</v>
      </c>
      <c r="Y19" s="6">
        <f t="shared" ref="Y19" si="89">1/(1+EXP(10.9745-2.375*I19/1000))</f>
        <v>1.713277721572889E-5</v>
      </c>
      <c r="Z19" s="6">
        <f t="shared" ref="Z19" si="90">1/(1+EXP(10.9745-2.375*J19/1000))</f>
        <v>1.713277721572889E-5</v>
      </c>
      <c r="AA19" s="6">
        <f t="shared" ref="AA19" si="91">MAX(X19,Y19,Z19)</f>
        <v>3.8165882958950202E-2</v>
      </c>
      <c r="AB19" s="6">
        <f t="shared" ref="AB19" si="92">1/(1+EXP(12.597-0.05861*35-1.568*(K19^0.4612)))</f>
        <v>2.6306978617002889E-5</v>
      </c>
      <c r="AC19" s="6">
        <f t="shared" ref="AC19" si="93">AB19</f>
        <v>2.6306978617002889E-5</v>
      </c>
      <c r="AD19" s="6">
        <f t="shared" ref="AD19" si="94">1/(1+EXP(5.7949-0.5196*M19/1000))</f>
        <v>3.033802747866758E-3</v>
      </c>
      <c r="AE19" s="6">
        <f t="shared" ref="AE19" si="95">1/(1+EXP(5.7949-0.5196*N19/1000))</f>
        <v>3.033802747866758E-3</v>
      </c>
      <c r="AF19" s="27">
        <f t="shared" ref="AF19" si="96">MAX(AD19,AE19)</f>
        <v>3.033802747866758E-3</v>
      </c>
      <c r="AG19" s="26" t="e">
        <f t="shared" ref="AG19" si="97">NORMDIST(LN(O19),7.45231,0.73998,1)</f>
        <v>#NUM!</v>
      </c>
      <c r="AH19" s="6">
        <f t="shared" ref="AH19" si="98">1/(1+EXP(3.2269-1.9688*P19))</f>
        <v>3.8165882958950202E-2</v>
      </c>
      <c r="AI19" s="6">
        <f t="shared" ref="AI19" si="99">1/(1+EXP(10.958-3.77*Q19/1000))</f>
        <v>1.7417808154569238E-5</v>
      </c>
      <c r="AJ19" s="6">
        <f t="shared" ref="AJ19" si="100">1/(1+EXP(10.958-3.77*R19/1000))</f>
        <v>1.7417808154569238E-5</v>
      </c>
      <c r="AK19" s="6">
        <f t="shared" ref="AK19" si="101">MAX(AH19,AI19,AJ19)</f>
        <v>3.8165882958950202E-2</v>
      </c>
      <c r="AL19" s="6">
        <f t="shared" ref="AL19" si="102">1/(1+EXP(12.597-0.05861*35-1.568*((S19/0.817)^0.4612)))</f>
        <v>2.6306978617002889E-5</v>
      </c>
      <c r="AM19" s="6">
        <f t="shared" ref="AM19" si="103">AL19</f>
        <v>2.6306978617002889E-5</v>
      </c>
      <c r="AN19" s="6">
        <f t="shared" ref="AN19" si="104">1/(1+EXP(5.7949-0.7619*U19/1000))</f>
        <v>3.033802747866758E-3</v>
      </c>
      <c r="AO19" s="6">
        <f t="shared" ref="AO19" si="105">1/(1+EXP(5.7949-0.7619*V19/1000))</f>
        <v>3.033802747866758E-3</v>
      </c>
      <c r="AP19" s="27">
        <f t="shared" ref="AP19" si="106">MAX(AN19,AO19)</f>
        <v>3.033802747866758E-3</v>
      </c>
      <c r="AQ19" s="220" t="e">
        <f t="shared" ref="AQ19" si="107">ROUND(1-(1-W19)*(1-AA19)*(1-AC19)*(1-AF19),3)</f>
        <v>#NUM!</v>
      </c>
      <c r="AR19" s="6" t="e">
        <f t="shared" ref="AR19" si="108">ROUND(1-(1-AG19)*(1-AK19)*(1-AM19)*(1-AP19),3)</f>
        <v>#NUM!</v>
      </c>
      <c r="AS19" s="6" t="e">
        <f t="shared" ref="AS19" si="109">ROUND(AVERAGE(AR19,AQ19),3)</f>
        <v>#NUM!</v>
      </c>
      <c r="AT19" s="196" t="e">
        <f t="shared" ref="AT19:AV19" si="110">ROUND(AQ19/0.15,2)</f>
        <v>#NUM!</v>
      </c>
      <c r="AU19" s="196" t="e">
        <f t="shared" si="110"/>
        <v>#NUM!</v>
      </c>
      <c r="AV19" s="196" t="e">
        <f t="shared" si="110"/>
        <v>#NUM!</v>
      </c>
      <c r="AW19" s="96" t="e">
        <f t="shared" ref="AW19:AY19" si="111">IF(AT19&lt;0.67,5,IF(AT19&lt;1,4,IF(AT19&lt;1.33,3,IF(AT19&lt;2.67,2,1))))</f>
        <v>#NUM!</v>
      </c>
      <c r="AX19" s="96" t="e">
        <f t="shared" si="111"/>
        <v>#NUM!</v>
      </c>
      <c r="AY19" s="221" t="e">
        <f t="shared" si="111"/>
        <v>#NUM!</v>
      </c>
    </row>
    <row r="20" spans="1:51">
      <c r="AC20" s="101"/>
      <c r="AD20" s="234"/>
      <c r="AE20" s="234"/>
      <c r="AF20" s="101"/>
      <c r="AG20" s="234"/>
      <c r="AH20" s="234"/>
      <c r="AI20" s="234"/>
      <c r="AJ20" s="234"/>
      <c r="AK20" s="234"/>
      <c r="AL20" s="234"/>
      <c r="AM20" s="101"/>
      <c r="AN20" s="234"/>
      <c r="AO20" s="234"/>
      <c r="AP20" s="101"/>
      <c r="AQ20" s="101"/>
      <c r="AR20" s="101"/>
      <c r="AS20" s="101"/>
      <c r="AT20" s="101"/>
      <c r="AU20" s="101"/>
      <c r="AV20" s="101"/>
      <c r="AW20" s="227"/>
      <c r="AX20" s="227"/>
    </row>
    <row r="21" spans="1:51">
      <c r="G21" s="232"/>
      <c r="H21" s="243"/>
      <c r="I21" s="243"/>
      <c r="J21" s="243"/>
      <c r="K21" s="232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</row>
    <row r="22" spans="1:51">
      <c r="G22" s="232"/>
      <c r="H22" s="232"/>
      <c r="I22" s="232"/>
      <c r="J22" s="232"/>
      <c r="K22" s="232"/>
      <c r="L22" s="232"/>
      <c r="M22" s="232"/>
    </row>
    <row r="23" spans="1:51">
      <c r="A23" s="131"/>
      <c r="B23" s="131"/>
      <c r="C23" s="131"/>
    </row>
    <row r="24" spans="1:51">
      <c r="A24" s="131"/>
      <c r="B24" s="131"/>
      <c r="C24" s="131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</row>
    <row r="25" spans="1:51">
      <c r="A25" s="131"/>
      <c r="B25" s="131"/>
      <c r="C25" s="131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</row>
    <row r="26" spans="1:51">
      <c r="A26" s="131"/>
      <c r="B26" s="131"/>
      <c r="C26" s="131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</row>
    <row r="27" spans="1:51">
      <c r="A27" s="131"/>
      <c r="B27" s="131"/>
      <c r="C27" s="131"/>
      <c r="D27" s="131"/>
      <c r="E27" s="131"/>
      <c r="F27" s="131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</row>
    <row r="28" spans="1:51">
      <c r="A28" s="131"/>
      <c r="B28" s="131"/>
      <c r="C28" s="131"/>
      <c r="D28" s="131"/>
      <c r="E28" s="131"/>
      <c r="F28" s="131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</row>
    <row r="29" spans="1:51">
      <c r="A29" s="131"/>
      <c r="B29" s="131"/>
      <c r="C29" s="131"/>
      <c r="D29" s="131"/>
      <c r="E29" s="131"/>
      <c r="F29" s="131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51">
      <c r="A30" s="131"/>
      <c r="B30" s="131"/>
      <c r="C30" s="131"/>
      <c r="D30" s="131"/>
      <c r="E30" s="131"/>
      <c r="F30" s="131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</row>
    <row r="31" spans="1:51">
      <c r="A31" s="131"/>
      <c r="B31" s="131"/>
      <c r="C31" s="131"/>
      <c r="D31" s="131"/>
      <c r="E31" s="131"/>
      <c r="F31" s="131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  <row r="32" spans="1:51">
      <c r="A32" s="131"/>
      <c r="B32" s="131"/>
      <c r="C32" s="131"/>
      <c r="D32" s="131"/>
      <c r="E32" s="131"/>
      <c r="F32" s="131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</row>
    <row r="33" spans="1:26">
      <c r="A33" s="228"/>
      <c r="B33" s="228"/>
      <c r="C33" s="131"/>
      <c r="D33" s="131"/>
      <c r="E33" s="131"/>
      <c r="F33" s="131"/>
      <c r="G33" s="224"/>
      <c r="H33" s="224"/>
      <c r="I33" s="224"/>
      <c r="J33" s="224"/>
      <c r="K33" s="224"/>
      <c r="L33" s="229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70"/>
      <c r="X33" s="70"/>
      <c r="Y33" s="70"/>
      <c r="Z33" s="70"/>
    </row>
    <row r="34" spans="1:26">
      <c r="L34" s="229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70"/>
      <c r="X34" s="70"/>
      <c r="Y34" s="70"/>
      <c r="Z34" s="70"/>
    </row>
    <row r="35" spans="1:26">
      <c r="L35" s="229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70"/>
      <c r="X35" s="70"/>
      <c r="Y35" s="70"/>
      <c r="Z35" s="70"/>
    </row>
    <row r="36" spans="1:26">
      <c r="C36" s="137"/>
      <c r="D36" s="137"/>
      <c r="E36" s="137"/>
      <c r="F36" s="137"/>
      <c r="G36" s="232"/>
      <c r="H36" s="232"/>
      <c r="K36" s="232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70"/>
      <c r="X36" s="70"/>
      <c r="Y36" s="70"/>
      <c r="Z36" s="70"/>
    </row>
    <row r="37" spans="1:26">
      <c r="C37" s="137"/>
      <c r="D37" s="137"/>
      <c r="E37" s="137"/>
      <c r="F37" s="137"/>
      <c r="G37" s="232"/>
      <c r="H37" s="232"/>
      <c r="K37" s="233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70"/>
      <c r="X37" s="70"/>
      <c r="Y37" s="70"/>
      <c r="Z37" s="70"/>
    </row>
    <row r="38" spans="1:26">
      <c r="C38" s="137"/>
      <c r="D38" s="137"/>
      <c r="E38" s="137"/>
      <c r="F38" s="137"/>
      <c r="G38" s="232"/>
      <c r="H38" s="232"/>
      <c r="K38" s="232"/>
      <c r="L38" s="229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70"/>
      <c r="X38" s="70"/>
      <c r="Y38" s="70"/>
      <c r="Z38" s="70"/>
    </row>
    <row r="39" spans="1:26">
      <c r="C39" s="137"/>
      <c r="D39" s="137"/>
      <c r="E39" s="137"/>
      <c r="F39" s="137"/>
      <c r="G39" s="232"/>
      <c r="H39" s="232"/>
      <c r="K39" s="232"/>
      <c r="L39" s="229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70"/>
      <c r="X39" s="70"/>
      <c r="Y39" s="70"/>
      <c r="Z39" s="70"/>
    </row>
    <row r="40" spans="1:26">
      <c r="C40" s="137"/>
      <c r="D40" s="137"/>
      <c r="E40" s="137"/>
      <c r="F40" s="137"/>
      <c r="G40" s="232"/>
      <c r="H40" s="232"/>
      <c r="K40" s="233"/>
      <c r="L40" s="229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70"/>
      <c r="X40" s="70"/>
      <c r="Y40" s="70"/>
      <c r="Z40" s="70"/>
    </row>
    <row r="41" spans="1:26">
      <c r="C41" s="137"/>
      <c r="D41" s="137"/>
      <c r="E41" s="137"/>
      <c r="F41" s="137"/>
      <c r="G41" s="232"/>
      <c r="H41" s="232"/>
      <c r="K41" s="232"/>
      <c r="L41" s="229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70"/>
      <c r="X41" s="70"/>
      <c r="Y41" s="70"/>
      <c r="Z41" s="70"/>
    </row>
    <row r="42" spans="1:26">
      <c r="C42" s="137"/>
      <c r="D42" s="137"/>
      <c r="E42" s="137"/>
      <c r="F42" s="137"/>
      <c r="G42" s="232"/>
      <c r="H42" s="232"/>
      <c r="K42" s="232"/>
    </row>
    <row r="43" spans="1:26">
      <c r="C43" s="137"/>
      <c r="D43" s="137"/>
      <c r="E43" s="137"/>
      <c r="F43" s="137"/>
      <c r="G43" s="232"/>
      <c r="H43" s="232"/>
      <c r="K43" s="232"/>
    </row>
    <row r="44" spans="1:26">
      <c r="C44" s="137"/>
      <c r="D44" s="137"/>
      <c r="E44" s="137"/>
      <c r="F44" s="137"/>
      <c r="G44" s="232"/>
      <c r="H44" s="232"/>
      <c r="K44" s="233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</row>
    <row r="45" spans="1:26">
      <c r="C45" s="137"/>
      <c r="D45" s="137"/>
      <c r="E45" s="137"/>
      <c r="F45" s="137"/>
      <c r="G45" s="232"/>
      <c r="H45" s="232"/>
      <c r="K45" s="232"/>
    </row>
    <row r="46" spans="1:26">
      <c r="G46" s="232"/>
      <c r="H46" s="232"/>
      <c r="K46" s="232"/>
    </row>
    <row r="47" spans="1:26">
      <c r="G47" s="232"/>
      <c r="H47" s="232"/>
      <c r="K47" s="232"/>
    </row>
    <row r="48" spans="1:26">
      <c r="C48" s="137"/>
      <c r="D48" s="137"/>
      <c r="E48" s="137"/>
      <c r="F48" s="137"/>
      <c r="G48" s="232"/>
      <c r="H48" s="232"/>
      <c r="K48" s="232"/>
    </row>
    <row r="49" spans="1:31">
      <c r="A49" s="131"/>
      <c r="B49" s="131"/>
      <c r="C49" s="137"/>
      <c r="D49" s="137"/>
      <c r="E49" s="137"/>
      <c r="F49" s="137"/>
      <c r="G49" s="232"/>
      <c r="H49" s="232"/>
      <c r="K49" s="232"/>
    </row>
    <row r="50" spans="1:31">
      <c r="A50" s="131"/>
      <c r="B50" s="131"/>
      <c r="C50" s="137"/>
      <c r="D50" s="137"/>
      <c r="E50" s="137"/>
      <c r="F50" s="137"/>
      <c r="G50" s="232"/>
      <c r="H50" s="232"/>
      <c r="K50" s="232"/>
    </row>
    <row r="51" spans="1:31">
      <c r="A51" s="131"/>
      <c r="B51" s="131"/>
      <c r="C51" s="137"/>
      <c r="D51" s="137"/>
      <c r="E51" s="137"/>
      <c r="F51" s="137"/>
      <c r="G51" s="232"/>
      <c r="H51" s="232"/>
      <c r="K51" s="232"/>
      <c r="N51" s="232"/>
      <c r="O51" s="232"/>
      <c r="P51" s="232"/>
      <c r="Q51" s="232"/>
      <c r="R51" s="232"/>
      <c r="S51" s="232"/>
      <c r="T51" s="232"/>
      <c r="U51" s="232"/>
      <c r="V51" s="232"/>
      <c r="W51" s="234"/>
      <c r="X51" s="235"/>
      <c r="Y51" s="234"/>
      <c r="Z51" s="234"/>
      <c r="AA51" s="137"/>
      <c r="AB51" s="137"/>
      <c r="AC51" s="137"/>
      <c r="AD51" s="137"/>
      <c r="AE51" s="137"/>
    </row>
    <row r="52" spans="1:31">
      <c r="C52" s="137"/>
      <c r="D52" s="137"/>
      <c r="E52" s="137"/>
      <c r="F52" s="137"/>
      <c r="H52" s="166"/>
      <c r="I52" s="166"/>
      <c r="J52" s="166"/>
      <c r="K52" s="166"/>
      <c r="L52" s="166"/>
      <c r="M52" s="166"/>
      <c r="N52" s="232"/>
      <c r="O52" s="232"/>
      <c r="P52" s="232"/>
      <c r="Q52" s="232"/>
      <c r="R52" s="232"/>
      <c r="S52" s="232"/>
      <c r="T52" s="232"/>
      <c r="U52" s="232"/>
      <c r="V52" s="232"/>
      <c r="W52" s="234"/>
      <c r="X52" s="235"/>
      <c r="Y52" s="234"/>
      <c r="Z52" s="234"/>
      <c r="AA52" s="76"/>
      <c r="AB52" s="76"/>
      <c r="AC52" s="76"/>
      <c r="AD52" s="76"/>
      <c r="AE52" s="76"/>
    </row>
    <row r="53" spans="1:31">
      <c r="C53" s="137"/>
      <c r="D53" s="137"/>
      <c r="E53" s="137"/>
      <c r="F53" s="137"/>
      <c r="H53" s="166"/>
      <c r="I53" s="166"/>
      <c r="J53" s="166"/>
      <c r="K53" s="166"/>
      <c r="L53" s="166"/>
      <c r="M53" s="166"/>
      <c r="N53" s="232"/>
      <c r="O53" s="232"/>
      <c r="P53" s="232"/>
      <c r="Q53" s="232"/>
      <c r="R53" s="232"/>
      <c r="S53" s="232"/>
      <c r="T53" s="232"/>
      <c r="U53" s="232"/>
      <c r="V53" s="232"/>
      <c r="W53" s="234"/>
      <c r="X53" s="235"/>
      <c r="Y53" s="234"/>
      <c r="Z53" s="234"/>
      <c r="AA53" s="101"/>
      <c r="AB53" s="234"/>
      <c r="AC53" s="234"/>
      <c r="AD53" s="101"/>
      <c r="AE53" s="101"/>
    </row>
    <row r="54" spans="1:31">
      <c r="A54" s="236"/>
      <c r="B54" s="236"/>
      <c r="C54" s="140"/>
      <c r="D54" s="140"/>
      <c r="E54" s="140"/>
      <c r="F54" s="140"/>
      <c r="G54" s="237"/>
      <c r="H54" s="166"/>
      <c r="I54" s="166"/>
      <c r="J54" s="166"/>
      <c r="K54" s="166"/>
      <c r="L54" s="166"/>
      <c r="M54" s="166"/>
      <c r="N54" s="232"/>
      <c r="O54" s="232"/>
      <c r="P54" s="232"/>
      <c r="Q54" s="232"/>
      <c r="R54" s="232"/>
      <c r="S54" s="232"/>
      <c r="T54" s="232"/>
      <c r="U54" s="232"/>
      <c r="V54" s="232"/>
      <c r="W54" s="234"/>
      <c r="X54" s="235"/>
      <c r="Y54" s="234"/>
      <c r="Z54" s="234"/>
      <c r="AA54" s="101"/>
      <c r="AB54" s="234"/>
      <c r="AC54" s="234"/>
      <c r="AD54" s="101"/>
      <c r="AE54" s="101"/>
    </row>
    <row r="55" spans="1:31">
      <c r="A55" s="131"/>
      <c r="B55" s="131"/>
      <c r="C55" s="131"/>
      <c r="D55" s="131"/>
      <c r="E55" s="131"/>
      <c r="F55" s="131"/>
      <c r="G55" s="224"/>
      <c r="H55" s="166"/>
      <c r="I55" s="166"/>
      <c r="J55" s="166"/>
      <c r="K55" s="166"/>
      <c r="L55" s="166"/>
      <c r="M55" s="166"/>
      <c r="N55" s="232"/>
      <c r="O55" s="232"/>
      <c r="P55" s="232"/>
      <c r="Q55" s="232"/>
      <c r="R55" s="232"/>
      <c r="S55" s="232"/>
      <c r="T55" s="232"/>
      <c r="U55" s="232"/>
      <c r="V55" s="232"/>
      <c r="W55" s="234"/>
      <c r="X55" s="235"/>
      <c r="Y55" s="234"/>
      <c r="Z55" s="234"/>
      <c r="AA55" s="101"/>
      <c r="AB55" s="234"/>
      <c r="AC55" s="234"/>
      <c r="AD55" s="101"/>
      <c r="AE55" s="101"/>
    </row>
    <row r="56" spans="1:31">
      <c r="C56" s="137"/>
      <c r="D56" s="137"/>
      <c r="E56" s="137"/>
      <c r="F56" s="137"/>
      <c r="H56" s="166"/>
      <c r="I56" s="166"/>
      <c r="J56" s="166"/>
      <c r="K56" s="166"/>
      <c r="L56" s="166"/>
      <c r="M56" s="166"/>
      <c r="N56" s="232"/>
      <c r="O56" s="232"/>
      <c r="P56" s="232"/>
      <c r="Q56" s="232"/>
      <c r="R56" s="232"/>
      <c r="S56" s="232"/>
      <c r="T56" s="232"/>
      <c r="U56" s="232"/>
      <c r="V56" s="232"/>
      <c r="W56" s="234"/>
      <c r="X56" s="235"/>
      <c r="Y56" s="234"/>
      <c r="Z56" s="234"/>
      <c r="AA56" s="101"/>
      <c r="AB56" s="234"/>
      <c r="AC56" s="234"/>
      <c r="AD56" s="101"/>
      <c r="AE56" s="101"/>
    </row>
    <row r="57" spans="1:31">
      <c r="A57" s="131"/>
      <c r="B57" s="131"/>
      <c r="C57" s="137"/>
      <c r="D57" s="137"/>
      <c r="E57" s="137"/>
      <c r="F57" s="137"/>
      <c r="H57" s="166"/>
      <c r="I57" s="166"/>
      <c r="J57" s="166"/>
      <c r="K57" s="166"/>
      <c r="L57" s="166"/>
      <c r="M57" s="166"/>
      <c r="N57" s="232"/>
      <c r="O57" s="232"/>
      <c r="P57" s="232"/>
      <c r="Q57" s="232"/>
      <c r="R57" s="232"/>
      <c r="S57" s="232"/>
      <c r="T57" s="232"/>
      <c r="U57" s="232"/>
      <c r="V57" s="232"/>
      <c r="W57" s="234"/>
      <c r="X57" s="235"/>
      <c r="Y57" s="234"/>
      <c r="Z57" s="234"/>
      <c r="AA57" s="101"/>
      <c r="AB57" s="234"/>
      <c r="AC57" s="234"/>
      <c r="AD57" s="101"/>
      <c r="AE57" s="101"/>
    </row>
    <row r="58" spans="1:31">
      <c r="C58" s="137"/>
      <c r="D58" s="137"/>
      <c r="E58" s="137"/>
      <c r="F58" s="137"/>
      <c r="H58" s="166"/>
      <c r="I58" s="166"/>
      <c r="J58" s="166"/>
      <c r="K58" s="166"/>
      <c r="L58" s="166"/>
      <c r="M58" s="166"/>
      <c r="N58" s="232"/>
      <c r="O58" s="232"/>
      <c r="P58" s="232"/>
      <c r="Q58" s="232"/>
      <c r="R58" s="232"/>
      <c r="S58" s="232"/>
      <c r="T58" s="232"/>
      <c r="U58" s="232"/>
      <c r="V58" s="232"/>
      <c r="W58" s="234"/>
      <c r="X58" s="235"/>
      <c r="Y58" s="234"/>
      <c r="Z58" s="234"/>
      <c r="AA58" s="101"/>
      <c r="AB58" s="234"/>
      <c r="AC58" s="234"/>
      <c r="AD58" s="101"/>
      <c r="AE58" s="101"/>
    </row>
    <row r="59" spans="1:31">
      <c r="C59" s="137"/>
      <c r="D59" s="137"/>
      <c r="E59" s="137"/>
      <c r="F59" s="137"/>
      <c r="H59" s="166"/>
      <c r="I59" s="166"/>
      <c r="J59" s="166"/>
      <c r="K59" s="166"/>
      <c r="L59" s="166"/>
      <c r="M59" s="166"/>
      <c r="N59" s="232"/>
      <c r="O59" s="232"/>
      <c r="P59" s="232"/>
      <c r="Q59" s="232"/>
      <c r="R59" s="232"/>
      <c r="S59" s="232"/>
      <c r="T59" s="232"/>
      <c r="U59" s="232"/>
      <c r="V59" s="232"/>
      <c r="W59" s="234"/>
      <c r="X59" s="235"/>
      <c r="Y59" s="234"/>
      <c r="Z59" s="234"/>
      <c r="AA59" s="101"/>
      <c r="AB59" s="234"/>
      <c r="AC59" s="234"/>
      <c r="AD59" s="101"/>
      <c r="AE59" s="101"/>
    </row>
    <row r="60" spans="1:31">
      <c r="A60" s="131"/>
      <c r="B60" s="131"/>
      <c r="C60" s="131"/>
      <c r="D60" s="131"/>
      <c r="E60" s="131"/>
      <c r="F60" s="131"/>
      <c r="G60" s="224"/>
      <c r="H60" s="166"/>
      <c r="I60" s="166"/>
      <c r="J60" s="166"/>
      <c r="K60" s="166"/>
      <c r="L60" s="166"/>
      <c r="M60" s="166"/>
      <c r="N60" s="232"/>
      <c r="O60" s="232"/>
      <c r="P60" s="232"/>
      <c r="Q60" s="232"/>
      <c r="R60" s="232"/>
      <c r="S60" s="232"/>
      <c r="T60" s="232"/>
      <c r="U60" s="232"/>
      <c r="V60" s="232"/>
      <c r="W60" s="234"/>
      <c r="X60" s="235"/>
      <c r="Y60" s="234"/>
      <c r="Z60" s="234"/>
      <c r="AA60" s="101"/>
      <c r="AB60" s="234"/>
      <c r="AC60" s="234"/>
      <c r="AD60" s="101"/>
      <c r="AE60" s="101"/>
    </row>
    <row r="61" spans="1:31">
      <c r="H61" s="166"/>
      <c r="I61" s="166"/>
      <c r="J61" s="166"/>
      <c r="K61" s="166"/>
      <c r="L61" s="166"/>
      <c r="M61" s="166"/>
      <c r="N61" s="232"/>
      <c r="O61" s="232"/>
      <c r="P61" s="232"/>
      <c r="Q61" s="232"/>
      <c r="R61" s="232"/>
      <c r="S61" s="232"/>
      <c r="T61" s="232"/>
      <c r="U61" s="232"/>
      <c r="V61" s="232"/>
      <c r="W61" s="234"/>
      <c r="X61" s="235"/>
      <c r="Y61" s="234"/>
      <c r="Z61" s="234"/>
      <c r="AA61" s="101"/>
      <c r="AB61" s="234"/>
      <c r="AC61" s="234"/>
      <c r="AD61" s="101"/>
      <c r="AE61" s="101"/>
    </row>
    <row r="62" spans="1:31">
      <c r="H62" s="166"/>
      <c r="I62" s="166"/>
      <c r="J62" s="166"/>
      <c r="K62" s="166"/>
      <c r="L62" s="166"/>
      <c r="M62" s="166"/>
      <c r="N62" s="232"/>
      <c r="O62" s="232"/>
      <c r="P62" s="232"/>
      <c r="Q62" s="232"/>
      <c r="R62" s="232"/>
      <c r="S62" s="232"/>
      <c r="T62" s="232"/>
      <c r="U62" s="232"/>
      <c r="V62" s="232"/>
      <c r="W62" s="234"/>
      <c r="X62" s="235"/>
      <c r="Y62" s="234"/>
      <c r="Z62" s="234"/>
      <c r="AA62" s="101"/>
      <c r="AB62" s="234"/>
      <c r="AC62" s="234"/>
      <c r="AD62" s="101"/>
      <c r="AE62" s="101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0"/>
  <sheetViews>
    <sheetView zoomScale="130" zoomScaleNormal="13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M25" sqref="AM25"/>
    </sheetView>
  </sheetViews>
  <sheetFormatPr defaultRowHeight="12.75"/>
  <cols>
    <col min="1" max="1" width="7.28515625" style="197" customWidth="1"/>
    <col min="2" max="2" width="9" style="197" bestFit="1" customWidth="1"/>
    <col min="3" max="3" width="13.5703125" style="70" bestFit="1" customWidth="1"/>
    <col min="4" max="4" width="36.140625" style="70" customWidth="1"/>
    <col min="5" max="5" width="6.5703125" style="70" bestFit="1" customWidth="1"/>
    <col min="6" max="6" width="5.7109375" style="70" customWidth="1"/>
    <col min="7" max="16" width="8.7109375" style="166" customWidth="1"/>
    <col min="17" max="20" width="9.140625" style="70" customWidth="1"/>
    <col min="21" max="21" width="10.7109375" style="70" customWidth="1"/>
    <col min="22" max="22" width="8.140625" style="70" customWidth="1"/>
    <col min="23" max="23" width="8" style="101" customWidth="1"/>
    <col min="24" max="24" width="10.140625" style="101" customWidth="1"/>
    <col min="25" max="25" width="9.140625" style="101" customWidth="1"/>
    <col min="26" max="26" width="8" style="101" customWidth="1"/>
    <col min="27" max="27" width="9.5703125" style="101" customWidth="1"/>
    <col min="28" max="28" width="6.140625" style="10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0"/>
  </cols>
  <sheetData>
    <row r="1" spans="1:50" s="54" customFormat="1" ht="13.5" thickBot="1">
      <c r="A1" s="176"/>
      <c r="B1" s="177"/>
      <c r="C1" s="178"/>
      <c r="D1" s="178"/>
      <c r="E1" s="179"/>
      <c r="F1" s="179"/>
      <c r="G1" s="180" t="s">
        <v>80</v>
      </c>
      <c r="H1" s="181"/>
      <c r="I1" s="181"/>
      <c r="J1" s="181"/>
      <c r="K1" s="182"/>
      <c r="L1" s="183" t="s">
        <v>81</v>
      </c>
      <c r="M1" s="184"/>
      <c r="N1" s="184"/>
      <c r="O1" s="184"/>
      <c r="P1" s="185"/>
      <c r="Q1" s="83" t="s">
        <v>82</v>
      </c>
      <c r="R1" s="186"/>
      <c r="S1" s="186"/>
      <c r="T1" s="187"/>
      <c r="U1" s="83" t="s">
        <v>81</v>
      </c>
      <c r="V1" s="84"/>
      <c r="W1" s="37" t="s">
        <v>42</v>
      </c>
      <c r="X1" s="38" t="s">
        <v>83</v>
      </c>
      <c r="Y1" s="39" t="s">
        <v>84</v>
      </c>
      <c r="Z1" s="37" t="s">
        <v>42</v>
      </c>
      <c r="AA1" s="38" t="s">
        <v>43</v>
      </c>
      <c r="AB1" s="39" t="s">
        <v>85</v>
      </c>
      <c r="AC1" s="41" t="s">
        <v>42</v>
      </c>
      <c r="AD1" s="42" t="s">
        <v>43</v>
      </c>
      <c r="AE1" s="43" t="s">
        <v>86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4.5" thickBot="1">
      <c r="A2" s="188" t="s">
        <v>46</v>
      </c>
      <c r="B2" s="189" t="s">
        <v>47</v>
      </c>
      <c r="C2" s="82" t="s">
        <v>1</v>
      </c>
      <c r="D2" s="55" t="s">
        <v>2</v>
      </c>
      <c r="E2" s="55" t="s">
        <v>48</v>
      </c>
      <c r="F2" s="56" t="s">
        <v>3</v>
      </c>
      <c r="G2" s="190" t="s">
        <v>87</v>
      </c>
      <c r="H2" s="191" t="s">
        <v>88</v>
      </c>
      <c r="I2" s="191" t="s">
        <v>89</v>
      </c>
      <c r="J2" s="191" t="s">
        <v>90</v>
      </c>
      <c r="K2" s="192" t="s">
        <v>91</v>
      </c>
      <c r="L2" s="190" t="s">
        <v>87</v>
      </c>
      <c r="M2" s="191" t="s">
        <v>88</v>
      </c>
      <c r="N2" s="191" t="s">
        <v>89</v>
      </c>
      <c r="O2" s="191" t="s">
        <v>92</v>
      </c>
      <c r="P2" s="192" t="s">
        <v>93</v>
      </c>
      <c r="Q2" s="31" t="s">
        <v>94</v>
      </c>
      <c r="R2" s="32" t="s">
        <v>62</v>
      </c>
      <c r="S2" s="32" t="s">
        <v>95</v>
      </c>
      <c r="T2" s="33" t="s">
        <v>96</v>
      </c>
      <c r="U2" s="31" t="s">
        <v>94</v>
      </c>
      <c r="V2" s="33" t="s">
        <v>96</v>
      </c>
      <c r="W2" s="34" t="s">
        <v>97</v>
      </c>
      <c r="X2" s="35" t="s">
        <v>97</v>
      </c>
      <c r="Y2" s="36" t="s">
        <v>97</v>
      </c>
      <c r="Z2" s="98" t="s">
        <v>98</v>
      </c>
      <c r="AA2" s="99" t="s">
        <v>98</v>
      </c>
      <c r="AB2" s="40" t="s">
        <v>98</v>
      </c>
      <c r="AC2" s="100" t="s">
        <v>10</v>
      </c>
      <c r="AD2" s="91" t="s">
        <v>10</v>
      </c>
      <c r="AE2" s="33" t="s">
        <v>10</v>
      </c>
      <c r="AF2" s="79"/>
      <c r="AG2" s="80"/>
      <c r="AH2" s="80"/>
      <c r="AI2" s="80"/>
      <c r="AJ2" s="80"/>
      <c r="AK2" s="15"/>
      <c r="AL2" s="15"/>
      <c r="AM2" s="15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s="54" customFormat="1">
      <c r="A3" s="64">
        <v>14261</v>
      </c>
      <c r="B3" s="193" t="s">
        <v>99</v>
      </c>
      <c r="C3" s="194" t="str">
        <f>Rollover!A3</f>
        <v>Acura</v>
      </c>
      <c r="D3" s="10" t="str">
        <f>Rollover!B3</f>
        <v>Integra 5 HB FWD</v>
      </c>
      <c r="E3" s="10" t="s">
        <v>71</v>
      </c>
      <c r="F3" s="195">
        <f>Rollover!C3</f>
        <v>2023</v>
      </c>
      <c r="G3" s="11">
        <v>144.97499999999999</v>
      </c>
      <c r="H3" s="12">
        <v>23.876999999999999</v>
      </c>
      <c r="I3" s="12">
        <v>37.933999999999997</v>
      </c>
      <c r="J3" s="12">
        <v>1007.45</v>
      </c>
      <c r="K3" s="13">
        <v>1336.9269999999999</v>
      </c>
      <c r="L3" s="11">
        <v>239.345</v>
      </c>
      <c r="M3" s="12">
        <v>26.091999999999999</v>
      </c>
      <c r="N3" s="12">
        <v>60.372999999999998</v>
      </c>
      <c r="O3" s="12">
        <v>21.831</v>
      </c>
      <c r="P3" s="13">
        <v>2363.0349999999999</v>
      </c>
      <c r="Q3" s="26">
        <f t="shared" ref="Q3:Q12" si="0">NORMDIST(LN(G3),7.45231,0.73998,1)</f>
        <v>4.1038051978318157E-4</v>
      </c>
      <c r="R3" s="6">
        <f t="shared" ref="R3:R12" si="1">1/(1+EXP(5.3895-0.0919*H3))</f>
        <v>3.9346615530531315E-2</v>
      </c>
      <c r="S3" s="6">
        <f t="shared" ref="S3:S12" si="2">1/(1+EXP(6.04044-0.002133*J3))</f>
        <v>2.0005315194714112E-2</v>
      </c>
      <c r="T3" s="27">
        <f t="shared" ref="T3:T12" si="3">1/(1+EXP(7.5969-0.0011*K3))</f>
        <v>2.1799297896217783E-3</v>
      </c>
      <c r="U3" s="26">
        <f t="shared" ref="U3:U12" si="4">NORMDIST(LN(L3),7.45231,0.73998,1)</f>
        <v>3.8131059323650777E-3</v>
      </c>
      <c r="V3" s="27">
        <f t="shared" ref="V3:V12" si="5">1/(1+EXP(6.3055-0.00094*P3))</f>
        <v>1.6557058728255376E-2</v>
      </c>
      <c r="W3" s="26">
        <f t="shared" ref="W3:W12" si="6">ROUND(1-(1-Q3)*(1-R3)*(1-S3)*(1-T3),3)</f>
        <v>6.0999999999999999E-2</v>
      </c>
      <c r="X3" s="6">
        <f t="shared" ref="X3:X12" si="7">IF(L3="N/A",L3,ROUND(1-(1-U3)*(1-V3),3))</f>
        <v>0.02</v>
      </c>
      <c r="Y3" s="27">
        <f t="shared" ref="Y3:Y12" si="8">ROUND(AVERAGE(W3:X3),3)</f>
        <v>4.1000000000000002E-2</v>
      </c>
      <c r="Z3" s="28">
        <f t="shared" ref="Z3:Z12" si="9">ROUND(W3/0.15,2)</f>
        <v>0.41</v>
      </c>
      <c r="AA3" s="196">
        <f t="shared" ref="AA3:AA12" si="10">IF(L3="N/A", L3, ROUND(X3/0.15,2))</f>
        <v>0.13</v>
      </c>
      <c r="AB3" s="29">
        <f t="shared" ref="AB3:AB12" si="11">ROUND(Y3/0.15,2)</f>
        <v>0.27</v>
      </c>
      <c r="AC3" s="24">
        <f t="shared" ref="AC3:AC12" si="12">IF(Z3&lt;0.67,5,IF(Z3&lt;1,4,IF(Z3&lt;1.33,3,IF(Z3&lt;2.67,2,1))))</f>
        <v>5</v>
      </c>
      <c r="AD3" s="96">
        <f t="shared" ref="AD3:AD12" si="13">IF(L3="N/A",L3,IF(AA3&lt;0.67,5,IF(AA3&lt;1,4,IF(AA3&lt;1.33,3,IF(AA3&lt;2.67,2,1)))))</f>
        <v>5</v>
      </c>
      <c r="AE3" s="25">
        <f t="shared" ref="AE3:AE12" si="14">IF(AB3&lt;0.67,5,IF(AB3&lt;1,4,IF(AB3&lt;1.33,3,IF(AB3&lt;2.67,2,1))))</f>
        <v>5</v>
      </c>
      <c r="AF3" s="22"/>
      <c r="AG3" s="3"/>
      <c r="AH3" s="3"/>
      <c r="AI3" s="3"/>
      <c r="AJ3" s="3"/>
      <c r="AK3" s="23"/>
      <c r="AL3" s="23"/>
      <c r="AM3" s="2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3.15" customHeight="1">
      <c r="A4" s="64"/>
      <c r="B4" s="193"/>
      <c r="C4" s="194" t="str">
        <f>Rollover!A4</f>
        <v>Honda</v>
      </c>
      <c r="D4" s="10" t="str">
        <f>Rollover!B4</f>
        <v>Civic Hatchback FWD</v>
      </c>
      <c r="E4" s="10"/>
      <c r="F4" s="195">
        <f>Rollover!C4</f>
        <v>2023</v>
      </c>
      <c r="G4" s="11"/>
      <c r="H4" s="12"/>
      <c r="I4" s="12"/>
      <c r="J4" s="12"/>
      <c r="K4" s="13"/>
      <c r="L4" s="11"/>
      <c r="M4" s="12"/>
      <c r="N4" s="12"/>
      <c r="O4" s="12"/>
      <c r="P4" s="13"/>
      <c r="Q4" s="26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7">
        <f t="shared" si="3"/>
        <v>5.0175335722563109E-4</v>
      </c>
      <c r="U4" s="26" t="e">
        <f t="shared" si="4"/>
        <v>#NUM!</v>
      </c>
      <c r="V4" s="27">
        <f t="shared" si="5"/>
        <v>1.8229037773026034E-3</v>
      </c>
      <c r="W4" s="26" t="e">
        <f t="shared" si="6"/>
        <v>#NUM!</v>
      </c>
      <c r="X4" s="6" t="e">
        <f t="shared" si="7"/>
        <v>#NUM!</v>
      </c>
      <c r="Y4" s="27" t="e">
        <f t="shared" si="8"/>
        <v>#NUM!</v>
      </c>
      <c r="Z4" s="28" t="e">
        <f t="shared" si="9"/>
        <v>#NUM!</v>
      </c>
      <c r="AA4" s="196" t="e">
        <f t="shared" si="10"/>
        <v>#NUM!</v>
      </c>
      <c r="AB4" s="29" t="e">
        <f t="shared" si="11"/>
        <v>#NUM!</v>
      </c>
      <c r="AC4" s="24" t="e">
        <f t="shared" si="12"/>
        <v>#NUM!</v>
      </c>
      <c r="AD4" s="96" t="e">
        <f t="shared" si="13"/>
        <v>#NUM!</v>
      </c>
      <c r="AE4" s="25" t="e">
        <f t="shared" si="14"/>
        <v>#NUM!</v>
      </c>
      <c r="AF4" s="14"/>
      <c r="AG4" s="16"/>
      <c r="AH4" s="16"/>
      <c r="AI4" s="16"/>
      <c r="AJ4" s="16"/>
      <c r="AK4" s="15"/>
      <c r="AL4" s="15"/>
      <c r="AM4" s="15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>
      <c r="A5" s="64"/>
      <c r="B5" s="193"/>
      <c r="C5" s="194" t="str">
        <f>Rollover!A5</f>
        <v>Honda</v>
      </c>
      <c r="D5" s="10" t="str">
        <f>Rollover!B5</f>
        <v>Civic Hatchback Typer R FWD</v>
      </c>
      <c r="E5" s="10"/>
      <c r="F5" s="195">
        <f>Rollover!C5</f>
        <v>2023</v>
      </c>
      <c r="G5" s="11"/>
      <c r="H5" s="12"/>
      <c r="I5" s="12"/>
      <c r="J5" s="12"/>
      <c r="K5" s="13"/>
      <c r="L5" s="11"/>
      <c r="M5" s="12"/>
      <c r="N5" s="12"/>
      <c r="O5" s="12"/>
      <c r="P5" s="13"/>
      <c r="Q5" s="26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7">
        <f t="shared" si="3"/>
        <v>5.0175335722563109E-4</v>
      </c>
      <c r="U5" s="26" t="e">
        <f t="shared" si="4"/>
        <v>#NUM!</v>
      </c>
      <c r="V5" s="27">
        <f t="shared" si="5"/>
        <v>1.8229037773026034E-3</v>
      </c>
      <c r="W5" s="26" t="e">
        <f t="shared" si="6"/>
        <v>#NUM!</v>
      </c>
      <c r="X5" s="6" t="e">
        <f t="shared" si="7"/>
        <v>#NUM!</v>
      </c>
      <c r="Y5" s="27" t="e">
        <f t="shared" si="8"/>
        <v>#NUM!</v>
      </c>
      <c r="Z5" s="28" t="e">
        <f t="shared" si="9"/>
        <v>#NUM!</v>
      </c>
      <c r="AA5" s="196" t="e">
        <f t="shared" si="10"/>
        <v>#NUM!</v>
      </c>
      <c r="AB5" s="29" t="e">
        <f t="shared" si="11"/>
        <v>#NUM!</v>
      </c>
      <c r="AC5" s="24" t="e">
        <f t="shared" si="12"/>
        <v>#NUM!</v>
      </c>
      <c r="AD5" s="96" t="e">
        <f t="shared" si="13"/>
        <v>#NUM!</v>
      </c>
      <c r="AE5" s="25" t="e">
        <f t="shared" si="14"/>
        <v>#NUM!</v>
      </c>
      <c r="AF5" s="14"/>
      <c r="AG5" s="16"/>
      <c r="AH5" s="16"/>
      <c r="AI5" s="16"/>
      <c r="AJ5" s="16"/>
      <c r="AK5" s="15"/>
      <c r="AL5" s="15"/>
      <c r="AM5" s="15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13.15" customHeight="1">
      <c r="A6" s="64"/>
      <c r="B6" s="193"/>
      <c r="C6" s="194" t="str">
        <f>Rollover!A6</f>
        <v>Honda</v>
      </c>
      <c r="D6" s="10" t="str">
        <f>Rollover!B6</f>
        <v>Civic Sedan FWD</v>
      </c>
      <c r="E6" s="10"/>
      <c r="F6" s="195">
        <f>Rollover!C6</f>
        <v>2023</v>
      </c>
      <c r="G6" s="11"/>
      <c r="H6" s="12"/>
      <c r="I6" s="12"/>
      <c r="J6" s="12"/>
      <c r="K6" s="13"/>
      <c r="L6" s="11"/>
      <c r="M6" s="12"/>
      <c r="N6" s="12"/>
      <c r="O6" s="12"/>
      <c r="P6" s="13"/>
      <c r="Q6" s="26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7">
        <f t="shared" si="3"/>
        <v>5.0175335722563109E-4</v>
      </c>
      <c r="U6" s="26" t="e">
        <f t="shared" si="4"/>
        <v>#NUM!</v>
      </c>
      <c r="V6" s="27">
        <f t="shared" si="5"/>
        <v>1.8229037773026034E-3</v>
      </c>
      <c r="W6" s="26" t="e">
        <f t="shared" si="6"/>
        <v>#NUM!</v>
      </c>
      <c r="X6" s="6" t="e">
        <f t="shared" si="7"/>
        <v>#NUM!</v>
      </c>
      <c r="Y6" s="27" t="e">
        <f t="shared" si="8"/>
        <v>#NUM!</v>
      </c>
      <c r="Z6" s="28" t="e">
        <f t="shared" si="9"/>
        <v>#NUM!</v>
      </c>
      <c r="AA6" s="196" t="e">
        <f t="shared" si="10"/>
        <v>#NUM!</v>
      </c>
      <c r="AB6" s="29" t="e">
        <f t="shared" si="11"/>
        <v>#NUM!</v>
      </c>
      <c r="AC6" s="24" t="e">
        <f t="shared" si="12"/>
        <v>#NUM!</v>
      </c>
      <c r="AD6" s="96" t="e">
        <f t="shared" si="13"/>
        <v>#NUM!</v>
      </c>
      <c r="AE6" s="25" t="e">
        <f t="shared" si="14"/>
        <v>#NUM!</v>
      </c>
      <c r="AF6" s="14"/>
      <c r="AG6" s="16"/>
      <c r="AH6" s="16"/>
      <c r="AI6" s="16"/>
      <c r="AJ6" s="16"/>
      <c r="AK6" s="15"/>
      <c r="AL6" s="15"/>
      <c r="AM6" s="15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13.15" customHeight="1">
      <c r="A7" s="64">
        <v>11052</v>
      </c>
      <c r="B7" s="193" t="s">
        <v>100</v>
      </c>
      <c r="C7" s="30" t="str">
        <f>Rollover!A7</f>
        <v>Ford</v>
      </c>
      <c r="D7" s="50" t="str">
        <f>Rollover!B7</f>
        <v>Explorer SUV RWD</v>
      </c>
      <c r="E7" s="10" t="s">
        <v>72</v>
      </c>
      <c r="F7" s="195">
        <f>Rollover!C7</f>
        <v>2023</v>
      </c>
      <c r="G7" s="11">
        <v>65.322000000000003</v>
      </c>
      <c r="H7" s="12">
        <v>23.38</v>
      </c>
      <c r="I7" s="12">
        <v>25.954999999999998</v>
      </c>
      <c r="J7" s="12">
        <v>717.81600000000003</v>
      </c>
      <c r="K7" s="13">
        <v>995.78800000000001</v>
      </c>
      <c r="L7" s="11">
        <v>85.927000000000007</v>
      </c>
      <c r="M7" s="12">
        <v>5.3220000000000001</v>
      </c>
      <c r="N7" s="12">
        <v>37.997999999999998</v>
      </c>
      <c r="O7" s="12">
        <v>17.690000000000001</v>
      </c>
      <c r="P7" s="13">
        <v>2684.75</v>
      </c>
      <c r="Q7" s="26">
        <f t="shared" si="0"/>
        <v>4.865477539214934E-6</v>
      </c>
      <c r="R7" s="6">
        <f t="shared" si="1"/>
        <v>3.7656060553967911E-2</v>
      </c>
      <c r="S7" s="6">
        <f t="shared" si="2"/>
        <v>1.0885930667405867E-2</v>
      </c>
      <c r="T7" s="27">
        <f t="shared" si="3"/>
        <v>1.4988858548271365E-3</v>
      </c>
      <c r="U7" s="26">
        <f t="shared" si="4"/>
        <v>2.5330324765789975E-5</v>
      </c>
      <c r="V7" s="27">
        <f t="shared" si="5"/>
        <v>2.2273442236653236E-2</v>
      </c>
      <c r="W7" s="26">
        <f t="shared" si="6"/>
        <v>0.05</v>
      </c>
      <c r="X7" s="6">
        <f t="shared" si="7"/>
        <v>2.1999999999999999E-2</v>
      </c>
      <c r="Y7" s="27">
        <f t="shared" si="8"/>
        <v>3.5999999999999997E-2</v>
      </c>
      <c r="Z7" s="28">
        <f t="shared" si="9"/>
        <v>0.33</v>
      </c>
      <c r="AA7" s="196">
        <f t="shared" si="10"/>
        <v>0.15</v>
      </c>
      <c r="AB7" s="29">
        <f t="shared" si="11"/>
        <v>0.24</v>
      </c>
      <c r="AC7" s="24">
        <f t="shared" si="12"/>
        <v>5</v>
      </c>
      <c r="AD7" s="96">
        <f t="shared" si="13"/>
        <v>5</v>
      </c>
      <c r="AE7" s="25">
        <f t="shared" si="14"/>
        <v>5</v>
      </c>
      <c r="AF7" s="14"/>
      <c r="AG7" s="16"/>
      <c r="AH7" s="16"/>
      <c r="AI7" s="16"/>
      <c r="AJ7" s="16"/>
      <c r="AK7" s="15"/>
      <c r="AL7" s="15"/>
      <c r="AM7" s="15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3.15" customHeight="1">
      <c r="A8" s="64">
        <v>11052</v>
      </c>
      <c r="B8" s="193" t="s">
        <v>100</v>
      </c>
      <c r="C8" s="30" t="str">
        <f>Rollover!A8</f>
        <v>Ford</v>
      </c>
      <c r="D8" s="50" t="str">
        <f>Rollover!B8</f>
        <v>Explorer SUV 4WD</v>
      </c>
      <c r="E8" s="10" t="s">
        <v>72</v>
      </c>
      <c r="F8" s="195">
        <f>Rollover!C8</f>
        <v>2023</v>
      </c>
      <c r="G8" s="11">
        <v>65.322000000000003</v>
      </c>
      <c r="H8" s="12">
        <v>23.38</v>
      </c>
      <c r="I8" s="12">
        <v>25.954999999999998</v>
      </c>
      <c r="J8" s="12">
        <v>717.81600000000003</v>
      </c>
      <c r="K8" s="13">
        <v>995.78800000000001</v>
      </c>
      <c r="L8" s="11">
        <v>85.927000000000007</v>
      </c>
      <c r="M8" s="12">
        <v>5.3220000000000001</v>
      </c>
      <c r="N8" s="12">
        <v>37.997999999999998</v>
      </c>
      <c r="O8" s="12">
        <v>17.690000000000001</v>
      </c>
      <c r="P8" s="13">
        <v>2684.75</v>
      </c>
      <c r="Q8" s="26">
        <f t="shared" si="0"/>
        <v>4.865477539214934E-6</v>
      </c>
      <c r="R8" s="6">
        <f t="shared" si="1"/>
        <v>3.7656060553967911E-2</v>
      </c>
      <c r="S8" s="6">
        <f t="shared" si="2"/>
        <v>1.0885930667405867E-2</v>
      </c>
      <c r="T8" s="27">
        <f t="shared" si="3"/>
        <v>1.4988858548271365E-3</v>
      </c>
      <c r="U8" s="26">
        <f t="shared" si="4"/>
        <v>2.5330324765789975E-5</v>
      </c>
      <c r="V8" s="27">
        <f t="shared" si="5"/>
        <v>2.2273442236653236E-2</v>
      </c>
      <c r="W8" s="26">
        <f t="shared" si="6"/>
        <v>0.05</v>
      </c>
      <c r="X8" s="6">
        <f t="shared" si="7"/>
        <v>2.1999999999999999E-2</v>
      </c>
      <c r="Y8" s="27">
        <f t="shared" si="8"/>
        <v>3.5999999999999997E-2</v>
      </c>
      <c r="Z8" s="28">
        <f t="shared" si="9"/>
        <v>0.33</v>
      </c>
      <c r="AA8" s="196">
        <f t="shared" si="10"/>
        <v>0.15</v>
      </c>
      <c r="AB8" s="29">
        <f t="shared" si="11"/>
        <v>0.24</v>
      </c>
      <c r="AC8" s="24">
        <f t="shared" si="12"/>
        <v>5</v>
      </c>
      <c r="AD8" s="96">
        <f t="shared" si="13"/>
        <v>5</v>
      </c>
      <c r="AE8" s="25">
        <f t="shared" si="14"/>
        <v>5</v>
      </c>
      <c r="AF8" s="14"/>
      <c r="AG8" s="16"/>
      <c r="AH8" s="16"/>
      <c r="AI8" s="16"/>
      <c r="AJ8" s="16"/>
      <c r="AK8" s="15"/>
      <c r="AL8" s="15"/>
      <c r="AM8" s="15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>
      <c r="A9" s="64">
        <v>11052</v>
      </c>
      <c r="B9" s="193" t="s">
        <v>100</v>
      </c>
      <c r="C9" s="194" t="str">
        <f>Rollover!A9</f>
        <v>Ford</v>
      </c>
      <c r="D9" s="10" t="str">
        <f>Rollover!B9</f>
        <v>Explorer HEV SUV RWD</v>
      </c>
      <c r="E9" s="10" t="s">
        <v>72</v>
      </c>
      <c r="F9" s="195">
        <f>Rollover!C9</f>
        <v>2023</v>
      </c>
      <c r="G9" s="11">
        <v>65.322000000000003</v>
      </c>
      <c r="H9" s="12">
        <v>23.38</v>
      </c>
      <c r="I9" s="12">
        <v>25.954999999999998</v>
      </c>
      <c r="J9" s="12">
        <v>717.81600000000003</v>
      </c>
      <c r="K9" s="13">
        <v>995.78800000000001</v>
      </c>
      <c r="L9" s="11">
        <v>85.927000000000007</v>
      </c>
      <c r="M9" s="12">
        <v>5.3220000000000001</v>
      </c>
      <c r="N9" s="12">
        <v>37.997999999999998</v>
      </c>
      <c r="O9" s="12">
        <v>17.690000000000001</v>
      </c>
      <c r="P9" s="13">
        <v>2684.75</v>
      </c>
      <c r="Q9" s="26">
        <f t="shared" si="0"/>
        <v>4.865477539214934E-6</v>
      </c>
      <c r="R9" s="6">
        <f t="shared" si="1"/>
        <v>3.7656060553967911E-2</v>
      </c>
      <c r="S9" s="6">
        <f t="shared" si="2"/>
        <v>1.0885930667405867E-2</v>
      </c>
      <c r="T9" s="27">
        <f t="shared" si="3"/>
        <v>1.4988858548271365E-3</v>
      </c>
      <c r="U9" s="26">
        <f t="shared" si="4"/>
        <v>2.5330324765789975E-5</v>
      </c>
      <c r="V9" s="27">
        <f t="shared" si="5"/>
        <v>2.2273442236653236E-2</v>
      </c>
      <c r="W9" s="26">
        <f t="shared" si="6"/>
        <v>0.05</v>
      </c>
      <c r="X9" s="6">
        <f t="shared" si="7"/>
        <v>2.1999999999999999E-2</v>
      </c>
      <c r="Y9" s="27">
        <f t="shared" si="8"/>
        <v>3.5999999999999997E-2</v>
      </c>
      <c r="Z9" s="28">
        <f t="shared" si="9"/>
        <v>0.33</v>
      </c>
      <c r="AA9" s="196">
        <f t="shared" si="10"/>
        <v>0.15</v>
      </c>
      <c r="AB9" s="29">
        <f t="shared" si="11"/>
        <v>0.24</v>
      </c>
      <c r="AC9" s="24">
        <f t="shared" si="12"/>
        <v>5</v>
      </c>
      <c r="AD9" s="96">
        <f t="shared" si="13"/>
        <v>5</v>
      </c>
      <c r="AE9" s="25">
        <f t="shared" si="14"/>
        <v>5</v>
      </c>
      <c r="AF9" s="14"/>
      <c r="AG9" s="16"/>
      <c r="AH9" s="16"/>
      <c r="AI9" s="16"/>
      <c r="AJ9" s="16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>
      <c r="A10" s="64">
        <v>11052</v>
      </c>
      <c r="B10" s="193" t="s">
        <v>100</v>
      </c>
      <c r="C10" s="194" t="str">
        <f>Rollover!A10</f>
        <v>Ford</v>
      </c>
      <c r="D10" s="10" t="str">
        <f>Rollover!B10</f>
        <v>Explorer HEV SUV 4WD</v>
      </c>
      <c r="E10" s="10" t="s">
        <v>72</v>
      </c>
      <c r="F10" s="195">
        <f>Rollover!C10</f>
        <v>2023</v>
      </c>
      <c r="G10" s="11">
        <v>65.322000000000003</v>
      </c>
      <c r="H10" s="12">
        <v>23.38</v>
      </c>
      <c r="I10" s="12">
        <v>25.954999999999998</v>
      </c>
      <c r="J10" s="12">
        <v>717.81600000000003</v>
      </c>
      <c r="K10" s="13">
        <v>995.78800000000001</v>
      </c>
      <c r="L10" s="11">
        <v>85.927000000000007</v>
      </c>
      <c r="M10" s="12">
        <v>5.3220000000000001</v>
      </c>
      <c r="N10" s="12">
        <v>37.997999999999998</v>
      </c>
      <c r="O10" s="12">
        <v>17.690000000000001</v>
      </c>
      <c r="P10" s="13">
        <v>2684.75</v>
      </c>
      <c r="Q10" s="26">
        <f t="shared" si="0"/>
        <v>4.865477539214934E-6</v>
      </c>
      <c r="R10" s="6">
        <f t="shared" si="1"/>
        <v>3.7656060553967911E-2</v>
      </c>
      <c r="S10" s="6">
        <f t="shared" si="2"/>
        <v>1.0885930667405867E-2</v>
      </c>
      <c r="T10" s="27">
        <f t="shared" si="3"/>
        <v>1.4988858548271365E-3</v>
      </c>
      <c r="U10" s="26">
        <f t="shared" si="4"/>
        <v>2.5330324765789975E-5</v>
      </c>
      <c r="V10" s="27">
        <f t="shared" si="5"/>
        <v>2.2273442236653236E-2</v>
      </c>
      <c r="W10" s="26">
        <f t="shared" si="6"/>
        <v>0.05</v>
      </c>
      <c r="X10" s="6">
        <f t="shared" si="7"/>
        <v>2.1999999999999999E-2</v>
      </c>
      <c r="Y10" s="27">
        <f t="shared" si="8"/>
        <v>3.5999999999999997E-2</v>
      </c>
      <c r="Z10" s="28">
        <f t="shared" si="9"/>
        <v>0.33</v>
      </c>
      <c r="AA10" s="196">
        <f t="shared" si="10"/>
        <v>0.15</v>
      </c>
      <c r="AB10" s="29">
        <f t="shared" si="11"/>
        <v>0.24</v>
      </c>
      <c r="AC10" s="24">
        <f t="shared" si="12"/>
        <v>5</v>
      </c>
      <c r="AD10" s="96">
        <f t="shared" si="13"/>
        <v>5</v>
      </c>
      <c r="AE10" s="25">
        <f t="shared" si="14"/>
        <v>5</v>
      </c>
      <c r="AF10" s="14"/>
      <c r="AG10" s="16"/>
      <c r="AH10" s="16"/>
      <c r="AI10" s="16"/>
      <c r="AJ10" s="16"/>
      <c r="AK10" s="15"/>
      <c r="AL10" s="15"/>
      <c r="AM10" s="15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3.15" customHeight="1">
      <c r="A11" s="64">
        <v>11052</v>
      </c>
      <c r="B11" s="193" t="s">
        <v>100</v>
      </c>
      <c r="C11" s="194" t="str">
        <f>Rollover!A11</f>
        <v>Lincoln</v>
      </c>
      <c r="D11" s="10" t="str">
        <f>Rollover!B11</f>
        <v>Aviator SUV RWD</v>
      </c>
      <c r="E11" s="10" t="s">
        <v>72</v>
      </c>
      <c r="F11" s="195">
        <f>Rollover!C11</f>
        <v>2023</v>
      </c>
      <c r="G11" s="11">
        <v>65.322000000000003</v>
      </c>
      <c r="H11" s="12">
        <v>23.38</v>
      </c>
      <c r="I11" s="12">
        <v>25.954999999999998</v>
      </c>
      <c r="J11" s="12">
        <v>717.81600000000003</v>
      </c>
      <c r="K11" s="13">
        <v>995.78800000000001</v>
      </c>
      <c r="L11" s="11">
        <v>85.927000000000007</v>
      </c>
      <c r="M11" s="12">
        <v>5.3220000000000001</v>
      </c>
      <c r="N11" s="12">
        <v>37.997999999999998</v>
      </c>
      <c r="O11" s="12">
        <v>17.690000000000001</v>
      </c>
      <c r="P11" s="13">
        <v>2684.75</v>
      </c>
      <c r="Q11" s="26">
        <f t="shared" si="0"/>
        <v>4.865477539214934E-6</v>
      </c>
      <c r="R11" s="6">
        <f t="shared" si="1"/>
        <v>3.7656060553967911E-2</v>
      </c>
      <c r="S11" s="6">
        <f t="shared" si="2"/>
        <v>1.0885930667405867E-2</v>
      </c>
      <c r="T11" s="27">
        <f t="shared" si="3"/>
        <v>1.4988858548271365E-3</v>
      </c>
      <c r="U11" s="26">
        <f t="shared" si="4"/>
        <v>2.5330324765789975E-5</v>
      </c>
      <c r="V11" s="27">
        <f t="shared" si="5"/>
        <v>2.2273442236653236E-2</v>
      </c>
      <c r="W11" s="26">
        <f t="shared" si="6"/>
        <v>0.05</v>
      </c>
      <c r="X11" s="6">
        <f t="shared" si="7"/>
        <v>2.1999999999999999E-2</v>
      </c>
      <c r="Y11" s="27">
        <f t="shared" si="8"/>
        <v>3.5999999999999997E-2</v>
      </c>
      <c r="Z11" s="28">
        <f t="shared" si="9"/>
        <v>0.33</v>
      </c>
      <c r="AA11" s="196">
        <f t="shared" si="10"/>
        <v>0.15</v>
      </c>
      <c r="AB11" s="29">
        <f t="shared" si="11"/>
        <v>0.24</v>
      </c>
      <c r="AC11" s="24">
        <f t="shared" si="12"/>
        <v>5</v>
      </c>
      <c r="AD11" s="96">
        <f t="shared" si="13"/>
        <v>5</v>
      </c>
      <c r="AE11" s="25">
        <f t="shared" si="14"/>
        <v>5</v>
      </c>
      <c r="AF11" s="14"/>
      <c r="AG11" s="16"/>
      <c r="AH11" s="16"/>
      <c r="AI11" s="16"/>
      <c r="AJ11" s="16"/>
      <c r="AK11" s="15"/>
      <c r="AL11" s="15"/>
      <c r="AM11" s="15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3.15" customHeight="1">
      <c r="A12" s="64">
        <v>11052</v>
      </c>
      <c r="B12" s="193" t="s">
        <v>100</v>
      </c>
      <c r="C12" s="194" t="str">
        <f>Rollover!A12</f>
        <v>Lincoln</v>
      </c>
      <c r="D12" s="10" t="str">
        <f>Rollover!B12</f>
        <v>Aviator SUV 4WD</v>
      </c>
      <c r="E12" s="10" t="s">
        <v>72</v>
      </c>
      <c r="F12" s="195">
        <f>Rollover!C12</f>
        <v>2023</v>
      </c>
      <c r="G12" s="11">
        <v>65.322000000000003</v>
      </c>
      <c r="H12" s="12">
        <v>23.38</v>
      </c>
      <c r="I12" s="12">
        <v>25.954999999999998</v>
      </c>
      <c r="J12" s="12">
        <v>717.81600000000003</v>
      </c>
      <c r="K12" s="13">
        <v>995.78800000000001</v>
      </c>
      <c r="L12" s="11">
        <v>85.927000000000007</v>
      </c>
      <c r="M12" s="12">
        <v>5.3220000000000001</v>
      </c>
      <c r="N12" s="12">
        <v>37.997999999999998</v>
      </c>
      <c r="O12" s="12">
        <v>17.690000000000001</v>
      </c>
      <c r="P12" s="13">
        <v>2684.75</v>
      </c>
      <c r="Q12" s="26">
        <f t="shared" si="0"/>
        <v>4.865477539214934E-6</v>
      </c>
      <c r="R12" s="6">
        <f t="shared" si="1"/>
        <v>3.7656060553967911E-2</v>
      </c>
      <c r="S12" s="6">
        <f t="shared" si="2"/>
        <v>1.0885930667405867E-2</v>
      </c>
      <c r="T12" s="27">
        <f t="shared" si="3"/>
        <v>1.4988858548271365E-3</v>
      </c>
      <c r="U12" s="26">
        <f t="shared" si="4"/>
        <v>2.5330324765789975E-5</v>
      </c>
      <c r="V12" s="27">
        <f t="shared" si="5"/>
        <v>2.2273442236653236E-2</v>
      </c>
      <c r="W12" s="26">
        <f t="shared" si="6"/>
        <v>0.05</v>
      </c>
      <c r="X12" s="6">
        <f t="shared" si="7"/>
        <v>2.1999999999999999E-2</v>
      </c>
      <c r="Y12" s="27">
        <f t="shared" si="8"/>
        <v>3.5999999999999997E-2</v>
      </c>
      <c r="Z12" s="28">
        <f t="shared" si="9"/>
        <v>0.33</v>
      </c>
      <c r="AA12" s="196">
        <f t="shared" si="10"/>
        <v>0.15</v>
      </c>
      <c r="AB12" s="29">
        <f t="shared" si="11"/>
        <v>0.24</v>
      </c>
      <c r="AC12" s="24">
        <f t="shared" si="12"/>
        <v>5</v>
      </c>
      <c r="AD12" s="96">
        <f t="shared" si="13"/>
        <v>5</v>
      </c>
      <c r="AE12" s="25">
        <f t="shared" si="14"/>
        <v>5</v>
      </c>
      <c r="AF12" s="14"/>
      <c r="AG12" s="16"/>
      <c r="AH12" s="16"/>
      <c r="AI12" s="16"/>
      <c r="AJ12" s="16"/>
      <c r="AK12" s="15"/>
      <c r="AL12" s="15"/>
      <c r="AM12" s="15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>
      <c r="A13" s="64">
        <v>14273</v>
      </c>
      <c r="B13" s="64" t="s">
        <v>101</v>
      </c>
      <c r="C13" s="30" t="str">
        <f>Rollover!A13</f>
        <v xml:space="preserve">Honda </v>
      </c>
      <c r="D13" s="50" t="str">
        <f>Rollover!B13</f>
        <v>HR-V SUV FWD</v>
      </c>
      <c r="E13" s="10" t="s">
        <v>71</v>
      </c>
      <c r="F13" s="195">
        <f>Rollover!C13</f>
        <v>2023</v>
      </c>
      <c r="G13" s="11">
        <v>87.486000000000004</v>
      </c>
      <c r="H13" s="12">
        <v>17.439</v>
      </c>
      <c r="I13" s="12">
        <v>26.102</v>
      </c>
      <c r="J13" s="12">
        <v>524.91700000000003</v>
      </c>
      <c r="K13" s="13">
        <v>1861.2329999999999</v>
      </c>
      <c r="L13" s="11">
        <v>173.38200000000001</v>
      </c>
      <c r="M13" s="12">
        <v>12.121</v>
      </c>
      <c r="N13" s="12">
        <v>60.603000000000002</v>
      </c>
      <c r="O13" s="12">
        <v>9.7119999999999997</v>
      </c>
      <c r="P13" s="13">
        <v>4047.0810000000001</v>
      </c>
      <c r="Q13" s="26">
        <f t="shared" ref="Q13:Q14" si="15">NORMDIST(LN(G13),7.45231,0.73998,1)</f>
        <v>2.8095690632962448E-5</v>
      </c>
      <c r="R13" s="6">
        <f t="shared" ref="R13:R14" si="16">1/(1+EXP(5.3895-0.0919*H13))</f>
        <v>2.2164362280513397E-2</v>
      </c>
      <c r="S13" s="6">
        <f t="shared" ref="S13:S14" si="17">1/(1+EXP(6.04044-0.002133*J13))</f>
        <v>7.2405441029785231E-3</v>
      </c>
      <c r="T13" s="27">
        <f t="shared" ref="T13:T14" si="18">1/(1+EXP(7.5969-0.0011*K13))</f>
        <v>3.8741639744349337E-3</v>
      </c>
      <c r="U13" s="26">
        <f t="shared" ref="U13:U14" si="19">NORMDIST(LN(L13),7.45231,0.73998,1)</f>
        <v>9.5498809979887092E-4</v>
      </c>
      <c r="V13" s="27">
        <f t="shared" ref="V13:V14" si="20">1/(1+EXP(6.3055-0.00094*P13))</f>
        <v>7.5771026803307107E-2</v>
      </c>
      <c r="W13" s="26">
        <f t="shared" ref="W13:W14" si="21">ROUND(1-(1-Q13)*(1-R13)*(1-S13)*(1-T13),3)</f>
        <v>3.3000000000000002E-2</v>
      </c>
      <c r="X13" s="6">
        <f t="shared" ref="X13:X14" si="22">IF(L13="N/A",L13,ROUND(1-(1-U13)*(1-V13),3))</f>
        <v>7.6999999999999999E-2</v>
      </c>
      <c r="Y13" s="27">
        <f t="shared" ref="Y13:Y14" si="23">ROUND(AVERAGE(W13:X13),3)</f>
        <v>5.5E-2</v>
      </c>
      <c r="Z13" s="28">
        <f t="shared" ref="Z13:Z14" si="24">ROUND(W13/0.15,2)</f>
        <v>0.22</v>
      </c>
      <c r="AA13" s="196">
        <f t="shared" ref="AA13:AA14" si="25">IF(L13="N/A", L13, ROUND(X13/0.15,2))</f>
        <v>0.51</v>
      </c>
      <c r="AB13" s="29">
        <f t="shared" ref="AB13:AB14" si="26">ROUND(Y13/0.15,2)</f>
        <v>0.37</v>
      </c>
      <c r="AC13" s="24">
        <f t="shared" ref="AC13:AC14" si="27">IF(Z13&lt;0.67,5,IF(Z13&lt;1,4,IF(Z13&lt;1.33,3,IF(Z13&lt;2.67,2,1))))</f>
        <v>5</v>
      </c>
      <c r="AD13" s="96">
        <f t="shared" ref="AD13:AD14" si="28">IF(L13="N/A",L13,IF(AA13&lt;0.67,5,IF(AA13&lt;1,4,IF(AA13&lt;1.33,3,IF(AA13&lt;2.67,2,1)))))</f>
        <v>5</v>
      </c>
      <c r="AE13" s="25">
        <f t="shared" ref="AE13:AE14" si="29">IF(AB13&lt;0.67,5,IF(AB13&lt;1,4,IF(AB13&lt;1.33,3,IF(AB13&lt;2.67,2,1))))</f>
        <v>5</v>
      </c>
      <c r="AF13" s="14"/>
      <c r="AG13" s="16"/>
      <c r="AH13" s="16"/>
      <c r="AI13" s="16"/>
      <c r="AJ13" s="16"/>
      <c r="AK13" s="15"/>
      <c r="AL13" s="15"/>
      <c r="AM13" s="15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>
      <c r="A14" s="64">
        <v>14273</v>
      </c>
      <c r="B14" s="64" t="s">
        <v>101</v>
      </c>
      <c r="C14" s="30" t="str">
        <f>Rollover!A14</f>
        <v xml:space="preserve">Honda </v>
      </c>
      <c r="D14" s="50" t="str">
        <f>Rollover!B14</f>
        <v>HR-V SUV AWD</v>
      </c>
      <c r="E14" s="10" t="s">
        <v>71</v>
      </c>
      <c r="F14" s="195">
        <f>Rollover!C14</f>
        <v>2023</v>
      </c>
      <c r="G14" s="11">
        <v>87.486000000000004</v>
      </c>
      <c r="H14" s="12">
        <v>17.439</v>
      </c>
      <c r="I14" s="12">
        <v>26.102</v>
      </c>
      <c r="J14" s="12">
        <v>524.91700000000003</v>
      </c>
      <c r="K14" s="13">
        <v>1861.2329999999999</v>
      </c>
      <c r="L14" s="11">
        <v>173.38200000000001</v>
      </c>
      <c r="M14" s="12">
        <v>12.121</v>
      </c>
      <c r="N14" s="12">
        <v>60.603000000000002</v>
      </c>
      <c r="O14" s="12">
        <v>9.7119999999999997</v>
      </c>
      <c r="P14" s="13">
        <v>4047.0810000000001</v>
      </c>
      <c r="Q14" s="26">
        <f t="shared" si="15"/>
        <v>2.8095690632962448E-5</v>
      </c>
      <c r="R14" s="6">
        <f t="shared" si="16"/>
        <v>2.2164362280513397E-2</v>
      </c>
      <c r="S14" s="6">
        <f t="shared" si="17"/>
        <v>7.2405441029785231E-3</v>
      </c>
      <c r="T14" s="27">
        <f t="shared" si="18"/>
        <v>3.8741639744349337E-3</v>
      </c>
      <c r="U14" s="26">
        <f t="shared" si="19"/>
        <v>9.5498809979887092E-4</v>
      </c>
      <c r="V14" s="27">
        <f t="shared" si="20"/>
        <v>7.5771026803307107E-2</v>
      </c>
      <c r="W14" s="26">
        <f t="shared" si="21"/>
        <v>3.3000000000000002E-2</v>
      </c>
      <c r="X14" s="6">
        <f t="shared" si="22"/>
        <v>7.6999999999999999E-2</v>
      </c>
      <c r="Y14" s="27">
        <f t="shared" si="23"/>
        <v>5.5E-2</v>
      </c>
      <c r="Z14" s="28">
        <f t="shared" si="24"/>
        <v>0.22</v>
      </c>
      <c r="AA14" s="196">
        <f t="shared" si="25"/>
        <v>0.51</v>
      </c>
      <c r="AB14" s="29">
        <f t="shared" si="26"/>
        <v>0.37</v>
      </c>
      <c r="AC14" s="24">
        <f t="shared" si="27"/>
        <v>5</v>
      </c>
      <c r="AD14" s="96">
        <f t="shared" si="28"/>
        <v>5</v>
      </c>
      <c r="AE14" s="25">
        <f t="shared" si="29"/>
        <v>5</v>
      </c>
      <c r="AF14" s="14"/>
      <c r="AG14" s="16"/>
      <c r="AH14" s="16"/>
      <c r="AI14" s="16"/>
      <c r="AJ14" s="16"/>
      <c r="AK14" s="15"/>
      <c r="AL14" s="15"/>
      <c r="AM14" s="15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>
      <c r="A15" s="64">
        <v>14284</v>
      </c>
      <c r="B15" s="64" t="s">
        <v>102</v>
      </c>
      <c r="C15" s="30" t="str">
        <f>Rollover!A15</f>
        <v>Jeep</v>
      </c>
      <c r="D15" s="50" t="str">
        <f>Rollover!B15</f>
        <v>Grand Cherokee SUV RWD</v>
      </c>
      <c r="E15" s="10" t="s">
        <v>77</v>
      </c>
      <c r="F15" s="195">
        <f>Rollover!C15</f>
        <v>2023</v>
      </c>
      <c r="G15" s="11">
        <v>87.034999999999997</v>
      </c>
      <c r="H15" s="12">
        <v>21.468</v>
      </c>
      <c r="I15" s="12">
        <v>24.266999999999999</v>
      </c>
      <c r="J15" s="12">
        <v>855.88699999999994</v>
      </c>
      <c r="K15" s="13">
        <v>1045.3900000000001</v>
      </c>
      <c r="L15" s="11">
        <v>163.732</v>
      </c>
      <c r="M15" s="12">
        <v>15.403</v>
      </c>
      <c r="N15" s="12">
        <v>38.738999999999997</v>
      </c>
      <c r="O15" s="12">
        <v>28.488</v>
      </c>
      <c r="P15" s="13">
        <v>2343.462</v>
      </c>
      <c r="Q15" s="26">
        <f t="shared" ref="Q15:Q18" si="30">NORMDIST(LN(G15),7.45231,0.73998,1)</f>
        <v>2.7272821706389078E-5</v>
      </c>
      <c r="R15" s="6">
        <f t="shared" ref="R15:R18" si="31">1/(1+EXP(5.3895-0.0919*H15))</f>
        <v>3.1780965364620432E-2</v>
      </c>
      <c r="S15" s="6">
        <f t="shared" ref="S15:S18" si="32">1/(1+EXP(6.04044-0.002133*J15))</f>
        <v>1.4559672441086009E-2</v>
      </c>
      <c r="T15" s="27">
        <f t="shared" ref="T15:T18" si="33">1/(1+EXP(7.5969-0.0011*K15))</f>
        <v>1.5828075767440083E-3</v>
      </c>
      <c r="U15" s="26">
        <f t="shared" ref="U15:U18" si="34">NORMDIST(LN(L15),7.45231,0.73998,1)</f>
        <v>7.3314465768704363E-4</v>
      </c>
      <c r="V15" s="27">
        <f t="shared" ref="V15:V18" si="35">1/(1+EXP(6.3055-0.00094*P15))</f>
        <v>1.626012493221983E-2</v>
      </c>
      <c r="W15" s="26">
        <f t="shared" ref="W15:W18" si="36">ROUND(1-(1-Q15)*(1-R15)*(1-S15)*(1-T15),3)</f>
        <v>4.7E-2</v>
      </c>
      <c r="X15" s="6">
        <f t="shared" ref="X15:X18" si="37">IF(L15="N/A",L15,ROUND(1-(1-U15)*(1-V15),3))</f>
        <v>1.7000000000000001E-2</v>
      </c>
      <c r="Y15" s="27">
        <f t="shared" ref="Y15:Y18" si="38">ROUND(AVERAGE(W15:X15),3)</f>
        <v>3.2000000000000001E-2</v>
      </c>
      <c r="Z15" s="28">
        <f t="shared" ref="Z15:Z18" si="39">ROUND(W15/0.15,2)</f>
        <v>0.31</v>
      </c>
      <c r="AA15" s="196">
        <f t="shared" ref="AA15:AA18" si="40">IF(L15="N/A", L15, ROUND(X15/0.15,2))</f>
        <v>0.11</v>
      </c>
      <c r="AB15" s="29">
        <f>ROUND(Y15/0.15,2)</f>
        <v>0.21</v>
      </c>
      <c r="AC15" s="24">
        <f t="shared" ref="AC15:AC18" si="41">IF(Z15&lt;0.67,5,IF(Z15&lt;1,4,IF(Z15&lt;1.33,3,IF(Z15&lt;2.67,2,1))))</f>
        <v>5</v>
      </c>
      <c r="AD15" s="96">
        <f t="shared" ref="AD15:AD18" si="42">IF(L15="N/A",L15,IF(AA15&lt;0.67,5,IF(AA15&lt;1,4,IF(AA15&lt;1.33,3,IF(AA15&lt;2.67,2,1)))))</f>
        <v>5</v>
      </c>
      <c r="AE15" s="25">
        <f t="shared" ref="AE15:AE18" si="43">IF(AB15&lt;0.67,5,IF(AB15&lt;1,4,IF(AB15&lt;1.33,3,IF(AB15&lt;2.67,2,1))))</f>
        <v>5</v>
      </c>
      <c r="AF15" s="14"/>
      <c r="AG15" s="16"/>
      <c r="AH15" s="16"/>
      <c r="AI15" s="16"/>
      <c r="AJ15" s="16"/>
      <c r="AK15" s="15"/>
      <c r="AL15" s="15"/>
      <c r="AM15" s="15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3.15" customHeight="1">
      <c r="A16" s="64">
        <v>14284</v>
      </c>
      <c r="B16" s="64" t="s">
        <v>102</v>
      </c>
      <c r="C16" s="30" t="str">
        <f>Rollover!A16</f>
        <v xml:space="preserve">Jeep </v>
      </c>
      <c r="D16" s="50" t="str">
        <f>Rollover!B16</f>
        <v>Grand Cherokee SUV 4WD</v>
      </c>
      <c r="E16" s="10" t="s">
        <v>77</v>
      </c>
      <c r="F16" s="195">
        <f>Rollover!C16</f>
        <v>2023</v>
      </c>
      <c r="G16" s="11">
        <v>87.034999999999997</v>
      </c>
      <c r="H16" s="12">
        <v>21.468</v>
      </c>
      <c r="I16" s="12">
        <v>24.266999999999999</v>
      </c>
      <c r="J16" s="12">
        <v>855.88699999999994</v>
      </c>
      <c r="K16" s="13">
        <v>1045.3900000000001</v>
      </c>
      <c r="L16" s="11">
        <v>163.732</v>
      </c>
      <c r="M16" s="12">
        <v>15.403</v>
      </c>
      <c r="N16" s="12">
        <v>38.738999999999997</v>
      </c>
      <c r="O16" s="12">
        <v>28.488</v>
      </c>
      <c r="P16" s="13">
        <v>2343.462</v>
      </c>
      <c r="Q16" s="26">
        <f t="shared" si="30"/>
        <v>2.7272821706389078E-5</v>
      </c>
      <c r="R16" s="6">
        <f t="shared" si="31"/>
        <v>3.1780965364620432E-2</v>
      </c>
      <c r="S16" s="6">
        <f t="shared" si="32"/>
        <v>1.4559672441086009E-2</v>
      </c>
      <c r="T16" s="27">
        <f t="shared" si="33"/>
        <v>1.5828075767440083E-3</v>
      </c>
      <c r="U16" s="26">
        <f t="shared" si="34"/>
        <v>7.3314465768704363E-4</v>
      </c>
      <c r="V16" s="27">
        <f t="shared" si="35"/>
        <v>1.626012493221983E-2</v>
      </c>
      <c r="W16" s="26">
        <f t="shared" si="36"/>
        <v>4.7E-2</v>
      </c>
      <c r="X16" s="6">
        <f t="shared" si="37"/>
        <v>1.7000000000000001E-2</v>
      </c>
      <c r="Y16" s="27">
        <f t="shared" si="38"/>
        <v>3.2000000000000001E-2</v>
      </c>
      <c r="Z16" s="28">
        <f t="shared" si="39"/>
        <v>0.31</v>
      </c>
      <c r="AA16" s="196">
        <f t="shared" si="40"/>
        <v>0.11</v>
      </c>
      <c r="AB16" s="29">
        <f t="shared" ref="AB16:AB18" si="44">ROUND(Y16/0.15,2)</f>
        <v>0.21</v>
      </c>
      <c r="AC16" s="24">
        <f t="shared" si="41"/>
        <v>5</v>
      </c>
      <c r="AD16" s="96">
        <f t="shared" si="42"/>
        <v>5</v>
      </c>
      <c r="AE16" s="25">
        <f t="shared" si="43"/>
        <v>5</v>
      </c>
      <c r="AF16" s="14"/>
      <c r="AG16" s="16"/>
      <c r="AH16" s="16"/>
      <c r="AI16" s="16"/>
      <c r="AJ16" s="16"/>
      <c r="AK16" s="15"/>
      <c r="AL16" s="15"/>
      <c r="AM16" s="15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3.15" customHeight="1">
      <c r="A17" s="64">
        <v>14263</v>
      </c>
      <c r="B17" s="64" t="s">
        <v>103</v>
      </c>
      <c r="C17" s="194" t="str">
        <f>Rollover!A17</f>
        <v>Jeep</v>
      </c>
      <c r="D17" s="10" t="str">
        <f>Rollover!B17</f>
        <v>Grand Cherokee L SUV RWD</v>
      </c>
      <c r="E17" s="10" t="s">
        <v>79</v>
      </c>
      <c r="F17" s="195">
        <f>Rollover!C17</f>
        <v>2023</v>
      </c>
      <c r="G17" s="11">
        <v>89.466999999999999</v>
      </c>
      <c r="H17" s="12">
        <v>19.847999999999999</v>
      </c>
      <c r="I17" s="12">
        <v>26.631</v>
      </c>
      <c r="J17" s="12">
        <v>654.84299999999996</v>
      </c>
      <c r="K17" s="13">
        <v>1226.6030000000001</v>
      </c>
      <c r="L17" s="11">
        <v>91.754999999999995</v>
      </c>
      <c r="M17" s="12">
        <v>11.555999999999999</v>
      </c>
      <c r="N17" s="12">
        <v>33.531999999999996</v>
      </c>
      <c r="O17" s="12">
        <v>26.486000000000001</v>
      </c>
      <c r="P17" s="13">
        <v>1669.9090000000001</v>
      </c>
      <c r="Q17" s="26">
        <f t="shared" si="30"/>
        <v>3.1939954132623259E-5</v>
      </c>
      <c r="R17" s="6">
        <f t="shared" si="31"/>
        <v>2.7505757734622802E-2</v>
      </c>
      <c r="S17" s="6">
        <f t="shared" si="32"/>
        <v>9.5307077688838848E-3</v>
      </c>
      <c r="T17" s="27">
        <f t="shared" si="33"/>
        <v>1.9312846957732083E-3</v>
      </c>
      <c r="U17" s="26">
        <f t="shared" si="34"/>
        <v>3.6871480710660846E-5</v>
      </c>
      <c r="V17" s="27">
        <f t="shared" si="35"/>
        <v>8.6992121820302984E-3</v>
      </c>
      <c r="W17" s="26">
        <f t="shared" si="36"/>
        <v>3.9E-2</v>
      </c>
      <c r="X17" s="6">
        <f t="shared" si="37"/>
        <v>8.9999999999999993E-3</v>
      </c>
      <c r="Y17" s="27">
        <f t="shared" si="38"/>
        <v>2.4E-2</v>
      </c>
      <c r="Z17" s="28">
        <f t="shared" si="39"/>
        <v>0.26</v>
      </c>
      <c r="AA17" s="196">
        <f t="shared" si="40"/>
        <v>0.06</v>
      </c>
      <c r="AB17" s="29">
        <f t="shared" si="44"/>
        <v>0.16</v>
      </c>
      <c r="AC17" s="24">
        <f t="shared" si="41"/>
        <v>5</v>
      </c>
      <c r="AD17" s="96">
        <f t="shared" si="42"/>
        <v>5</v>
      </c>
      <c r="AE17" s="25">
        <f t="shared" si="43"/>
        <v>5</v>
      </c>
      <c r="AF17" s="14"/>
      <c r="AG17" s="16"/>
      <c r="AH17" s="16"/>
      <c r="AI17" s="16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15" customHeight="1">
      <c r="A18" s="64">
        <v>14263</v>
      </c>
      <c r="B18" s="64" t="s">
        <v>103</v>
      </c>
      <c r="C18" s="194" t="str">
        <f>Rollover!A18</f>
        <v>Jeep</v>
      </c>
      <c r="D18" s="10" t="str">
        <f>Rollover!B18</f>
        <v>Grand Cherokee L SUV 4WD</v>
      </c>
      <c r="E18" s="10" t="s">
        <v>79</v>
      </c>
      <c r="F18" s="195">
        <f>Rollover!C18</f>
        <v>2023</v>
      </c>
      <c r="G18" s="11">
        <v>89.466999999999999</v>
      </c>
      <c r="H18" s="12">
        <v>19.847999999999999</v>
      </c>
      <c r="I18" s="12">
        <v>26.631</v>
      </c>
      <c r="J18" s="12">
        <v>654.84299999999996</v>
      </c>
      <c r="K18" s="13">
        <v>1226.6030000000001</v>
      </c>
      <c r="L18" s="11">
        <v>91.754999999999995</v>
      </c>
      <c r="M18" s="12">
        <v>11.555999999999999</v>
      </c>
      <c r="N18" s="12">
        <v>33.531999999999996</v>
      </c>
      <c r="O18" s="12">
        <v>26.486000000000001</v>
      </c>
      <c r="P18" s="13">
        <v>1669.9090000000001</v>
      </c>
      <c r="Q18" s="26">
        <f t="shared" si="30"/>
        <v>3.1939954132623259E-5</v>
      </c>
      <c r="R18" s="6">
        <f t="shared" si="31"/>
        <v>2.7505757734622802E-2</v>
      </c>
      <c r="S18" s="6">
        <f t="shared" si="32"/>
        <v>9.5307077688838848E-3</v>
      </c>
      <c r="T18" s="27">
        <f t="shared" si="33"/>
        <v>1.9312846957732083E-3</v>
      </c>
      <c r="U18" s="26">
        <f t="shared" si="34"/>
        <v>3.6871480710660846E-5</v>
      </c>
      <c r="V18" s="27">
        <f t="shared" si="35"/>
        <v>8.6992121820302984E-3</v>
      </c>
      <c r="W18" s="26">
        <f t="shared" si="36"/>
        <v>3.9E-2</v>
      </c>
      <c r="X18" s="6">
        <f t="shared" si="37"/>
        <v>8.9999999999999993E-3</v>
      </c>
      <c r="Y18" s="27">
        <f t="shared" si="38"/>
        <v>2.4E-2</v>
      </c>
      <c r="Z18" s="28">
        <f t="shared" si="39"/>
        <v>0.26</v>
      </c>
      <c r="AA18" s="196">
        <f t="shared" si="40"/>
        <v>0.06</v>
      </c>
      <c r="AB18" s="29">
        <f t="shared" si="44"/>
        <v>0.16</v>
      </c>
      <c r="AC18" s="24">
        <f t="shared" si="41"/>
        <v>5</v>
      </c>
      <c r="AD18" s="96">
        <f t="shared" si="42"/>
        <v>5</v>
      </c>
      <c r="AE18" s="25">
        <f t="shared" si="43"/>
        <v>5</v>
      </c>
      <c r="AF18" s="14"/>
      <c r="AG18" s="16"/>
      <c r="AH18" s="16"/>
      <c r="AI18" s="16"/>
      <c r="AJ18" s="16"/>
      <c r="AK18" s="15"/>
      <c r="AL18" s="15"/>
      <c r="AM18" s="15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3.15" customHeight="1">
      <c r="A19" s="64"/>
      <c r="B19" s="193"/>
      <c r="C19" s="30" t="str">
        <f>Rollover!A19</f>
        <v>Mazda</v>
      </c>
      <c r="D19" s="50" t="str">
        <f>Rollover!B19</f>
        <v>Mazda CX-50 SUV AWD</v>
      </c>
      <c r="E19" s="10"/>
      <c r="F19" s="195">
        <f>Rollover!C19</f>
        <v>2023</v>
      </c>
      <c r="G19" s="19"/>
      <c r="H19" s="20"/>
      <c r="I19" s="20"/>
      <c r="J19" s="20"/>
      <c r="K19" s="21"/>
      <c r="L19" s="19"/>
      <c r="M19" s="20"/>
      <c r="N19" s="20"/>
      <c r="O19" s="20"/>
      <c r="P19" s="21"/>
      <c r="Q19" s="26" t="e">
        <f t="shared" ref="Q19" si="45">NORMDIST(LN(G19),7.45231,0.73998,1)</f>
        <v>#NUM!</v>
      </c>
      <c r="R19" s="6">
        <f t="shared" ref="R19" si="46">1/(1+EXP(5.3895-0.0919*H19))</f>
        <v>4.5435171224880964E-3</v>
      </c>
      <c r="S19" s="6">
        <f t="shared" ref="S19" si="47">1/(1+EXP(6.04044-0.002133*J19))</f>
        <v>2.3748578822706131E-3</v>
      </c>
      <c r="T19" s="27">
        <f t="shared" ref="T19" si="48">1/(1+EXP(7.5969-0.0011*K19))</f>
        <v>5.0175335722563109E-4</v>
      </c>
      <c r="U19" s="26" t="e">
        <f t="shared" ref="U19" si="49">NORMDIST(LN(L19),7.45231,0.73998,1)</f>
        <v>#NUM!</v>
      </c>
      <c r="V19" s="27">
        <f t="shared" ref="V19" si="50">1/(1+EXP(6.3055-0.00094*P19))</f>
        <v>1.8229037773026034E-3</v>
      </c>
      <c r="W19" s="26" t="e">
        <f t="shared" ref="W19" si="51">ROUND(1-(1-Q19)*(1-R19)*(1-S19)*(1-T19),3)</f>
        <v>#NUM!</v>
      </c>
      <c r="X19" s="6" t="e">
        <f t="shared" ref="X19" si="52">IF(L19="N/A",L19,ROUND(1-(1-U19)*(1-V19),3))</f>
        <v>#NUM!</v>
      </c>
      <c r="Y19" s="27" t="e">
        <f t="shared" ref="Y19" si="53">ROUND(AVERAGE(W19:X19),3)</f>
        <v>#NUM!</v>
      </c>
      <c r="Z19" s="28" t="e">
        <f t="shared" ref="Z19" si="54">ROUND(W19/0.15,2)</f>
        <v>#NUM!</v>
      </c>
      <c r="AA19" s="196" t="e">
        <f t="shared" ref="AA19" si="55">IF(L19="N/A", L19, ROUND(X19/0.15,2))</f>
        <v>#NUM!</v>
      </c>
      <c r="AB19" s="29" t="e">
        <f t="shared" ref="AB19" si="56">ROUND(Y19/0.15,2)</f>
        <v>#NUM!</v>
      </c>
      <c r="AC19" s="24" t="e">
        <f t="shared" ref="AC19" si="57">IF(Z19&lt;0.67,5,IF(Z19&lt;1,4,IF(Z19&lt;1.33,3,IF(Z19&lt;2.67,2,1))))</f>
        <v>#NUM!</v>
      </c>
      <c r="AD19" s="96" t="e">
        <f t="shared" ref="AD19" si="58">IF(L19="N/A",L19,IF(AA19&lt;0.67,5,IF(AA19&lt;1,4,IF(AA19&lt;1.33,3,IF(AA19&lt;2.67,2,1)))))</f>
        <v>#NUM!</v>
      </c>
      <c r="AE19" s="25" t="e">
        <f t="shared" ref="AE19" si="59">IF(AB19&lt;0.67,5,IF(AB19&lt;1,4,IF(AB19&lt;1.33,3,IF(AB19&lt;2.67,2,1))))</f>
        <v>#NUM!</v>
      </c>
      <c r="AF19" s="14"/>
      <c r="AG19" s="16"/>
      <c r="AH19" s="16"/>
      <c r="AI19" s="16"/>
      <c r="AJ19" s="16"/>
      <c r="AK19" s="15"/>
      <c r="AL19" s="15"/>
      <c r="AM19" s="15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>
      <c r="AE20" s="2"/>
    </row>
    <row r="21" spans="1:50">
      <c r="AE21" s="2"/>
    </row>
    <row r="22" spans="1:50">
      <c r="AE22" s="2"/>
    </row>
    <row r="23" spans="1:50">
      <c r="AE23" s="2"/>
    </row>
    <row r="24" spans="1:50">
      <c r="AE24" s="2"/>
    </row>
    <row r="25" spans="1:50">
      <c r="AE25" s="2"/>
    </row>
    <row r="26" spans="1:50">
      <c r="AE26" s="2"/>
    </row>
    <row r="27" spans="1:50">
      <c r="AE27" s="2"/>
    </row>
    <row r="28" spans="1:50">
      <c r="AE28" s="2"/>
    </row>
    <row r="29" spans="1:50">
      <c r="AE29" s="2"/>
    </row>
    <row r="30" spans="1:50">
      <c r="AE30" s="2"/>
    </row>
    <row r="31" spans="1:50">
      <c r="AE31" s="2"/>
    </row>
    <row r="32" spans="1:50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51"/>
  <sheetViews>
    <sheetView zoomScale="130" zoomScaleNormal="13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G37" sqref="AG37"/>
    </sheetView>
  </sheetViews>
  <sheetFormatPr defaultColWidth="9.140625" defaultRowHeight="13.9" customHeight="1"/>
  <cols>
    <col min="1" max="1" width="8.5703125" style="170" bestFit="1" customWidth="1"/>
    <col min="2" max="2" width="9" style="170" bestFit="1" customWidth="1"/>
    <col min="3" max="3" width="12" style="171" bestFit="1" customWidth="1"/>
    <col min="4" max="4" width="27.28515625" style="171" customWidth="1"/>
    <col min="5" max="5" width="6.5703125" style="172" customWidth="1"/>
    <col min="6" max="6" width="7.42578125" style="173" bestFit="1" customWidth="1"/>
    <col min="7" max="10" width="8.7109375" style="166" customWidth="1"/>
    <col min="11" max="11" width="9.85546875" style="166" customWidth="1"/>
    <col min="12" max="12" width="7" style="166" customWidth="1"/>
    <col min="13" max="13" width="7.42578125" style="166" customWidth="1"/>
    <col min="14" max="14" width="7.85546875" style="174" customWidth="1"/>
    <col min="15" max="15" width="8.5703125" style="174" bestFit="1" customWidth="1"/>
    <col min="16" max="16" width="8.28515625" style="175" customWidth="1"/>
    <col min="17" max="17" width="9.28515625" style="174" customWidth="1"/>
    <col min="18" max="18" width="10.140625" style="166" customWidth="1"/>
    <col min="19" max="19" width="6" style="170" customWidth="1"/>
    <col min="20" max="20" width="10.28515625" style="170" bestFit="1" customWidth="1"/>
    <col min="21" max="21" width="10.140625" style="170" customWidth="1"/>
    <col min="22" max="22" width="10.28515625" style="170" bestFit="1" customWidth="1"/>
    <col min="23" max="16384" width="9.140625" style="166"/>
  </cols>
  <sheetData>
    <row r="1" spans="1:37" s="155" customFormat="1" ht="13.9" customHeight="1" thickBot="1">
      <c r="A1" s="142"/>
      <c r="B1" s="143"/>
      <c r="C1" s="144"/>
      <c r="D1" s="144"/>
      <c r="E1" s="145"/>
      <c r="F1" s="146"/>
      <c r="G1" s="147" t="s">
        <v>104</v>
      </c>
      <c r="H1" s="148"/>
      <c r="I1" s="148"/>
      <c r="J1" s="148"/>
      <c r="K1" s="149"/>
      <c r="L1" s="150" t="s">
        <v>104</v>
      </c>
      <c r="M1" s="151"/>
      <c r="N1" s="152" t="s">
        <v>42</v>
      </c>
      <c r="O1" s="153" t="s">
        <v>42</v>
      </c>
      <c r="P1" s="43" t="s">
        <v>105</v>
      </c>
      <c r="Q1" s="154" t="s">
        <v>42</v>
      </c>
      <c r="R1" s="85" t="s">
        <v>42</v>
      </c>
      <c r="S1" s="42" t="s">
        <v>42</v>
      </c>
      <c r="T1" s="42" t="s">
        <v>106</v>
      </c>
      <c r="U1" s="42" t="s">
        <v>107</v>
      </c>
      <c r="V1" s="43" t="s">
        <v>106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61" customFormat="1" ht="45.75" thickBot="1">
      <c r="A2" s="41" t="s">
        <v>46</v>
      </c>
      <c r="B2" s="42" t="s">
        <v>47</v>
      </c>
      <c r="C2" s="156" t="s">
        <v>1</v>
      </c>
      <c r="D2" s="156" t="s">
        <v>2</v>
      </c>
      <c r="E2" s="157" t="s">
        <v>48</v>
      </c>
      <c r="F2" s="158" t="s">
        <v>3</v>
      </c>
      <c r="G2" s="159" t="s">
        <v>87</v>
      </c>
      <c r="H2" s="90" t="s">
        <v>108</v>
      </c>
      <c r="I2" s="90" t="s">
        <v>109</v>
      </c>
      <c r="J2" s="90" t="s">
        <v>110</v>
      </c>
      <c r="K2" s="160" t="s">
        <v>93</v>
      </c>
      <c r="L2" s="86" t="s">
        <v>94</v>
      </c>
      <c r="M2" s="87" t="s">
        <v>96</v>
      </c>
      <c r="N2" s="86" t="s">
        <v>97</v>
      </c>
      <c r="O2" s="88" t="s">
        <v>111</v>
      </c>
      <c r="P2" s="33" t="s">
        <v>10</v>
      </c>
      <c r="Q2" s="89" t="s">
        <v>112</v>
      </c>
      <c r="R2" s="90" t="s">
        <v>113</v>
      </c>
      <c r="S2" s="91" t="s">
        <v>114</v>
      </c>
      <c r="T2" s="90" t="s">
        <v>115</v>
      </c>
      <c r="U2" s="90" t="s">
        <v>116</v>
      </c>
      <c r="V2" s="46" t="s">
        <v>117</v>
      </c>
      <c r="W2" s="5"/>
      <c r="X2" s="47"/>
      <c r="Y2" s="47"/>
      <c r="Z2" s="47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3.9" customHeight="1">
      <c r="A3" s="162">
        <v>14260</v>
      </c>
      <c r="B3" s="163" t="s">
        <v>118</v>
      </c>
      <c r="C3" s="164" t="str">
        <f>Rollover!A3</f>
        <v>Acura</v>
      </c>
      <c r="D3" s="164" t="str">
        <f>Rollover!B3</f>
        <v>Integra 5 HB FWD</v>
      </c>
      <c r="E3" s="67" t="s">
        <v>71</v>
      </c>
      <c r="F3" s="165">
        <f>Rollover!C3</f>
        <v>2023</v>
      </c>
      <c r="G3" s="92">
        <v>235.989</v>
      </c>
      <c r="H3" s="12">
        <v>19.187000000000001</v>
      </c>
      <c r="I3" s="12">
        <v>45.485999999999997</v>
      </c>
      <c r="J3" s="93">
        <v>21.614999999999998</v>
      </c>
      <c r="K3" s="13">
        <v>2871.9740000000002</v>
      </c>
      <c r="L3" s="26">
        <f>NORMDIST(LN(G3),7.45231,0.73998,1)</f>
        <v>3.6019529688484063E-3</v>
      </c>
      <c r="M3" s="27">
        <f t="shared" ref="M3:M12" si="0">1/(1+EXP(6.3055-0.00094*K3))</f>
        <v>2.6446101315489901E-2</v>
      </c>
      <c r="N3" s="26">
        <f t="shared" ref="N3:N12" si="1">ROUND(1-(1-L3)*(1-M3),3)</f>
        <v>0.03</v>
      </c>
      <c r="O3" s="6">
        <f t="shared" ref="O3:O12" si="2">ROUND(N3/0.15,2)</f>
        <v>0.2</v>
      </c>
      <c r="P3" s="25">
        <f t="shared" ref="P3:P12" si="3">IF(O3&lt;0.67,5,IF(O3&lt;1,4,IF(O3&lt;1.33,3,IF(O3&lt;2.67,2,1))))</f>
        <v>5</v>
      </c>
      <c r="Q3" s="94">
        <f>ROUND((0.8*'Side MDB'!W3+0.2*'Side Pole'!N3),3)</f>
        <v>5.5E-2</v>
      </c>
      <c r="R3" s="95">
        <f t="shared" ref="R3:R12" si="4">ROUND((Q3)/0.15,2)</f>
        <v>0.37</v>
      </c>
      <c r="S3" s="96">
        <f t="shared" ref="S3:S12" si="5">IF(R3&lt;0.67,5,IF(R3&lt;1,4,IF(R3&lt;1.33,3,IF(R3&lt;2.67,2,1))))</f>
        <v>5</v>
      </c>
      <c r="T3" s="95">
        <f>ROUND(((0.8*'Side MDB'!W3+0.2*'Side Pole'!N3)+(IF('Side MDB'!X3="N/A",(0.8*'Side MDB'!W3+0.2*'Side Pole'!N3),'Side MDB'!X3)))/2,3)</f>
        <v>3.6999999999999998E-2</v>
      </c>
      <c r="U3" s="95">
        <f t="shared" ref="U3:U12" si="6">ROUND((T3)/0.15,2)</f>
        <v>0.25</v>
      </c>
      <c r="V3" s="25">
        <f t="shared" ref="V3:V12" si="7">IF(U3&lt;0.67,5,IF(U3&lt;1,4,IF(U3&lt;1.33,3,IF(U3&lt;2.67,2,1))))</f>
        <v>5</v>
      </c>
      <c r="W3" s="16"/>
      <c r="X3" s="81"/>
      <c r="Y3" s="81"/>
      <c r="Z3" s="81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13.9" customHeight="1">
      <c r="A4" s="162"/>
      <c r="B4" s="163"/>
      <c r="C4" s="167" t="str">
        <f>Rollover!A4</f>
        <v>Honda</v>
      </c>
      <c r="D4" s="167" t="str">
        <f>Rollover!B4</f>
        <v>Civic Hatchback FWD</v>
      </c>
      <c r="E4" s="67"/>
      <c r="F4" s="165">
        <f>Rollover!C4</f>
        <v>2023</v>
      </c>
      <c r="G4" s="92"/>
      <c r="H4" s="12"/>
      <c r="I4" s="12"/>
      <c r="J4" s="93"/>
      <c r="K4" s="13"/>
      <c r="L4" s="26" t="e">
        <f t="shared" ref="L4" si="8">NORMDIST(LN(G4),7.45231,0.73998,1)</f>
        <v>#NUM!</v>
      </c>
      <c r="M4" s="27">
        <f t="shared" si="0"/>
        <v>1.8229037773026034E-3</v>
      </c>
      <c r="N4" s="26" t="e">
        <f t="shared" si="1"/>
        <v>#NUM!</v>
      </c>
      <c r="O4" s="6" t="e">
        <f t="shared" si="2"/>
        <v>#NUM!</v>
      </c>
      <c r="P4" s="25" t="e">
        <f t="shared" si="3"/>
        <v>#NUM!</v>
      </c>
      <c r="Q4" s="94" t="e">
        <f>ROUND((0.8*'Side MDB'!W4+0.2*'Side Pole'!N4),3)</f>
        <v>#NUM!</v>
      </c>
      <c r="R4" s="95" t="e">
        <f t="shared" si="4"/>
        <v>#NUM!</v>
      </c>
      <c r="S4" s="96" t="e">
        <f t="shared" si="5"/>
        <v>#NUM!</v>
      </c>
      <c r="T4" s="95" t="e">
        <f>ROUND(((0.8*'Side MDB'!W4+0.2*'Side Pole'!N4)+(IF('Side MDB'!X4="N/A",(0.8*'Side MDB'!W4+0.2*'Side Pole'!N4),'Side MDB'!X4)))/2,3)</f>
        <v>#NUM!</v>
      </c>
      <c r="U4" s="95" t="e">
        <f t="shared" si="6"/>
        <v>#NUM!</v>
      </c>
      <c r="V4" s="25" t="e">
        <f t="shared" si="7"/>
        <v>#NUM!</v>
      </c>
      <c r="W4" s="16"/>
      <c r="X4" s="81"/>
      <c r="Y4" s="81"/>
      <c r="Z4" s="81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3.9" customHeight="1">
      <c r="A5" s="162"/>
      <c r="B5" s="163"/>
      <c r="C5" s="167" t="str">
        <f>Rollover!A5</f>
        <v>Honda</v>
      </c>
      <c r="D5" s="167" t="str">
        <f>Rollover!B5</f>
        <v>Civic Hatchback Typer R FWD</v>
      </c>
      <c r="E5" s="67"/>
      <c r="F5" s="165">
        <f>Rollover!C5</f>
        <v>2023</v>
      </c>
      <c r="G5" s="92"/>
      <c r="H5" s="12"/>
      <c r="I5" s="12"/>
      <c r="J5" s="93"/>
      <c r="K5" s="13"/>
      <c r="L5" s="26" t="e">
        <f t="shared" ref="L5:L6" si="9">NORMDIST(LN(G5),7.45231,0.73998,1)</f>
        <v>#NUM!</v>
      </c>
      <c r="M5" s="27">
        <f t="shared" si="0"/>
        <v>1.8229037773026034E-3</v>
      </c>
      <c r="N5" s="26" t="e">
        <f t="shared" si="1"/>
        <v>#NUM!</v>
      </c>
      <c r="O5" s="6" t="e">
        <f t="shared" si="2"/>
        <v>#NUM!</v>
      </c>
      <c r="P5" s="25" t="e">
        <f t="shared" si="3"/>
        <v>#NUM!</v>
      </c>
      <c r="Q5" s="94" t="e">
        <f>ROUND((0.8*'Side MDB'!W5+0.2*'Side Pole'!N5),3)</f>
        <v>#NUM!</v>
      </c>
      <c r="R5" s="95" t="e">
        <f t="shared" si="4"/>
        <v>#NUM!</v>
      </c>
      <c r="S5" s="96" t="e">
        <f t="shared" si="5"/>
        <v>#NUM!</v>
      </c>
      <c r="T5" s="95" t="e">
        <f>ROUND(((0.8*'Side MDB'!W5+0.2*'Side Pole'!N5)+(IF('Side MDB'!X5="N/A",(0.8*'Side MDB'!W5+0.2*'Side Pole'!N5),'Side MDB'!X5)))/2,3)</f>
        <v>#NUM!</v>
      </c>
      <c r="U5" s="95" t="e">
        <f t="shared" si="6"/>
        <v>#NUM!</v>
      </c>
      <c r="V5" s="25" t="e">
        <f t="shared" si="7"/>
        <v>#NUM!</v>
      </c>
      <c r="W5" s="16"/>
      <c r="X5" s="81"/>
      <c r="Y5" s="81"/>
      <c r="Z5" s="81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</row>
    <row r="6" spans="1:37" ht="13.9" customHeight="1">
      <c r="A6" s="162"/>
      <c r="B6" s="163"/>
      <c r="C6" s="167" t="str">
        <f>Rollover!A6</f>
        <v>Honda</v>
      </c>
      <c r="D6" s="167" t="str">
        <f>Rollover!B6</f>
        <v>Civic Sedan FWD</v>
      </c>
      <c r="E6" s="67"/>
      <c r="F6" s="165">
        <f>Rollover!C6</f>
        <v>2023</v>
      </c>
      <c r="G6" s="92"/>
      <c r="H6" s="12"/>
      <c r="I6" s="12"/>
      <c r="J6" s="93"/>
      <c r="K6" s="13"/>
      <c r="L6" s="26" t="e">
        <f t="shared" si="9"/>
        <v>#NUM!</v>
      </c>
      <c r="M6" s="27">
        <f t="shared" si="0"/>
        <v>1.8229037773026034E-3</v>
      </c>
      <c r="N6" s="26" t="e">
        <f t="shared" si="1"/>
        <v>#NUM!</v>
      </c>
      <c r="O6" s="6" t="e">
        <f t="shared" si="2"/>
        <v>#NUM!</v>
      </c>
      <c r="P6" s="25" t="e">
        <f t="shared" si="3"/>
        <v>#NUM!</v>
      </c>
      <c r="Q6" s="94" t="e">
        <f>ROUND((0.8*'Side MDB'!W6+0.2*'Side Pole'!N6),3)</f>
        <v>#NUM!</v>
      </c>
      <c r="R6" s="95" t="e">
        <f t="shared" si="4"/>
        <v>#NUM!</v>
      </c>
      <c r="S6" s="96" t="e">
        <f t="shared" si="5"/>
        <v>#NUM!</v>
      </c>
      <c r="T6" s="95" t="e">
        <f>ROUND(((0.8*'Side MDB'!W6+0.2*'Side Pole'!N6)+(IF('Side MDB'!X6="N/A",(0.8*'Side MDB'!W6+0.2*'Side Pole'!N6),'Side MDB'!X6)))/2,3)</f>
        <v>#NUM!</v>
      </c>
      <c r="U6" s="95" t="e">
        <f t="shared" si="6"/>
        <v>#NUM!</v>
      </c>
      <c r="V6" s="25" t="e">
        <f t="shared" si="7"/>
        <v>#NUM!</v>
      </c>
      <c r="W6" s="16"/>
      <c r="X6" s="81"/>
      <c r="Y6" s="81"/>
      <c r="Z6" s="81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7" spans="1:37" ht="13.9" customHeight="1">
      <c r="A7" s="168">
        <v>11051</v>
      </c>
      <c r="B7" s="169" t="s">
        <v>119</v>
      </c>
      <c r="C7" s="164" t="str">
        <f>Rollover!A7</f>
        <v>Ford</v>
      </c>
      <c r="D7" s="164" t="str">
        <f>Rollover!B7</f>
        <v>Explorer SUV RWD</v>
      </c>
      <c r="E7" s="6" t="s">
        <v>73</v>
      </c>
      <c r="F7" s="165">
        <f>Rollover!C7</f>
        <v>2023</v>
      </c>
      <c r="G7" s="92">
        <v>287.851</v>
      </c>
      <c r="H7" s="12">
        <v>21.36</v>
      </c>
      <c r="I7" s="12">
        <v>39.426000000000002</v>
      </c>
      <c r="J7" s="93">
        <v>22.838000000000001</v>
      </c>
      <c r="K7" s="93">
        <v>2546.933</v>
      </c>
      <c r="L7" s="26">
        <f t="shared" ref="L7:L12" si="10">NORMDIST(LN(G7),7.45231,0.73998,1)</f>
        <v>7.785801547796658E-3</v>
      </c>
      <c r="M7" s="27">
        <f t="shared" si="0"/>
        <v>1.9620150370070557E-2</v>
      </c>
      <c r="N7" s="26">
        <f t="shared" si="1"/>
        <v>2.7E-2</v>
      </c>
      <c r="O7" s="6">
        <f t="shared" si="2"/>
        <v>0.18</v>
      </c>
      <c r="P7" s="25">
        <f t="shared" si="3"/>
        <v>5</v>
      </c>
      <c r="Q7" s="94">
        <f>ROUND((0.8*'Side MDB'!W7+0.2*'Side Pole'!N7),3)</f>
        <v>4.4999999999999998E-2</v>
      </c>
      <c r="R7" s="95">
        <f t="shared" si="4"/>
        <v>0.3</v>
      </c>
      <c r="S7" s="96">
        <f t="shared" si="5"/>
        <v>5</v>
      </c>
      <c r="T7" s="95">
        <f>ROUND(((0.8*'Side MDB'!W7+0.2*'Side Pole'!N7)+(IF('Side MDB'!X7="N/A",(0.8*'Side MDB'!W7+0.2*'Side Pole'!N7),'Side MDB'!X7)))/2,3)</f>
        <v>3.4000000000000002E-2</v>
      </c>
      <c r="U7" s="95">
        <f t="shared" si="6"/>
        <v>0.23</v>
      </c>
      <c r="V7" s="25">
        <f t="shared" si="7"/>
        <v>5</v>
      </c>
      <c r="W7" s="16"/>
      <c r="X7" s="81"/>
      <c r="Y7" s="81"/>
      <c r="Z7" s="81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</row>
    <row r="8" spans="1:37" ht="13.9" customHeight="1">
      <c r="A8" s="168">
        <v>11051</v>
      </c>
      <c r="B8" s="169" t="s">
        <v>119</v>
      </c>
      <c r="C8" s="164" t="str">
        <f>Rollover!A8</f>
        <v>Ford</v>
      </c>
      <c r="D8" s="164" t="str">
        <f>Rollover!B8</f>
        <v>Explorer SUV 4WD</v>
      </c>
      <c r="E8" s="6" t="s">
        <v>73</v>
      </c>
      <c r="F8" s="165">
        <f>Rollover!C8</f>
        <v>2023</v>
      </c>
      <c r="G8" s="92">
        <v>287.851</v>
      </c>
      <c r="H8" s="12">
        <v>21.36</v>
      </c>
      <c r="I8" s="12">
        <v>39.426000000000002</v>
      </c>
      <c r="J8" s="93">
        <v>22.838000000000001</v>
      </c>
      <c r="K8" s="93">
        <v>2546.933</v>
      </c>
      <c r="L8" s="26">
        <f t="shared" si="10"/>
        <v>7.785801547796658E-3</v>
      </c>
      <c r="M8" s="27">
        <f t="shared" si="0"/>
        <v>1.9620150370070557E-2</v>
      </c>
      <c r="N8" s="26">
        <f t="shared" si="1"/>
        <v>2.7E-2</v>
      </c>
      <c r="O8" s="6">
        <f t="shared" si="2"/>
        <v>0.18</v>
      </c>
      <c r="P8" s="25">
        <f t="shared" si="3"/>
        <v>5</v>
      </c>
      <c r="Q8" s="94">
        <f>ROUND((0.8*'Side MDB'!W8+0.2*'Side Pole'!N8),3)</f>
        <v>4.4999999999999998E-2</v>
      </c>
      <c r="R8" s="95">
        <f t="shared" si="4"/>
        <v>0.3</v>
      </c>
      <c r="S8" s="96">
        <f t="shared" si="5"/>
        <v>5</v>
      </c>
      <c r="T8" s="95">
        <f>ROUND(((0.8*'Side MDB'!W8+0.2*'Side Pole'!N8)+(IF('Side MDB'!X8="N/A",(0.8*'Side MDB'!W8+0.2*'Side Pole'!N8),'Side MDB'!X8)))/2,3)</f>
        <v>3.4000000000000002E-2</v>
      </c>
      <c r="U8" s="95">
        <f t="shared" si="6"/>
        <v>0.23</v>
      </c>
      <c r="V8" s="25">
        <f t="shared" si="7"/>
        <v>5</v>
      </c>
      <c r="W8" s="16"/>
      <c r="X8" s="81"/>
      <c r="Y8" s="81"/>
      <c r="Z8" s="81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</row>
    <row r="9" spans="1:37" ht="13.9" customHeight="1">
      <c r="A9" s="168">
        <v>11051</v>
      </c>
      <c r="B9" s="169" t="s">
        <v>119</v>
      </c>
      <c r="C9" s="167" t="str">
        <f>Rollover!A9</f>
        <v>Ford</v>
      </c>
      <c r="D9" s="167" t="str">
        <f>Rollover!B9</f>
        <v>Explorer HEV SUV RWD</v>
      </c>
      <c r="E9" s="6" t="s">
        <v>73</v>
      </c>
      <c r="F9" s="165">
        <f>Rollover!C9</f>
        <v>2023</v>
      </c>
      <c r="G9" s="92">
        <v>287.851</v>
      </c>
      <c r="H9" s="12">
        <v>21.36</v>
      </c>
      <c r="I9" s="12">
        <v>39.426000000000002</v>
      </c>
      <c r="J9" s="93">
        <v>22.838000000000001</v>
      </c>
      <c r="K9" s="93">
        <v>2546.933</v>
      </c>
      <c r="L9" s="26">
        <f t="shared" si="10"/>
        <v>7.785801547796658E-3</v>
      </c>
      <c r="M9" s="27">
        <f t="shared" si="0"/>
        <v>1.9620150370070557E-2</v>
      </c>
      <c r="N9" s="26">
        <f t="shared" si="1"/>
        <v>2.7E-2</v>
      </c>
      <c r="O9" s="6">
        <f t="shared" si="2"/>
        <v>0.18</v>
      </c>
      <c r="P9" s="25">
        <f t="shared" si="3"/>
        <v>5</v>
      </c>
      <c r="Q9" s="94">
        <f>ROUND((0.8*'Side MDB'!W9+0.2*'Side Pole'!N9),3)</f>
        <v>4.4999999999999998E-2</v>
      </c>
      <c r="R9" s="95">
        <f t="shared" si="4"/>
        <v>0.3</v>
      </c>
      <c r="S9" s="96">
        <f t="shared" si="5"/>
        <v>5</v>
      </c>
      <c r="T9" s="95">
        <f>ROUND(((0.8*'Side MDB'!W9+0.2*'Side Pole'!N9)+(IF('Side MDB'!X9="N/A",(0.8*'Side MDB'!W9+0.2*'Side Pole'!N9),'Side MDB'!X9)))/2,3)</f>
        <v>3.4000000000000002E-2</v>
      </c>
      <c r="U9" s="95">
        <f t="shared" si="6"/>
        <v>0.23</v>
      </c>
      <c r="V9" s="25">
        <f t="shared" si="7"/>
        <v>5</v>
      </c>
      <c r="W9" s="16"/>
      <c r="X9" s="81"/>
      <c r="Y9" s="81"/>
      <c r="Z9" s="81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</row>
    <row r="10" spans="1:37" ht="13.9" customHeight="1">
      <c r="A10" s="168">
        <v>11051</v>
      </c>
      <c r="B10" s="169" t="s">
        <v>119</v>
      </c>
      <c r="C10" s="167" t="str">
        <f>Rollover!A10</f>
        <v>Ford</v>
      </c>
      <c r="D10" s="167" t="str">
        <f>Rollover!B10</f>
        <v>Explorer HEV SUV 4WD</v>
      </c>
      <c r="E10" s="6" t="s">
        <v>73</v>
      </c>
      <c r="F10" s="165">
        <f>Rollover!C10</f>
        <v>2023</v>
      </c>
      <c r="G10" s="92">
        <v>287.851</v>
      </c>
      <c r="H10" s="12">
        <v>21.36</v>
      </c>
      <c r="I10" s="12">
        <v>39.426000000000002</v>
      </c>
      <c r="J10" s="93">
        <v>22.838000000000001</v>
      </c>
      <c r="K10" s="93">
        <v>2546.933</v>
      </c>
      <c r="L10" s="26">
        <f t="shared" si="10"/>
        <v>7.785801547796658E-3</v>
      </c>
      <c r="M10" s="27">
        <f t="shared" si="0"/>
        <v>1.9620150370070557E-2</v>
      </c>
      <c r="N10" s="26">
        <f t="shared" si="1"/>
        <v>2.7E-2</v>
      </c>
      <c r="O10" s="6">
        <f t="shared" si="2"/>
        <v>0.18</v>
      </c>
      <c r="P10" s="25">
        <f t="shared" si="3"/>
        <v>5</v>
      </c>
      <c r="Q10" s="94">
        <f>ROUND((0.8*'Side MDB'!W10+0.2*'Side Pole'!N10),3)</f>
        <v>4.4999999999999998E-2</v>
      </c>
      <c r="R10" s="95">
        <f t="shared" si="4"/>
        <v>0.3</v>
      </c>
      <c r="S10" s="96">
        <f t="shared" si="5"/>
        <v>5</v>
      </c>
      <c r="T10" s="95">
        <f>ROUND(((0.8*'Side MDB'!W10+0.2*'Side Pole'!N10)+(IF('Side MDB'!X10="N/A",(0.8*'Side MDB'!W10+0.2*'Side Pole'!N10),'Side MDB'!X10)))/2,3)</f>
        <v>3.4000000000000002E-2</v>
      </c>
      <c r="U10" s="95">
        <f t="shared" si="6"/>
        <v>0.23</v>
      </c>
      <c r="V10" s="25">
        <f t="shared" si="7"/>
        <v>5</v>
      </c>
      <c r="W10" s="16"/>
      <c r="X10" s="81"/>
      <c r="Y10" s="81"/>
      <c r="Z10" s="81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</row>
    <row r="11" spans="1:37" ht="13.9" customHeight="1">
      <c r="A11" s="168">
        <v>11051</v>
      </c>
      <c r="B11" s="169" t="s">
        <v>119</v>
      </c>
      <c r="C11" s="167" t="str">
        <f>Rollover!A11</f>
        <v>Lincoln</v>
      </c>
      <c r="D11" s="167" t="str">
        <f>Rollover!B11</f>
        <v>Aviator SUV RWD</v>
      </c>
      <c r="E11" s="6" t="s">
        <v>73</v>
      </c>
      <c r="F11" s="165">
        <f>Rollover!C11</f>
        <v>2023</v>
      </c>
      <c r="G11" s="92">
        <v>287.851</v>
      </c>
      <c r="H11" s="12">
        <v>21.36</v>
      </c>
      <c r="I11" s="12">
        <v>39.426000000000002</v>
      </c>
      <c r="J11" s="93">
        <v>22.838000000000001</v>
      </c>
      <c r="K11" s="93">
        <v>2546.933</v>
      </c>
      <c r="L11" s="26">
        <f t="shared" si="10"/>
        <v>7.785801547796658E-3</v>
      </c>
      <c r="M11" s="27">
        <f t="shared" si="0"/>
        <v>1.9620150370070557E-2</v>
      </c>
      <c r="N11" s="26">
        <f t="shared" si="1"/>
        <v>2.7E-2</v>
      </c>
      <c r="O11" s="6">
        <f t="shared" si="2"/>
        <v>0.18</v>
      </c>
      <c r="P11" s="25">
        <f t="shared" si="3"/>
        <v>5</v>
      </c>
      <c r="Q11" s="94">
        <f>ROUND((0.8*'Side MDB'!W11+0.2*'Side Pole'!N11),3)</f>
        <v>4.4999999999999998E-2</v>
      </c>
      <c r="R11" s="95">
        <f t="shared" si="4"/>
        <v>0.3</v>
      </c>
      <c r="S11" s="96">
        <f t="shared" si="5"/>
        <v>5</v>
      </c>
      <c r="T11" s="95">
        <f>ROUND(((0.8*'Side MDB'!W11+0.2*'Side Pole'!N11)+(IF('Side MDB'!X11="N/A",(0.8*'Side MDB'!W11+0.2*'Side Pole'!N11),'Side MDB'!X11)))/2,3)</f>
        <v>3.4000000000000002E-2</v>
      </c>
      <c r="U11" s="95">
        <f t="shared" si="6"/>
        <v>0.23</v>
      </c>
      <c r="V11" s="25">
        <f t="shared" si="7"/>
        <v>5</v>
      </c>
      <c r="W11" s="16"/>
      <c r="X11" s="81"/>
      <c r="Y11" s="81"/>
      <c r="Z11" s="81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</row>
    <row r="12" spans="1:37" ht="13.9" customHeight="1">
      <c r="A12" s="168">
        <v>11051</v>
      </c>
      <c r="B12" s="169" t="s">
        <v>119</v>
      </c>
      <c r="C12" s="167" t="str">
        <f>Rollover!A12</f>
        <v>Lincoln</v>
      </c>
      <c r="D12" s="167" t="str">
        <f>Rollover!B12</f>
        <v>Aviator SUV 4WD</v>
      </c>
      <c r="E12" s="6" t="s">
        <v>73</v>
      </c>
      <c r="F12" s="165">
        <f>Rollover!C12</f>
        <v>2023</v>
      </c>
      <c r="G12" s="92">
        <v>287.851</v>
      </c>
      <c r="H12" s="12">
        <v>21.36</v>
      </c>
      <c r="I12" s="12">
        <v>39.426000000000002</v>
      </c>
      <c r="J12" s="93">
        <v>22.838000000000001</v>
      </c>
      <c r="K12" s="93">
        <v>2546.933</v>
      </c>
      <c r="L12" s="26">
        <f t="shared" si="10"/>
        <v>7.785801547796658E-3</v>
      </c>
      <c r="M12" s="27">
        <f t="shared" si="0"/>
        <v>1.9620150370070557E-2</v>
      </c>
      <c r="N12" s="26">
        <f t="shared" si="1"/>
        <v>2.7E-2</v>
      </c>
      <c r="O12" s="6">
        <f t="shared" si="2"/>
        <v>0.18</v>
      </c>
      <c r="P12" s="25">
        <f t="shared" si="3"/>
        <v>5</v>
      </c>
      <c r="Q12" s="94">
        <f>ROUND((0.8*'Side MDB'!W12+0.2*'Side Pole'!N12),3)</f>
        <v>4.4999999999999998E-2</v>
      </c>
      <c r="R12" s="95">
        <f t="shared" si="4"/>
        <v>0.3</v>
      </c>
      <c r="S12" s="96">
        <f t="shared" si="5"/>
        <v>5</v>
      </c>
      <c r="T12" s="95">
        <f>ROUND(((0.8*'Side MDB'!W12+0.2*'Side Pole'!N12)+(IF('Side MDB'!X12="N/A",(0.8*'Side MDB'!W12+0.2*'Side Pole'!N12),'Side MDB'!X12)))/2,3)</f>
        <v>3.4000000000000002E-2</v>
      </c>
      <c r="U12" s="95">
        <f t="shared" si="6"/>
        <v>0.23</v>
      </c>
      <c r="V12" s="25">
        <f t="shared" si="7"/>
        <v>5</v>
      </c>
      <c r="W12" s="16"/>
      <c r="X12" s="81"/>
      <c r="Y12" s="81"/>
      <c r="Z12" s="81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ht="13.9" customHeight="1">
      <c r="A13" s="163">
        <v>14291</v>
      </c>
      <c r="B13" s="163" t="s">
        <v>120</v>
      </c>
      <c r="C13" s="164" t="str">
        <f>Rollover!A13</f>
        <v xml:space="preserve">Honda </v>
      </c>
      <c r="D13" s="164" t="str">
        <f>Rollover!B13</f>
        <v>HR-V SUV FWD</v>
      </c>
      <c r="E13" s="67" t="s">
        <v>71</v>
      </c>
      <c r="F13" s="165">
        <f>Rollover!C13</f>
        <v>2023</v>
      </c>
      <c r="G13" s="92">
        <v>292.072</v>
      </c>
      <c r="H13" s="12">
        <v>19.196999999999999</v>
      </c>
      <c r="I13" s="12">
        <v>41.743000000000002</v>
      </c>
      <c r="J13" s="93">
        <v>18.065999999999999</v>
      </c>
      <c r="K13" s="93">
        <v>2510.424</v>
      </c>
      <c r="L13" s="26">
        <f t="shared" ref="L13:L14" si="11">NORMDIST(LN(G13),7.45231,0.73998,1)</f>
        <v>8.216995987454857E-3</v>
      </c>
      <c r="M13" s="27">
        <f t="shared" ref="M13:M14" si="12">1/(1+EXP(6.3055-0.00094*K13))</f>
        <v>1.8970796831674203E-2</v>
      </c>
      <c r="N13" s="26">
        <f t="shared" ref="N13:N14" si="13">ROUND(1-(1-L13)*(1-M13),3)</f>
        <v>2.7E-2</v>
      </c>
      <c r="O13" s="6">
        <f t="shared" ref="O13:O14" si="14">ROUND(N13/0.15,2)</f>
        <v>0.18</v>
      </c>
      <c r="P13" s="25">
        <f t="shared" ref="P13:P14" si="15">IF(O13&lt;0.67,5,IF(O13&lt;1,4,IF(O13&lt;1.33,3,IF(O13&lt;2.67,2,1))))</f>
        <v>5</v>
      </c>
      <c r="Q13" s="94">
        <f>ROUND((0.8*'Side MDB'!W13+0.2*'Side Pole'!N13),3)</f>
        <v>3.2000000000000001E-2</v>
      </c>
      <c r="R13" s="95">
        <f t="shared" ref="R13:R14" si="16">ROUND((Q13)/0.15,2)</f>
        <v>0.21</v>
      </c>
      <c r="S13" s="96">
        <f t="shared" ref="S13:S14" si="17">IF(R13&lt;0.67,5,IF(R13&lt;1,4,IF(R13&lt;1.33,3,IF(R13&lt;2.67,2,1))))</f>
        <v>5</v>
      </c>
      <c r="T13" s="95">
        <f>ROUND(((0.8*'Side MDB'!W13+0.2*'Side Pole'!N13)+(IF('Side MDB'!X13="N/A",(0.8*'Side MDB'!W13+0.2*'Side Pole'!N13),'Side MDB'!X13)))/2,3)</f>
        <v>5.3999999999999999E-2</v>
      </c>
      <c r="U13" s="95">
        <f t="shared" ref="U13:U14" si="18">ROUND((T13)/0.15,2)</f>
        <v>0.36</v>
      </c>
      <c r="V13" s="25">
        <f t="shared" ref="V13:V14" si="19">IF(U13&lt;0.67,5,IF(U13&lt;1,4,IF(U13&lt;1.33,3,IF(U13&lt;2.67,2,1))))</f>
        <v>5</v>
      </c>
      <c r="W13" s="16"/>
      <c r="X13" s="81"/>
      <c r="Y13" s="81"/>
      <c r="Z13" s="81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ht="13.9" customHeight="1">
      <c r="A14" s="163">
        <v>14291</v>
      </c>
      <c r="B14" s="163" t="s">
        <v>120</v>
      </c>
      <c r="C14" s="164" t="str">
        <f>Rollover!A14</f>
        <v xml:space="preserve">Honda </v>
      </c>
      <c r="D14" s="164" t="str">
        <f>Rollover!B14</f>
        <v>HR-V SUV AWD</v>
      </c>
      <c r="E14" s="67" t="s">
        <v>71</v>
      </c>
      <c r="F14" s="165">
        <f>Rollover!C14</f>
        <v>2023</v>
      </c>
      <c r="G14" s="92">
        <v>292.072</v>
      </c>
      <c r="H14" s="12">
        <v>19.196999999999999</v>
      </c>
      <c r="I14" s="12">
        <v>41.743000000000002</v>
      </c>
      <c r="J14" s="93">
        <v>18.065999999999999</v>
      </c>
      <c r="K14" s="93">
        <v>2510.424</v>
      </c>
      <c r="L14" s="26">
        <f t="shared" si="11"/>
        <v>8.216995987454857E-3</v>
      </c>
      <c r="M14" s="27">
        <f t="shared" si="12"/>
        <v>1.8970796831674203E-2</v>
      </c>
      <c r="N14" s="26">
        <f t="shared" si="13"/>
        <v>2.7E-2</v>
      </c>
      <c r="O14" s="6">
        <f t="shared" si="14"/>
        <v>0.18</v>
      </c>
      <c r="P14" s="25">
        <f t="shared" si="15"/>
        <v>5</v>
      </c>
      <c r="Q14" s="94">
        <f>ROUND((0.8*'Side MDB'!W14+0.2*'Side Pole'!N14),3)</f>
        <v>3.2000000000000001E-2</v>
      </c>
      <c r="R14" s="95">
        <f t="shared" si="16"/>
        <v>0.21</v>
      </c>
      <c r="S14" s="96">
        <f t="shared" si="17"/>
        <v>5</v>
      </c>
      <c r="T14" s="95">
        <f>ROUND(((0.8*'Side MDB'!W14+0.2*'Side Pole'!N14)+(IF('Side MDB'!X14="N/A",(0.8*'Side MDB'!W14+0.2*'Side Pole'!N14),'Side MDB'!X14)))/2,3)</f>
        <v>5.3999999999999999E-2</v>
      </c>
      <c r="U14" s="95">
        <f t="shared" si="18"/>
        <v>0.36</v>
      </c>
      <c r="V14" s="25">
        <f t="shared" si="19"/>
        <v>5</v>
      </c>
      <c r="W14" s="16"/>
      <c r="X14" s="81"/>
      <c r="Y14" s="81"/>
      <c r="Z14" s="81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ht="13.9" customHeight="1">
      <c r="A15" s="163">
        <v>14277</v>
      </c>
      <c r="B15" s="163" t="s">
        <v>121</v>
      </c>
      <c r="C15" s="164" t="str">
        <f>Rollover!A15</f>
        <v>Jeep</v>
      </c>
      <c r="D15" s="164" t="str">
        <f>Rollover!B15</f>
        <v>Grand Cherokee SUV RWD</v>
      </c>
      <c r="E15" s="67" t="s">
        <v>77</v>
      </c>
      <c r="F15" s="165">
        <f>Rollover!C15</f>
        <v>2023</v>
      </c>
      <c r="G15" s="92">
        <v>458.16500000000002</v>
      </c>
      <c r="H15" s="12">
        <v>27.802</v>
      </c>
      <c r="I15" s="12">
        <v>41.142000000000003</v>
      </c>
      <c r="J15" s="93">
        <v>27.253</v>
      </c>
      <c r="K15" s="93">
        <v>2348.3760000000002</v>
      </c>
      <c r="L15" s="26">
        <f t="shared" ref="L15:L18" si="20">NORMDIST(LN(G15),7.45231,0.73998,1)</f>
        <v>3.6670894891490342E-2</v>
      </c>
      <c r="M15" s="27">
        <f t="shared" ref="M15:M18" si="21">1/(1+EXP(6.3055-0.00094*K15))</f>
        <v>1.6334177119369801E-2</v>
      </c>
      <c r="N15" s="26">
        <f t="shared" ref="N15:N18" si="22">ROUND(1-(1-L15)*(1-M15),3)</f>
        <v>5.1999999999999998E-2</v>
      </c>
      <c r="O15" s="6">
        <f t="shared" ref="O15:O18" si="23">ROUND(N15/0.15,2)</f>
        <v>0.35</v>
      </c>
      <c r="P15" s="25">
        <f t="shared" ref="P15:P18" si="24">IF(O15&lt;0.67,5,IF(O15&lt;1,4,IF(O15&lt;1.33,3,IF(O15&lt;2.67,2,1))))</f>
        <v>5</v>
      </c>
      <c r="Q15" s="94">
        <f>ROUND((0.8*'Side MDB'!W15+0.2*'Side Pole'!N15),3)</f>
        <v>4.8000000000000001E-2</v>
      </c>
      <c r="R15" s="95">
        <f t="shared" ref="R15:R18" si="25">ROUND((Q15)/0.15,2)</f>
        <v>0.32</v>
      </c>
      <c r="S15" s="96">
        <f t="shared" ref="S15:S18" si="26">IF(R15&lt;0.67,5,IF(R15&lt;1,4,IF(R15&lt;1.33,3,IF(R15&lt;2.67,2,1))))</f>
        <v>5</v>
      </c>
      <c r="T15" s="95">
        <f>ROUND(((0.8*'Side MDB'!W15+0.2*'Side Pole'!N15)+(IF('Side MDB'!X15="N/A",(0.8*'Side MDB'!W15+0.2*'Side Pole'!N15),'Side MDB'!X15)))/2,3)</f>
        <v>3.3000000000000002E-2</v>
      </c>
      <c r="U15" s="95">
        <f t="shared" ref="U15:U18" si="27">ROUND((T15)/0.15,2)</f>
        <v>0.22</v>
      </c>
      <c r="V15" s="25">
        <f t="shared" ref="V15:V18" si="28">IF(U15&lt;0.67,5,IF(U15&lt;1,4,IF(U15&lt;1.33,3,IF(U15&lt;2.67,2,1))))</f>
        <v>5</v>
      </c>
      <c r="W15" s="16"/>
      <c r="X15" s="81"/>
      <c r="Y15" s="81"/>
      <c r="Z15" s="81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13.9" customHeight="1">
      <c r="A16" s="163">
        <v>14277</v>
      </c>
      <c r="B16" s="163" t="s">
        <v>121</v>
      </c>
      <c r="C16" s="164" t="str">
        <f>Rollover!A16</f>
        <v xml:space="preserve">Jeep </v>
      </c>
      <c r="D16" s="164" t="str">
        <f>Rollover!B16</f>
        <v>Grand Cherokee SUV 4WD</v>
      </c>
      <c r="E16" s="67" t="s">
        <v>77</v>
      </c>
      <c r="F16" s="165">
        <f>Rollover!C16</f>
        <v>2023</v>
      </c>
      <c r="G16" s="92">
        <v>458.16500000000002</v>
      </c>
      <c r="H16" s="12">
        <v>27.802</v>
      </c>
      <c r="I16" s="12">
        <v>41.142000000000003</v>
      </c>
      <c r="J16" s="93">
        <v>27.253</v>
      </c>
      <c r="K16" s="93">
        <v>2348.3760000000002</v>
      </c>
      <c r="L16" s="26">
        <f t="shared" si="20"/>
        <v>3.6670894891490342E-2</v>
      </c>
      <c r="M16" s="27">
        <f t="shared" si="21"/>
        <v>1.6334177119369801E-2</v>
      </c>
      <c r="N16" s="26">
        <f t="shared" si="22"/>
        <v>5.1999999999999998E-2</v>
      </c>
      <c r="O16" s="6">
        <f t="shared" si="23"/>
        <v>0.35</v>
      </c>
      <c r="P16" s="25">
        <f t="shared" si="24"/>
        <v>5</v>
      </c>
      <c r="Q16" s="94">
        <f>ROUND((0.8*'Side MDB'!W16+0.2*'Side Pole'!N16),3)</f>
        <v>4.8000000000000001E-2</v>
      </c>
      <c r="R16" s="95">
        <f t="shared" si="25"/>
        <v>0.32</v>
      </c>
      <c r="S16" s="96">
        <f t="shared" si="26"/>
        <v>5</v>
      </c>
      <c r="T16" s="95">
        <f>ROUND(((0.8*'Side MDB'!W16+0.2*'Side Pole'!N16)+(IF('Side MDB'!X16="N/A",(0.8*'Side MDB'!W16+0.2*'Side Pole'!N16),'Side MDB'!X16)))/2,3)</f>
        <v>3.3000000000000002E-2</v>
      </c>
      <c r="U16" s="95">
        <f t="shared" si="27"/>
        <v>0.22</v>
      </c>
      <c r="V16" s="25">
        <f t="shared" si="28"/>
        <v>5</v>
      </c>
      <c r="W16" s="16"/>
      <c r="X16" s="81"/>
      <c r="Y16" s="81"/>
      <c r="Z16" s="81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ht="13.9" customHeight="1">
      <c r="A17" s="163">
        <v>14249</v>
      </c>
      <c r="B17" s="163" t="s">
        <v>122</v>
      </c>
      <c r="C17" s="167" t="str">
        <f>Rollover!A17</f>
        <v>Jeep</v>
      </c>
      <c r="D17" s="167" t="str">
        <f>Rollover!B17</f>
        <v>Grand Cherokee L SUV RWD</v>
      </c>
      <c r="E17" s="6" t="s">
        <v>79</v>
      </c>
      <c r="F17" s="165">
        <f>Rollover!C17</f>
        <v>2023</v>
      </c>
      <c r="G17" s="92">
        <v>376.43900000000002</v>
      </c>
      <c r="H17" s="12">
        <v>23.91</v>
      </c>
      <c r="I17" s="12">
        <v>31.498000000000001</v>
      </c>
      <c r="J17" s="93">
        <v>21.652999999999999</v>
      </c>
      <c r="K17" s="93">
        <v>1921.046</v>
      </c>
      <c r="L17" s="26">
        <f t="shared" si="20"/>
        <v>1.9881158367278041E-2</v>
      </c>
      <c r="M17" s="27">
        <f t="shared" si="21"/>
        <v>1.0990020807831475E-2</v>
      </c>
      <c r="N17" s="26">
        <f t="shared" si="22"/>
        <v>3.1E-2</v>
      </c>
      <c r="O17" s="6">
        <f t="shared" si="23"/>
        <v>0.21</v>
      </c>
      <c r="P17" s="25">
        <f t="shared" si="24"/>
        <v>5</v>
      </c>
      <c r="Q17" s="94">
        <f>ROUND((0.8*'Side MDB'!W17+0.2*'Side Pole'!N17),3)</f>
        <v>3.6999999999999998E-2</v>
      </c>
      <c r="R17" s="95">
        <f t="shared" si="25"/>
        <v>0.25</v>
      </c>
      <c r="S17" s="96">
        <f t="shared" si="26"/>
        <v>5</v>
      </c>
      <c r="T17" s="95">
        <f>ROUND(((0.8*'Side MDB'!W17+0.2*'Side Pole'!N17)+(IF('Side MDB'!X17="N/A",(0.8*'Side MDB'!W17+0.2*'Side Pole'!N17),'Side MDB'!X17)))/2,3)</f>
        <v>2.3E-2</v>
      </c>
      <c r="U17" s="95">
        <f t="shared" si="27"/>
        <v>0.15</v>
      </c>
      <c r="V17" s="25">
        <f t="shared" si="28"/>
        <v>5</v>
      </c>
      <c r="W17" s="16"/>
      <c r="X17" s="81"/>
      <c r="Y17" s="81"/>
      <c r="Z17" s="81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ht="13.9" customHeight="1">
      <c r="A18" s="163">
        <v>14249</v>
      </c>
      <c r="B18" s="163" t="s">
        <v>122</v>
      </c>
      <c r="C18" s="167" t="str">
        <f>Rollover!A18</f>
        <v>Jeep</v>
      </c>
      <c r="D18" s="167" t="str">
        <f>Rollover!B18</f>
        <v>Grand Cherokee L SUV 4WD</v>
      </c>
      <c r="E18" s="6" t="s">
        <v>79</v>
      </c>
      <c r="F18" s="165">
        <f>Rollover!C18</f>
        <v>2023</v>
      </c>
      <c r="G18" s="92">
        <v>376.43900000000002</v>
      </c>
      <c r="H18" s="12">
        <v>23.91</v>
      </c>
      <c r="I18" s="12">
        <v>31.498000000000001</v>
      </c>
      <c r="J18" s="93">
        <v>21.652999999999999</v>
      </c>
      <c r="K18" s="93">
        <v>1921.046</v>
      </c>
      <c r="L18" s="26">
        <f t="shared" si="20"/>
        <v>1.9881158367278041E-2</v>
      </c>
      <c r="M18" s="27">
        <f t="shared" si="21"/>
        <v>1.0990020807831475E-2</v>
      </c>
      <c r="N18" s="26">
        <f t="shared" si="22"/>
        <v>3.1E-2</v>
      </c>
      <c r="O18" s="6">
        <f t="shared" si="23"/>
        <v>0.21</v>
      </c>
      <c r="P18" s="25">
        <f t="shared" si="24"/>
        <v>5</v>
      </c>
      <c r="Q18" s="94">
        <f>ROUND((0.8*'Side MDB'!W18+0.2*'Side Pole'!N18),3)</f>
        <v>3.6999999999999998E-2</v>
      </c>
      <c r="R18" s="95">
        <f t="shared" si="25"/>
        <v>0.25</v>
      </c>
      <c r="S18" s="96">
        <f t="shared" si="26"/>
        <v>5</v>
      </c>
      <c r="T18" s="95">
        <f>ROUND(((0.8*'Side MDB'!W18+0.2*'Side Pole'!N18)+(IF('Side MDB'!X18="N/A",(0.8*'Side MDB'!W18+0.2*'Side Pole'!N18),'Side MDB'!X18)))/2,3)</f>
        <v>2.3E-2</v>
      </c>
      <c r="U18" s="95">
        <f t="shared" si="27"/>
        <v>0.15</v>
      </c>
      <c r="V18" s="25">
        <f t="shared" si="28"/>
        <v>5</v>
      </c>
      <c r="W18" s="16"/>
      <c r="X18" s="81"/>
      <c r="Y18" s="81"/>
      <c r="Z18" s="81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ht="13.9" customHeight="1">
      <c r="A19" s="162"/>
      <c r="B19" s="163"/>
      <c r="C19" s="164" t="str">
        <f>Rollover!A19</f>
        <v>Mazda</v>
      </c>
      <c r="D19" s="164" t="str">
        <f>Rollover!B19</f>
        <v>Mazda CX-50 SUV AWD</v>
      </c>
      <c r="E19" s="67"/>
      <c r="F19" s="165">
        <f>Rollover!C19</f>
        <v>2023</v>
      </c>
      <c r="G19" s="241"/>
      <c r="H19" s="20"/>
      <c r="I19" s="20"/>
      <c r="J19" s="242"/>
      <c r="K19" s="21"/>
      <c r="L19" s="26" t="e">
        <f t="shared" ref="L19" si="29">NORMDIST(LN(G19),7.45231,0.73998,1)</f>
        <v>#NUM!</v>
      </c>
      <c r="M19" s="27">
        <f t="shared" ref="M19" si="30">1/(1+EXP(6.3055-0.00094*K19))</f>
        <v>1.8229037773026034E-3</v>
      </c>
      <c r="N19" s="26" t="e">
        <f t="shared" ref="N19" si="31">ROUND(1-(1-L19)*(1-M19),3)</f>
        <v>#NUM!</v>
      </c>
      <c r="O19" s="6" t="e">
        <f t="shared" ref="O19" si="32">ROUND(N19/0.15,2)</f>
        <v>#NUM!</v>
      </c>
      <c r="P19" s="25" t="e">
        <f t="shared" ref="P19" si="33">IF(O19&lt;0.67,5,IF(O19&lt;1,4,IF(O19&lt;1.33,3,IF(O19&lt;2.67,2,1))))</f>
        <v>#NUM!</v>
      </c>
      <c r="Q19" s="94" t="e">
        <f>ROUND((0.8*'Side MDB'!W19+0.2*'Side Pole'!N19),3)</f>
        <v>#NUM!</v>
      </c>
      <c r="R19" s="95" t="e">
        <f t="shared" ref="R19" si="34">ROUND((Q19)/0.15,2)</f>
        <v>#NUM!</v>
      </c>
      <c r="S19" s="96" t="e">
        <f t="shared" ref="S19" si="35">IF(R19&lt;0.67,5,IF(R19&lt;1,4,IF(R19&lt;1.33,3,IF(R19&lt;2.67,2,1))))</f>
        <v>#NUM!</v>
      </c>
      <c r="T19" s="95" t="e">
        <f>ROUND(((0.8*'Side MDB'!W19+0.2*'Side Pole'!N19)+(IF('Side MDB'!X19="N/A",(0.8*'Side MDB'!W19+0.2*'Side Pole'!N19),'Side MDB'!X19)))/2,3)</f>
        <v>#NUM!</v>
      </c>
      <c r="U19" s="95" t="e">
        <f t="shared" ref="U19" si="36">ROUND((T19)/0.15,2)</f>
        <v>#NUM!</v>
      </c>
      <c r="V19" s="25" t="e">
        <f t="shared" ref="V19" si="37">IF(U19&lt;0.67,5,IF(U19&lt;1,4,IF(U19&lt;1.33,3,IF(U19&lt;2.67,2,1))))</f>
        <v>#NUM!</v>
      </c>
      <c r="W19" s="16"/>
      <c r="X19" s="81"/>
      <c r="Y19" s="81"/>
      <c r="Z19" s="81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</row>
    <row r="20" spans="1:37" ht="13.9" customHeight="1">
      <c r="N20" s="166"/>
      <c r="O20" s="166"/>
      <c r="P20" s="170"/>
      <c r="Q20" s="166"/>
    </row>
    <row r="21" spans="1:37" ht="13.9" customHeight="1">
      <c r="N21" s="166"/>
      <c r="O21" s="166"/>
      <c r="P21" s="170"/>
      <c r="Q21" s="166"/>
    </row>
    <row r="22" spans="1:37" ht="13.9" customHeight="1">
      <c r="N22" s="166"/>
      <c r="O22" s="166"/>
      <c r="P22" s="170"/>
      <c r="Q22" s="166"/>
    </row>
    <row r="23" spans="1:37" ht="13.9" customHeight="1">
      <c r="N23" s="166"/>
      <c r="O23" s="166"/>
      <c r="P23" s="170"/>
      <c r="Q23" s="166"/>
    </row>
    <row r="24" spans="1:37" ht="13.9" customHeight="1">
      <c r="N24" s="166"/>
      <c r="O24" s="166"/>
      <c r="P24" s="170"/>
      <c r="Q24" s="166"/>
    </row>
    <row r="25" spans="1:37" ht="13.9" customHeight="1">
      <c r="N25" s="166"/>
      <c r="O25" s="166"/>
      <c r="P25" s="170"/>
      <c r="Q25" s="166"/>
    </row>
    <row r="26" spans="1:37" ht="13.9" customHeight="1">
      <c r="N26" s="166"/>
      <c r="O26" s="166"/>
      <c r="P26" s="170"/>
      <c r="Q26" s="166"/>
    </row>
    <row r="27" spans="1:37" ht="13.9" customHeight="1">
      <c r="N27" s="166"/>
      <c r="O27" s="166"/>
      <c r="P27" s="170"/>
      <c r="Q27" s="166"/>
    </row>
    <row r="28" spans="1:37" ht="13.9" customHeight="1">
      <c r="N28" s="166"/>
      <c r="O28" s="166"/>
      <c r="P28" s="170"/>
      <c r="Q28" s="166"/>
    </row>
    <row r="29" spans="1:37" ht="13.9" customHeight="1">
      <c r="N29" s="166"/>
      <c r="O29" s="166"/>
      <c r="P29" s="170"/>
      <c r="Q29" s="166"/>
    </row>
    <row r="30" spans="1:37" ht="13.9" customHeight="1">
      <c r="N30" s="166"/>
      <c r="O30" s="166"/>
      <c r="P30" s="170"/>
      <c r="Q30" s="166"/>
    </row>
    <row r="31" spans="1:37" ht="13.9" customHeight="1">
      <c r="N31" s="166"/>
      <c r="O31" s="166"/>
      <c r="P31" s="170"/>
      <c r="Q31" s="166"/>
    </row>
    <row r="32" spans="1:37" ht="13.9" customHeight="1">
      <c r="N32" s="166"/>
      <c r="O32" s="166"/>
      <c r="P32" s="170"/>
      <c r="Q32" s="166"/>
    </row>
    <row r="33" spans="14:17" ht="13.9" customHeight="1">
      <c r="N33" s="166"/>
      <c r="O33" s="166"/>
      <c r="P33" s="170"/>
      <c r="Q33" s="166"/>
    </row>
    <row r="34" spans="14:17" ht="13.9" customHeight="1">
      <c r="N34" s="166"/>
      <c r="O34" s="166"/>
      <c r="P34" s="170"/>
      <c r="Q34" s="166"/>
    </row>
    <row r="35" spans="14:17" ht="13.9" customHeight="1">
      <c r="N35" s="166"/>
      <c r="O35" s="166"/>
      <c r="P35" s="170"/>
      <c r="Q35" s="166"/>
    </row>
    <row r="36" spans="14:17" ht="13.9" customHeight="1">
      <c r="N36" s="166"/>
      <c r="O36" s="166"/>
      <c r="P36" s="170"/>
      <c r="Q36" s="166"/>
    </row>
    <row r="37" spans="14:17" ht="13.9" customHeight="1">
      <c r="N37" s="166"/>
      <c r="O37" s="166"/>
      <c r="P37" s="170"/>
      <c r="Q37" s="166"/>
    </row>
    <row r="38" spans="14:17" ht="13.9" customHeight="1">
      <c r="N38" s="166"/>
      <c r="O38" s="166"/>
      <c r="P38" s="170"/>
      <c r="Q38" s="166"/>
    </row>
    <row r="39" spans="14:17" ht="13.9" customHeight="1">
      <c r="N39" s="166"/>
      <c r="O39" s="166"/>
      <c r="P39" s="170"/>
      <c r="Q39" s="166"/>
    </row>
    <row r="40" spans="14:17" ht="13.9" customHeight="1">
      <c r="N40" s="166"/>
      <c r="O40" s="166"/>
      <c r="P40" s="170"/>
      <c r="Q40" s="166"/>
    </row>
    <row r="41" spans="14:17" ht="13.9" customHeight="1">
      <c r="N41" s="166"/>
      <c r="O41" s="166"/>
      <c r="P41" s="170"/>
      <c r="Q41" s="166"/>
    </row>
    <row r="42" spans="14:17" ht="13.9" customHeight="1">
      <c r="N42" s="166"/>
      <c r="O42" s="166"/>
      <c r="P42" s="170"/>
      <c r="Q42" s="166"/>
    </row>
    <row r="43" spans="14:17" ht="13.9" customHeight="1">
      <c r="N43" s="166"/>
      <c r="O43" s="166"/>
      <c r="P43" s="170"/>
      <c r="Q43" s="166"/>
    </row>
    <row r="44" spans="14:17" ht="13.9" customHeight="1">
      <c r="N44" s="166"/>
      <c r="O44" s="166"/>
      <c r="P44" s="170"/>
      <c r="Q44" s="166"/>
    </row>
    <row r="45" spans="14:17" ht="13.9" customHeight="1">
      <c r="N45" s="166"/>
      <c r="O45" s="166"/>
      <c r="P45" s="170"/>
      <c r="Q45" s="166"/>
    </row>
    <row r="46" spans="14:17" ht="13.9" customHeight="1">
      <c r="N46" s="166"/>
      <c r="O46" s="166"/>
      <c r="P46" s="170"/>
      <c r="Q46" s="166"/>
    </row>
    <row r="47" spans="14:17" ht="13.9" customHeight="1">
      <c r="N47" s="166"/>
      <c r="O47" s="166"/>
      <c r="P47" s="170"/>
      <c r="Q47" s="166"/>
    </row>
    <row r="48" spans="14:17" ht="13.9" customHeight="1">
      <c r="N48" s="166"/>
      <c r="O48" s="166"/>
      <c r="P48" s="170"/>
      <c r="Q48" s="166"/>
    </row>
    <row r="49" spans="14:17" ht="13.9" customHeight="1">
      <c r="N49" s="166"/>
      <c r="O49" s="166"/>
      <c r="P49" s="170"/>
      <c r="Q49" s="166"/>
    </row>
    <row r="50" spans="14:17" ht="13.9" customHeight="1">
      <c r="N50" s="166"/>
      <c r="O50" s="166"/>
      <c r="P50" s="170"/>
      <c r="Q50" s="166"/>
    </row>
    <row r="51" spans="14:17" ht="13.9" customHeight="1">
      <c r="N51" s="166"/>
      <c r="O51" s="166"/>
      <c r="P51" s="170"/>
      <c r="Q51" s="166"/>
    </row>
    <row r="52" spans="14:17" ht="13.9" customHeight="1">
      <c r="N52" s="166"/>
      <c r="O52" s="166"/>
      <c r="P52" s="170"/>
      <c r="Q52" s="166"/>
    </row>
    <row r="53" spans="14:17" ht="13.9" customHeight="1">
      <c r="N53" s="166"/>
      <c r="O53" s="166"/>
      <c r="P53" s="170"/>
      <c r="Q53" s="166"/>
    </row>
    <row r="54" spans="14:17" ht="13.9" customHeight="1">
      <c r="N54" s="166"/>
      <c r="O54" s="166"/>
      <c r="P54" s="170"/>
      <c r="Q54" s="166"/>
    </row>
    <row r="55" spans="14:17" ht="13.9" customHeight="1">
      <c r="N55" s="166"/>
      <c r="O55" s="166"/>
      <c r="P55" s="170"/>
      <c r="Q55" s="166"/>
    </row>
    <row r="56" spans="14:17" ht="13.9" customHeight="1">
      <c r="N56" s="166"/>
      <c r="O56" s="166"/>
      <c r="P56" s="170"/>
      <c r="Q56" s="166"/>
    </row>
    <row r="57" spans="14:17" ht="13.9" customHeight="1">
      <c r="N57" s="166"/>
      <c r="O57" s="166"/>
      <c r="P57" s="170"/>
      <c r="Q57" s="166"/>
    </row>
    <row r="58" spans="14:17" ht="13.9" customHeight="1">
      <c r="N58" s="166"/>
      <c r="O58" s="166"/>
      <c r="P58" s="170"/>
      <c r="Q58" s="166"/>
    </row>
    <row r="59" spans="14:17" ht="13.9" customHeight="1">
      <c r="N59" s="166"/>
      <c r="O59" s="166"/>
      <c r="P59" s="170"/>
      <c r="Q59" s="166"/>
    </row>
    <row r="60" spans="14:17" ht="13.9" customHeight="1">
      <c r="N60" s="166"/>
      <c r="O60" s="166"/>
      <c r="P60" s="170"/>
      <c r="Q60" s="166"/>
    </row>
    <row r="61" spans="14:17" ht="13.9" customHeight="1">
      <c r="N61" s="166"/>
      <c r="O61" s="166"/>
      <c r="P61" s="170"/>
      <c r="Q61" s="166"/>
    </row>
    <row r="62" spans="14:17" ht="13.9" customHeight="1">
      <c r="N62" s="166"/>
      <c r="O62" s="166"/>
      <c r="P62" s="170"/>
      <c r="Q62" s="166"/>
    </row>
    <row r="63" spans="14:17" ht="13.9" customHeight="1">
      <c r="N63" s="166"/>
      <c r="O63" s="166"/>
      <c r="P63" s="170"/>
      <c r="Q63" s="166"/>
    </row>
    <row r="64" spans="14:17" ht="13.9" customHeight="1">
      <c r="N64" s="166"/>
      <c r="O64" s="166"/>
      <c r="P64" s="170"/>
      <c r="Q64" s="166"/>
    </row>
    <row r="65" spans="14:17" ht="13.9" customHeight="1">
      <c r="N65" s="166"/>
      <c r="O65" s="166"/>
      <c r="P65" s="170"/>
      <c r="Q65" s="166"/>
    </row>
    <row r="66" spans="14:17" ht="13.9" customHeight="1">
      <c r="N66" s="166"/>
      <c r="O66" s="166"/>
      <c r="P66" s="170"/>
      <c r="Q66" s="166"/>
    </row>
    <row r="67" spans="14:17" ht="13.9" customHeight="1">
      <c r="N67" s="166"/>
      <c r="O67" s="166"/>
      <c r="P67" s="170"/>
      <c r="Q67" s="166"/>
    </row>
    <row r="68" spans="14:17" ht="13.9" customHeight="1">
      <c r="N68" s="166"/>
      <c r="O68" s="166"/>
      <c r="P68" s="170"/>
      <c r="Q68" s="166"/>
    </row>
    <row r="69" spans="14:17" ht="13.9" customHeight="1">
      <c r="N69" s="166"/>
      <c r="O69" s="166"/>
      <c r="P69" s="170"/>
      <c r="Q69" s="166"/>
    </row>
    <row r="70" spans="14:17" ht="13.9" customHeight="1">
      <c r="N70" s="166"/>
      <c r="O70" s="166"/>
      <c r="P70" s="170"/>
      <c r="Q70" s="166"/>
    </row>
    <row r="71" spans="14:17" ht="13.9" customHeight="1">
      <c r="N71" s="166"/>
      <c r="O71" s="166"/>
      <c r="P71" s="170"/>
      <c r="Q71" s="166"/>
    </row>
    <row r="72" spans="14:17" ht="13.9" customHeight="1">
      <c r="N72" s="166"/>
      <c r="O72" s="166"/>
      <c r="P72" s="170"/>
      <c r="Q72" s="166"/>
    </row>
    <row r="73" spans="14:17" ht="13.9" customHeight="1">
      <c r="N73" s="166"/>
      <c r="O73" s="166"/>
      <c r="P73" s="170"/>
      <c r="Q73" s="166"/>
    </row>
    <row r="74" spans="14:17" ht="13.9" customHeight="1">
      <c r="N74" s="166"/>
      <c r="O74" s="166"/>
      <c r="P74" s="170"/>
      <c r="Q74" s="166"/>
    </row>
    <row r="75" spans="14:17" ht="13.9" customHeight="1">
      <c r="N75" s="166"/>
      <c r="O75" s="166"/>
      <c r="P75" s="170"/>
      <c r="Q75" s="166"/>
    </row>
    <row r="76" spans="14:17" ht="13.9" customHeight="1">
      <c r="N76" s="166"/>
      <c r="O76" s="166"/>
      <c r="P76" s="170"/>
      <c r="Q76" s="166"/>
    </row>
    <row r="77" spans="14:17" ht="13.9" customHeight="1">
      <c r="N77" s="166"/>
      <c r="O77" s="166"/>
      <c r="P77" s="170"/>
      <c r="Q77" s="166"/>
    </row>
    <row r="78" spans="14:17" ht="13.9" customHeight="1">
      <c r="N78" s="166"/>
      <c r="O78" s="166"/>
      <c r="P78" s="170"/>
      <c r="Q78" s="166"/>
    </row>
    <row r="79" spans="14:17" ht="13.9" customHeight="1">
      <c r="N79" s="166"/>
      <c r="O79" s="166"/>
      <c r="P79" s="170"/>
      <c r="Q79" s="166"/>
    </row>
    <row r="80" spans="14:17" ht="13.9" customHeight="1">
      <c r="N80" s="166"/>
      <c r="O80" s="166"/>
      <c r="P80" s="170"/>
      <c r="Q80" s="166"/>
    </row>
    <row r="81" spans="14:17" ht="13.9" customHeight="1">
      <c r="N81" s="166"/>
      <c r="O81" s="166"/>
      <c r="P81" s="170"/>
      <c r="Q81" s="166"/>
    </row>
    <row r="82" spans="14:17" ht="13.9" customHeight="1">
      <c r="N82" s="166"/>
      <c r="O82" s="166"/>
      <c r="P82" s="170"/>
      <c r="Q82" s="166"/>
    </row>
    <row r="83" spans="14:17" ht="13.9" customHeight="1">
      <c r="N83" s="166"/>
      <c r="O83" s="166"/>
      <c r="P83" s="170"/>
      <c r="Q83" s="166"/>
    </row>
    <row r="84" spans="14:17" ht="13.9" customHeight="1">
      <c r="N84" s="166"/>
      <c r="O84" s="166"/>
      <c r="P84" s="170"/>
      <c r="Q84" s="166"/>
    </row>
    <row r="85" spans="14:17" ht="13.9" customHeight="1">
      <c r="N85" s="166"/>
      <c r="O85" s="166"/>
      <c r="P85" s="170"/>
      <c r="Q85" s="166"/>
    </row>
    <row r="86" spans="14:17" ht="13.9" customHeight="1">
      <c r="N86" s="166"/>
      <c r="O86" s="166"/>
      <c r="P86" s="170"/>
      <c r="Q86" s="166"/>
    </row>
    <row r="87" spans="14:17" ht="13.9" customHeight="1">
      <c r="N87" s="166"/>
      <c r="O87" s="166"/>
      <c r="P87" s="170"/>
      <c r="Q87" s="166"/>
    </row>
    <row r="88" spans="14:17" ht="13.9" customHeight="1">
      <c r="N88" s="166"/>
      <c r="O88" s="166"/>
      <c r="P88" s="170"/>
      <c r="Q88" s="166"/>
    </row>
    <row r="89" spans="14:17" ht="13.9" customHeight="1">
      <c r="N89" s="166"/>
      <c r="O89" s="166"/>
      <c r="P89" s="170"/>
      <c r="Q89" s="166"/>
    </row>
    <row r="90" spans="14:17" ht="13.9" customHeight="1">
      <c r="N90" s="166"/>
      <c r="O90" s="166"/>
      <c r="P90" s="170"/>
      <c r="Q90" s="166"/>
    </row>
    <row r="91" spans="14:17" ht="13.9" customHeight="1">
      <c r="N91" s="166"/>
      <c r="O91" s="166"/>
      <c r="P91" s="170"/>
      <c r="Q91" s="166"/>
    </row>
    <row r="92" spans="14:17" ht="13.9" customHeight="1">
      <c r="N92" s="166"/>
      <c r="O92" s="166"/>
      <c r="P92" s="170"/>
      <c r="Q92" s="166"/>
    </row>
    <row r="93" spans="14:17" ht="13.9" customHeight="1">
      <c r="N93" s="166"/>
      <c r="O93" s="166"/>
      <c r="P93" s="170"/>
      <c r="Q93" s="166"/>
    </row>
    <row r="94" spans="14:17" ht="13.9" customHeight="1">
      <c r="N94" s="166"/>
      <c r="O94" s="166"/>
      <c r="P94" s="170"/>
      <c r="Q94" s="166"/>
    </row>
    <row r="95" spans="14:17" ht="13.9" customHeight="1">
      <c r="N95" s="166"/>
      <c r="O95" s="166"/>
      <c r="P95" s="170"/>
      <c r="Q95" s="166"/>
    </row>
    <row r="96" spans="14:17" ht="13.9" customHeight="1">
      <c r="N96" s="166"/>
      <c r="O96" s="166"/>
      <c r="P96" s="170"/>
      <c r="Q96" s="166"/>
    </row>
    <row r="97" spans="14:17" ht="13.9" customHeight="1">
      <c r="N97" s="166"/>
      <c r="O97" s="166"/>
      <c r="P97" s="170"/>
      <c r="Q97" s="166"/>
    </row>
    <row r="98" spans="14:17" ht="13.9" customHeight="1">
      <c r="N98" s="166"/>
      <c r="O98" s="166"/>
      <c r="P98" s="170"/>
      <c r="Q98" s="166"/>
    </row>
    <row r="99" spans="14:17" ht="13.9" customHeight="1">
      <c r="N99" s="166"/>
      <c r="O99" s="166"/>
      <c r="P99" s="170"/>
      <c r="Q99" s="166"/>
    </row>
    <row r="100" spans="14:17" ht="13.9" customHeight="1">
      <c r="N100" s="166"/>
      <c r="O100" s="166"/>
      <c r="P100" s="170"/>
      <c r="Q100" s="166"/>
    </row>
    <row r="101" spans="14:17" ht="13.9" customHeight="1">
      <c r="N101" s="166"/>
      <c r="O101" s="166"/>
      <c r="P101" s="170"/>
      <c r="Q101" s="166"/>
    </row>
    <row r="102" spans="14:17" ht="13.9" customHeight="1">
      <c r="N102" s="166"/>
      <c r="O102" s="166"/>
      <c r="P102" s="170"/>
      <c r="Q102" s="166"/>
    </row>
    <row r="103" spans="14:17" ht="13.9" customHeight="1">
      <c r="N103" s="166"/>
      <c r="O103" s="166"/>
      <c r="P103" s="170"/>
      <c r="Q103" s="166"/>
    </row>
    <row r="104" spans="14:17" ht="13.9" customHeight="1">
      <c r="N104" s="166"/>
      <c r="O104" s="166"/>
      <c r="P104" s="170"/>
      <c r="Q104" s="166"/>
    </row>
    <row r="105" spans="14:17" ht="13.9" customHeight="1">
      <c r="N105" s="166"/>
      <c r="O105" s="166"/>
      <c r="P105" s="170"/>
      <c r="Q105" s="166"/>
    </row>
    <row r="106" spans="14:17" ht="13.9" customHeight="1">
      <c r="N106" s="166"/>
      <c r="O106" s="166"/>
      <c r="P106" s="170"/>
      <c r="Q106" s="166"/>
    </row>
    <row r="107" spans="14:17" ht="13.9" customHeight="1">
      <c r="N107" s="166"/>
      <c r="O107" s="166"/>
      <c r="P107" s="170"/>
      <c r="Q107" s="166"/>
    </row>
    <row r="108" spans="14:17" ht="13.9" customHeight="1">
      <c r="N108" s="166"/>
      <c r="O108" s="166"/>
      <c r="P108" s="170"/>
      <c r="Q108" s="166"/>
    </row>
    <row r="109" spans="14:17" ht="13.9" customHeight="1">
      <c r="N109" s="166"/>
      <c r="O109" s="166"/>
      <c r="P109" s="170"/>
      <c r="Q109" s="166"/>
    </row>
    <row r="110" spans="14:17" ht="13.9" customHeight="1">
      <c r="N110" s="166"/>
      <c r="O110" s="166"/>
      <c r="P110" s="170"/>
      <c r="Q110" s="166"/>
    </row>
    <row r="111" spans="14:17" ht="13.9" customHeight="1">
      <c r="N111" s="166"/>
      <c r="O111" s="166"/>
      <c r="P111" s="170"/>
      <c r="Q111" s="166"/>
    </row>
    <row r="112" spans="14:17" ht="13.9" customHeight="1">
      <c r="N112" s="166"/>
      <c r="O112" s="166"/>
      <c r="P112" s="170"/>
      <c r="Q112" s="166"/>
    </row>
    <row r="113" spans="14:17" ht="13.9" customHeight="1">
      <c r="N113" s="166"/>
      <c r="O113" s="166"/>
      <c r="P113" s="170"/>
      <c r="Q113" s="166"/>
    </row>
    <row r="114" spans="14:17" ht="13.9" customHeight="1">
      <c r="N114" s="166"/>
      <c r="O114" s="166"/>
      <c r="P114" s="170"/>
      <c r="Q114" s="166"/>
    </row>
    <row r="115" spans="14:17" ht="13.9" customHeight="1">
      <c r="N115" s="166"/>
      <c r="O115" s="166"/>
      <c r="P115" s="170"/>
      <c r="Q115" s="166"/>
    </row>
    <row r="116" spans="14:17" ht="13.9" customHeight="1">
      <c r="N116" s="166"/>
      <c r="O116" s="166"/>
      <c r="P116" s="170"/>
      <c r="Q116" s="166"/>
    </row>
    <row r="117" spans="14:17" ht="13.9" customHeight="1">
      <c r="N117" s="166"/>
      <c r="O117" s="166"/>
      <c r="P117" s="170"/>
      <c r="Q117" s="166"/>
    </row>
    <row r="118" spans="14:17" ht="13.9" customHeight="1">
      <c r="N118" s="166"/>
      <c r="O118" s="166"/>
      <c r="P118" s="170"/>
      <c r="Q118" s="166"/>
    </row>
    <row r="119" spans="14:17" ht="13.9" customHeight="1">
      <c r="N119" s="166"/>
      <c r="O119" s="166"/>
      <c r="P119" s="170"/>
      <c r="Q119" s="166"/>
    </row>
    <row r="120" spans="14:17" ht="13.9" customHeight="1">
      <c r="N120" s="166"/>
      <c r="O120" s="166"/>
      <c r="P120" s="170"/>
      <c r="Q120" s="166"/>
    </row>
    <row r="121" spans="14:17" ht="13.9" customHeight="1">
      <c r="N121" s="166"/>
      <c r="O121" s="166"/>
      <c r="P121" s="170"/>
      <c r="Q121" s="166"/>
    </row>
    <row r="122" spans="14:17" ht="13.9" customHeight="1">
      <c r="N122" s="166"/>
      <c r="O122" s="166"/>
      <c r="P122" s="170"/>
      <c r="Q122" s="166"/>
    </row>
    <row r="123" spans="14:17" ht="13.9" customHeight="1">
      <c r="N123" s="166"/>
      <c r="O123" s="166"/>
      <c r="P123" s="170"/>
      <c r="Q123" s="166"/>
    </row>
    <row r="124" spans="14:17" ht="13.9" customHeight="1">
      <c r="N124" s="166"/>
      <c r="O124" s="166"/>
      <c r="P124" s="170"/>
      <c r="Q124" s="166"/>
    </row>
    <row r="125" spans="14:17" ht="13.9" customHeight="1">
      <c r="N125" s="166"/>
      <c r="O125" s="166"/>
      <c r="P125" s="170"/>
      <c r="Q125" s="166"/>
    </row>
    <row r="126" spans="14:17" ht="13.9" customHeight="1">
      <c r="N126" s="166"/>
      <c r="O126" s="166"/>
      <c r="P126" s="170"/>
      <c r="Q126" s="166"/>
    </row>
    <row r="127" spans="14:17" ht="13.9" customHeight="1">
      <c r="N127" s="166"/>
      <c r="O127" s="166"/>
      <c r="P127" s="170"/>
      <c r="Q127" s="166"/>
    </row>
    <row r="128" spans="14:17" ht="13.9" customHeight="1">
      <c r="N128" s="166"/>
      <c r="O128" s="166"/>
      <c r="P128" s="170"/>
      <c r="Q128" s="166"/>
    </row>
    <row r="129" spans="14:17" ht="13.9" customHeight="1">
      <c r="N129" s="166"/>
      <c r="O129" s="166"/>
      <c r="P129" s="170"/>
      <c r="Q129" s="166"/>
    </row>
    <row r="130" spans="14:17" ht="13.9" customHeight="1">
      <c r="N130" s="166"/>
      <c r="O130" s="166"/>
      <c r="P130" s="170"/>
      <c r="Q130" s="166"/>
    </row>
    <row r="131" spans="14:17" ht="13.9" customHeight="1">
      <c r="N131" s="166"/>
      <c r="O131" s="166"/>
      <c r="P131" s="170"/>
      <c r="Q131" s="166"/>
    </row>
    <row r="132" spans="14:17" ht="13.9" customHeight="1">
      <c r="N132" s="166"/>
      <c r="O132" s="166"/>
      <c r="P132" s="170"/>
      <c r="Q132" s="166"/>
    </row>
    <row r="133" spans="14:17" ht="13.9" customHeight="1">
      <c r="N133" s="166"/>
      <c r="O133" s="166"/>
      <c r="P133" s="170"/>
      <c r="Q133" s="166"/>
    </row>
    <row r="134" spans="14:17" ht="13.9" customHeight="1">
      <c r="N134" s="166"/>
      <c r="O134" s="166"/>
      <c r="P134" s="170"/>
      <c r="Q134" s="166"/>
    </row>
    <row r="135" spans="14:17" ht="13.9" customHeight="1">
      <c r="N135" s="166"/>
      <c r="O135" s="166"/>
      <c r="P135" s="170"/>
      <c r="Q135" s="166"/>
    </row>
    <row r="136" spans="14:17" ht="13.9" customHeight="1">
      <c r="N136" s="166"/>
      <c r="O136" s="166"/>
      <c r="P136" s="170"/>
      <c r="Q136" s="166"/>
    </row>
    <row r="137" spans="14:17" ht="13.9" customHeight="1">
      <c r="N137" s="166"/>
      <c r="O137" s="166"/>
      <c r="P137" s="170"/>
      <c r="Q137" s="166"/>
    </row>
    <row r="138" spans="14:17" ht="13.9" customHeight="1">
      <c r="N138" s="166"/>
      <c r="O138" s="166"/>
      <c r="P138" s="170"/>
      <c r="Q138" s="166"/>
    </row>
    <row r="139" spans="14:17" ht="13.9" customHeight="1">
      <c r="N139" s="166"/>
      <c r="O139" s="166"/>
      <c r="P139" s="170"/>
      <c r="Q139" s="166"/>
    </row>
    <row r="140" spans="14:17" ht="13.9" customHeight="1">
      <c r="N140" s="166"/>
      <c r="O140" s="166"/>
      <c r="P140" s="170"/>
      <c r="Q140" s="166"/>
    </row>
    <row r="141" spans="14:17" ht="13.9" customHeight="1">
      <c r="N141" s="166"/>
      <c r="O141" s="166"/>
      <c r="P141" s="170"/>
      <c r="Q141" s="166"/>
    </row>
    <row r="142" spans="14:17" ht="13.9" customHeight="1">
      <c r="N142" s="166"/>
      <c r="O142" s="166"/>
      <c r="P142" s="170"/>
      <c r="Q142" s="166"/>
    </row>
    <row r="143" spans="14:17" ht="13.9" customHeight="1">
      <c r="N143" s="166"/>
      <c r="O143" s="166"/>
      <c r="P143" s="170"/>
      <c r="Q143" s="166"/>
    </row>
    <row r="144" spans="14:17" ht="13.9" customHeight="1">
      <c r="N144" s="166"/>
      <c r="O144" s="166"/>
      <c r="P144" s="170"/>
      <c r="Q144" s="166"/>
    </row>
    <row r="145" spans="14:17" ht="13.9" customHeight="1">
      <c r="N145" s="166"/>
      <c r="O145" s="166"/>
      <c r="P145" s="170"/>
      <c r="Q145" s="166"/>
    </row>
    <row r="146" spans="14:17" ht="13.9" customHeight="1">
      <c r="N146" s="166"/>
      <c r="O146" s="166"/>
      <c r="P146" s="170"/>
      <c r="Q146" s="166"/>
    </row>
    <row r="147" spans="14:17" ht="13.9" customHeight="1">
      <c r="N147" s="166"/>
      <c r="O147" s="166"/>
      <c r="P147" s="170"/>
      <c r="Q147" s="166"/>
    </row>
    <row r="148" spans="14:17" ht="13.9" customHeight="1">
      <c r="N148" s="166"/>
      <c r="O148" s="166"/>
      <c r="P148" s="170"/>
      <c r="Q148" s="166"/>
    </row>
    <row r="149" spans="14:17" ht="13.9" customHeight="1">
      <c r="N149" s="166"/>
      <c r="O149" s="166"/>
      <c r="P149" s="170"/>
      <c r="Q149" s="166"/>
    </row>
    <row r="150" spans="14:17" ht="13.9" customHeight="1">
      <c r="N150" s="166"/>
      <c r="O150" s="166"/>
      <c r="P150" s="170"/>
      <c r="Q150" s="166"/>
    </row>
    <row r="151" spans="14:17" ht="13.9" customHeight="1">
      <c r="N151" s="166"/>
      <c r="O151" s="166"/>
      <c r="P151" s="170"/>
      <c r="Q151" s="166"/>
    </row>
  </sheetData>
  <mergeCells count="2">
    <mergeCell ref="G1:K1"/>
    <mergeCell ref="L1:M1"/>
  </mergeCells>
  <phoneticPr fontId="2" type="noConversion"/>
  <conditionalFormatting sqref="H13:H15">
    <cfRule type="cellIs" dxfId="2" priority="5" operator="greaterThan">
      <formula>38*0.8</formula>
    </cfRule>
  </conditionalFormatting>
  <conditionalFormatting sqref="H16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abSelected="1" zoomScale="145" zoomScaleNormal="14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M26" sqref="M26"/>
    </sheetView>
  </sheetViews>
  <sheetFormatPr defaultColWidth="9.140625" defaultRowHeight="14.45" customHeight="1"/>
  <cols>
    <col min="1" max="1" width="9.28515625" style="130" customWidth="1"/>
    <col min="2" max="2" width="12.85546875" style="136" customWidth="1"/>
    <col min="3" max="3" width="29.5703125" style="136" customWidth="1"/>
    <col min="4" max="4" width="5.85546875" style="136" customWidth="1"/>
    <col min="5" max="5" width="6.140625" style="132" customWidth="1"/>
    <col min="6" max="6" width="5.42578125" style="133" customWidth="1"/>
    <col min="7" max="7" width="6.28515625" style="133" customWidth="1"/>
    <col min="8" max="8" width="6.42578125" style="133" customWidth="1"/>
    <col min="9" max="9" width="5.7109375" style="133" bestFit="1" customWidth="1"/>
    <col min="10" max="10" width="7.140625" style="133" customWidth="1"/>
    <col min="11" max="12" width="9.28515625" style="134" customWidth="1"/>
    <col min="13" max="13" width="10" style="134" customWidth="1"/>
    <col min="14" max="14" width="7.42578125" style="132" customWidth="1"/>
    <col min="15" max="15" width="9" style="135" customWidth="1"/>
    <col min="16" max="16" width="9.7109375" style="130" customWidth="1"/>
    <col min="17" max="16384" width="9.140625" style="130"/>
  </cols>
  <sheetData>
    <row r="1" spans="1:16" s="115" customFormat="1" ht="24" customHeight="1">
      <c r="A1" s="103" t="s">
        <v>123</v>
      </c>
      <c r="B1" s="104"/>
      <c r="C1" s="104"/>
      <c r="D1" s="105"/>
      <c r="E1" s="106" t="s">
        <v>124</v>
      </c>
      <c r="F1" s="107"/>
      <c r="G1" s="108"/>
      <c r="H1" s="106" t="s">
        <v>125</v>
      </c>
      <c r="I1" s="109"/>
      <c r="J1" s="110"/>
      <c r="K1" s="111" t="s">
        <v>126</v>
      </c>
      <c r="L1" s="111" t="s">
        <v>127</v>
      </c>
      <c r="M1" s="111" t="s">
        <v>128</v>
      </c>
      <c r="N1" s="112" t="s">
        <v>129</v>
      </c>
      <c r="O1" s="113" t="s">
        <v>84</v>
      </c>
      <c r="P1" s="114" t="s">
        <v>84</v>
      </c>
    </row>
    <row r="2" spans="1:16" s="76" customFormat="1" ht="19.899999999999999" customHeight="1" thickBot="1">
      <c r="A2" s="116"/>
      <c r="B2" s="117" t="s">
        <v>1</v>
      </c>
      <c r="C2" s="117" t="s">
        <v>2</v>
      </c>
      <c r="D2" s="118" t="s">
        <v>3</v>
      </c>
      <c r="E2" s="119" t="s">
        <v>42</v>
      </c>
      <c r="F2" s="117" t="s">
        <v>130</v>
      </c>
      <c r="G2" s="120" t="s">
        <v>85</v>
      </c>
      <c r="H2" s="119" t="s">
        <v>42</v>
      </c>
      <c r="I2" s="117" t="s">
        <v>130</v>
      </c>
      <c r="J2" s="120" t="s">
        <v>85</v>
      </c>
      <c r="K2" s="121" t="s">
        <v>42</v>
      </c>
      <c r="L2" s="121" t="s">
        <v>42</v>
      </c>
      <c r="M2" s="121" t="s">
        <v>84</v>
      </c>
      <c r="N2" s="122" t="s">
        <v>131</v>
      </c>
      <c r="O2" s="123" t="s">
        <v>132</v>
      </c>
      <c r="P2" s="124" t="s">
        <v>131</v>
      </c>
    </row>
    <row r="3" spans="1:16" ht="14.45" customHeight="1">
      <c r="A3" s="125">
        <v>45035</v>
      </c>
      <c r="B3" s="50" t="str">
        <f>Rollover!A3</f>
        <v>Acura</v>
      </c>
      <c r="C3" s="50" t="str">
        <f>Rollover!B3</f>
        <v>Integra 5 HB FWD</v>
      </c>
      <c r="D3" s="10">
        <f>Rollover!C3</f>
        <v>2023</v>
      </c>
      <c r="E3" s="24">
        <f>Front!AW3</f>
        <v>5</v>
      </c>
      <c r="F3" s="50">
        <f>Front!AX3</f>
        <v>5</v>
      </c>
      <c r="G3" s="50">
        <f>Front!AY3</f>
        <v>5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26">
        <f>'Side Pole'!P3</f>
        <v>5</v>
      </c>
      <c r="L3" s="126">
        <f>'Side Pole'!S3</f>
        <v>5</v>
      </c>
      <c r="M3" s="126">
        <f>'Side Pole'!V3</f>
        <v>5</v>
      </c>
      <c r="N3" s="127">
        <f>Rollover!J3</f>
        <v>5</v>
      </c>
      <c r="O3" s="128">
        <f>ROUND(5/12*Front!AV3+4/12*'Side Pole'!U3+3/12*Rollover!I3,2)</f>
        <v>0.49</v>
      </c>
      <c r="P3" s="129">
        <f t="shared" ref="P3:P12" si="0">IF(O3&lt;0.67,5,IF(O3&lt;1,4,IF(O3&lt;1.33,3,IF(O3&lt;2.67,2,1))))</f>
        <v>5</v>
      </c>
    </row>
    <row r="4" spans="1:16" ht="14.45" customHeight="1">
      <c r="A4" s="125">
        <v>45035</v>
      </c>
      <c r="B4" s="10" t="str">
        <f>Rollover!A4</f>
        <v>Honda</v>
      </c>
      <c r="C4" s="10" t="str">
        <f>Rollover!B4</f>
        <v>Civic Hatchback FWD</v>
      </c>
      <c r="D4" s="10">
        <f>Rollover!C4</f>
        <v>2023</v>
      </c>
      <c r="E4" s="24" t="e">
        <f>Front!AW4</f>
        <v>#NUM!</v>
      </c>
      <c r="F4" s="50" t="e">
        <f>Front!AX4</f>
        <v>#NUM!</v>
      </c>
      <c r="G4" s="50" t="e">
        <f>Front!AY4</f>
        <v>#NUM!</v>
      </c>
      <c r="H4" s="24" t="e">
        <f>'Side MDB'!AC4</f>
        <v>#NUM!</v>
      </c>
      <c r="I4" s="24" t="e">
        <f>'Side MDB'!AD4</f>
        <v>#NUM!</v>
      </c>
      <c r="J4" s="24" t="e">
        <f>'Side MDB'!AE4</f>
        <v>#NUM!</v>
      </c>
      <c r="K4" s="126" t="e">
        <f>'Side Pole'!P4</f>
        <v>#NUM!</v>
      </c>
      <c r="L4" s="126" t="e">
        <f>'Side Pole'!S4</f>
        <v>#NUM!</v>
      </c>
      <c r="M4" s="126" t="e">
        <f>'Side Pole'!V4</f>
        <v>#NUM!</v>
      </c>
      <c r="N4" s="127">
        <f>Rollover!J4</f>
        <v>5</v>
      </c>
      <c r="O4" s="128" t="e">
        <f>ROUND(5/12*Front!AV4+4/12*'Side Pole'!U4+3/12*Rollover!I4,2)</f>
        <v>#NUM!</v>
      </c>
      <c r="P4" s="129" t="e">
        <f t="shared" si="0"/>
        <v>#NUM!</v>
      </c>
    </row>
    <row r="5" spans="1:16" ht="14.45" customHeight="1">
      <c r="A5" s="125">
        <v>45035</v>
      </c>
      <c r="B5" s="10" t="str">
        <f>Rollover!A5</f>
        <v>Honda</v>
      </c>
      <c r="C5" s="10" t="str">
        <f>Rollover!B5</f>
        <v>Civic Hatchback Typer R FWD</v>
      </c>
      <c r="D5" s="10">
        <f>Rollover!C5</f>
        <v>2023</v>
      </c>
      <c r="E5" s="24" t="e">
        <f>Front!AW5</f>
        <v>#NUM!</v>
      </c>
      <c r="F5" s="50" t="e">
        <f>Front!AX5</f>
        <v>#NUM!</v>
      </c>
      <c r="G5" s="50" t="e">
        <f>Front!AY5</f>
        <v>#NUM!</v>
      </c>
      <c r="H5" s="24" t="e">
        <f>'Side MDB'!AC5</f>
        <v>#NUM!</v>
      </c>
      <c r="I5" s="24" t="e">
        <f>'Side MDB'!AD5</f>
        <v>#NUM!</v>
      </c>
      <c r="J5" s="24" t="e">
        <f>'Side MDB'!AE5</f>
        <v>#NUM!</v>
      </c>
      <c r="K5" s="126" t="e">
        <f>'Side Pole'!P5</f>
        <v>#NUM!</v>
      </c>
      <c r="L5" s="126" t="e">
        <f>'Side Pole'!S5</f>
        <v>#NUM!</v>
      </c>
      <c r="M5" s="126" t="e">
        <f>'Side Pole'!V5</f>
        <v>#NUM!</v>
      </c>
      <c r="N5" s="127">
        <f>Rollover!J5</f>
        <v>5</v>
      </c>
      <c r="O5" s="128" t="e">
        <f>ROUND(5/12*Front!AV5+4/12*'Side Pole'!U5+3/12*Rollover!I5,2)</f>
        <v>#NUM!</v>
      </c>
      <c r="P5" s="129" t="e">
        <f t="shared" si="0"/>
        <v>#NUM!</v>
      </c>
    </row>
    <row r="6" spans="1:16" ht="14.45" customHeight="1">
      <c r="A6" s="125">
        <v>45035</v>
      </c>
      <c r="B6" s="10" t="str">
        <f>Rollover!A6</f>
        <v>Honda</v>
      </c>
      <c r="C6" s="10" t="str">
        <f>Rollover!B6</f>
        <v>Civic Sedan FWD</v>
      </c>
      <c r="D6" s="10">
        <f>Rollover!C6</f>
        <v>2023</v>
      </c>
      <c r="E6" s="24" t="e">
        <f>Front!AW6</f>
        <v>#NUM!</v>
      </c>
      <c r="F6" s="50" t="e">
        <f>Front!AX6</f>
        <v>#NUM!</v>
      </c>
      <c r="G6" s="50" t="e">
        <f>Front!AY6</f>
        <v>#NUM!</v>
      </c>
      <c r="H6" s="24" t="e">
        <f>'Side MDB'!AC6</f>
        <v>#NUM!</v>
      </c>
      <c r="I6" s="24" t="e">
        <f>'Side MDB'!AD6</f>
        <v>#NUM!</v>
      </c>
      <c r="J6" s="24" t="e">
        <f>'Side MDB'!AE6</f>
        <v>#NUM!</v>
      </c>
      <c r="K6" s="126" t="e">
        <f>'Side Pole'!P6</f>
        <v>#NUM!</v>
      </c>
      <c r="L6" s="126" t="e">
        <f>'Side Pole'!S6</f>
        <v>#NUM!</v>
      </c>
      <c r="M6" s="126" t="e">
        <f>'Side Pole'!V6</f>
        <v>#NUM!</v>
      </c>
      <c r="N6" s="127">
        <f>Rollover!J6</f>
        <v>5</v>
      </c>
      <c r="O6" s="128" t="e">
        <f>ROUND(5/12*Front!AV6+4/12*'Side Pole'!U6+3/12*Rollover!I6,2)</f>
        <v>#NUM!</v>
      </c>
      <c r="P6" s="129" t="e">
        <f t="shared" si="0"/>
        <v>#NUM!</v>
      </c>
    </row>
    <row r="7" spans="1:16" ht="14.45" customHeight="1">
      <c r="A7" s="49">
        <v>45114</v>
      </c>
      <c r="B7" s="50" t="str">
        <f>Rollover!A7</f>
        <v>Ford</v>
      </c>
      <c r="C7" s="50" t="str">
        <f>Rollover!B7</f>
        <v>Explorer SUV RWD</v>
      </c>
      <c r="D7" s="10">
        <f>Rollover!C7</f>
        <v>2023</v>
      </c>
      <c r="E7" s="24">
        <f>Front!AW7</f>
        <v>5</v>
      </c>
      <c r="F7" s="50">
        <f>Front!AX7</f>
        <v>5</v>
      </c>
      <c r="G7" s="50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26">
        <f>'Side Pole'!P7</f>
        <v>5</v>
      </c>
      <c r="L7" s="126">
        <f>'Side Pole'!S7</f>
        <v>5</v>
      </c>
      <c r="M7" s="126">
        <f>'Side Pole'!V7</f>
        <v>5</v>
      </c>
      <c r="N7" s="127">
        <f>Rollover!J7</f>
        <v>4</v>
      </c>
      <c r="O7" s="128">
        <f>ROUND(5/12*Front!AV7+4/12*'Side Pole'!U7+3/12*Rollover!I7,2)</f>
        <v>0.56000000000000005</v>
      </c>
      <c r="P7" s="129">
        <f t="shared" si="0"/>
        <v>5</v>
      </c>
    </row>
    <row r="8" spans="1:16" ht="14.45" customHeight="1">
      <c r="A8" s="49">
        <v>45114</v>
      </c>
      <c r="B8" s="50" t="str">
        <f>Rollover!A8</f>
        <v>Ford</v>
      </c>
      <c r="C8" s="50" t="str">
        <f>Rollover!B8</f>
        <v>Explorer SUV 4WD</v>
      </c>
      <c r="D8" s="10">
        <f>Rollover!C8</f>
        <v>2023</v>
      </c>
      <c r="E8" s="24">
        <f>Front!AW8</f>
        <v>5</v>
      </c>
      <c r="F8" s="50">
        <f>Front!AX8</f>
        <v>5</v>
      </c>
      <c r="G8" s="50">
        <f>Front!AY8</f>
        <v>5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26">
        <f>'Side Pole'!P8</f>
        <v>5</v>
      </c>
      <c r="L8" s="126">
        <f>'Side Pole'!S8</f>
        <v>5</v>
      </c>
      <c r="M8" s="126">
        <f>'Side Pole'!V8</f>
        <v>5</v>
      </c>
      <c r="N8" s="127">
        <f>Rollover!J8</f>
        <v>4</v>
      </c>
      <c r="O8" s="128">
        <f>ROUND(5/12*Front!AV8+4/12*'Side Pole'!U8+3/12*Rollover!I8,2)</f>
        <v>0.56999999999999995</v>
      </c>
      <c r="P8" s="129">
        <f t="shared" si="0"/>
        <v>5</v>
      </c>
    </row>
    <row r="9" spans="1:16" ht="14.45" customHeight="1">
      <c r="A9" s="49">
        <v>45114</v>
      </c>
      <c r="B9" s="10" t="str">
        <f>Rollover!A9</f>
        <v>Ford</v>
      </c>
      <c r="C9" s="10" t="str">
        <f>Rollover!B9</f>
        <v>Explorer HEV SUV RWD</v>
      </c>
      <c r="D9" s="10">
        <f>Rollover!C9</f>
        <v>2023</v>
      </c>
      <c r="E9" s="24">
        <f>Front!AW9</f>
        <v>5</v>
      </c>
      <c r="F9" s="50">
        <f>Front!AX9</f>
        <v>5</v>
      </c>
      <c r="G9" s="50">
        <f>Front!AY9</f>
        <v>5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26">
        <f>'Side Pole'!P9</f>
        <v>5</v>
      </c>
      <c r="L9" s="126">
        <f>'Side Pole'!S9</f>
        <v>5</v>
      </c>
      <c r="M9" s="126">
        <f>'Side Pole'!V9</f>
        <v>5</v>
      </c>
      <c r="N9" s="127">
        <f>Rollover!J9</f>
        <v>4</v>
      </c>
      <c r="O9" s="128">
        <f>ROUND(5/12*Front!AV9+4/12*'Side Pole'!U9+3/12*Rollover!I9,2)</f>
        <v>0.56000000000000005</v>
      </c>
      <c r="P9" s="129">
        <f t="shared" si="0"/>
        <v>5</v>
      </c>
    </row>
    <row r="10" spans="1:16" ht="14.45" customHeight="1">
      <c r="A10" s="49">
        <v>45114</v>
      </c>
      <c r="B10" s="10" t="str">
        <f>Rollover!A10</f>
        <v>Ford</v>
      </c>
      <c r="C10" s="10" t="str">
        <f>Rollover!B10</f>
        <v>Explorer HEV SUV 4WD</v>
      </c>
      <c r="D10" s="10">
        <f>Rollover!C10</f>
        <v>2023</v>
      </c>
      <c r="E10" s="24">
        <f>Front!AW10</f>
        <v>5</v>
      </c>
      <c r="F10" s="50">
        <f>Front!AX10</f>
        <v>5</v>
      </c>
      <c r="G10" s="50">
        <f>Front!AY10</f>
        <v>5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26">
        <f>'Side Pole'!P10</f>
        <v>5</v>
      </c>
      <c r="L10" s="126">
        <f>'Side Pole'!S10</f>
        <v>5</v>
      </c>
      <c r="M10" s="126">
        <f>'Side Pole'!V10</f>
        <v>5</v>
      </c>
      <c r="N10" s="127">
        <f>Rollover!J10</f>
        <v>4</v>
      </c>
      <c r="O10" s="128">
        <f>ROUND(5/12*Front!AV10+4/12*'Side Pole'!U10+3/12*Rollover!I10,2)</f>
        <v>0.56999999999999995</v>
      </c>
      <c r="P10" s="129">
        <f t="shared" si="0"/>
        <v>5</v>
      </c>
    </row>
    <row r="11" spans="1:16" ht="14.45" customHeight="1">
      <c r="A11" s="49">
        <v>45114</v>
      </c>
      <c r="B11" s="10" t="str">
        <f>Rollover!A11</f>
        <v>Lincoln</v>
      </c>
      <c r="C11" s="10" t="str">
        <f>Rollover!B11</f>
        <v>Aviator SUV RWD</v>
      </c>
      <c r="D11" s="10">
        <f>Rollover!C11</f>
        <v>2023</v>
      </c>
      <c r="E11" s="24">
        <f>Front!AW11</f>
        <v>5</v>
      </c>
      <c r="F11" s="50">
        <f>Front!AX11</f>
        <v>5</v>
      </c>
      <c r="G11" s="50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26">
        <f>'Side Pole'!P11</f>
        <v>5</v>
      </c>
      <c r="L11" s="126">
        <f>'Side Pole'!S11</f>
        <v>5</v>
      </c>
      <c r="M11" s="126">
        <f>'Side Pole'!V11</f>
        <v>5</v>
      </c>
      <c r="N11" s="127">
        <f>Rollover!J11</f>
        <v>4</v>
      </c>
      <c r="O11" s="128">
        <f>ROUND(5/12*Front!AV11+4/12*'Side Pole'!U11+3/12*Rollover!I11,2)</f>
        <v>0.56000000000000005</v>
      </c>
      <c r="P11" s="129">
        <f t="shared" si="0"/>
        <v>5</v>
      </c>
    </row>
    <row r="12" spans="1:16" ht="14.45" customHeight="1">
      <c r="A12" s="49">
        <v>45114</v>
      </c>
      <c r="B12" s="10" t="str">
        <f>Rollover!A12</f>
        <v>Lincoln</v>
      </c>
      <c r="C12" s="10" t="str">
        <f>Rollover!B12</f>
        <v>Aviator SUV 4WD</v>
      </c>
      <c r="D12" s="10">
        <f>Rollover!C12</f>
        <v>2023</v>
      </c>
      <c r="E12" s="24">
        <f>Front!AW12</f>
        <v>5</v>
      </c>
      <c r="F12" s="50">
        <f>Front!AX12</f>
        <v>5</v>
      </c>
      <c r="G12" s="50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26">
        <f>'Side Pole'!P12</f>
        <v>5</v>
      </c>
      <c r="L12" s="126">
        <f>'Side Pole'!S12</f>
        <v>5</v>
      </c>
      <c r="M12" s="126">
        <f>'Side Pole'!V12</f>
        <v>5</v>
      </c>
      <c r="N12" s="127">
        <f>Rollover!J12</f>
        <v>4</v>
      </c>
      <c r="O12" s="128">
        <f>ROUND(5/12*Front!AV12+4/12*'Side Pole'!U12+3/12*Rollover!I12,2)</f>
        <v>0.56999999999999995</v>
      </c>
      <c r="P12" s="129">
        <f t="shared" si="0"/>
        <v>5</v>
      </c>
    </row>
    <row r="13" spans="1:16" ht="14.45" customHeight="1">
      <c r="A13" s="49">
        <v>45106</v>
      </c>
      <c r="B13" s="50" t="str">
        <f>Rollover!A13</f>
        <v xml:space="preserve">Honda </v>
      </c>
      <c r="C13" s="50" t="str">
        <f>Rollover!B13</f>
        <v>HR-V SUV FWD</v>
      </c>
      <c r="D13" s="10">
        <f>Rollover!C13</f>
        <v>2023</v>
      </c>
      <c r="E13" s="24">
        <f>Front!AW13</f>
        <v>5</v>
      </c>
      <c r="F13" s="50">
        <f>Front!AX13</f>
        <v>4</v>
      </c>
      <c r="G13" s="50">
        <f>Front!AY13</f>
        <v>5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26">
        <f>'Side Pole'!P13</f>
        <v>5</v>
      </c>
      <c r="L13" s="126">
        <f>'Side Pole'!S13</f>
        <v>5</v>
      </c>
      <c r="M13" s="126">
        <f>'Side Pole'!V13</f>
        <v>5</v>
      </c>
      <c r="N13" s="127">
        <f>Rollover!J13</f>
        <v>4</v>
      </c>
      <c r="O13" s="128">
        <f>ROUND(5/12*Front!AV13+4/12*'Side Pole'!U13+3/12*Rollover!I13,2)</f>
        <v>0.62</v>
      </c>
      <c r="P13" s="129">
        <f t="shared" ref="P13:P14" si="1">IF(O13&lt;0.67,5,IF(O13&lt;1,4,IF(O13&lt;1.33,3,IF(O13&lt;2.67,2,1))))</f>
        <v>5</v>
      </c>
    </row>
    <row r="14" spans="1:16" ht="14.45" customHeight="1">
      <c r="A14" s="49">
        <v>45106</v>
      </c>
      <c r="B14" s="50" t="str">
        <f>Rollover!A14</f>
        <v xml:space="preserve">Honda </v>
      </c>
      <c r="C14" s="50" t="str">
        <f>Rollover!B14</f>
        <v>HR-V SUV AWD</v>
      </c>
      <c r="D14" s="10">
        <f>Rollover!C14</f>
        <v>2023</v>
      </c>
      <c r="E14" s="24">
        <f>Front!AW14</f>
        <v>5</v>
      </c>
      <c r="F14" s="50">
        <f>Front!AX14</f>
        <v>4</v>
      </c>
      <c r="G14" s="50">
        <f>Front!AY14</f>
        <v>5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26">
        <f>'Side Pole'!P14</f>
        <v>5</v>
      </c>
      <c r="L14" s="126">
        <f>'Side Pole'!S14</f>
        <v>5</v>
      </c>
      <c r="M14" s="126">
        <f>'Side Pole'!V14</f>
        <v>5</v>
      </c>
      <c r="N14" s="127" t="e">
        <f>Rollover!J14</f>
        <v>#NUM!</v>
      </c>
      <c r="O14" s="128" t="e">
        <f>ROUND(5/12*Front!AV14+4/12*'Side Pole'!U14+3/12*Rollover!I14,2)</f>
        <v>#NUM!</v>
      </c>
      <c r="P14" s="129" t="e">
        <f t="shared" si="1"/>
        <v>#NUM!</v>
      </c>
    </row>
    <row r="15" spans="1:16" ht="14.45" customHeight="1">
      <c r="A15" s="49">
        <v>45119</v>
      </c>
      <c r="B15" s="50" t="str">
        <f>Rollover!A15</f>
        <v>Jeep</v>
      </c>
      <c r="C15" s="50" t="str">
        <f>Rollover!B15</f>
        <v>Grand Cherokee SUV RWD</v>
      </c>
      <c r="D15" s="10">
        <f>Rollover!C15</f>
        <v>2023</v>
      </c>
      <c r="E15" s="24">
        <f>Front!AW15</f>
        <v>5</v>
      </c>
      <c r="F15" s="50">
        <f>Front!AX15</f>
        <v>5</v>
      </c>
      <c r="G15" s="50">
        <f>Front!AY15</f>
        <v>5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26">
        <f>'Side Pole'!P15</f>
        <v>5</v>
      </c>
      <c r="L15" s="126">
        <f>'Side Pole'!S15</f>
        <v>5</v>
      </c>
      <c r="M15" s="126">
        <f>'Side Pole'!V15</f>
        <v>5</v>
      </c>
      <c r="N15" s="127" t="e">
        <f>Rollover!J15</f>
        <v>#NUM!</v>
      </c>
      <c r="O15" s="128" t="e">
        <f>ROUND(5/12*Front!AV15+4/12*'Side Pole'!U15+3/12*Rollover!I15,2)</f>
        <v>#NUM!</v>
      </c>
      <c r="P15" s="129" t="e">
        <f t="shared" ref="P15:P18" si="2">IF(O15&lt;0.67,5,IF(O15&lt;1,4,IF(O15&lt;1.33,3,IF(O15&lt;2.67,2,1))))</f>
        <v>#NUM!</v>
      </c>
    </row>
    <row r="16" spans="1:16" ht="14.45" customHeight="1">
      <c r="A16" s="49">
        <v>45119</v>
      </c>
      <c r="B16" s="50" t="str">
        <f>Rollover!A16</f>
        <v xml:space="preserve">Jeep </v>
      </c>
      <c r="C16" s="50" t="str">
        <f>Rollover!B16</f>
        <v>Grand Cherokee SUV 4WD</v>
      </c>
      <c r="D16" s="10">
        <f>Rollover!C16</f>
        <v>2023</v>
      </c>
      <c r="E16" s="24">
        <f>Front!AW16</f>
        <v>5</v>
      </c>
      <c r="F16" s="50">
        <f>Front!AX16</f>
        <v>5</v>
      </c>
      <c r="G16" s="50">
        <f>Front!AY16</f>
        <v>5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26">
        <f>'Side Pole'!P16</f>
        <v>5</v>
      </c>
      <c r="L16" s="126">
        <f>'Side Pole'!S16</f>
        <v>5</v>
      </c>
      <c r="M16" s="126">
        <f>'Side Pole'!V16</f>
        <v>5</v>
      </c>
      <c r="N16" s="127" t="e">
        <f>Rollover!J16</f>
        <v>#NUM!</v>
      </c>
      <c r="O16" s="128" t="e">
        <f>ROUND(5/12*Front!AV16+4/12*'Side Pole'!U16+3/12*Rollover!I16,2)</f>
        <v>#NUM!</v>
      </c>
      <c r="P16" s="129" t="e">
        <f t="shared" si="2"/>
        <v>#NUM!</v>
      </c>
    </row>
    <row r="17" spans="1:16" ht="14.45" customHeight="1">
      <c r="A17" s="49">
        <v>45119</v>
      </c>
      <c r="B17" s="10" t="str">
        <f>Rollover!A17</f>
        <v>Jeep</v>
      </c>
      <c r="C17" s="10" t="str">
        <f>Rollover!B17</f>
        <v>Grand Cherokee L SUV RWD</v>
      </c>
      <c r="D17" s="10">
        <f>Rollover!C17</f>
        <v>2023</v>
      </c>
      <c r="E17" s="24">
        <f>Front!AW17</f>
        <v>5</v>
      </c>
      <c r="F17" s="50">
        <f>Front!AX17</f>
        <v>5</v>
      </c>
      <c r="G17" s="50">
        <f>Front!AY17</f>
        <v>5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26">
        <f>'Side Pole'!P17</f>
        <v>5</v>
      </c>
      <c r="L17" s="126">
        <f>'Side Pole'!S17</f>
        <v>5</v>
      </c>
      <c r="M17" s="126">
        <f>'Side Pole'!V17</f>
        <v>5</v>
      </c>
      <c r="N17" s="127">
        <f>Rollover!J17</f>
        <v>4</v>
      </c>
      <c r="O17" s="128">
        <f>ROUND(5/12*Front!AV17+4/12*'Side Pole'!U17+3/12*Rollover!I17,2)</f>
        <v>0.59</v>
      </c>
      <c r="P17" s="129">
        <f t="shared" si="2"/>
        <v>5</v>
      </c>
    </row>
    <row r="18" spans="1:16" ht="14.45" customHeight="1">
      <c r="A18" s="49">
        <v>45119</v>
      </c>
      <c r="B18" s="10" t="str">
        <f>Rollover!A18</f>
        <v>Jeep</v>
      </c>
      <c r="C18" s="10" t="str">
        <f>Rollover!B18</f>
        <v>Grand Cherokee L SUV 4WD</v>
      </c>
      <c r="D18" s="10">
        <f>Rollover!C18</f>
        <v>2023</v>
      </c>
      <c r="E18" s="24">
        <f>Front!AW18</f>
        <v>5</v>
      </c>
      <c r="F18" s="50">
        <f>Front!AX18</f>
        <v>5</v>
      </c>
      <c r="G18" s="50">
        <f>Front!AY18</f>
        <v>5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26">
        <f>'Side Pole'!P18</f>
        <v>5</v>
      </c>
      <c r="L18" s="126">
        <f>'Side Pole'!S18</f>
        <v>5</v>
      </c>
      <c r="M18" s="126">
        <f>'Side Pole'!V18</f>
        <v>5</v>
      </c>
      <c r="N18" s="127">
        <f>Rollover!J18</f>
        <v>4</v>
      </c>
      <c r="O18" s="128">
        <f>ROUND(5/12*Front!AV18+4/12*'Side Pole'!U18+3/12*Rollover!I18,2)</f>
        <v>0.59</v>
      </c>
      <c r="P18" s="129">
        <f t="shared" si="2"/>
        <v>5</v>
      </c>
    </row>
    <row r="19" spans="1:16" ht="14.45" customHeight="1">
      <c r="A19" s="125">
        <v>45113</v>
      </c>
      <c r="B19" s="50" t="str">
        <f>Rollover!A19</f>
        <v>Mazda</v>
      </c>
      <c r="C19" s="50" t="str">
        <f>Rollover!B19</f>
        <v>Mazda CX-50 SUV AWD</v>
      </c>
      <c r="D19" s="10">
        <f>Rollover!C19</f>
        <v>2023</v>
      </c>
      <c r="E19" s="24" t="e">
        <f>Front!AW19</f>
        <v>#NUM!</v>
      </c>
      <c r="F19" s="50" t="e">
        <f>Front!AX19</f>
        <v>#NUM!</v>
      </c>
      <c r="G19" s="50" t="e">
        <f>Front!AY19</f>
        <v>#NUM!</v>
      </c>
      <c r="H19" s="24" t="e">
        <f>'Side MDB'!AC19</f>
        <v>#NUM!</v>
      </c>
      <c r="I19" s="24" t="e">
        <f>'Side MDB'!AD19</f>
        <v>#NUM!</v>
      </c>
      <c r="J19" s="24" t="e">
        <f>'Side MDB'!AE19</f>
        <v>#NUM!</v>
      </c>
      <c r="K19" s="126" t="e">
        <f>'Side Pole'!P19</f>
        <v>#NUM!</v>
      </c>
      <c r="L19" s="126" t="e">
        <f>'Side Pole'!S19</f>
        <v>#NUM!</v>
      </c>
      <c r="M19" s="126" t="e">
        <f>'Side Pole'!V19</f>
        <v>#NUM!</v>
      </c>
      <c r="N19" s="127">
        <f>Rollover!J19</f>
        <v>4</v>
      </c>
      <c r="O19" s="128" t="e">
        <f>ROUND(5/12*Front!AV19+4/12*'Side Pole'!U19+3/12*Rollover!I19,2)</f>
        <v>#NUM!</v>
      </c>
      <c r="P19" s="129" t="e">
        <f t="shared" ref="P19" si="3">IF(O19&lt;0.67,5,IF(O19&lt;1,4,IF(O19&lt;1.33,3,IF(O19&lt;2.67,2,1))))</f>
        <v>#NUM!</v>
      </c>
    </row>
    <row r="20" spans="1:16" ht="14.45" customHeight="1">
      <c r="K20" s="238"/>
      <c r="L20" s="238"/>
      <c r="M20" s="238"/>
      <c r="N20" s="138"/>
      <c r="O20" s="101"/>
      <c r="P20" s="101"/>
    </row>
    <row r="21" spans="1:16" ht="14.45" customHeight="1">
      <c r="E21" s="138"/>
      <c r="F21" s="239"/>
      <c r="G21" s="239"/>
      <c r="H21" s="239"/>
      <c r="I21" s="239"/>
      <c r="J21" s="239"/>
      <c r="K21" s="240"/>
      <c r="L21" s="240"/>
      <c r="M21" s="240"/>
    </row>
    <row r="22" spans="1:16" ht="14.45" customHeight="1">
      <c r="E22" s="138"/>
      <c r="F22" s="131"/>
      <c r="G22" s="131"/>
      <c r="K22" s="240"/>
      <c r="L22" s="240"/>
      <c r="M22" s="240"/>
    </row>
    <row r="23" spans="1:16" ht="14.45" customHeight="1">
      <c r="B23" s="131"/>
      <c r="K23" s="240"/>
      <c r="L23" s="240"/>
      <c r="M23" s="240"/>
    </row>
    <row r="24" spans="1:16" ht="14.45" customHeight="1">
      <c r="B24" s="131"/>
    </row>
    <row r="25" spans="1:16" ht="14.45" customHeight="1">
      <c r="B25" s="131"/>
    </row>
    <row r="26" spans="1:16" ht="14.45" customHeight="1">
      <c r="B26" s="131"/>
    </row>
    <row r="27" spans="1:16" ht="14.45" customHeight="1">
      <c r="B27" s="131"/>
      <c r="C27" s="131"/>
      <c r="D27" s="131"/>
    </row>
    <row r="28" spans="1:16" ht="14.45" customHeight="1">
      <c r="B28" s="131"/>
      <c r="C28" s="131"/>
      <c r="D28" s="131"/>
    </row>
    <row r="29" spans="1:16" ht="14.45" customHeight="1">
      <c r="B29" s="131"/>
      <c r="C29" s="131"/>
      <c r="D29" s="131"/>
    </row>
    <row r="30" spans="1:16" ht="14.45" customHeight="1">
      <c r="B30" s="131"/>
      <c r="C30" s="131"/>
      <c r="D30" s="131"/>
    </row>
    <row r="31" spans="1:16" ht="14.45" customHeight="1">
      <c r="B31" s="131"/>
      <c r="C31" s="131"/>
      <c r="D31" s="131"/>
    </row>
    <row r="32" spans="1:16" ht="14.45" customHeight="1">
      <c r="B32" s="131"/>
      <c r="C32" s="131"/>
      <c r="D32" s="131"/>
    </row>
    <row r="33" spans="2:10" ht="14.45" customHeight="1">
      <c r="B33" s="131"/>
      <c r="C33" s="131"/>
      <c r="D33" s="131"/>
      <c r="H33" s="134"/>
      <c r="I33" s="134"/>
      <c r="J33" s="134"/>
    </row>
    <row r="34" spans="2:10" ht="14.45" customHeight="1">
      <c r="H34" s="134"/>
      <c r="I34" s="134"/>
      <c r="J34" s="134"/>
    </row>
    <row r="35" spans="2:10" ht="14.45" customHeight="1">
      <c r="H35" s="134"/>
      <c r="I35" s="134"/>
      <c r="J35" s="134"/>
    </row>
    <row r="36" spans="2:10" ht="14.45" customHeight="1">
      <c r="B36" s="137"/>
      <c r="C36" s="137"/>
      <c r="D36" s="137"/>
      <c r="E36" s="138"/>
      <c r="F36" s="131"/>
      <c r="H36" s="134"/>
      <c r="I36" s="134"/>
      <c r="J36" s="134"/>
    </row>
    <row r="37" spans="2:10" ht="14.45" customHeight="1">
      <c r="B37" s="137"/>
      <c r="C37" s="137"/>
      <c r="D37" s="137"/>
      <c r="E37" s="138"/>
      <c r="F37" s="131"/>
      <c r="H37" s="134"/>
      <c r="I37" s="134"/>
      <c r="J37" s="134"/>
    </row>
    <row r="38" spans="2:10" ht="14.45" customHeight="1">
      <c r="B38" s="137"/>
      <c r="C38" s="137"/>
      <c r="D38" s="137"/>
      <c r="E38" s="138"/>
      <c r="F38" s="131"/>
      <c r="H38" s="134"/>
      <c r="I38" s="134"/>
      <c r="J38" s="134"/>
    </row>
    <row r="39" spans="2:10" ht="14.45" customHeight="1">
      <c r="B39" s="137"/>
      <c r="C39" s="137"/>
      <c r="D39" s="137"/>
      <c r="E39" s="138"/>
      <c r="F39" s="131"/>
      <c r="H39" s="134"/>
      <c r="I39" s="134"/>
      <c r="J39" s="134"/>
    </row>
    <row r="40" spans="2:10" ht="14.45" customHeight="1">
      <c r="B40" s="137"/>
      <c r="C40" s="137"/>
      <c r="D40" s="137"/>
      <c r="E40" s="138"/>
      <c r="F40" s="131"/>
      <c r="H40" s="134"/>
      <c r="I40" s="134"/>
      <c r="J40" s="134"/>
    </row>
    <row r="41" spans="2:10" ht="14.45" customHeight="1">
      <c r="B41" s="137"/>
      <c r="C41" s="137"/>
      <c r="D41" s="137"/>
      <c r="E41" s="138"/>
      <c r="F41" s="131"/>
      <c r="H41" s="134"/>
      <c r="I41" s="134"/>
      <c r="J41" s="134"/>
    </row>
    <row r="42" spans="2:10" ht="14.45" customHeight="1">
      <c r="B42" s="137"/>
      <c r="C42" s="137"/>
      <c r="D42" s="137"/>
      <c r="E42" s="138"/>
      <c r="F42" s="131"/>
    </row>
    <row r="43" spans="2:10" ht="14.45" customHeight="1">
      <c r="B43" s="137"/>
      <c r="C43" s="137"/>
      <c r="D43" s="137"/>
      <c r="E43" s="138"/>
      <c r="F43" s="131"/>
    </row>
    <row r="44" spans="2:10" ht="14.45" customHeight="1">
      <c r="B44" s="137"/>
      <c r="C44" s="137"/>
      <c r="D44" s="137"/>
      <c r="E44" s="138"/>
      <c r="F44" s="131"/>
    </row>
    <row r="45" spans="2:10" ht="14.45" customHeight="1">
      <c r="B45" s="137"/>
      <c r="C45" s="137"/>
      <c r="D45" s="137"/>
      <c r="E45" s="138"/>
      <c r="F45" s="131"/>
    </row>
    <row r="46" spans="2:10" ht="14.45" customHeight="1">
      <c r="E46" s="138"/>
      <c r="F46" s="131"/>
    </row>
    <row r="47" spans="2:10" ht="14.45" customHeight="1">
      <c r="E47" s="138"/>
      <c r="F47" s="131"/>
    </row>
    <row r="48" spans="2:10" ht="14.45" customHeight="1">
      <c r="B48" s="137"/>
      <c r="C48" s="137"/>
      <c r="D48" s="137"/>
      <c r="E48" s="138"/>
      <c r="F48" s="131"/>
    </row>
    <row r="49" spans="2:10" ht="14.45" customHeight="1">
      <c r="B49" s="137"/>
      <c r="C49" s="137"/>
      <c r="D49" s="137"/>
      <c r="E49" s="138"/>
      <c r="F49" s="131"/>
    </row>
    <row r="50" spans="2:10" ht="14.45" customHeight="1">
      <c r="B50" s="137"/>
      <c r="C50" s="137"/>
      <c r="D50" s="137"/>
      <c r="E50" s="138"/>
      <c r="F50" s="131"/>
    </row>
    <row r="51" spans="2:10" ht="14.45" customHeight="1">
      <c r="B51" s="137"/>
      <c r="C51" s="137"/>
      <c r="D51" s="137"/>
      <c r="E51" s="138"/>
      <c r="F51" s="131"/>
      <c r="H51" s="139"/>
      <c r="I51" s="139"/>
      <c r="J51" s="139"/>
    </row>
    <row r="52" spans="2:10" ht="14.45" customHeight="1">
      <c r="B52" s="137"/>
      <c r="C52" s="137"/>
      <c r="D52" s="137"/>
      <c r="F52" s="134"/>
      <c r="G52" s="134"/>
      <c r="H52" s="139"/>
      <c r="I52" s="139"/>
      <c r="J52" s="139"/>
    </row>
    <row r="53" spans="2:10" ht="14.45" customHeight="1">
      <c r="B53" s="137"/>
      <c r="C53" s="137"/>
      <c r="D53" s="137"/>
      <c r="F53" s="134"/>
      <c r="G53" s="134"/>
      <c r="H53" s="139"/>
      <c r="I53" s="139"/>
      <c r="J53" s="139"/>
    </row>
    <row r="54" spans="2:10" ht="14.45" customHeight="1">
      <c r="B54" s="140"/>
      <c r="C54" s="140"/>
      <c r="D54" s="140"/>
      <c r="E54" s="141"/>
      <c r="F54" s="134"/>
      <c r="G54" s="134"/>
      <c r="H54" s="139"/>
      <c r="I54" s="139"/>
      <c r="J54" s="139"/>
    </row>
    <row r="55" spans="2:10" ht="14.45" customHeight="1">
      <c r="B55" s="131"/>
      <c r="C55" s="131"/>
      <c r="D55" s="131"/>
      <c r="F55" s="134"/>
      <c r="G55" s="134"/>
      <c r="H55" s="139"/>
      <c r="I55" s="139"/>
      <c r="J55" s="139"/>
    </row>
    <row r="56" spans="2:10" ht="14.45" customHeight="1">
      <c r="B56" s="137"/>
      <c r="C56" s="137"/>
      <c r="D56" s="137"/>
      <c r="F56" s="134"/>
      <c r="G56" s="134"/>
      <c r="H56" s="139"/>
      <c r="I56" s="139"/>
      <c r="J56" s="139"/>
    </row>
    <row r="57" spans="2:10" ht="14.45" customHeight="1">
      <c r="B57" s="137"/>
      <c r="C57" s="137"/>
      <c r="D57" s="137"/>
      <c r="F57" s="134"/>
      <c r="G57" s="134"/>
      <c r="H57" s="139"/>
      <c r="I57" s="139"/>
      <c r="J57" s="139"/>
    </row>
    <row r="58" spans="2:10" ht="14.45" customHeight="1">
      <c r="B58" s="137"/>
      <c r="C58" s="137"/>
      <c r="D58" s="137"/>
      <c r="F58" s="134"/>
      <c r="G58" s="134"/>
      <c r="H58" s="139"/>
      <c r="I58" s="139"/>
      <c r="J58" s="139"/>
    </row>
    <row r="59" spans="2:10" ht="14.45" customHeight="1">
      <c r="B59" s="137"/>
      <c r="C59" s="137"/>
      <c r="D59" s="137"/>
      <c r="F59" s="134"/>
      <c r="G59" s="134"/>
      <c r="H59" s="139"/>
      <c r="I59" s="139"/>
      <c r="J59" s="139"/>
    </row>
    <row r="60" spans="2:10" ht="14.45" customHeight="1">
      <c r="B60" s="131"/>
      <c r="C60" s="131"/>
      <c r="D60" s="131"/>
      <c r="F60" s="134"/>
      <c r="G60" s="134"/>
      <c r="H60" s="139"/>
      <c r="I60" s="139"/>
      <c r="J60" s="139"/>
    </row>
    <row r="61" spans="2:10" ht="14.45" customHeight="1">
      <c r="F61" s="134"/>
      <c r="G61" s="134"/>
      <c r="H61" s="139"/>
      <c r="I61" s="139"/>
      <c r="J61" s="139"/>
    </row>
    <row r="62" spans="2:10" ht="14.45" customHeight="1">
      <c r="F62" s="134"/>
      <c r="G62" s="134"/>
      <c r="H62" s="139"/>
      <c r="I62" s="139"/>
      <c r="J62" s="139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2023-07-12T17:20:29Z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