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htsa-nvsfile.ad.dot.gov\NVS\data\Rulemaking\NCAPDATA\Web Database and media files\2023 web and docket data\"/>
    </mc:Choice>
  </mc:AlternateContent>
  <xr:revisionPtr revIDLastSave="0" documentId="13_ncr:1_{E77AA698-04DB-4641-A178-46D2008A4DC7}" xr6:coauthVersionLast="47" xr6:coauthVersionMax="47" xr10:uidLastSave="{00000000-0000-0000-0000-000000000000}"/>
  <workbookProtection workbookPassword="C8D7" lockStructure="1"/>
  <bookViews>
    <workbookView xWindow="4170" yWindow="1500" windowWidth="41160" windowHeight="17595" tabRatio="537" activeTab="4" xr2:uid="{00000000-000D-0000-FFFF-FFFF00000000}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1" l="1"/>
  <c r="C6" i="31"/>
  <c r="B6" i="31"/>
  <c r="M6" i="29"/>
  <c r="L6" i="29"/>
  <c r="F6" i="29"/>
  <c r="D6" i="29"/>
  <c r="C6" i="29"/>
  <c r="V6" i="22"/>
  <c r="U6" i="22"/>
  <c r="X6" i="22" s="1"/>
  <c r="AA6" i="22" s="1"/>
  <c r="AD6" i="22" s="1"/>
  <c r="I6" i="31" s="1"/>
  <c r="T6" i="22"/>
  <c r="S6" i="22"/>
  <c r="R6" i="22"/>
  <c r="Q6" i="22"/>
  <c r="F6" i="22"/>
  <c r="D6" i="22"/>
  <c r="C6" i="22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C6" i="21"/>
  <c r="G6" i="24"/>
  <c r="H6" i="24" s="1"/>
  <c r="I6" i="24" s="1"/>
  <c r="J6" i="24" s="1"/>
  <c r="N6" i="31" s="1"/>
  <c r="AF6" i="21" l="1"/>
  <c r="W6" i="22"/>
  <c r="Z6" i="22" s="1"/>
  <c r="AC6" i="22" s="1"/>
  <c r="H6" i="31" s="1"/>
  <c r="AA6" i="21"/>
  <c r="N6" i="29"/>
  <c r="T6" i="29" s="1"/>
  <c r="U6" i="29" s="1"/>
  <c r="AP6" i="21"/>
  <c r="AK6" i="21"/>
  <c r="AR6" i="21" s="1"/>
  <c r="AU6" i="21" s="1"/>
  <c r="AX6" i="21" s="1"/>
  <c r="F6" i="31" s="1"/>
  <c r="O6" i="29"/>
  <c r="P6" i="29" s="1"/>
  <c r="K6" i="31" s="1"/>
  <c r="Q6" i="29"/>
  <c r="R6" i="29" s="1"/>
  <c r="S6" i="29" s="1"/>
  <c r="L6" i="31" s="1"/>
  <c r="Y6" i="22"/>
  <c r="AB6" i="22" s="1"/>
  <c r="AE6" i="22" s="1"/>
  <c r="J6" i="31" s="1"/>
  <c r="AQ6" i="21" l="1"/>
  <c r="AT6" i="21" s="1"/>
  <c r="AW6" i="21" s="1"/>
  <c r="E6" i="31" s="1"/>
  <c r="AS6" i="21"/>
  <c r="AV6" i="21" s="1"/>
  <c r="AY6" i="21" s="1"/>
  <c r="G6" i="31" s="1"/>
  <c r="V6" i="29"/>
  <c r="M6" i="31" s="1"/>
  <c r="O6" i="31" l="1"/>
  <c r="P6" i="31" s="1"/>
  <c r="D4" i="31" l="1"/>
  <c r="C4" i="31"/>
  <c r="B4" i="31"/>
  <c r="M4" i="29"/>
  <c r="L4" i="29"/>
  <c r="F4" i="29"/>
  <c r="D4" i="29"/>
  <c r="C4" i="29"/>
  <c r="F4" i="22"/>
  <c r="V4" i="22"/>
  <c r="U4" i="22"/>
  <c r="T4" i="22"/>
  <c r="S4" i="22"/>
  <c r="R4" i="22"/>
  <c r="Q4" i="22"/>
  <c r="D4" i="22"/>
  <c r="C4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C4" i="21"/>
  <c r="G4" i="24"/>
  <c r="H4" i="24" s="1"/>
  <c r="I4" i="24" s="1"/>
  <c r="J4" i="24" s="1"/>
  <c r="N4" i="31" s="1"/>
  <c r="W4" i="22" l="1"/>
  <c r="Z4" i="22" s="1"/>
  <c r="AC4" i="22" s="1"/>
  <c r="H4" i="31" s="1"/>
  <c r="AF4" i="21"/>
  <c r="X4" i="22"/>
  <c r="AA4" i="22" s="1"/>
  <c r="AD4" i="22" s="1"/>
  <c r="I4" i="31" s="1"/>
  <c r="AK4" i="21"/>
  <c r="AA4" i="21"/>
  <c r="AQ4" i="21" s="1"/>
  <c r="AP4" i="21"/>
  <c r="N4" i="29"/>
  <c r="Q4" i="29" l="1"/>
  <c r="R4" i="29" s="1"/>
  <c r="S4" i="29" s="1"/>
  <c r="L4" i="31" s="1"/>
  <c r="Y4" i="22"/>
  <c r="AB4" i="22" s="1"/>
  <c r="AE4" i="22" s="1"/>
  <c r="J4" i="31" s="1"/>
  <c r="AR4" i="21"/>
  <c r="AU4" i="21" s="1"/>
  <c r="AX4" i="21" s="1"/>
  <c r="F4" i="31" s="1"/>
  <c r="AT4" i="21"/>
  <c r="AW4" i="21" s="1"/>
  <c r="E4" i="31" s="1"/>
  <c r="O4" i="29"/>
  <c r="P4" i="29" s="1"/>
  <c r="K4" i="31" s="1"/>
  <c r="T4" i="29"/>
  <c r="U4" i="29" s="1"/>
  <c r="V4" i="29" s="1"/>
  <c r="M4" i="31" s="1"/>
  <c r="AS4" i="21" l="1"/>
  <c r="AV4" i="21" s="1"/>
  <c r="AY4" i="21" s="1"/>
  <c r="G4" i="31" s="1"/>
  <c r="O4" i="31" l="1"/>
  <c r="P4" i="31" s="1"/>
  <c r="C3" i="21" l="1"/>
  <c r="C5" i="21"/>
  <c r="C7" i="21"/>
  <c r="C8" i="21"/>
  <c r="Q5" i="22" l="1"/>
  <c r="R5" i="22"/>
  <c r="S5" i="22"/>
  <c r="D5" i="31"/>
  <c r="C5" i="31"/>
  <c r="B5" i="31"/>
  <c r="M5" i="29"/>
  <c r="L5" i="29"/>
  <c r="F5" i="29"/>
  <c r="D5" i="29"/>
  <c r="C5" i="29"/>
  <c r="V5" i="22"/>
  <c r="U5" i="22"/>
  <c r="T5" i="22"/>
  <c r="F5" i="22"/>
  <c r="D5" i="22"/>
  <c r="C5" i="22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G5" i="24"/>
  <c r="H5" i="24" s="1"/>
  <c r="I5" i="24" s="1"/>
  <c r="J5" i="24" s="1"/>
  <c r="N5" i="31" s="1"/>
  <c r="W5" i="22" l="1"/>
  <c r="Z5" i="22" s="1"/>
  <c r="AC5" i="22" s="1"/>
  <c r="H5" i="31" s="1"/>
  <c r="AF5" i="21"/>
  <c r="AA5" i="21"/>
  <c r="AP5" i="21"/>
  <c r="N5" i="29"/>
  <c r="AK5" i="21"/>
  <c r="X5" i="22"/>
  <c r="D3" i="31"/>
  <c r="C3" i="31"/>
  <c r="B3" i="31"/>
  <c r="M3" i="29"/>
  <c r="L3" i="29"/>
  <c r="F3" i="29"/>
  <c r="D3" i="29"/>
  <c r="C3" i="29"/>
  <c r="V3" i="22"/>
  <c r="U3" i="22"/>
  <c r="T3" i="22"/>
  <c r="S3" i="22"/>
  <c r="R3" i="22"/>
  <c r="Q3" i="22"/>
  <c r="F3" i="22"/>
  <c r="D3" i="22"/>
  <c r="C3" i="22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G3" i="24"/>
  <c r="H3" i="24" s="1"/>
  <c r="I3" i="24" s="1"/>
  <c r="J3" i="24" s="1"/>
  <c r="N3" i="31" s="1"/>
  <c r="G7" i="24"/>
  <c r="H7" i="24" s="1"/>
  <c r="I7" i="24" s="1"/>
  <c r="J7" i="24" s="1"/>
  <c r="N7" i="31" s="1"/>
  <c r="G8" i="24"/>
  <c r="H8" i="24" s="1"/>
  <c r="I8" i="24" s="1"/>
  <c r="J8" i="24" s="1"/>
  <c r="N8" i="31" s="1"/>
  <c r="D7" i="29"/>
  <c r="D7" i="21"/>
  <c r="D8" i="21"/>
  <c r="C7" i="22"/>
  <c r="D8" i="31"/>
  <c r="C8" i="31"/>
  <c r="B8" i="31"/>
  <c r="D7" i="31"/>
  <c r="C7" i="31"/>
  <c r="B7" i="31"/>
  <c r="M8" i="29"/>
  <c r="L8" i="29"/>
  <c r="F8" i="29"/>
  <c r="D8" i="29"/>
  <c r="C8" i="29"/>
  <c r="M7" i="29"/>
  <c r="L7" i="29"/>
  <c r="F7" i="29"/>
  <c r="C7" i="29"/>
  <c r="V8" i="22"/>
  <c r="U8" i="22"/>
  <c r="T8" i="22"/>
  <c r="S8" i="22"/>
  <c r="R8" i="22"/>
  <c r="Q8" i="22"/>
  <c r="F8" i="22"/>
  <c r="D8" i="22"/>
  <c r="C8" i="22"/>
  <c r="V7" i="22"/>
  <c r="U7" i="22"/>
  <c r="T7" i="22"/>
  <c r="S7" i="22"/>
  <c r="R7" i="22"/>
  <c r="Q7" i="22"/>
  <c r="F7" i="22"/>
  <c r="D7" i="22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AK3" i="21" l="1"/>
  <c r="AF7" i="21"/>
  <c r="AA7" i="21"/>
  <c r="AR5" i="21"/>
  <c r="AU5" i="21" s="1"/>
  <c r="AX5" i="21" s="1"/>
  <c r="F5" i="31" s="1"/>
  <c r="AK7" i="21"/>
  <c r="AP7" i="21"/>
  <c r="AF8" i="21"/>
  <c r="AK8" i="21"/>
  <c r="AP8" i="21"/>
  <c r="N7" i="29"/>
  <c r="N8" i="29"/>
  <c r="O8" i="29" s="1"/>
  <c r="P8" i="29" s="1"/>
  <c r="K8" i="31" s="1"/>
  <c r="AQ5" i="21"/>
  <c r="AT5" i="21" s="1"/>
  <c r="AW5" i="21" s="1"/>
  <c r="E5" i="31" s="1"/>
  <c r="AA3" i="21"/>
  <c r="AF3" i="21"/>
  <c r="AA8" i="21"/>
  <c r="AA5" i="22"/>
  <c r="AD5" i="22" s="1"/>
  <c r="I5" i="31" s="1"/>
  <c r="Y5" i="22"/>
  <c r="AB5" i="22" s="1"/>
  <c r="AE5" i="22" s="1"/>
  <c r="J5" i="31" s="1"/>
  <c r="W7" i="22"/>
  <c r="Z7" i="22" s="1"/>
  <c r="AC7" i="22" s="1"/>
  <c r="H7" i="31" s="1"/>
  <c r="W8" i="22"/>
  <c r="X8" i="22"/>
  <c r="AA8" i="22" s="1"/>
  <c r="AD8" i="22" s="1"/>
  <c r="I8" i="31" s="1"/>
  <c r="X7" i="22"/>
  <c r="AA7" i="22" s="1"/>
  <c r="AD7" i="22" s="1"/>
  <c r="I7" i="31" s="1"/>
  <c r="X3" i="22"/>
  <c r="AA3" i="22" s="1"/>
  <c r="AD3" i="22" s="1"/>
  <c r="I3" i="31" s="1"/>
  <c r="Q5" i="29"/>
  <c r="R5" i="29" s="1"/>
  <c r="S5" i="29" s="1"/>
  <c r="L5" i="31" s="1"/>
  <c r="O5" i="29"/>
  <c r="P5" i="29" s="1"/>
  <c r="K5" i="31" s="1"/>
  <c r="N3" i="29"/>
  <c r="T5" i="29"/>
  <c r="U5" i="29" s="1"/>
  <c r="AP3" i="21"/>
  <c r="W3" i="22"/>
  <c r="AR3" i="21" l="1"/>
  <c r="AU3" i="21" s="1"/>
  <c r="AX3" i="21" s="1"/>
  <c r="F3" i="31" s="1"/>
  <c r="AS5" i="21"/>
  <c r="AV5" i="21" s="1"/>
  <c r="AY5" i="21" s="1"/>
  <c r="G5" i="31" s="1"/>
  <c r="AQ8" i="21"/>
  <c r="AT8" i="21" s="1"/>
  <c r="AW8" i="21" s="1"/>
  <c r="E8" i="31" s="1"/>
  <c r="AQ3" i="21"/>
  <c r="AT3" i="21" s="1"/>
  <c r="AW3" i="21" s="1"/>
  <c r="E3" i="31" s="1"/>
  <c r="AQ7" i="21"/>
  <c r="AT7" i="21" s="1"/>
  <c r="AW7" i="21" s="1"/>
  <c r="E7" i="31" s="1"/>
  <c r="Q7" i="29"/>
  <c r="R7" i="29" s="1"/>
  <c r="S7" i="29" s="1"/>
  <c r="L7" i="31" s="1"/>
  <c r="AR7" i="21"/>
  <c r="AU7" i="21" s="1"/>
  <c r="AX7" i="21" s="1"/>
  <c r="F7" i="31" s="1"/>
  <c r="O7" i="29"/>
  <c r="P7" i="29" s="1"/>
  <c r="K7" i="31" s="1"/>
  <c r="T7" i="29"/>
  <c r="U7" i="29" s="1"/>
  <c r="V7" i="29" s="1"/>
  <c r="M7" i="31" s="1"/>
  <c r="AR8" i="21"/>
  <c r="AU8" i="21" s="1"/>
  <c r="AX8" i="21" s="1"/>
  <c r="F8" i="31" s="1"/>
  <c r="Y7" i="22"/>
  <c r="AB7" i="22" s="1"/>
  <c r="AE7" i="22" s="1"/>
  <c r="J7" i="31" s="1"/>
  <c r="T8" i="29"/>
  <c r="U8" i="29" s="1"/>
  <c r="V8" i="29" s="1"/>
  <c r="M8" i="31" s="1"/>
  <c r="Y8" i="22"/>
  <c r="AB8" i="22" s="1"/>
  <c r="AE8" i="22" s="1"/>
  <c r="J8" i="31" s="1"/>
  <c r="T3" i="29"/>
  <c r="U3" i="29" s="1"/>
  <c r="O3" i="29"/>
  <c r="P3" i="29" s="1"/>
  <c r="K3" i="31" s="1"/>
  <c r="Q3" i="29"/>
  <c r="R3" i="29" s="1"/>
  <c r="S3" i="29" s="1"/>
  <c r="L3" i="31" s="1"/>
  <c r="Q8" i="29"/>
  <c r="R8" i="29" s="1"/>
  <c r="S8" i="29" s="1"/>
  <c r="L8" i="31" s="1"/>
  <c r="Z8" i="22"/>
  <c r="AC8" i="22" s="1"/>
  <c r="H8" i="31" s="1"/>
  <c r="Y3" i="22"/>
  <c r="AB3" i="22" s="1"/>
  <c r="AE3" i="22" s="1"/>
  <c r="J3" i="31" s="1"/>
  <c r="V5" i="29"/>
  <c r="M5" i="31" s="1"/>
  <c r="Z3" i="22"/>
  <c r="AC3" i="22" s="1"/>
  <c r="H3" i="31" s="1"/>
  <c r="AS3" i="21" l="1"/>
  <c r="AV3" i="21" s="1"/>
  <c r="AY3" i="21" s="1"/>
  <c r="G3" i="31" s="1"/>
  <c r="O5" i="31"/>
  <c r="P5" i="31" s="1"/>
  <c r="AS7" i="21"/>
  <c r="AV7" i="21" s="1"/>
  <c r="AY7" i="21" s="1"/>
  <c r="G7" i="31" s="1"/>
  <c r="AS8" i="21"/>
  <c r="AV8" i="21" s="1"/>
  <c r="V3" i="29"/>
  <c r="M3" i="31" s="1"/>
  <c r="O3" i="31" l="1"/>
  <c r="P3" i="31" s="1"/>
  <c r="O7" i="31"/>
  <c r="P7" i="31" s="1"/>
  <c r="AY8" i="21"/>
  <c r="G8" i="31" s="1"/>
  <c r="O8" i="31"/>
  <c r="P8" i="31" s="1"/>
</calcChain>
</file>

<file path=xl/sharedStrings.xml><?xml version="1.0" encoding="utf-8"?>
<sst xmlns="http://schemas.openxmlformats.org/spreadsheetml/2006/main" count="216" uniqueCount="104">
  <si>
    <t>Rollover</t>
  </si>
  <si>
    <t>Make</t>
  </si>
  <si>
    <t>Model</t>
  </si>
  <si>
    <t>Year</t>
  </si>
  <si>
    <t>SSF</t>
  </si>
  <si>
    <t>Dynamic Test (Y or N)</t>
  </si>
  <si>
    <t>TIP UP? (Y or N)</t>
  </si>
  <si>
    <t>P(roll)</t>
  </si>
  <si>
    <t>P(AIS3+)</t>
  </si>
  <si>
    <t>RRS(roll)</t>
  </si>
  <si>
    <t>stars</t>
  </si>
  <si>
    <t>Acura</t>
  </si>
  <si>
    <t>Integra 5 HB FWD</t>
  </si>
  <si>
    <t>Y</t>
  </si>
  <si>
    <t>N</t>
  </si>
  <si>
    <t>Honda</t>
  </si>
  <si>
    <t>Civic Hatchback FWD</t>
  </si>
  <si>
    <t>Civic Hatchback Typer R FWD</t>
  </si>
  <si>
    <t>Civic Sedan FWD</t>
  </si>
  <si>
    <t xml:space="preserve">Honda </t>
  </si>
  <si>
    <t>HR-V SUV FWD</t>
  </si>
  <si>
    <t>HR-V SUV AWD</t>
  </si>
  <si>
    <t>Driver HIII 50M</t>
  </si>
  <si>
    <t>Front Passenger HIII 5F</t>
  </si>
  <si>
    <t>Driver AIS 3+ injury to different body regions</t>
  </si>
  <si>
    <t>Front Passenger AIS 3+ injury to different body regions</t>
  </si>
  <si>
    <t>Driver</t>
  </si>
  <si>
    <t>Passenger</t>
  </si>
  <si>
    <t>Average</t>
  </si>
  <si>
    <t>comb.</t>
  </si>
  <si>
    <t>Test No.</t>
  </si>
  <si>
    <t>NHTSA No.</t>
  </si>
  <si>
    <t>Lab</t>
  </si>
  <si>
    <t>HIC15</t>
  </si>
  <si>
    <t>Nij</t>
  </si>
  <si>
    <t>Neck Tension N</t>
  </si>
  <si>
    <t>Neck Comprsn N</t>
  </si>
  <si>
    <t>Chest Deflection mm</t>
  </si>
  <si>
    <t>3 ms clip gs</t>
  </si>
  <si>
    <t>Left Femur Force N</t>
  </si>
  <si>
    <t>Right Femur Force N</t>
  </si>
  <si>
    <t>P(HIC15)</t>
  </si>
  <si>
    <t>P(Nij)</t>
  </si>
  <si>
    <t>P(Ntension)</t>
  </si>
  <si>
    <t>P(Ncomprsn)</t>
  </si>
  <si>
    <t>P(Neck)</t>
  </si>
  <si>
    <t>P(chest)</t>
  </si>
  <si>
    <t>P(Lfemur)</t>
  </si>
  <si>
    <t>P(Rfemur)</t>
  </si>
  <si>
    <t>P(femur)</t>
  </si>
  <si>
    <t>P(NComprsn)</t>
  </si>
  <si>
    <t>p(AIS 3+)</t>
  </si>
  <si>
    <t>RRS (front)</t>
  </si>
  <si>
    <t>Stars</t>
  </si>
  <si>
    <t>O20235300</t>
  </si>
  <si>
    <t>MGA</t>
  </si>
  <si>
    <t>O20235303</t>
  </si>
  <si>
    <t>Driver ES-2re</t>
  </si>
  <si>
    <t>Rear Passenger SID-IIs</t>
  </si>
  <si>
    <t>Driver Es-2re</t>
  </si>
  <si>
    <t>Passenger*</t>
  </si>
  <si>
    <t>Combined</t>
  </si>
  <si>
    <t>Comb.</t>
  </si>
  <si>
    <t>Side MDB</t>
  </si>
  <si>
    <t>HIC36</t>
  </si>
  <si>
    <t>Rib Defl
(mm)</t>
  </si>
  <si>
    <t>Lower Spine (G's)</t>
  </si>
  <si>
    <t>Abd'm Force (N)</t>
  </si>
  <si>
    <t>Pubic Force (N)</t>
  </si>
  <si>
    <t>Abd'm defl (mm)</t>
  </si>
  <si>
    <t>Iliac+acet Force (N)</t>
  </si>
  <si>
    <t>P(head)</t>
  </si>
  <si>
    <t>P(abdm)</t>
  </si>
  <si>
    <t>P(pelvs)</t>
  </si>
  <si>
    <t>P(AIS 3+)</t>
  </si>
  <si>
    <t>RRS (MDB)</t>
  </si>
  <si>
    <t>O20235302</t>
  </si>
  <si>
    <t>O20235305</t>
  </si>
  <si>
    <t>Driver SID-IIs</t>
  </si>
  <si>
    <t>Side pole</t>
  </si>
  <si>
    <t>Overall Side</t>
  </si>
  <si>
    <t xml:space="preserve">RRS </t>
  </si>
  <si>
    <t>Max. Thor. rib defl
(mm)</t>
  </si>
  <si>
    <t>Lower Spine result. (G's)</t>
  </si>
  <si>
    <t>Max. Abd'm rib defl (mm)</t>
  </si>
  <si>
    <t>RRS(pole)</t>
  </si>
  <si>
    <t>P(Overall MDB+pole Driver)</t>
  </si>
  <si>
    <t>RRS(Overall MDB+pole Driver)</t>
  </si>
  <si>
    <t>overall Driver stars</t>
  </si>
  <si>
    <t>P(Overall side)</t>
  </si>
  <si>
    <t>RRS(Overall side)</t>
  </si>
  <si>
    <t>Overall Side stars</t>
  </si>
  <si>
    <t>O20235301</t>
  </si>
  <si>
    <t>O20235304</t>
  </si>
  <si>
    <t>Date on Web</t>
  </si>
  <si>
    <t>Front (STARS)</t>
  </si>
  <si>
    <t>Side MDB (STARS)</t>
  </si>
  <si>
    <t>Side Pole (STARS)</t>
  </si>
  <si>
    <t>Overall Driver Star</t>
  </si>
  <si>
    <t>Overall Side Star</t>
  </si>
  <si>
    <t xml:space="preserve">Rollover </t>
  </si>
  <si>
    <t>Pass</t>
  </si>
  <si>
    <t>STARS</t>
  </si>
  <si>
    <t>VSS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</si>
</sst>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230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 wrapText="1"/>
    </xf>
    <xf numFmtId="1" fontId="4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165" fontId="5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</xf>
    <xf numFmtId="2" fontId="4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/>
    </xf>
    <xf numFmtId="2" fontId="4" fillId="0" borderId="23" xfId="0" applyNumberFormat="1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0" xfId="0" applyFont="1" applyFill="1"/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1" fontId="4" fillId="0" borderId="39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3" fillId="0" borderId="3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/>
    <xf numFmtId="1" fontId="4" fillId="0" borderId="0" xfId="0" applyNumberFormat="1" applyFont="1" applyFill="1" applyAlignment="1"/>
    <xf numFmtId="0" fontId="4" fillId="0" borderId="0" xfId="0" applyFont="1" applyFill="1" applyAlignment="1"/>
    <xf numFmtId="0" fontId="3" fillId="0" borderId="0" xfId="0" applyFont="1" applyFill="1" applyAlignment="1"/>
    <xf numFmtId="2" fontId="5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 applyAlignment="1"/>
    <xf numFmtId="164" fontId="3" fillId="0" borderId="35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Alignment="1"/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164" fontId="4" fillId="0" borderId="22" xfId="0" applyNumberFormat="1" applyFont="1" applyFill="1" applyBorder="1" applyAlignment="1">
      <alignment horizontal="center" wrapText="1"/>
    </xf>
    <xf numFmtId="164" fontId="4" fillId="0" borderId="23" xfId="0" applyNumberFormat="1" applyFont="1" applyFill="1" applyBorder="1" applyAlignment="1">
      <alignment horizontal="center" wrapText="1"/>
    </xf>
    <xf numFmtId="164" fontId="4" fillId="0" borderId="2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16" fontId="5" fillId="0" borderId="1" xfId="0" applyNumberFormat="1" applyFont="1" applyFill="1" applyBorder="1" applyAlignment="1"/>
    <xf numFmtId="1" fontId="4" fillId="0" borderId="25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 applyProtection="1">
      <alignment horizontal="center"/>
    </xf>
    <xf numFmtId="164" fontId="4" fillId="0" borderId="27" xfId="0" applyNumberFormat="1" applyFont="1" applyFill="1" applyBorder="1" applyAlignment="1" applyProtection="1">
      <alignment horizontal="center"/>
    </xf>
    <xf numFmtId="1" fontId="4" fillId="0" borderId="27" xfId="0" applyNumberFormat="1" applyFont="1" applyFill="1" applyBorder="1" applyAlignment="1" applyProtection="1">
      <alignment horizont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/>
    </xf>
    <xf numFmtId="164" fontId="4" fillId="0" borderId="29" xfId="0" applyNumberFormat="1" applyFont="1" applyFill="1" applyBorder="1" applyAlignment="1" applyProtection="1">
      <alignment horizontal="center"/>
    </xf>
    <xf numFmtId="1" fontId="4" fillId="0" borderId="24" xfId="0" applyNumberFormat="1" applyFont="1" applyFill="1" applyBorder="1" applyAlignment="1" applyProtection="1">
      <alignment horizontal="center"/>
    </xf>
    <xf numFmtId="164" fontId="4" fillId="0" borderId="30" xfId="0" applyNumberFormat="1" applyFont="1" applyFill="1" applyBorder="1" applyAlignment="1">
      <alignment horizontal="center" wrapText="1"/>
    </xf>
    <xf numFmtId="164" fontId="4" fillId="0" borderId="31" xfId="0" applyNumberFormat="1" applyFont="1" applyFill="1" applyBorder="1" applyAlignment="1">
      <alignment horizontal="center" wrapText="1"/>
    </xf>
    <xf numFmtId="164" fontId="4" fillId="0" borderId="38" xfId="0" applyNumberFormat="1" applyFont="1" applyFill="1" applyBorder="1" applyAlignment="1">
      <alignment horizontal="center" wrapText="1"/>
    </xf>
    <xf numFmtId="164" fontId="4" fillId="0" borderId="30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 wrapText="1"/>
    </xf>
    <xf numFmtId="1" fontId="4" fillId="0" borderId="31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5" fillId="0" borderId="0" xfId="0" applyNumberFormat="1" applyFont="1" applyFill="1"/>
    <xf numFmtId="0" fontId="2" fillId="0" borderId="1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4" fillId="0" borderId="30" xfId="0" applyNumberFormat="1" applyFont="1" applyFill="1" applyBorder="1" applyAlignment="1">
      <alignment horizontal="center" wrapText="1"/>
    </xf>
    <xf numFmtId="2" fontId="4" fillId="0" borderId="31" xfId="0" applyNumberFormat="1" applyFont="1" applyFill="1" applyBorder="1" applyAlignment="1">
      <alignment horizontal="center" wrapText="1"/>
    </xf>
    <xf numFmtId="1" fontId="4" fillId="0" borderId="36" xfId="0" applyNumberFormat="1" applyFont="1" applyFill="1" applyBorder="1" applyAlignment="1">
      <alignment horizontal="center" wrapText="1"/>
    </xf>
    <xf numFmtId="0" fontId="5" fillId="0" borderId="0" xfId="0" applyFont="1" applyFill="1" applyProtection="1">
      <protection locked="0"/>
    </xf>
    <xf numFmtId="2" fontId="5" fillId="0" borderId="0" xfId="0" applyNumberFormat="1" applyFont="1" applyFill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/>
    <xf numFmtId="0" fontId="4" fillId="0" borderId="27" xfId="0" applyFont="1" applyFill="1" applyBorder="1" applyAlignment="1"/>
    <xf numFmtId="164" fontId="3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 wrapText="1"/>
    </xf>
    <xf numFmtId="2" fontId="4" fillId="0" borderId="36" xfId="0" applyNumberFormat="1" applyFont="1" applyFill="1" applyBorder="1" applyAlignment="1">
      <alignment horizontal="center"/>
    </xf>
    <xf numFmtId="2" fontId="10" fillId="0" borderId="31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0" xfId="0" applyFont="1" applyFill="1"/>
    <xf numFmtId="164" fontId="4" fillId="0" borderId="0" xfId="0" applyNumberFormat="1" applyFont="1" applyFill="1"/>
    <xf numFmtId="2" fontId="5" fillId="0" borderId="0" xfId="0" applyNumberFormat="1" applyFont="1" applyFill="1"/>
    <xf numFmtId="0" fontId="4" fillId="0" borderId="0" xfId="0" applyFont="1" applyFill="1" applyAlignment="1">
      <alignment horizontal="left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</cellXfs>
  <cellStyles count="17">
    <cellStyle name="Normal" xfId="0" builtinId="0"/>
    <cellStyle name="Normal 10 2" xfId="8" xr:uid="{00000000-0005-0000-0000-000001000000}"/>
    <cellStyle name="Normal 2" xfId="1" xr:uid="{00000000-0005-0000-0000-000002000000}"/>
    <cellStyle name="Normal 3" xfId="2" xr:uid="{00000000-0005-0000-0000-000003000000}"/>
    <cellStyle name="Normal 3 2" xfId="3" xr:uid="{00000000-0005-0000-0000-000004000000}"/>
    <cellStyle name="Normal 71" xfId="9" xr:uid="{00000000-0005-0000-0000-000005000000}"/>
    <cellStyle name="Normal 74" xfId="15" xr:uid="{00000000-0005-0000-0000-000006000000}"/>
    <cellStyle name="Normal 75" xfId="5" xr:uid="{00000000-0005-0000-0000-000007000000}"/>
    <cellStyle name="Normal 76" xfId="16" xr:uid="{00000000-0005-0000-0000-000008000000}"/>
    <cellStyle name="Normal 77" xfId="13" xr:uid="{00000000-0005-0000-0000-000009000000}"/>
    <cellStyle name="Normal 78" xfId="4" xr:uid="{00000000-0005-0000-0000-00000A000000}"/>
    <cellStyle name="Normal 81" xfId="6" xr:uid="{00000000-0005-0000-0000-00000B000000}"/>
    <cellStyle name="Normal 82" xfId="10" xr:uid="{00000000-0005-0000-0000-00000C000000}"/>
    <cellStyle name="Standard 3 3" xfId="14" xr:uid="{00000000-0005-0000-0000-00000D000000}"/>
    <cellStyle name="쉼표 [0] 2 4" xfId="12" xr:uid="{00000000-0005-0000-0000-00000E000000}"/>
    <cellStyle name="표준 10" xfId="7" xr:uid="{00000000-0005-0000-0000-00000F000000}"/>
    <cellStyle name="표준_Sheet1" xfId="11" xr:uid="{00000000-0005-0000-0000-000010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00080"/>
      <color rgb="FF990099"/>
      <color rgb="FF0000FF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zoomScale="145" zoomScaleNormal="145" workbookViewId="0">
      <selection activeCell="A7" sqref="A7:XFD8"/>
    </sheetView>
  </sheetViews>
  <sheetFormatPr defaultColWidth="9.140625" defaultRowHeight="13.15" customHeight="1"/>
  <cols>
    <col min="1" max="1" width="13.5703125" style="70" customWidth="1"/>
    <col min="2" max="2" width="43.85546875" style="70" customWidth="1"/>
    <col min="3" max="3" width="6.28515625" style="65" customWidth="1"/>
    <col min="4" max="4" width="4.85546875" style="65" bestFit="1" customWidth="1"/>
    <col min="5" max="5" width="18" style="65" bestFit="1" customWidth="1"/>
    <col min="6" max="6" width="13.140625" style="65" bestFit="1" customWidth="1"/>
    <col min="7" max="7" width="7.7109375" style="71" customWidth="1"/>
    <col min="8" max="8" width="7.42578125" style="71" bestFit="1" customWidth="1"/>
    <col min="9" max="9" width="7.7109375" style="72" bestFit="1" customWidth="1"/>
    <col min="10" max="10" width="7.140625" style="71" bestFit="1" customWidth="1"/>
    <col min="11" max="16384" width="9.140625" style="65"/>
  </cols>
  <sheetData>
    <row r="1" spans="1:10" s="49" customFormat="1" ht="13.15" customHeight="1" thickBot="1">
      <c r="A1" s="46"/>
      <c r="B1" s="46"/>
      <c r="C1" s="46"/>
      <c r="D1" s="46"/>
      <c r="E1" s="46"/>
      <c r="F1" s="46"/>
      <c r="G1" s="47"/>
      <c r="H1" s="47"/>
      <c r="I1" s="48"/>
      <c r="J1" s="47" t="s">
        <v>0</v>
      </c>
    </row>
    <row r="2" spans="1:10" s="49" customFormat="1" ht="13.15" customHeight="1" thickBot="1">
      <c r="A2" s="76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1" t="s">
        <v>6</v>
      </c>
      <c r="G2" s="52" t="s">
        <v>7</v>
      </c>
      <c r="H2" s="53" t="s">
        <v>8</v>
      </c>
      <c r="I2" s="54" t="s">
        <v>9</v>
      </c>
      <c r="J2" s="55" t="s">
        <v>10</v>
      </c>
    </row>
    <row r="3" spans="1:10" ht="13.15" customHeight="1">
      <c r="A3" s="56" t="s">
        <v>11</v>
      </c>
      <c r="B3" s="57" t="s">
        <v>12</v>
      </c>
      <c r="C3" s="58">
        <v>2023</v>
      </c>
      <c r="D3" s="59">
        <v>1.48</v>
      </c>
      <c r="E3" s="59" t="s">
        <v>13</v>
      </c>
      <c r="F3" s="59" t="s">
        <v>14</v>
      </c>
      <c r="G3" s="61">
        <f t="shared" ref="G3:G6" si="0">IF(F3="Y",((1/(1+EXP(2.6968+(1.1686*LN(D3-0.9)))))),((1/(1+EXP(2.8891+(1.1686*(LN(D3-0.9))))))))</f>
        <v>9.5131298699074329E-2</v>
      </c>
      <c r="H3" s="62">
        <f t="shared" ref="H3:H6" si="1">ROUND(G3,3)</f>
        <v>9.5000000000000001E-2</v>
      </c>
      <c r="I3" s="63">
        <f t="shared" ref="I3:I6" si="2">ROUND(H3/0.15,2)</f>
        <v>0.63</v>
      </c>
      <c r="J3" s="64">
        <f t="shared" ref="J3:J6" si="3">IF(I3&lt;0.673,5,IF(I3&lt;1.33,4,IF(I3&lt;2,3,IF(I3&lt;2.67,2,1))))</f>
        <v>5</v>
      </c>
    </row>
    <row r="4" spans="1:10" ht="13.15" customHeight="1">
      <c r="A4" s="68" t="s">
        <v>15</v>
      </c>
      <c r="B4" s="69" t="s">
        <v>16</v>
      </c>
      <c r="C4" s="58">
        <v>2023</v>
      </c>
      <c r="D4" s="59">
        <v>1.48</v>
      </c>
      <c r="E4" s="59" t="s">
        <v>13</v>
      </c>
      <c r="F4" s="59" t="s">
        <v>14</v>
      </c>
      <c r="G4" s="61">
        <f t="shared" si="0"/>
        <v>9.5131298699074329E-2</v>
      </c>
      <c r="H4" s="62">
        <f t="shared" si="1"/>
        <v>9.5000000000000001E-2</v>
      </c>
      <c r="I4" s="63">
        <f t="shared" si="2"/>
        <v>0.63</v>
      </c>
      <c r="J4" s="64">
        <f t="shared" si="3"/>
        <v>5</v>
      </c>
    </row>
    <row r="5" spans="1:10" ht="13.15" customHeight="1">
      <c r="A5" s="68" t="s">
        <v>15</v>
      </c>
      <c r="B5" s="69" t="s">
        <v>17</v>
      </c>
      <c r="C5" s="58">
        <v>2023</v>
      </c>
      <c r="D5" s="59">
        <v>1.48</v>
      </c>
      <c r="E5" s="59" t="s">
        <v>13</v>
      </c>
      <c r="F5" s="59" t="s">
        <v>14</v>
      </c>
      <c r="G5" s="61">
        <f t="shared" si="0"/>
        <v>9.5131298699074329E-2</v>
      </c>
      <c r="H5" s="62">
        <f t="shared" si="1"/>
        <v>9.5000000000000001E-2</v>
      </c>
      <c r="I5" s="63">
        <f t="shared" si="2"/>
        <v>0.63</v>
      </c>
      <c r="J5" s="64">
        <f t="shared" si="3"/>
        <v>5</v>
      </c>
    </row>
    <row r="6" spans="1:10" ht="13.15" customHeight="1">
      <c r="A6" s="68" t="s">
        <v>15</v>
      </c>
      <c r="B6" s="69" t="s">
        <v>18</v>
      </c>
      <c r="C6" s="58">
        <v>2023</v>
      </c>
      <c r="D6" s="59">
        <v>1.48</v>
      </c>
      <c r="E6" s="59" t="s">
        <v>13</v>
      </c>
      <c r="F6" s="59" t="s">
        <v>14</v>
      </c>
      <c r="G6" s="61">
        <f t="shared" si="0"/>
        <v>9.5131298699074329E-2</v>
      </c>
      <c r="H6" s="62">
        <f t="shared" si="1"/>
        <v>9.5000000000000001E-2</v>
      </c>
      <c r="I6" s="63">
        <f t="shared" si="2"/>
        <v>0.63</v>
      </c>
      <c r="J6" s="64">
        <f t="shared" si="3"/>
        <v>5</v>
      </c>
    </row>
    <row r="7" spans="1:10" ht="13.15" customHeight="1">
      <c r="A7" s="66" t="s">
        <v>19</v>
      </c>
      <c r="B7" s="9" t="s">
        <v>20</v>
      </c>
      <c r="C7" s="58">
        <v>2023</v>
      </c>
      <c r="D7" s="59">
        <v>1.3</v>
      </c>
      <c r="E7" s="59" t="s">
        <v>13</v>
      </c>
      <c r="F7" s="59" t="s">
        <v>14</v>
      </c>
      <c r="G7" s="61">
        <f t="shared" ref="G7:G8" si="4">IF(F7="Y",((1/(1+EXP(2.6968+(1.1686*LN(D7-0.9)))))),((1/(1+EXP(2.8891+(1.1686*(LN(D7-0.9))))))))</f>
        <v>0.13963526332187839</v>
      </c>
      <c r="H7" s="62">
        <f t="shared" ref="H7:H8" si="5">ROUND(G7,3)</f>
        <v>0.14000000000000001</v>
      </c>
      <c r="I7" s="63">
        <f t="shared" ref="I7:I8" si="6">ROUND(H7/0.15,2)</f>
        <v>0.93</v>
      </c>
      <c r="J7" s="64">
        <f t="shared" ref="J7:J8" si="7">IF(I7&lt;0.673,5,IF(I7&lt;1.33,4,IF(I7&lt;2,3,IF(I7&lt;2.67,2,1))))</f>
        <v>4</v>
      </c>
    </row>
    <row r="8" spans="1:10" ht="13.15" customHeight="1">
      <c r="A8" s="66" t="s">
        <v>19</v>
      </c>
      <c r="B8" s="9" t="s">
        <v>21</v>
      </c>
      <c r="C8" s="58">
        <v>2023</v>
      </c>
      <c r="D8" s="59"/>
      <c r="E8" s="59"/>
      <c r="F8" s="59"/>
      <c r="G8" s="61" t="e">
        <f t="shared" si="4"/>
        <v>#NUM!</v>
      </c>
      <c r="H8" s="62" t="e">
        <f t="shared" si="5"/>
        <v>#NUM!</v>
      </c>
      <c r="I8" s="63" t="e">
        <f t="shared" si="6"/>
        <v>#NUM!</v>
      </c>
      <c r="J8" s="64" t="e">
        <f t="shared" si="7"/>
        <v>#NUM!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46"/>
  <sheetViews>
    <sheetView workbookViewId="0">
      <pane xSplit="6" ySplit="2" topLeftCell="G3" activePane="bottomRight" state="frozen"/>
      <selection activeCell="B34" sqref="B34"/>
      <selection pane="topRight" activeCell="B34" sqref="B34"/>
      <selection pane="bottomLeft" activeCell="B34" sqref="B34"/>
      <selection pane="bottomRight" activeCell="A7" sqref="A7:XFD8"/>
    </sheetView>
  </sheetViews>
  <sheetFormatPr defaultRowHeight="12.75"/>
  <cols>
    <col min="1" max="1" width="8.140625" style="112" customWidth="1"/>
    <col min="2" max="2" width="9.85546875" style="112" bestFit="1" customWidth="1"/>
    <col min="3" max="3" width="11.28515625" style="219" bestFit="1" customWidth="1"/>
    <col min="4" max="4" width="26.140625" style="219" customWidth="1"/>
    <col min="5" max="5" width="7.42578125" style="219" customWidth="1"/>
    <col min="6" max="6" width="8.28515625" style="219" customWidth="1"/>
    <col min="7" max="9" width="8.7109375" style="223" customWidth="1"/>
    <col min="10" max="10" width="8.42578125" style="223" bestFit="1" customWidth="1"/>
    <col min="11" max="22" width="8.7109375" style="223" customWidth="1"/>
    <col min="23" max="23" width="7.42578125" style="221" bestFit="1" customWidth="1"/>
    <col min="24" max="24" width="5.28515625" style="221" bestFit="1" customWidth="1"/>
    <col min="25" max="25" width="10.140625" style="221" bestFit="1" customWidth="1"/>
    <col min="26" max="26" width="11.28515625" style="221" bestFit="1" customWidth="1"/>
    <col min="27" max="27" width="7.28515625" style="221" customWidth="1"/>
    <col min="28" max="28" width="7.5703125" style="221" bestFit="1" customWidth="1"/>
    <col min="29" max="29" width="7.5703125" style="65" bestFit="1" customWidth="1"/>
    <col min="30" max="31" width="9" style="65" bestFit="1" customWidth="1"/>
    <col min="32" max="32" width="8" style="65" bestFit="1" customWidth="1"/>
    <col min="33" max="33" width="7.42578125" style="65" bestFit="1" customWidth="1"/>
    <col min="34" max="34" width="5" style="65" bestFit="1" customWidth="1"/>
    <col min="35" max="35" width="10.140625" style="65" bestFit="1" customWidth="1"/>
    <col min="36" max="36" width="11.5703125" style="65" bestFit="1" customWidth="1"/>
    <col min="37" max="37" width="7" style="65" bestFit="1" customWidth="1"/>
    <col min="38" max="39" width="7.5703125" style="65" bestFit="1" customWidth="1"/>
    <col min="40" max="41" width="9" style="65" bestFit="1" customWidth="1"/>
    <col min="42" max="42" width="8" style="65" bestFit="1" customWidth="1"/>
    <col min="43" max="43" width="7.5703125" style="65" customWidth="1"/>
    <col min="44" max="44" width="9.5703125" style="65" bestFit="1" customWidth="1"/>
    <col min="45" max="45" width="7.140625" style="65" bestFit="1" customWidth="1"/>
    <col min="46" max="46" width="5.7109375" style="221" bestFit="1" customWidth="1"/>
    <col min="47" max="47" width="9.5703125" style="221" bestFit="1" customWidth="1"/>
    <col min="48" max="48" width="5.85546875" style="221" bestFit="1" customWidth="1"/>
    <col min="49" max="49" width="5.7109375" style="142" bestFit="1" customWidth="1"/>
    <col min="50" max="50" width="9.5703125" style="142" bestFit="1" customWidth="1"/>
    <col min="51" max="51" width="5.85546875" style="143" bestFit="1" customWidth="1"/>
    <col min="52" max="16384" width="9.140625" style="65"/>
  </cols>
  <sheetData>
    <row r="1" spans="1:51" s="110" customFormat="1" ht="13.5" thickBot="1">
      <c r="A1" s="192"/>
      <c r="B1" s="122"/>
      <c r="C1" s="193"/>
      <c r="D1" s="193"/>
      <c r="E1" s="194"/>
      <c r="F1" s="194"/>
      <c r="G1" s="154" t="s">
        <v>22</v>
      </c>
      <c r="H1" s="195"/>
      <c r="I1" s="195"/>
      <c r="J1" s="195"/>
      <c r="K1" s="195"/>
      <c r="L1" s="195"/>
      <c r="M1" s="195"/>
      <c r="N1" s="117"/>
      <c r="O1" s="154" t="s">
        <v>23</v>
      </c>
      <c r="P1" s="195"/>
      <c r="Q1" s="195"/>
      <c r="R1" s="195"/>
      <c r="S1" s="195"/>
      <c r="T1" s="195"/>
      <c r="U1" s="195"/>
      <c r="V1" s="117"/>
      <c r="W1" s="196" t="s">
        <v>24</v>
      </c>
      <c r="X1" s="197"/>
      <c r="Y1" s="197"/>
      <c r="Z1" s="197"/>
      <c r="AA1" s="197"/>
      <c r="AB1" s="197"/>
      <c r="AC1" s="197"/>
      <c r="AD1" s="197"/>
      <c r="AE1" s="197"/>
      <c r="AF1" s="198"/>
      <c r="AG1" s="196" t="s">
        <v>25</v>
      </c>
      <c r="AH1" s="197"/>
      <c r="AI1" s="197"/>
      <c r="AJ1" s="197"/>
      <c r="AK1" s="197"/>
      <c r="AL1" s="197"/>
      <c r="AM1" s="197"/>
      <c r="AN1" s="197"/>
      <c r="AO1" s="197"/>
      <c r="AP1" s="198"/>
      <c r="AQ1" s="199" t="s">
        <v>26</v>
      </c>
      <c r="AR1" s="200" t="s">
        <v>27</v>
      </c>
      <c r="AS1" s="201" t="s">
        <v>28</v>
      </c>
      <c r="AT1" s="33" t="s">
        <v>26</v>
      </c>
      <c r="AU1" s="34" t="s">
        <v>27</v>
      </c>
      <c r="AV1" s="35" t="s">
        <v>29</v>
      </c>
      <c r="AW1" s="202" t="s">
        <v>26</v>
      </c>
      <c r="AX1" s="38" t="s">
        <v>27</v>
      </c>
      <c r="AY1" s="39" t="s">
        <v>29</v>
      </c>
    </row>
    <row r="2" spans="1:51" s="7" customFormat="1" ht="34.5" thickBot="1">
      <c r="A2" s="76" t="s">
        <v>30</v>
      </c>
      <c r="B2" s="203" t="s">
        <v>31</v>
      </c>
      <c r="C2" s="76" t="s">
        <v>1</v>
      </c>
      <c r="D2" s="50" t="s">
        <v>2</v>
      </c>
      <c r="E2" s="203" t="s">
        <v>32</v>
      </c>
      <c r="F2" s="51" t="s">
        <v>3</v>
      </c>
      <c r="G2" s="165" t="s">
        <v>33</v>
      </c>
      <c r="H2" s="167" t="s">
        <v>34</v>
      </c>
      <c r="I2" s="163" t="s">
        <v>35</v>
      </c>
      <c r="J2" s="163" t="s">
        <v>36</v>
      </c>
      <c r="K2" s="163" t="s">
        <v>37</v>
      </c>
      <c r="L2" s="163" t="s">
        <v>38</v>
      </c>
      <c r="M2" s="163" t="s">
        <v>39</v>
      </c>
      <c r="N2" s="204" t="s">
        <v>40</v>
      </c>
      <c r="O2" s="165" t="s">
        <v>33</v>
      </c>
      <c r="P2" s="167" t="s">
        <v>34</v>
      </c>
      <c r="Q2" s="163" t="s">
        <v>35</v>
      </c>
      <c r="R2" s="163" t="s">
        <v>36</v>
      </c>
      <c r="S2" s="163" t="s">
        <v>37</v>
      </c>
      <c r="T2" s="163" t="s">
        <v>38</v>
      </c>
      <c r="U2" s="163" t="s">
        <v>39</v>
      </c>
      <c r="V2" s="204" t="s">
        <v>40</v>
      </c>
      <c r="W2" s="205" t="s">
        <v>41</v>
      </c>
      <c r="X2" s="206" t="s">
        <v>42</v>
      </c>
      <c r="Y2" s="31" t="s">
        <v>43</v>
      </c>
      <c r="Z2" s="31" t="s">
        <v>44</v>
      </c>
      <c r="AA2" s="206" t="s">
        <v>45</v>
      </c>
      <c r="AB2" s="31" t="s">
        <v>46</v>
      </c>
      <c r="AC2" s="207" t="s">
        <v>46</v>
      </c>
      <c r="AD2" s="207" t="s">
        <v>47</v>
      </c>
      <c r="AE2" s="207" t="s">
        <v>48</v>
      </c>
      <c r="AF2" s="208" t="s">
        <v>49</v>
      </c>
      <c r="AG2" s="165" t="s">
        <v>41</v>
      </c>
      <c r="AH2" s="167" t="s">
        <v>42</v>
      </c>
      <c r="AI2" s="167" t="s">
        <v>43</v>
      </c>
      <c r="AJ2" s="167" t="s">
        <v>50</v>
      </c>
      <c r="AK2" s="167" t="s">
        <v>45</v>
      </c>
      <c r="AL2" s="167" t="s">
        <v>46</v>
      </c>
      <c r="AM2" s="167" t="s">
        <v>46</v>
      </c>
      <c r="AN2" s="167" t="s">
        <v>47</v>
      </c>
      <c r="AO2" s="167" t="s">
        <v>48</v>
      </c>
      <c r="AP2" s="209" t="s">
        <v>49</v>
      </c>
      <c r="AQ2" s="40" t="s">
        <v>51</v>
      </c>
      <c r="AR2" s="93" t="s">
        <v>8</v>
      </c>
      <c r="AS2" s="210" t="s">
        <v>8</v>
      </c>
      <c r="AT2" s="187" t="s">
        <v>52</v>
      </c>
      <c r="AU2" s="188" t="s">
        <v>52</v>
      </c>
      <c r="AV2" s="36" t="s">
        <v>52</v>
      </c>
      <c r="AW2" s="189" t="s">
        <v>10</v>
      </c>
      <c r="AX2" s="169" t="s">
        <v>10</v>
      </c>
      <c r="AY2" s="211" t="s">
        <v>53</v>
      </c>
    </row>
    <row r="3" spans="1:51" ht="13.15" customHeight="1">
      <c r="A3" s="59">
        <v>14258</v>
      </c>
      <c r="B3" s="59" t="s">
        <v>54</v>
      </c>
      <c r="C3" s="212" t="str">
        <f>Rollover!A3</f>
        <v>Acura</v>
      </c>
      <c r="D3" s="213" t="str">
        <f>Rollover!B3</f>
        <v>Integra 5 HB FWD</v>
      </c>
      <c r="E3" s="137" t="s">
        <v>55</v>
      </c>
      <c r="F3" s="214">
        <f>Rollover!C3</f>
        <v>2023</v>
      </c>
      <c r="G3" s="11">
        <v>231.16</v>
      </c>
      <c r="H3" s="12">
        <v>0.27</v>
      </c>
      <c r="I3" s="12">
        <v>847.85400000000004</v>
      </c>
      <c r="J3" s="12">
        <v>85.427000000000007</v>
      </c>
      <c r="K3" s="12">
        <v>19.751999999999999</v>
      </c>
      <c r="L3" s="12">
        <v>37.284999999999997</v>
      </c>
      <c r="M3" s="12">
        <v>1276.6130000000001</v>
      </c>
      <c r="N3" s="13">
        <v>2553.4580000000001</v>
      </c>
      <c r="O3" s="11">
        <v>328.25900000000001</v>
      </c>
      <c r="P3" s="12">
        <v>0.26700000000000002</v>
      </c>
      <c r="Q3" s="12">
        <v>671.62</v>
      </c>
      <c r="R3" s="12">
        <v>322.96699999999998</v>
      </c>
      <c r="S3" s="12">
        <v>14.266999999999999</v>
      </c>
      <c r="T3" s="12">
        <v>42.319000000000003</v>
      </c>
      <c r="U3" s="12">
        <v>1178.136</v>
      </c>
      <c r="V3" s="13">
        <v>474.15499999999997</v>
      </c>
      <c r="W3" s="215">
        <f t="shared" ref="W3:W6" si="0">NORMDIST(LN(G3),7.45231,0.73998,1)</f>
        <v>3.3117041367638198E-3</v>
      </c>
      <c r="X3" s="6">
        <f t="shared" ref="X3:X6" si="1">1/(1+EXP(3.2269-1.9688*H3))</f>
        <v>6.3249840623120709E-2</v>
      </c>
      <c r="Y3" s="6">
        <f t="shared" ref="Y3:Y6" si="2">1/(1+EXP(10.9745-2.375*I3/1000))</f>
        <v>1.2832106949297898E-4</v>
      </c>
      <c r="Z3" s="6">
        <f t="shared" ref="Z3:Z6" si="3">1/(1+EXP(10.9745-2.375*J3/1000))</f>
        <v>2.0986485779530627E-5</v>
      </c>
      <c r="AA3" s="6">
        <f t="shared" ref="AA3:AA6" si="4">MAX(X3,Y3,Z3)</f>
        <v>6.3249840623120709E-2</v>
      </c>
      <c r="AB3" s="6">
        <f t="shared" ref="AB3:AB6" si="5">1/(1+EXP(12.597-0.05861*35-1.568*(K3^0.4612)))</f>
        <v>1.2885950492916742E-2</v>
      </c>
      <c r="AC3" s="6">
        <f t="shared" ref="AC3:AC6" si="6">AB3</f>
        <v>1.2885950492916742E-2</v>
      </c>
      <c r="AD3" s="6">
        <f t="shared" ref="AD3:AD6" si="7">1/(1+EXP(5.7949-0.5196*M3/1000))</f>
        <v>5.8725767429259786E-3</v>
      </c>
      <c r="AE3" s="6">
        <f t="shared" ref="AE3:AE6" si="8">1/(1+EXP(5.7949-0.5196*N3/1000))</f>
        <v>1.1338777679190577E-2</v>
      </c>
      <c r="AF3" s="23">
        <f t="shared" ref="AF3:AF6" si="9">MAX(AD3,AE3)</f>
        <v>1.1338777679190577E-2</v>
      </c>
      <c r="AG3" s="22">
        <f t="shared" ref="AG3:AG6" si="10">NORMDIST(LN(O3),7.45231,0.73998,1)</f>
        <v>1.2503766468287793E-2</v>
      </c>
      <c r="AH3" s="6">
        <f t="shared" ref="AH3:AH6" si="11">1/(1+EXP(3.2269-1.9688*P3))</f>
        <v>6.2900791995682381E-2</v>
      </c>
      <c r="AI3" s="6">
        <f t="shared" ref="AI3:AI6" si="12">1/(1+EXP(10.958-3.77*Q3/1000))</f>
        <v>2.1904975246422087E-4</v>
      </c>
      <c r="AJ3" s="6">
        <f t="shared" ref="AJ3:AJ6" si="13">1/(1+EXP(10.958-3.77*R3/1000))</f>
        <v>5.8852675373025976E-5</v>
      </c>
      <c r="AK3" s="6">
        <f t="shared" ref="AK3:AK6" si="14">MAX(AH3,AI3,AJ3)</f>
        <v>6.2900791995682381E-2</v>
      </c>
      <c r="AL3" s="6">
        <f t="shared" ref="AL3:AL6" si="15">1/(1+EXP(12.597-0.05861*35-1.568*((S3/0.817)^0.4612)))</f>
        <v>9.1803462434360949E-3</v>
      </c>
      <c r="AM3" s="6">
        <f t="shared" ref="AM3:AM6" si="16">AL3</f>
        <v>9.1803462434360949E-3</v>
      </c>
      <c r="AN3" s="6">
        <f t="shared" ref="AN3:AN6" si="17">1/(1+EXP(5.7949-0.7619*U3/1000))</f>
        <v>7.4115378700983295E-3</v>
      </c>
      <c r="AO3" s="6">
        <f t="shared" ref="AO3:AO6" si="18">1/(1+EXP(5.7949-0.7619*V3/1000))</f>
        <v>4.3481754365519978E-3</v>
      </c>
      <c r="AP3" s="23">
        <f t="shared" ref="AP3:AP6" si="19">MAX(AN3,AO3)</f>
        <v>7.4115378700983295E-3</v>
      </c>
      <c r="AQ3" s="215">
        <f t="shared" ref="AQ3:AQ6" si="20">ROUND(1-(1-W3)*(1-AA3)*(1-AC3)*(1-AF3),3)</f>
        <v>8.8999999999999996E-2</v>
      </c>
      <c r="AR3" s="6">
        <f t="shared" ref="AR3:AR6" si="21">ROUND(1-(1-AG3)*(1-AK3)*(1-AM3)*(1-AP3),3)</f>
        <v>0.09</v>
      </c>
      <c r="AS3" s="6">
        <f t="shared" ref="AS3:AS6" si="22">ROUND(AVERAGE(AR3,AQ3),3)</f>
        <v>0.09</v>
      </c>
      <c r="AT3" s="140">
        <f t="shared" ref="AT3:AT6" si="23">ROUND(AQ3/0.15,2)</f>
        <v>0.59</v>
      </c>
      <c r="AU3" s="140">
        <f t="shared" ref="AU3:AU6" si="24">ROUND(AR3/0.15,2)</f>
        <v>0.6</v>
      </c>
      <c r="AV3" s="140">
        <f t="shared" ref="AV3:AV6" si="25">ROUND(AS3/0.15,2)</f>
        <v>0.6</v>
      </c>
      <c r="AW3" s="141">
        <f t="shared" ref="AW3:AW6" si="26">IF(AT3&lt;0.67,5,IF(AT3&lt;1,4,IF(AT3&lt;1.33,3,IF(AT3&lt;2.67,2,1))))</f>
        <v>5</v>
      </c>
      <c r="AX3" s="141">
        <f t="shared" ref="AX3:AX6" si="27">IF(AU3&lt;0.67,5,IF(AU3&lt;1,4,IF(AU3&lt;1.33,3,IF(AU3&lt;2.67,2,1))))</f>
        <v>5</v>
      </c>
      <c r="AY3" s="216">
        <f t="shared" ref="AY3:AY6" si="28">IF(AV3&lt;0.67,5,IF(AV3&lt;1,4,IF(AV3&lt;1.33,3,IF(AV3&lt;2.67,2,1))))</f>
        <v>5</v>
      </c>
    </row>
    <row r="4" spans="1:51" ht="13.15" customHeight="1">
      <c r="A4" s="59"/>
      <c r="B4" s="59"/>
      <c r="C4" s="212" t="str">
        <f>Rollover!A4</f>
        <v>Honda</v>
      </c>
      <c r="D4" s="213" t="str">
        <f>Rollover!B4</f>
        <v>Civic Hatchback FWD</v>
      </c>
      <c r="E4" s="137"/>
      <c r="F4" s="214">
        <f>Rollover!C4</f>
        <v>2023</v>
      </c>
      <c r="G4" s="11"/>
      <c r="H4" s="12"/>
      <c r="I4" s="12"/>
      <c r="J4" s="12"/>
      <c r="K4" s="12"/>
      <c r="L4" s="12"/>
      <c r="M4" s="12"/>
      <c r="N4" s="13"/>
      <c r="O4" s="11"/>
      <c r="P4" s="12"/>
      <c r="Q4" s="12"/>
      <c r="R4" s="12"/>
      <c r="S4" s="12"/>
      <c r="T4" s="12"/>
      <c r="U4" s="12"/>
      <c r="V4" s="13"/>
      <c r="W4" s="215" t="e">
        <f t="shared" si="0"/>
        <v>#NUM!</v>
      </c>
      <c r="X4" s="6">
        <f t="shared" si="1"/>
        <v>3.8165882958950202E-2</v>
      </c>
      <c r="Y4" s="6">
        <f t="shared" si="2"/>
        <v>1.713277721572889E-5</v>
      </c>
      <c r="Z4" s="6">
        <f t="shared" si="3"/>
        <v>1.713277721572889E-5</v>
      </c>
      <c r="AA4" s="6">
        <f t="shared" si="4"/>
        <v>3.8165882958950202E-2</v>
      </c>
      <c r="AB4" s="6">
        <f t="shared" si="5"/>
        <v>2.6306978617002889E-5</v>
      </c>
      <c r="AC4" s="6">
        <f t="shared" si="6"/>
        <v>2.6306978617002889E-5</v>
      </c>
      <c r="AD4" s="6">
        <f t="shared" si="7"/>
        <v>3.033802747866758E-3</v>
      </c>
      <c r="AE4" s="6">
        <f t="shared" si="8"/>
        <v>3.033802747866758E-3</v>
      </c>
      <c r="AF4" s="23">
        <f t="shared" si="9"/>
        <v>3.033802747866758E-3</v>
      </c>
      <c r="AG4" s="22" t="e">
        <f t="shared" si="10"/>
        <v>#NUM!</v>
      </c>
      <c r="AH4" s="6">
        <f t="shared" si="11"/>
        <v>3.8165882958950202E-2</v>
      </c>
      <c r="AI4" s="6">
        <f t="shared" si="12"/>
        <v>1.7417808154569238E-5</v>
      </c>
      <c r="AJ4" s="6">
        <f t="shared" si="13"/>
        <v>1.7417808154569238E-5</v>
      </c>
      <c r="AK4" s="6">
        <f t="shared" si="14"/>
        <v>3.8165882958950202E-2</v>
      </c>
      <c r="AL4" s="6">
        <f t="shared" si="15"/>
        <v>2.6306978617002889E-5</v>
      </c>
      <c r="AM4" s="6">
        <f t="shared" si="16"/>
        <v>2.6306978617002889E-5</v>
      </c>
      <c r="AN4" s="6">
        <f t="shared" si="17"/>
        <v>3.033802747866758E-3</v>
      </c>
      <c r="AO4" s="6">
        <f t="shared" si="18"/>
        <v>3.033802747866758E-3</v>
      </c>
      <c r="AP4" s="23">
        <f t="shared" si="19"/>
        <v>3.033802747866758E-3</v>
      </c>
      <c r="AQ4" s="215" t="e">
        <f t="shared" si="20"/>
        <v>#NUM!</v>
      </c>
      <c r="AR4" s="6" t="e">
        <f t="shared" si="21"/>
        <v>#NUM!</v>
      </c>
      <c r="AS4" s="6" t="e">
        <f t="shared" si="22"/>
        <v>#NUM!</v>
      </c>
      <c r="AT4" s="140" t="e">
        <f t="shared" si="23"/>
        <v>#NUM!</v>
      </c>
      <c r="AU4" s="140" t="e">
        <f t="shared" si="24"/>
        <v>#NUM!</v>
      </c>
      <c r="AV4" s="140" t="e">
        <f t="shared" si="25"/>
        <v>#NUM!</v>
      </c>
      <c r="AW4" s="141" t="e">
        <f t="shared" si="26"/>
        <v>#NUM!</v>
      </c>
      <c r="AX4" s="141" t="e">
        <f t="shared" si="27"/>
        <v>#NUM!</v>
      </c>
      <c r="AY4" s="216" t="e">
        <f t="shared" si="28"/>
        <v>#NUM!</v>
      </c>
    </row>
    <row r="5" spans="1:51" ht="13.15" customHeight="1">
      <c r="A5" s="67"/>
      <c r="B5" s="60"/>
      <c r="C5" s="212" t="str">
        <f>Rollover!A5</f>
        <v>Honda</v>
      </c>
      <c r="D5" s="213" t="str">
        <f>Rollover!B5</f>
        <v>Civic Hatchback Typer R FWD</v>
      </c>
      <c r="E5" s="137"/>
      <c r="F5" s="214">
        <f>Rollover!C5</f>
        <v>2023</v>
      </c>
      <c r="G5" s="11"/>
      <c r="H5" s="12"/>
      <c r="I5" s="12"/>
      <c r="J5" s="12"/>
      <c r="K5" s="12"/>
      <c r="L5" s="12"/>
      <c r="M5" s="12"/>
      <c r="N5" s="13"/>
      <c r="O5" s="11"/>
      <c r="P5" s="12"/>
      <c r="Q5" s="12"/>
      <c r="R5" s="12"/>
      <c r="S5" s="12"/>
      <c r="T5" s="12"/>
      <c r="U5" s="12"/>
      <c r="V5" s="13"/>
      <c r="W5" s="215" t="e">
        <f t="shared" si="0"/>
        <v>#NUM!</v>
      </c>
      <c r="X5" s="6">
        <f t="shared" si="1"/>
        <v>3.8165882958950202E-2</v>
      </c>
      <c r="Y5" s="6">
        <f t="shared" si="2"/>
        <v>1.713277721572889E-5</v>
      </c>
      <c r="Z5" s="6">
        <f t="shared" si="3"/>
        <v>1.713277721572889E-5</v>
      </c>
      <c r="AA5" s="6">
        <f t="shared" si="4"/>
        <v>3.8165882958950202E-2</v>
      </c>
      <c r="AB5" s="6">
        <f t="shared" si="5"/>
        <v>2.6306978617002889E-5</v>
      </c>
      <c r="AC5" s="6">
        <f t="shared" si="6"/>
        <v>2.6306978617002889E-5</v>
      </c>
      <c r="AD5" s="6">
        <f t="shared" si="7"/>
        <v>3.033802747866758E-3</v>
      </c>
      <c r="AE5" s="6">
        <f t="shared" si="8"/>
        <v>3.033802747866758E-3</v>
      </c>
      <c r="AF5" s="23">
        <f t="shared" si="9"/>
        <v>3.033802747866758E-3</v>
      </c>
      <c r="AG5" s="22" t="e">
        <f t="shared" si="10"/>
        <v>#NUM!</v>
      </c>
      <c r="AH5" s="6">
        <f t="shared" si="11"/>
        <v>3.8165882958950202E-2</v>
      </c>
      <c r="AI5" s="6">
        <f t="shared" si="12"/>
        <v>1.7417808154569238E-5</v>
      </c>
      <c r="AJ5" s="6">
        <f t="shared" si="13"/>
        <v>1.7417808154569238E-5</v>
      </c>
      <c r="AK5" s="6">
        <f t="shared" si="14"/>
        <v>3.8165882958950202E-2</v>
      </c>
      <c r="AL5" s="6">
        <f t="shared" si="15"/>
        <v>2.6306978617002889E-5</v>
      </c>
      <c r="AM5" s="6">
        <f t="shared" si="16"/>
        <v>2.6306978617002889E-5</v>
      </c>
      <c r="AN5" s="6">
        <f t="shared" si="17"/>
        <v>3.033802747866758E-3</v>
      </c>
      <c r="AO5" s="6">
        <f t="shared" si="18"/>
        <v>3.033802747866758E-3</v>
      </c>
      <c r="AP5" s="23">
        <f t="shared" si="19"/>
        <v>3.033802747866758E-3</v>
      </c>
      <c r="AQ5" s="215" t="e">
        <f t="shared" si="20"/>
        <v>#NUM!</v>
      </c>
      <c r="AR5" s="6" t="e">
        <f t="shared" si="21"/>
        <v>#NUM!</v>
      </c>
      <c r="AS5" s="6" t="e">
        <f t="shared" si="22"/>
        <v>#NUM!</v>
      </c>
      <c r="AT5" s="140" t="e">
        <f t="shared" si="23"/>
        <v>#NUM!</v>
      </c>
      <c r="AU5" s="140" t="e">
        <f t="shared" si="24"/>
        <v>#NUM!</v>
      </c>
      <c r="AV5" s="140" t="e">
        <f t="shared" si="25"/>
        <v>#NUM!</v>
      </c>
      <c r="AW5" s="141" t="e">
        <f t="shared" si="26"/>
        <v>#NUM!</v>
      </c>
      <c r="AX5" s="141" t="e">
        <f t="shared" si="27"/>
        <v>#NUM!</v>
      </c>
      <c r="AY5" s="216" t="e">
        <f t="shared" si="28"/>
        <v>#NUM!</v>
      </c>
    </row>
    <row r="6" spans="1:51" ht="13.15" customHeight="1">
      <c r="A6" s="67"/>
      <c r="B6" s="60"/>
      <c r="C6" s="212" t="str">
        <f>Rollover!A6</f>
        <v>Honda</v>
      </c>
      <c r="D6" s="213" t="str">
        <f>Rollover!B6</f>
        <v>Civic Sedan FWD</v>
      </c>
      <c r="E6" s="137"/>
      <c r="F6" s="214">
        <f>Rollover!C6</f>
        <v>2023</v>
      </c>
      <c r="G6" s="11"/>
      <c r="H6" s="12"/>
      <c r="I6" s="12"/>
      <c r="J6" s="12"/>
      <c r="K6" s="12"/>
      <c r="L6" s="12"/>
      <c r="M6" s="12"/>
      <c r="N6" s="13"/>
      <c r="O6" s="11"/>
      <c r="P6" s="12"/>
      <c r="Q6" s="12"/>
      <c r="R6" s="12"/>
      <c r="S6" s="12"/>
      <c r="T6" s="12"/>
      <c r="U6" s="12"/>
      <c r="V6" s="13"/>
      <c r="W6" s="215" t="e">
        <f t="shared" si="0"/>
        <v>#NUM!</v>
      </c>
      <c r="X6" s="6">
        <f t="shared" si="1"/>
        <v>3.8165882958950202E-2</v>
      </c>
      <c r="Y6" s="6">
        <f t="shared" si="2"/>
        <v>1.713277721572889E-5</v>
      </c>
      <c r="Z6" s="6">
        <f t="shared" si="3"/>
        <v>1.713277721572889E-5</v>
      </c>
      <c r="AA6" s="6">
        <f t="shared" si="4"/>
        <v>3.8165882958950202E-2</v>
      </c>
      <c r="AB6" s="6">
        <f t="shared" si="5"/>
        <v>2.6306978617002889E-5</v>
      </c>
      <c r="AC6" s="6">
        <f t="shared" si="6"/>
        <v>2.6306978617002889E-5</v>
      </c>
      <c r="AD6" s="6">
        <f t="shared" si="7"/>
        <v>3.033802747866758E-3</v>
      </c>
      <c r="AE6" s="6">
        <f t="shared" si="8"/>
        <v>3.033802747866758E-3</v>
      </c>
      <c r="AF6" s="23">
        <f t="shared" si="9"/>
        <v>3.033802747866758E-3</v>
      </c>
      <c r="AG6" s="22" t="e">
        <f t="shared" si="10"/>
        <v>#NUM!</v>
      </c>
      <c r="AH6" s="6">
        <f t="shared" si="11"/>
        <v>3.8165882958950202E-2</v>
      </c>
      <c r="AI6" s="6">
        <f t="shared" si="12"/>
        <v>1.7417808154569238E-5</v>
      </c>
      <c r="AJ6" s="6">
        <f t="shared" si="13"/>
        <v>1.7417808154569238E-5</v>
      </c>
      <c r="AK6" s="6">
        <f t="shared" si="14"/>
        <v>3.8165882958950202E-2</v>
      </c>
      <c r="AL6" s="6">
        <f t="shared" si="15"/>
        <v>2.6306978617002889E-5</v>
      </c>
      <c r="AM6" s="6">
        <f t="shared" si="16"/>
        <v>2.6306978617002889E-5</v>
      </c>
      <c r="AN6" s="6">
        <f t="shared" si="17"/>
        <v>3.033802747866758E-3</v>
      </c>
      <c r="AO6" s="6">
        <f t="shared" si="18"/>
        <v>3.033802747866758E-3</v>
      </c>
      <c r="AP6" s="23">
        <f t="shared" si="19"/>
        <v>3.033802747866758E-3</v>
      </c>
      <c r="AQ6" s="215" t="e">
        <f t="shared" si="20"/>
        <v>#NUM!</v>
      </c>
      <c r="AR6" s="6" t="e">
        <f t="shared" si="21"/>
        <v>#NUM!</v>
      </c>
      <c r="AS6" s="6" t="e">
        <f t="shared" si="22"/>
        <v>#NUM!</v>
      </c>
      <c r="AT6" s="140" t="e">
        <f t="shared" si="23"/>
        <v>#NUM!</v>
      </c>
      <c r="AU6" s="140" t="e">
        <f t="shared" si="24"/>
        <v>#NUM!</v>
      </c>
      <c r="AV6" s="140" t="e">
        <f t="shared" si="25"/>
        <v>#NUM!</v>
      </c>
      <c r="AW6" s="141" t="e">
        <f t="shared" si="26"/>
        <v>#NUM!</v>
      </c>
      <c r="AX6" s="141" t="e">
        <f t="shared" si="27"/>
        <v>#NUM!</v>
      </c>
      <c r="AY6" s="216" t="e">
        <f t="shared" si="28"/>
        <v>#NUM!</v>
      </c>
    </row>
    <row r="7" spans="1:51" ht="13.15" customHeight="1">
      <c r="A7" s="67">
        <v>14272</v>
      </c>
      <c r="B7" s="60" t="s">
        <v>56</v>
      </c>
      <c r="C7" s="217" t="str">
        <f>Rollover!A7</f>
        <v xml:space="preserve">Honda </v>
      </c>
      <c r="D7" s="218" t="str">
        <f>Rollover!B7</f>
        <v>HR-V SUV FWD</v>
      </c>
      <c r="E7" s="137" t="s">
        <v>55</v>
      </c>
      <c r="F7" s="214">
        <f>Rollover!C7</f>
        <v>2023</v>
      </c>
      <c r="G7" s="11">
        <v>138.929</v>
      </c>
      <c r="H7" s="12">
        <v>0.308</v>
      </c>
      <c r="I7" s="12">
        <v>595.76599999999996</v>
      </c>
      <c r="J7" s="12">
        <v>75.576999999999998</v>
      </c>
      <c r="K7" s="12">
        <v>19.484000000000002</v>
      </c>
      <c r="L7" s="12">
        <v>37.268000000000001</v>
      </c>
      <c r="M7" s="12">
        <v>1238.9880000000001</v>
      </c>
      <c r="N7" s="13">
        <v>1389.1410000000001</v>
      </c>
      <c r="O7" s="11">
        <v>278.24799999999999</v>
      </c>
      <c r="P7" s="12">
        <v>0.41299999999999998</v>
      </c>
      <c r="Q7" s="12">
        <v>681.625</v>
      </c>
      <c r="R7" s="12">
        <v>138.607</v>
      </c>
      <c r="S7" s="12">
        <v>14.106</v>
      </c>
      <c r="T7" s="12">
        <v>43.755000000000003</v>
      </c>
      <c r="U7" s="12">
        <v>954.34</v>
      </c>
      <c r="V7" s="13">
        <v>480.16899999999998</v>
      </c>
      <c r="W7" s="215">
        <f t="shared" ref="W7:W8" si="29">NORMDIST(LN(G7),7.45231,0.73998,1)</f>
        <v>3.3293004803999071E-4</v>
      </c>
      <c r="X7" s="6">
        <f t="shared" ref="X7:X8" si="30">1/(1+EXP(3.2269-1.9688*H7))</f>
        <v>6.7830064906435658E-2</v>
      </c>
      <c r="Y7" s="6">
        <f t="shared" ref="Y7:Y8" si="31">1/(1+EXP(10.9745-2.375*I7/1000))</f>
        <v>7.0519148744062186E-5</v>
      </c>
      <c r="Z7" s="6">
        <f t="shared" ref="Z7:Z8" si="32">1/(1+EXP(10.9745-2.375*J7/1000))</f>
        <v>2.0501241217629681E-5</v>
      </c>
      <c r="AA7" s="6">
        <f t="shared" ref="AA7:AA8" si="33">MAX(X7,Y7,Z7)</f>
        <v>6.7830064906435658E-2</v>
      </c>
      <c r="AB7" s="6">
        <f t="shared" ref="AB7:AB8" si="34">1/(1+EXP(12.597-0.05861*35-1.568*(K7^0.4612)))</f>
        <v>1.2399374644606121E-2</v>
      </c>
      <c r="AC7" s="6">
        <f t="shared" ref="AC7:AC8" si="35">AB7</f>
        <v>1.2399374644606121E-2</v>
      </c>
      <c r="AD7" s="6">
        <f t="shared" ref="AD7:AD8" si="36">1/(1+EXP(5.7949-0.5196*M7/1000))</f>
        <v>5.7595379571868596E-3</v>
      </c>
      <c r="AE7" s="6">
        <f t="shared" ref="AE7:AE8" si="37">1/(1+EXP(5.7949-0.5196*N7/1000))</f>
        <v>6.2239796249902472E-3</v>
      </c>
      <c r="AF7" s="23">
        <f t="shared" ref="AF7:AF8" si="38">MAX(AD7,AE7)</f>
        <v>6.2239796249902472E-3</v>
      </c>
      <c r="AG7" s="22">
        <f t="shared" ref="AG7:AG8" si="39">NORMDIST(LN(O7),7.45231,0.73998,1)</f>
        <v>6.8572152721773283E-3</v>
      </c>
      <c r="AH7" s="6">
        <f t="shared" ref="AH7:AH8" si="40">1/(1+EXP(3.2269-1.9688*P7))</f>
        <v>8.2127498065976981E-2</v>
      </c>
      <c r="AI7" s="6">
        <f t="shared" ref="AI7:AI8" si="41">1/(1+EXP(10.958-3.77*Q7/1000))</f>
        <v>2.2746794199353639E-4</v>
      </c>
      <c r="AJ7" s="6">
        <f t="shared" ref="AJ7:AJ8" si="42">1/(1+EXP(10.958-3.77*R7/1000))</f>
        <v>2.9371639792922855E-5</v>
      </c>
      <c r="AK7" s="6">
        <f t="shared" ref="AK7:AK8" si="43">MAX(AH7,AI7,AJ7)</f>
        <v>8.2127498065976981E-2</v>
      </c>
      <c r="AL7" s="6">
        <f t="shared" ref="AL7:AL8" si="44">1/(1+EXP(12.597-0.05861*35-1.568*((S7/0.817)^0.4612)))</f>
        <v>8.9060251930053059E-3</v>
      </c>
      <c r="AM7" s="6">
        <f t="shared" ref="AM7:AM8" si="45">AL7</f>
        <v>8.9060251930053059E-3</v>
      </c>
      <c r="AN7" s="6">
        <f t="shared" ref="AN7:AN8" si="46">1/(1+EXP(5.7949-0.7619*U7/1000))</f>
        <v>6.2569342832796242E-3</v>
      </c>
      <c r="AO7" s="6">
        <f t="shared" ref="AO7:AO8" si="47">1/(1+EXP(5.7949-0.7619*V7/1000))</f>
        <v>4.3680575542384163E-3</v>
      </c>
      <c r="AP7" s="23">
        <f t="shared" ref="AP7:AP8" si="48">MAX(AN7,AO7)</f>
        <v>6.2569342832796242E-3</v>
      </c>
      <c r="AQ7" s="215">
        <f t="shared" ref="AQ7:AQ8" si="49">ROUND(1-(1-W7)*(1-AA7)*(1-AC7)*(1-AF7),3)</f>
        <v>8.5000000000000006E-2</v>
      </c>
      <c r="AR7" s="6">
        <f t="shared" ref="AR7:AR8" si="50">ROUND(1-(1-AG7)*(1-AK7)*(1-AM7)*(1-AP7),3)</f>
        <v>0.10199999999999999</v>
      </c>
      <c r="AS7" s="6">
        <f t="shared" ref="AS7:AS8" si="51">ROUND(AVERAGE(AR7,AQ7),3)</f>
        <v>9.4E-2</v>
      </c>
      <c r="AT7" s="140">
        <f t="shared" ref="AT7:AT8" si="52">ROUND(AQ7/0.15,2)</f>
        <v>0.56999999999999995</v>
      </c>
      <c r="AU7" s="140">
        <f t="shared" ref="AU7:AU8" si="53">ROUND(AR7/0.15,2)</f>
        <v>0.68</v>
      </c>
      <c r="AV7" s="140">
        <f t="shared" ref="AV7:AV8" si="54">ROUND(AS7/0.15,2)</f>
        <v>0.63</v>
      </c>
      <c r="AW7" s="141">
        <f t="shared" ref="AW7:AW8" si="55">IF(AT7&lt;0.67,5,IF(AT7&lt;1,4,IF(AT7&lt;1.33,3,IF(AT7&lt;2.67,2,1))))</f>
        <v>5</v>
      </c>
      <c r="AX7" s="141">
        <f t="shared" ref="AX7:AX8" si="56">IF(AU7&lt;0.67,5,IF(AU7&lt;1,4,IF(AU7&lt;1.33,3,IF(AU7&lt;2.67,2,1))))</f>
        <v>4</v>
      </c>
      <c r="AY7" s="216">
        <f t="shared" ref="AY7:AY8" si="57">IF(AV7&lt;0.67,5,IF(AV7&lt;1,4,IF(AV7&lt;1.33,3,IF(AV7&lt;2.67,2,1))))</f>
        <v>5</v>
      </c>
    </row>
    <row r="8" spans="1:51" ht="13.15" customHeight="1">
      <c r="A8" s="67">
        <v>14272</v>
      </c>
      <c r="B8" s="60" t="s">
        <v>56</v>
      </c>
      <c r="C8" s="217" t="str">
        <f>Rollover!A8</f>
        <v xml:space="preserve">Honda </v>
      </c>
      <c r="D8" s="218" t="str">
        <f>Rollover!B8</f>
        <v>HR-V SUV AWD</v>
      </c>
      <c r="E8" s="137" t="s">
        <v>55</v>
      </c>
      <c r="F8" s="214">
        <f>Rollover!C8</f>
        <v>2023</v>
      </c>
      <c r="G8" s="11">
        <v>138.929</v>
      </c>
      <c r="H8" s="12">
        <v>0.308</v>
      </c>
      <c r="I8" s="12">
        <v>595.76599999999996</v>
      </c>
      <c r="J8" s="12">
        <v>75.576999999999998</v>
      </c>
      <c r="K8" s="12">
        <v>19.484000000000002</v>
      </c>
      <c r="L8" s="12">
        <v>37.268000000000001</v>
      </c>
      <c r="M8" s="12">
        <v>1238.9880000000001</v>
      </c>
      <c r="N8" s="13">
        <v>1389.1410000000001</v>
      </c>
      <c r="O8" s="11">
        <v>278.24799999999999</v>
      </c>
      <c r="P8" s="12">
        <v>0.41299999999999998</v>
      </c>
      <c r="Q8" s="12">
        <v>681.625</v>
      </c>
      <c r="R8" s="12">
        <v>138.607</v>
      </c>
      <c r="S8" s="12">
        <v>14.106</v>
      </c>
      <c r="T8" s="12">
        <v>43.755000000000003</v>
      </c>
      <c r="U8" s="12">
        <v>954.34</v>
      </c>
      <c r="V8" s="13">
        <v>480.16899999999998</v>
      </c>
      <c r="W8" s="215">
        <f t="shared" si="29"/>
        <v>3.3293004803999071E-4</v>
      </c>
      <c r="X8" s="6">
        <f t="shared" si="30"/>
        <v>6.7830064906435658E-2</v>
      </c>
      <c r="Y8" s="6">
        <f t="shared" si="31"/>
        <v>7.0519148744062186E-5</v>
      </c>
      <c r="Z8" s="6">
        <f t="shared" si="32"/>
        <v>2.0501241217629681E-5</v>
      </c>
      <c r="AA8" s="6">
        <f t="shared" si="33"/>
        <v>6.7830064906435658E-2</v>
      </c>
      <c r="AB8" s="6">
        <f t="shared" si="34"/>
        <v>1.2399374644606121E-2</v>
      </c>
      <c r="AC8" s="6">
        <f t="shared" si="35"/>
        <v>1.2399374644606121E-2</v>
      </c>
      <c r="AD8" s="6">
        <f t="shared" si="36"/>
        <v>5.7595379571868596E-3</v>
      </c>
      <c r="AE8" s="6">
        <f t="shared" si="37"/>
        <v>6.2239796249902472E-3</v>
      </c>
      <c r="AF8" s="23">
        <f t="shared" si="38"/>
        <v>6.2239796249902472E-3</v>
      </c>
      <c r="AG8" s="22">
        <f t="shared" si="39"/>
        <v>6.8572152721773283E-3</v>
      </c>
      <c r="AH8" s="6">
        <f t="shared" si="40"/>
        <v>8.2127498065976981E-2</v>
      </c>
      <c r="AI8" s="6">
        <f t="shared" si="41"/>
        <v>2.2746794199353639E-4</v>
      </c>
      <c r="AJ8" s="6">
        <f t="shared" si="42"/>
        <v>2.9371639792922855E-5</v>
      </c>
      <c r="AK8" s="6">
        <f t="shared" si="43"/>
        <v>8.2127498065976981E-2</v>
      </c>
      <c r="AL8" s="6">
        <f t="shared" si="44"/>
        <v>8.9060251930053059E-3</v>
      </c>
      <c r="AM8" s="6">
        <f t="shared" si="45"/>
        <v>8.9060251930053059E-3</v>
      </c>
      <c r="AN8" s="6">
        <f t="shared" si="46"/>
        <v>6.2569342832796242E-3</v>
      </c>
      <c r="AO8" s="6">
        <f t="shared" si="47"/>
        <v>4.3680575542384163E-3</v>
      </c>
      <c r="AP8" s="23">
        <f t="shared" si="48"/>
        <v>6.2569342832796242E-3</v>
      </c>
      <c r="AQ8" s="215">
        <f t="shared" si="49"/>
        <v>8.5000000000000006E-2</v>
      </c>
      <c r="AR8" s="6">
        <f t="shared" si="50"/>
        <v>0.10199999999999999</v>
      </c>
      <c r="AS8" s="6">
        <f t="shared" si="51"/>
        <v>9.4E-2</v>
      </c>
      <c r="AT8" s="140">
        <f t="shared" si="52"/>
        <v>0.56999999999999995</v>
      </c>
      <c r="AU8" s="140">
        <f t="shared" si="53"/>
        <v>0.68</v>
      </c>
      <c r="AV8" s="140">
        <f t="shared" si="54"/>
        <v>0.63</v>
      </c>
      <c r="AW8" s="141">
        <f t="shared" si="55"/>
        <v>5</v>
      </c>
      <c r="AX8" s="141">
        <f t="shared" si="56"/>
        <v>4</v>
      </c>
      <c r="AY8" s="216">
        <f t="shared" si="57"/>
        <v>5</v>
      </c>
    </row>
    <row r="9" spans="1:51">
      <c r="A9" s="106"/>
      <c r="B9" s="106"/>
      <c r="C9" s="106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51">
      <c r="A10" s="106"/>
      <c r="B10" s="106"/>
      <c r="C10" s="106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</row>
    <row r="11" spans="1:51">
      <c r="A11" s="106"/>
      <c r="B11" s="106"/>
      <c r="C11" s="106"/>
      <c r="D11" s="106"/>
      <c r="E11" s="106"/>
      <c r="F11" s="106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</row>
    <row r="12" spans="1:51">
      <c r="A12" s="106"/>
      <c r="B12" s="106"/>
      <c r="C12" s="106"/>
      <c r="D12" s="106"/>
      <c r="E12" s="106"/>
      <c r="F12" s="106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</row>
    <row r="13" spans="1:51">
      <c r="A13" s="106"/>
      <c r="B13" s="106"/>
      <c r="C13" s="106"/>
      <c r="D13" s="106"/>
      <c r="E13" s="106"/>
      <c r="F13" s="106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</row>
    <row r="14" spans="1:51">
      <c r="A14" s="106"/>
      <c r="B14" s="106"/>
      <c r="C14" s="106"/>
      <c r="D14" s="106"/>
      <c r="E14" s="106"/>
      <c r="F14" s="106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</row>
    <row r="15" spans="1:51">
      <c r="A15" s="106"/>
      <c r="B15" s="106"/>
      <c r="C15" s="106"/>
      <c r="D15" s="106"/>
      <c r="E15" s="106"/>
      <c r="F15" s="106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</row>
    <row r="16" spans="1:51">
      <c r="A16" s="106"/>
      <c r="B16" s="106"/>
      <c r="C16" s="106"/>
      <c r="D16" s="106"/>
      <c r="E16" s="106"/>
      <c r="F16" s="106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</row>
    <row r="17" spans="1:26">
      <c r="A17" s="222"/>
      <c r="B17" s="222"/>
      <c r="C17" s="106"/>
      <c r="D17" s="106"/>
      <c r="E17" s="106"/>
      <c r="F17" s="106"/>
      <c r="G17" s="220"/>
      <c r="H17" s="220"/>
      <c r="I17" s="220"/>
      <c r="J17" s="220"/>
      <c r="K17" s="220"/>
      <c r="L17" s="144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65"/>
      <c r="X17" s="65"/>
      <c r="Y17" s="65"/>
      <c r="Z17" s="65"/>
    </row>
    <row r="18" spans="1:26">
      <c r="L18" s="144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65"/>
      <c r="X18" s="65"/>
      <c r="Y18" s="65"/>
      <c r="Z18" s="65"/>
    </row>
    <row r="19" spans="1:26">
      <c r="L19" s="144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65"/>
      <c r="X19" s="65"/>
      <c r="Y19" s="65"/>
      <c r="Z19" s="65"/>
    </row>
    <row r="20" spans="1:26">
      <c r="C20" s="112"/>
      <c r="D20" s="112"/>
      <c r="E20" s="112"/>
      <c r="F20" s="112"/>
      <c r="G20" s="224"/>
      <c r="H20" s="224"/>
      <c r="K20" s="224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65"/>
      <c r="X20" s="65"/>
      <c r="Y20" s="65"/>
      <c r="Z20" s="65"/>
    </row>
    <row r="21" spans="1:26">
      <c r="C21" s="112"/>
      <c r="D21" s="112"/>
      <c r="E21" s="112"/>
      <c r="F21" s="112"/>
      <c r="G21" s="224"/>
      <c r="H21" s="224"/>
      <c r="K21" s="225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65"/>
      <c r="X21" s="65"/>
      <c r="Y21" s="65"/>
      <c r="Z21" s="65"/>
    </row>
    <row r="22" spans="1:26">
      <c r="C22" s="112"/>
      <c r="D22" s="112"/>
      <c r="E22" s="112"/>
      <c r="F22" s="112"/>
      <c r="G22" s="224"/>
      <c r="H22" s="224"/>
      <c r="K22" s="224"/>
      <c r="L22" s="144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65"/>
      <c r="X22" s="65"/>
      <c r="Y22" s="65"/>
      <c r="Z22" s="65"/>
    </row>
    <row r="23" spans="1:26">
      <c r="C23" s="112"/>
      <c r="D23" s="112"/>
      <c r="E23" s="112"/>
      <c r="F23" s="112"/>
      <c r="G23" s="224"/>
      <c r="H23" s="224"/>
      <c r="K23" s="224"/>
      <c r="L23" s="144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65"/>
      <c r="X23" s="65"/>
      <c r="Y23" s="65"/>
      <c r="Z23" s="65"/>
    </row>
    <row r="24" spans="1:26">
      <c r="C24" s="112"/>
      <c r="D24" s="112"/>
      <c r="E24" s="112"/>
      <c r="F24" s="112"/>
      <c r="G24" s="224"/>
      <c r="H24" s="224"/>
      <c r="K24" s="225"/>
      <c r="L24" s="144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65"/>
      <c r="X24" s="65"/>
      <c r="Y24" s="65"/>
      <c r="Z24" s="65"/>
    </row>
    <row r="25" spans="1:26">
      <c r="C25" s="112"/>
      <c r="D25" s="112"/>
      <c r="E25" s="112"/>
      <c r="F25" s="112"/>
      <c r="G25" s="224"/>
      <c r="H25" s="224"/>
      <c r="K25" s="224"/>
      <c r="L25" s="144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65"/>
      <c r="X25" s="65"/>
      <c r="Y25" s="65"/>
      <c r="Z25" s="65"/>
    </row>
    <row r="26" spans="1:26">
      <c r="C26" s="112"/>
      <c r="D26" s="112"/>
      <c r="E26" s="112"/>
      <c r="F26" s="112"/>
      <c r="G26" s="224"/>
      <c r="H26" s="224"/>
      <c r="K26" s="224"/>
    </row>
    <row r="27" spans="1:26">
      <c r="C27" s="112"/>
      <c r="D27" s="112"/>
      <c r="E27" s="112"/>
      <c r="F27" s="112"/>
      <c r="G27" s="224"/>
      <c r="H27" s="224"/>
      <c r="K27" s="224"/>
    </row>
    <row r="28" spans="1:26">
      <c r="C28" s="112"/>
      <c r="D28" s="112"/>
      <c r="E28" s="112"/>
      <c r="F28" s="112"/>
      <c r="G28" s="224"/>
      <c r="H28" s="224"/>
      <c r="K28" s="225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</row>
    <row r="29" spans="1:26">
      <c r="C29" s="112"/>
      <c r="D29" s="112"/>
      <c r="E29" s="112"/>
      <c r="F29" s="112"/>
      <c r="G29" s="224"/>
      <c r="H29" s="224"/>
      <c r="K29" s="224"/>
    </row>
    <row r="30" spans="1:26">
      <c r="G30" s="224"/>
      <c r="H30" s="224"/>
      <c r="K30" s="224"/>
    </row>
    <row r="31" spans="1:26">
      <c r="G31" s="224"/>
      <c r="H31" s="224"/>
      <c r="K31" s="224"/>
    </row>
    <row r="32" spans="1:26">
      <c r="C32" s="112"/>
      <c r="D32" s="112"/>
      <c r="E32" s="112"/>
      <c r="F32" s="112"/>
      <c r="G32" s="224"/>
      <c r="H32" s="224"/>
      <c r="K32" s="224"/>
    </row>
    <row r="33" spans="1:31">
      <c r="A33" s="106"/>
      <c r="B33" s="106"/>
      <c r="C33" s="112"/>
      <c r="D33" s="112"/>
      <c r="E33" s="112"/>
      <c r="F33" s="112"/>
      <c r="G33" s="224"/>
      <c r="H33" s="224"/>
      <c r="K33" s="224"/>
    </row>
    <row r="34" spans="1:31">
      <c r="A34" s="106"/>
      <c r="B34" s="106"/>
      <c r="C34" s="112"/>
      <c r="D34" s="112"/>
      <c r="E34" s="112"/>
      <c r="F34" s="112"/>
      <c r="G34" s="224"/>
      <c r="H34" s="224"/>
      <c r="K34" s="224"/>
    </row>
    <row r="35" spans="1:31">
      <c r="A35" s="106"/>
      <c r="B35" s="106"/>
      <c r="C35" s="112"/>
      <c r="D35" s="112"/>
      <c r="E35" s="112"/>
      <c r="F35" s="112"/>
      <c r="G35" s="224"/>
      <c r="H35" s="224"/>
      <c r="K35" s="224"/>
      <c r="N35" s="224"/>
      <c r="O35" s="224"/>
      <c r="P35" s="224"/>
      <c r="Q35" s="224"/>
      <c r="R35" s="224"/>
      <c r="S35" s="224"/>
      <c r="T35" s="224"/>
      <c r="U35" s="224"/>
      <c r="V35" s="224"/>
      <c r="W35" s="226"/>
      <c r="X35" s="227"/>
      <c r="Y35" s="226"/>
      <c r="Z35" s="226"/>
      <c r="AA35" s="112"/>
      <c r="AB35" s="112"/>
      <c r="AC35" s="112"/>
      <c r="AD35" s="112"/>
      <c r="AE35" s="112"/>
    </row>
    <row r="36" spans="1:31">
      <c r="C36" s="112"/>
      <c r="D36" s="112"/>
      <c r="E36" s="112"/>
      <c r="F36" s="112"/>
      <c r="H36" s="179"/>
      <c r="I36" s="179"/>
      <c r="J36" s="179"/>
      <c r="K36" s="179"/>
      <c r="L36" s="179"/>
      <c r="M36" s="179"/>
      <c r="N36" s="224"/>
      <c r="O36" s="224"/>
      <c r="P36" s="224"/>
      <c r="Q36" s="224"/>
      <c r="R36" s="224"/>
      <c r="S36" s="224"/>
      <c r="T36" s="224"/>
      <c r="U36" s="224"/>
      <c r="V36" s="224"/>
      <c r="W36" s="226"/>
      <c r="X36" s="227"/>
      <c r="Y36" s="226"/>
      <c r="Z36" s="226"/>
      <c r="AA36" s="70"/>
      <c r="AB36" s="70"/>
      <c r="AC36" s="70"/>
      <c r="AD36" s="70"/>
      <c r="AE36" s="70"/>
    </row>
    <row r="37" spans="1:31">
      <c r="C37" s="112"/>
      <c r="D37" s="112"/>
      <c r="E37" s="112"/>
      <c r="F37" s="112"/>
      <c r="H37" s="179"/>
      <c r="I37" s="179"/>
      <c r="J37" s="179"/>
      <c r="K37" s="179"/>
      <c r="L37" s="179"/>
      <c r="M37" s="179"/>
      <c r="N37" s="224"/>
      <c r="O37" s="224"/>
      <c r="P37" s="224"/>
      <c r="Q37" s="224"/>
      <c r="R37" s="224"/>
      <c r="S37" s="224"/>
      <c r="T37" s="224"/>
      <c r="U37" s="224"/>
      <c r="V37" s="224"/>
      <c r="W37" s="226"/>
      <c r="X37" s="227"/>
      <c r="Y37" s="226"/>
      <c r="Z37" s="226"/>
      <c r="AA37" s="191"/>
      <c r="AB37" s="226"/>
      <c r="AC37" s="226"/>
      <c r="AD37" s="191"/>
      <c r="AE37" s="191"/>
    </row>
    <row r="38" spans="1:31">
      <c r="A38" s="228"/>
      <c r="B38" s="228"/>
      <c r="C38" s="115"/>
      <c r="D38" s="115"/>
      <c r="E38" s="115"/>
      <c r="F38" s="115"/>
      <c r="G38" s="229"/>
      <c r="H38" s="179"/>
      <c r="I38" s="179"/>
      <c r="J38" s="179"/>
      <c r="K38" s="179"/>
      <c r="L38" s="179"/>
      <c r="M38" s="179"/>
      <c r="N38" s="224"/>
      <c r="O38" s="224"/>
      <c r="P38" s="224"/>
      <c r="Q38" s="224"/>
      <c r="R38" s="224"/>
      <c r="S38" s="224"/>
      <c r="T38" s="224"/>
      <c r="U38" s="224"/>
      <c r="V38" s="224"/>
      <c r="W38" s="226"/>
      <c r="X38" s="227"/>
      <c r="Y38" s="226"/>
      <c r="Z38" s="226"/>
      <c r="AA38" s="191"/>
      <c r="AB38" s="226"/>
      <c r="AC38" s="226"/>
      <c r="AD38" s="191"/>
      <c r="AE38" s="191"/>
    </row>
    <row r="39" spans="1:31">
      <c r="A39" s="106"/>
      <c r="B39" s="106"/>
      <c r="C39" s="106"/>
      <c r="D39" s="106"/>
      <c r="E39" s="106"/>
      <c r="F39" s="106"/>
      <c r="G39" s="220"/>
      <c r="H39" s="179"/>
      <c r="I39" s="179"/>
      <c r="J39" s="179"/>
      <c r="K39" s="179"/>
      <c r="L39" s="179"/>
      <c r="M39" s="179"/>
      <c r="N39" s="224"/>
      <c r="O39" s="224"/>
      <c r="P39" s="224"/>
      <c r="Q39" s="224"/>
      <c r="R39" s="224"/>
      <c r="S39" s="224"/>
      <c r="T39" s="224"/>
      <c r="U39" s="224"/>
      <c r="V39" s="224"/>
      <c r="W39" s="226"/>
      <c r="X39" s="227"/>
      <c r="Y39" s="226"/>
      <c r="Z39" s="226"/>
      <c r="AA39" s="191"/>
      <c r="AB39" s="226"/>
      <c r="AC39" s="226"/>
      <c r="AD39" s="191"/>
      <c r="AE39" s="191"/>
    </row>
    <row r="40" spans="1:31">
      <c r="C40" s="112"/>
      <c r="D40" s="112"/>
      <c r="E40" s="112"/>
      <c r="F40" s="112"/>
      <c r="H40" s="179"/>
      <c r="I40" s="179"/>
      <c r="J40" s="179"/>
      <c r="K40" s="179"/>
      <c r="L40" s="179"/>
      <c r="M40" s="179"/>
      <c r="N40" s="224"/>
      <c r="O40" s="224"/>
      <c r="P40" s="224"/>
      <c r="Q40" s="224"/>
      <c r="R40" s="224"/>
      <c r="S40" s="224"/>
      <c r="T40" s="224"/>
      <c r="U40" s="224"/>
      <c r="V40" s="224"/>
      <c r="W40" s="226"/>
      <c r="X40" s="227"/>
      <c r="Y40" s="226"/>
      <c r="Z40" s="226"/>
      <c r="AA40" s="191"/>
      <c r="AB40" s="226"/>
      <c r="AC40" s="226"/>
      <c r="AD40" s="191"/>
      <c r="AE40" s="191"/>
    </row>
    <row r="41" spans="1:31">
      <c r="A41" s="106"/>
      <c r="B41" s="106"/>
      <c r="C41" s="112"/>
      <c r="D41" s="112"/>
      <c r="E41" s="112"/>
      <c r="F41" s="112"/>
      <c r="H41" s="179"/>
      <c r="I41" s="179"/>
      <c r="J41" s="179"/>
      <c r="K41" s="179"/>
      <c r="L41" s="179"/>
      <c r="M41" s="179"/>
      <c r="N41" s="224"/>
      <c r="O41" s="224"/>
      <c r="P41" s="224"/>
      <c r="Q41" s="224"/>
      <c r="R41" s="224"/>
      <c r="S41" s="224"/>
      <c r="T41" s="224"/>
      <c r="U41" s="224"/>
      <c r="V41" s="224"/>
      <c r="W41" s="226"/>
      <c r="X41" s="227"/>
      <c r="Y41" s="226"/>
      <c r="Z41" s="226"/>
      <c r="AA41" s="191"/>
      <c r="AB41" s="226"/>
      <c r="AC41" s="226"/>
      <c r="AD41" s="191"/>
      <c r="AE41" s="191"/>
    </row>
    <row r="42" spans="1:31">
      <c r="C42" s="112"/>
      <c r="D42" s="112"/>
      <c r="E42" s="112"/>
      <c r="F42" s="112"/>
      <c r="H42" s="179"/>
      <c r="I42" s="179"/>
      <c r="J42" s="179"/>
      <c r="K42" s="179"/>
      <c r="L42" s="179"/>
      <c r="M42" s="179"/>
      <c r="N42" s="224"/>
      <c r="O42" s="224"/>
      <c r="P42" s="224"/>
      <c r="Q42" s="224"/>
      <c r="R42" s="224"/>
      <c r="S42" s="224"/>
      <c r="T42" s="224"/>
      <c r="U42" s="224"/>
      <c r="V42" s="224"/>
      <c r="W42" s="226"/>
      <c r="X42" s="227"/>
      <c r="Y42" s="226"/>
      <c r="Z42" s="226"/>
      <c r="AA42" s="191"/>
      <c r="AB42" s="226"/>
      <c r="AC42" s="226"/>
      <c r="AD42" s="191"/>
      <c r="AE42" s="191"/>
    </row>
    <row r="43" spans="1:31">
      <c r="C43" s="112"/>
      <c r="D43" s="112"/>
      <c r="E43" s="112"/>
      <c r="F43" s="112"/>
      <c r="H43" s="179"/>
      <c r="I43" s="179"/>
      <c r="J43" s="179"/>
      <c r="K43" s="179"/>
      <c r="L43" s="179"/>
      <c r="M43" s="179"/>
      <c r="N43" s="224"/>
      <c r="O43" s="224"/>
      <c r="P43" s="224"/>
      <c r="Q43" s="224"/>
      <c r="R43" s="224"/>
      <c r="S43" s="224"/>
      <c r="T43" s="224"/>
      <c r="U43" s="224"/>
      <c r="V43" s="224"/>
      <c r="W43" s="226"/>
      <c r="X43" s="227"/>
      <c r="Y43" s="226"/>
      <c r="Z43" s="226"/>
      <c r="AA43" s="191"/>
      <c r="AB43" s="226"/>
      <c r="AC43" s="226"/>
      <c r="AD43" s="191"/>
      <c r="AE43" s="191"/>
    </row>
    <row r="44" spans="1:31">
      <c r="A44" s="106"/>
      <c r="B44" s="106"/>
      <c r="C44" s="106"/>
      <c r="D44" s="106"/>
      <c r="E44" s="106"/>
      <c r="F44" s="106"/>
      <c r="G44" s="220"/>
      <c r="H44" s="179"/>
      <c r="I44" s="179"/>
      <c r="J44" s="179"/>
      <c r="K44" s="179"/>
      <c r="L44" s="179"/>
      <c r="M44" s="179"/>
      <c r="N44" s="224"/>
      <c r="O44" s="224"/>
      <c r="P44" s="224"/>
      <c r="Q44" s="224"/>
      <c r="R44" s="224"/>
      <c r="S44" s="224"/>
      <c r="T44" s="224"/>
      <c r="U44" s="224"/>
      <c r="V44" s="224"/>
      <c r="W44" s="226"/>
      <c r="X44" s="227"/>
      <c r="Y44" s="226"/>
      <c r="Z44" s="226"/>
      <c r="AA44" s="191"/>
      <c r="AB44" s="226"/>
      <c r="AC44" s="226"/>
      <c r="AD44" s="191"/>
      <c r="AE44" s="191"/>
    </row>
    <row r="45" spans="1:31">
      <c r="H45" s="179"/>
      <c r="I45" s="179"/>
      <c r="J45" s="179"/>
      <c r="K45" s="179"/>
      <c r="L45" s="179"/>
      <c r="M45" s="179"/>
      <c r="N45" s="224"/>
      <c r="O45" s="224"/>
      <c r="P45" s="224"/>
      <c r="Q45" s="224"/>
      <c r="R45" s="224"/>
      <c r="S45" s="224"/>
      <c r="T45" s="224"/>
      <c r="U45" s="224"/>
      <c r="V45" s="224"/>
      <c r="W45" s="226"/>
      <c r="X45" s="227"/>
      <c r="Y45" s="226"/>
      <c r="Z45" s="226"/>
      <c r="AA45" s="191"/>
      <c r="AB45" s="226"/>
      <c r="AC45" s="226"/>
      <c r="AD45" s="191"/>
      <c r="AE45" s="191"/>
    </row>
    <row r="46" spans="1:31">
      <c r="H46" s="179"/>
      <c r="I46" s="179"/>
      <c r="J46" s="179"/>
      <c r="K46" s="179"/>
      <c r="L46" s="179"/>
      <c r="M46" s="179"/>
      <c r="N46" s="224"/>
      <c r="O46" s="224"/>
      <c r="P46" s="224"/>
      <c r="Q46" s="224"/>
      <c r="R46" s="224"/>
      <c r="S46" s="224"/>
      <c r="T46" s="224"/>
      <c r="U46" s="224"/>
      <c r="V46" s="224"/>
      <c r="W46" s="226"/>
      <c r="X46" s="227"/>
      <c r="Y46" s="226"/>
      <c r="Z46" s="226"/>
      <c r="AA46" s="191"/>
      <c r="AB46" s="226"/>
      <c r="AC46" s="226"/>
      <c r="AD46" s="191"/>
      <c r="AE46" s="191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165"/>
  <sheetViews>
    <sheetView workbookViewId="0">
      <pane xSplit="6" ySplit="2" topLeftCell="G3" activePane="bottomRight" state="frozen"/>
      <selection activeCell="B34" sqref="B34"/>
      <selection pane="topRight" activeCell="B34" sqref="B34"/>
      <selection pane="bottomLeft" activeCell="B34" sqref="B34"/>
      <selection pane="bottomRight" activeCell="A7" sqref="A7:XFD8"/>
    </sheetView>
  </sheetViews>
  <sheetFormatPr defaultRowHeight="12.75"/>
  <cols>
    <col min="1" max="1" width="7.28515625" style="190" customWidth="1"/>
    <col min="2" max="2" width="9" style="190" bestFit="1" customWidth="1"/>
    <col min="3" max="3" width="13.5703125" style="65" bestFit="1" customWidth="1"/>
    <col min="4" max="4" width="36.140625" style="65" customWidth="1"/>
    <col min="5" max="5" width="6.5703125" style="65" bestFit="1" customWidth="1"/>
    <col min="6" max="6" width="5.7109375" style="65" customWidth="1"/>
    <col min="7" max="16" width="8.7109375" style="179" customWidth="1"/>
    <col min="17" max="20" width="9.140625" style="65" customWidth="1"/>
    <col min="21" max="21" width="10.7109375" style="65" customWidth="1"/>
    <col min="22" max="22" width="8.140625" style="65" customWidth="1"/>
    <col min="23" max="23" width="8" style="191" customWidth="1"/>
    <col min="24" max="24" width="10.140625" style="191" customWidth="1"/>
    <col min="25" max="25" width="9.140625" style="191" customWidth="1"/>
    <col min="26" max="26" width="8" style="191" customWidth="1"/>
    <col min="27" max="27" width="9.5703125" style="191" customWidth="1"/>
    <col min="28" max="28" width="6.140625" style="191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65"/>
  </cols>
  <sheetData>
    <row r="1" spans="1:51" s="49" customFormat="1" ht="13.5" thickBot="1">
      <c r="A1" s="120"/>
      <c r="B1" s="121"/>
      <c r="C1" s="122"/>
      <c r="D1" s="122"/>
      <c r="E1" s="123"/>
      <c r="F1" s="123"/>
      <c r="G1" s="124" t="s">
        <v>57</v>
      </c>
      <c r="H1" s="125"/>
      <c r="I1" s="125"/>
      <c r="J1" s="125"/>
      <c r="K1" s="126"/>
      <c r="L1" s="127" t="s">
        <v>58</v>
      </c>
      <c r="M1" s="128"/>
      <c r="N1" s="128"/>
      <c r="O1" s="128"/>
      <c r="P1" s="129"/>
      <c r="Q1" s="77" t="s">
        <v>59</v>
      </c>
      <c r="R1" s="130"/>
      <c r="S1" s="130"/>
      <c r="T1" s="131"/>
      <c r="U1" s="77" t="s">
        <v>58</v>
      </c>
      <c r="V1" s="78"/>
      <c r="W1" s="33" t="s">
        <v>26</v>
      </c>
      <c r="X1" s="34" t="s">
        <v>60</v>
      </c>
      <c r="Y1" s="35" t="s">
        <v>61</v>
      </c>
      <c r="Z1" s="33" t="s">
        <v>26</v>
      </c>
      <c r="AA1" s="34" t="s">
        <v>27</v>
      </c>
      <c r="AB1" s="35" t="s">
        <v>62</v>
      </c>
      <c r="AC1" s="37" t="s">
        <v>26</v>
      </c>
      <c r="AD1" s="38" t="s">
        <v>27</v>
      </c>
      <c r="AE1" s="39" t="s">
        <v>63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4.5" thickBot="1">
      <c r="A2" s="132" t="s">
        <v>30</v>
      </c>
      <c r="B2" s="133" t="s">
        <v>31</v>
      </c>
      <c r="C2" s="76" t="s">
        <v>1</v>
      </c>
      <c r="D2" s="50" t="s">
        <v>2</v>
      </c>
      <c r="E2" s="50" t="s">
        <v>32</v>
      </c>
      <c r="F2" s="51" t="s">
        <v>3</v>
      </c>
      <c r="G2" s="134" t="s">
        <v>64</v>
      </c>
      <c r="H2" s="135" t="s">
        <v>65</v>
      </c>
      <c r="I2" s="135" t="s">
        <v>66</v>
      </c>
      <c r="J2" s="135" t="s">
        <v>67</v>
      </c>
      <c r="K2" s="136" t="s">
        <v>68</v>
      </c>
      <c r="L2" s="134" t="s">
        <v>64</v>
      </c>
      <c r="M2" s="135" t="s">
        <v>65</v>
      </c>
      <c r="N2" s="135" t="s">
        <v>66</v>
      </c>
      <c r="O2" s="135" t="s">
        <v>69</v>
      </c>
      <c r="P2" s="136" t="s">
        <v>70</v>
      </c>
      <c r="Q2" s="27" t="s">
        <v>71</v>
      </c>
      <c r="R2" s="28" t="s">
        <v>46</v>
      </c>
      <c r="S2" s="28" t="s">
        <v>72</v>
      </c>
      <c r="T2" s="29" t="s">
        <v>73</v>
      </c>
      <c r="U2" s="27" t="s">
        <v>71</v>
      </c>
      <c r="V2" s="29" t="s">
        <v>73</v>
      </c>
      <c r="W2" s="30" t="s">
        <v>74</v>
      </c>
      <c r="X2" s="31" t="s">
        <v>74</v>
      </c>
      <c r="Y2" s="32" t="s">
        <v>74</v>
      </c>
      <c r="Z2" s="187" t="s">
        <v>75</v>
      </c>
      <c r="AA2" s="188" t="s">
        <v>75</v>
      </c>
      <c r="AB2" s="36" t="s">
        <v>75</v>
      </c>
      <c r="AC2" s="189" t="s">
        <v>10</v>
      </c>
      <c r="AD2" s="169" t="s">
        <v>10</v>
      </c>
      <c r="AE2" s="29" t="s">
        <v>10</v>
      </c>
      <c r="AF2" s="73"/>
      <c r="AG2" s="73"/>
      <c r="AH2" s="74"/>
      <c r="AI2" s="74"/>
      <c r="AJ2" s="74"/>
      <c r="AK2" s="74"/>
      <c r="AL2" s="15"/>
      <c r="AM2" s="15"/>
      <c r="AN2" s="15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1" s="49" customFormat="1">
      <c r="A3" s="59">
        <v>14261</v>
      </c>
      <c r="B3" s="137" t="s">
        <v>76</v>
      </c>
      <c r="C3" s="138" t="str">
        <f>Rollover!A3</f>
        <v>Acura</v>
      </c>
      <c r="D3" s="10" t="str">
        <f>Rollover!B3</f>
        <v>Integra 5 HB FWD</v>
      </c>
      <c r="E3" s="10" t="s">
        <v>55</v>
      </c>
      <c r="F3" s="139">
        <f>Rollover!C3</f>
        <v>2023</v>
      </c>
      <c r="G3" s="11">
        <v>144.97499999999999</v>
      </c>
      <c r="H3" s="12">
        <v>23.876999999999999</v>
      </c>
      <c r="I3" s="12">
        <v>37.933999999999997</v>
      </c>
      <c r="J3" s="12">
        <v>1007.45</v>
      </c>
      <c r="K3" s="13">
        <v>1336.9269999999999</v>
      </c>
      <c r="L3" s="11">
        <v>239.345</v>
      </c>
      <c r="M3" s="12">
        <v>26.091999999999999</v>
      </c>
      <c r="N3" s="12">
        <v>60.372999999999998</v>
      </c>
      <c r="O3" s="12">
        <v>21.831</v>
      </c>
      <c r="P3" s="13">
        <v>2363.0349999999999</v>
      </c>
      <c r="Q3" s="22">
        <f t="shared" ref="Q3:Q6" si="0">NORMDIST(LN(G3),7.45231,0.73998,1)</f>
        <v>4.1038051978318157E-4</v>
      </c>
      <c r="R3" s="6">
        <f t="shared" ref="R3:R6" si="1">1/(1+EXP(5.3895-0.0919*H3))</f>
        <v>3.9346615530531315E-2</v>
      </c>
      <c r="S3" s="6">
        <f t="shared" ref="S3:S6" si="2">1/(1+EXP(6.04044-0.002133*J3))</f>
        <v>2.0005315194714112E-2</v>
      </c>
      <c r="T3" s="23">
        <f t="shared" ref="T3:T6" si="3">1/(1+EXP(7.5969-0.0011*K3))</f>
        <v>2.1799297896217783E-3</v>
      </c>
      <c r="U3" s="22">
        <f t="shared" ref="U3:U6" si="4">NORMDIST(LN(L3),7.45231,0.73998,1)</f>
        <v>3.8131059323650777E-3</v>
      </c>
      <c r="V3" s="23">
        <f t="shared" ref="V3:V6" si="5">1/(1+EXP(6.3055-0.00094*P3))</f>
        <v>1.6557058728255376E-2</v>
      </c>
      <c r="W3" s="22">
        <f t="shared" ref="W3:W6" si="6">ROUND(1-(1-Q3)*(1-R3)*(1-S3)*(1-T3),3)</f>
        <v>6.0999999999999999E-2</v>
      </c>
      <c r="X3" s="6">
        <f t="shared" ref="X3:X6" si="7">IF(L3="N/A",L3,ROUND(1-(1-U3)*(1-V3),3))</f>
        <v>0.02</v>
      </c>
      <c r="Y3" s="23">
        <f t="shared" ref="Y3:Y6" si="8">ROUND(AVERAGE(W3:X3),3)</f>
        <v>4.1000000000000002E-2</v>
      </c>
      <c r="Z3" s="24">
        <f t="shared" ref="Z3:Z6" si="9">ROUND(W3/0.15,2)</f>
        <v>0.41</v>
      </c>
      <c r="AA3" s="140">
        <f t="shared" ref="AA3:AA6" si="10">IF(L3="N/A", L3, ROUND(X3/0.15,2))</f>
        <v>0.13</v>
      </c>
      <c r="AB3" s="25">
        <f t="shared" ref="AB3:AB6" si="11">ROUND(Y3/0.15,2)</f>
        <v>0.27</v>
      </c>
      <c r="AC3" s="20">
        <f t="shared" ref="AC3:AC6" si="12">IF(Z3&lt;0.67,5,IF(Z3&lt;1,4,IF(Z3&lt;1.33,3,IF(Z3&lt;2.67,2,1))))</f>
        <v>5</v>
      </c>
      <c r="AD3" s="141">
        <f t="shared" ref="AD3:AD6" si="13">IF(L3="N/A",L3,IF(AA3&lt;0.67,5,IF(AA3&lt;1,4,IF(AA3&lt;1.33,3,IF(AA3&lt;2.67,2,1)))))</f>
        <v>5</v>
      </c>
      <c r="AE3" s="21">
        <f t="shared" ref="AE3:AE6" si="14">IF(AB3&lt;0.67,5,IF(AB3&lt;1,4,IF(AB3&lt;1.33,3,IF(AB3&lt;2.67,2,1))))</f>
        <v>5</v>
      </c>
      <c r="AF3" s="18"/>
      <c r="AG3" s="18"/>
      <c r="AH3" s="3"/>
      <c r="AI3" s="3"/>
      <c r="AJ3" s="3"/>
      <c r="AK3" s="3"/>
      <c r="AL3" s="19"/>
      <c r="AM3" s="19"/>
      <c r="AN3" s="19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3.15" customHeight="1">
      <c r="A4" s="59"/>
      <c r="B4" s="137"/>
      <c r="C4" s="138" t="str">
        <f>Rollover!A4</f>
        <v>Honda</v>
      </c>
      <c r="D4" s="10" t="str">
        <f>Rollover!B4</f>
        <v>Civic Hatchback FWD</v>
      </c>
      <c r="E4" s="10"/>
      <c r="F4" s="139">
        <f>Rollover!C4</f>
        <v>2023</v>
      </c>
      <c r="G4" s="11"/>
      <c r="H4" s="12"/>
      <c r="I4" s="12"/>
      <c r="J4" s="12"/>
      <c r="K4" s="13"/>
      <c r="L4" s="11"/>
      <c r="M4" s="12"/>
      <c r="N4" s="12"/>
      <c r="O4" s="12"/>
      <c r="P4" s="13"/>
      <c r="Q4" s="22" t="e">
        <f t="shared" si="0"/>
        <v>#NUM!</v>
      </c>
      <c r="R4" s="6">
        <f t="shared" si="1"/>
        <v>4.5435171224880964E-3</v>
      </c>
      <c r="S4" s="6">
        <f t="shared" si="2"/>
        <v>2.3748578822706131E-3</v>
      </c>
      <c r="T4" s="23">
        <f t="shared" si="3"/>
        <v>5.0175335722563109E-4</v>
      </c>
      <c r="U4" s="22" t="e">
        <f t="shared" si="4"/>
        <v>#NUM!</v>
      </c>
      <c r="V4" s="23">
        <f t="shared" si="5"/>
        <v>1.8229037773026034E-3</v>
      </c>
      <c r="W4" s="22" t="e">
        <f t="shared" si="6"/>
        <v>#NUM!</v>
      </c>
      <c r="X4" s="6" t="e">
        <f t="shared" si="7"/>
        <v>#NUM!</v>
      </c>
      <c r="Y4" s="23" t="e">
        <f t="shared" si="8"/>
        <v>#NUM!</v>
      </c>
      <c r="Z4" s="24" t="e">
        <f t="shared" si="9"/>
        <v>#NUM!</v>
      </c>
      <c r="AA4" s="140" t="e">
        <f t="shared" si="10"/>
        <v>#NUM!</v>
      </c>
      <c r="AB4" s="25" t="e">
        <f t="shared" si="11"/>
        <v>#NUM!</v>
      </c>
      <c r="AC4" s="20" t="e">
        <f t="shared" si="12"/>
        <v>#NUM!</v>
      </c>
      <c r="AD4" s="141" t="e">
        <f t="shared" si="13"/>
        <v>#NUM!</v>
      </c>
      <c r="AE4" s="21" t="e">
        <f t="shared" si="14"/>
        <v>#NUM!</v>
      </c>
      <c r="AF4" s="14"/>
      <c r="AG4" s="14"/>
      <c r="AH4" s="16"/>
      <c r="AI4" s="16"/>
      <c r="AJ4" s="16"/>
      <c r="AK4" s="16"/>
      <c r="AL4" s="15"/>
      <c r="AM4" s="15"/>
      <c r="AN4" s="15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>
      <c r="A5" s="59"/>
      <c r="B5" s="137"/>
      <c r="C5" s="138" t="str">
        <f>Rollover!A5</f>
        <v>Honda</v>
      </c>
      <c r="D5" s="10" t="str">
        <f>Rollover!B5</f>
        <v>Civic Hatchback Typer R FWD</v>
      </c>
      <c r="E5" s="10"/>
      <c r="F5" s="139">
        <f>Rollover!C5</f>
        <v>2023</v>
      </c>
      <c r="G5" s="11"/>
      <c r="H5" s="12"/>
      <c r="I5" s="12"/>
      <c r="J5" s="12"/>
      <c r="K5" s="13"/>
      <c r="L5" s="11"/>
      <c r="M5" s="12"/>
      <c r="N5" s="12"/>
      <c r="O5" s="12"/>
      <c r="P5" s="13"/>
      <c r="Q5" s="22" t="e">
        <f t="shared" si="0"/>
        <v>#NUM!</v>
      </c>
      <c r="R5" s="6">
        <f t="shared" si="1"/>
        <v>4.5435171224880964E-3</v>
      </c>
      <c r="S5" s="6">
        <f t="shared" si="2"/>
        <v>2.3748578822706131E-3</v>
      </c>
      <c r="T5" s="23">
        <f t="shared" si="3"/>
        <v>5.0175335722563109E-4</v>
      </c>
      <c r="U5" s="22" t="e">
        <f t="shared" si="4"/>
        <v>#NUM!</v>
      </c>
      <c r="V5" s="23">
        <f t="shared" si="5"/>
        <v>1.8229037773026034E-3</v>
      </c>
      <c r="W5" s="22" t="e">
        <f t="shared" si="6"/>
        <v>#NUM!</v>
      </c>
      <c r="X5" s="6" t="e">
        <f t="shared" si="7"/>
        <v>#NUM!</v>
      </c>
      <c r="Y5" s="23" t="e">
        <f t="shared" si="8"/>
        <v>#NUM!</v>
      </c>
      <c r="Z5" s="24" t="e">
        <f t="shared" si="9"/>
        <v>#NUM!</v>
      </c>
      <c r="AA5" s="140" t="e">
        <f t="shared" si="10"/>
        <v>#NUM!</v>
      </c>
      <c r="AB5" s="25" t="e">
        <f t="shared" si="11"/>
        <v>#NUM!</v>
      </c>
      <c r="AC5" s="20" t="e">
        <f t="shared" si="12"/>
        <v>#NUM!</v>
      </c>
      <c r="AD5" s="141" t="e">
        <f t="shared" si="13"/>
        <v>#NUM!</v>
      </c>
      <c r="AE5" s="21" t="e">
        <f t="shared" si="14"/>
        <v>#NUM!</v>
      </c>
      <c r="AF5" s="14"/>
      <c r="AG5" s="14"/>
      <c r="AH5" s="16"/>
      <c r="AI5" s="16"/>
      <c r="AJ5" s="16"/>
      <c r="AK5" s="16"/>
      <c r="AL5" s="15"/>
      <c r="AM5" s="15"/>
      <c r="AN5" s="15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 ht="13.15" customHeight="1">
      <c r="A6" s="59"/>
      <c r="B6" s="137"/>
      <c r="C6" s="138" t="str">
        <f>Rollover!A6</f>
        <v>Honda</v>
      </c>
      <c r="D6" s="10" t="str">
        <f>Rollover!B6</f>
        <v>Civic Sedan FWD</v>
      </c>
      <c r="E6" s="10"/>
      <c r="F6" s="139">
        <f>Rollover!C6</f>
        <v>2023</v>
      </c>
      <c r="G6" s="11"/>
      <c r="H6" s="12"/>
      <c r="I6" s="12"/>
      <c r="J6" s="12"/>
      <c r="K6" s="13"/>
      <c r="L6" s="11"/>
      <c r="M6" s="12"/>
      <c r="N6" s="12"/>
      <c r="O6" s="12"/>
      <c r="P6" s="13"/>
      <c r="Q6" s="22" t="e">
        <f t="shared" si="0"/>
        <v>#NUM!</v>
      </c>
      <c r="R6" s="6">
        <f t="shared" si="1"/>
        <v>4.5435171224880964E-3</v>
      </c>
      <c r="S6" s="6">
        <f t="shared" si="2"/>
        <v>2.3748578822706131E-3</v>
      </c>
      <c r="T6" s="23">
        <f t="shared" si="3"/>
        <v>5.0175335722563109E-4</v>
      </c>
      <c r="U6" s="22" t="e">
        <f t="shared" si="4"/>
        <v>#NUM!</v>
      </c>
      <c r="V6" s="23">
        <f t="shared" si="5"/>
        <v>1.8229037773026034E-3</v>
      </c>
      <c r="W6" s="22" t="e">
        <f t="shared" si="6"/>
        <v>#NUM!</v>
      </c>
      <c r="X6" s="6" t="e">
        <f t="shared" si="7"/>
        <v>#NUM!</v>
      </c>
      <c r="Y6" s="23" t="e">
        <f t="shared" si="8"/>
        <v>#NUM!</v>
      </c>
      <c r="Z6" s="24" t="e">
        <f t="shared" si="9"/>
        <v>#NUM!</v>
      </c>
      <c r="AA6" s="140" t="e">
        <f t="shared" si="10"/>
        <v>#NUM!</v>
      </c>
      <c r="AB6" s="25" t="e">
        <f t="shared" si="11"/>
        <v>#NUM!</v>
      </c>
      <c r="AC6" s="20" t="e">
        <f t="shared" si="12"/>
        <v>#NUM!</v>
      </c>
      <c r="AD6" s="141" t="e">
        <f t="shared" si="13"/>
        <v>#NUM!</v>
      </c>
      <c r="AE6" s="21" t="e">
        <f t="shared" si="14"/>
        <v>#NUM!</v>
      </c>
      <c r="AF6" s="14"/>
      <c r="AG6" s="14"/>
      <c r="AH6" s="16"/>
      <c r="AI6" s="16"/>
      <c r="AJ6" s="16"/>
      <c r="AK6" s="16"/>
      <c r="AL6" s="15"/>
      <c r="AM6" s="15"/>
      <c r="AN6" s="1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>
      <c r="A7" s="59">
        <v>14273</v>
      </c>
      <c r="B7" s="59" t="s">
        <v>77</v>
      </c>
      <c r="C7" s="26" t="str">
        <f>Rollover!A7</f>
        <v xml:space="preserve">Honda </v>
      </c>
      <c r="D7" s="45" t="str">
        <f>Rollover!B7</f>
        <v>HR-V SUV FWD</v>
      </c>
      <c r="E7" s="10" t="s">
        <v>55</v>
      </c>
      <c r="F7" s="139">
        <f>Rollover!C7</f>
        <v>2023</v>
      </c>
      <c r="G7" s="11">
        <v>87.486000000000004</v>
      </c>
      <c r="H7" s="12">
        <v>17.439</v>
      </c>
      <c r="I7" s="12">
        <v>26.102</v>
      </c>
      <c r="J7" s="12">
        <v>524.91700000000003</v>
      </c>
      <c r="K7" s="13">
        <v>1861.2329999999999</v>
      </c>
      <c r="L7" s="11">
        <v>173.38200000000001</v>
      </c>
      <c r="M7" s="12">
        <v>12.121</v>
      </c>
      <c r="N7" s="12">
        <v>60.603000000000002</v>
      </c>
      <c r="O7" s="12">
        <v>9.7119999999999997</v>
      </c>
      <c r="P7" s="13">
        <v>4047.0810000000001</v>
      </c>
      <c r="Q7" s="22">
        <f t="shared" ref="Q7:Q8" si="15">NORMDIST(LN(G7),7.45231,0.73998,1)</f>
        <v>2.8095690632962448E-5</v>
      </c>
      <c r="R7" s="6">
        <f t="shared" ref="R7:R8" si="16">1/(1+EXP(5.3895-0.0919*H7))</f>
        <v>2.2164362280513397E-2</v>
      </c>
      <c r="S7" s="6">
        <f t="shared" ref="S7:S8" si="17">1/(1+EXP(6.04044-0.002133*J7))</f>
        <v>7.2405441029785231E-3</v>
      </c>
      <c r="T7" s="23">
        <f t="shared" ref="T7:T8" si="18">1/(1+EXP(7.5969-0.0011*K7))</f>
        <v>3.8741639744349337E-3</v>
      </c>
      <c r="U7" s="22">
        <f t="shared" ref="U7:U8" si="19">NORMDIST(LN(L7),7.45231,0.73998,1)</f>
        <v>9.5498809979887092E-4</v>
      </c>
      <c r="V7" s="23">
        <f t="shared" ref="V7:V8" si="20">1/(1+EXP(6.3055-0.00094*P7))</f>
        <v>7.5771026803307107E-2</v>
      </c>
      <c r="W7" s="22">
        <f t="shared" ref="W7:W8" si="21">ROUND(1-(1-Q7)*(1-R7)*(1-S7)*(1-T7),3)</f>
        <v>3.3000000000000002E-2</v>
      </c>
      <c r="X7" s="6">
        <f t="shared" ref="X7:X8" si="22">IF(L7="N/A",L7,ROUND(1-(1-U7)*(1-V7),3))</f>
        <v>7.6999999999999999E-2</v>
      </c>
      <c r="Y7" s="23">
        <f t="shared" ref="Y7:Y8" si="23">ROUND(AVERAGE(W7:X7),3)</f>
        <v>5.5E-2</v>
      </c>
      <c r="Z7" s="24">
        <f t="shared" ref="Z7:Z8" si="24">ROUND(W7/0.15,2)</f>
        <v>0.22</v>
      </c>
      <c r="AA7" s="140">
        <f t="shared" ref="AA7:AA8" si="25">IF(L7="N/A", L7, ROUND(X7/0.15,2))</f>
        <v>0.51</v>
      </c>
      <c r="AB7" s="25">
        <f t="shared" ref="AB7:AB8" si="26">ROUND(Y7/0.15,2)</f>
        <v>0.37</v>
      </c>
      <c r="AC7" s="20">
        <f t="shared" ref="AC7:AC8" si="27">IF(Z7&lt;0.67,5,IF(Z7&lt;1,4,IF(Z7&lt;1.33,3,IF(Z7&lt;2.67,2,1))))</f>
        <v>5</v>
      </c>
      <c r="AD7" s="141">
        <f t="shared" ref="AD7:AD8" si="28">IF(L7="N/A",L7,IF(AA7&lt;0.67,5,IF(AA7&lt;1,4,IF(AA7&lt;1.33,3,IF(AA7&lt;2.67,2,1)))))</f>
        <v>5</v>
      </c>
      <c r="AE7" s="21">
        <f t="shared" ref="AE7:AE8" si="29">IF(AB7&lt;0.67,5,IF(AB7&lt;1,4,IF(AB7&lt;1.33,3,IF(AB7&lt;2.67,2,1))))</f>
        <v>5</v>
      </c>
      <c r="AF7" s="14"/>
      <c r="AG7" s="14"/>
      <c r="AH7" s="16"/>
      <c r="AI7" s="16"/>
      <c r="AJ7" s="16"/>
      <c r="AK7" s="16"/>
      <c r="AL7" s="15"/>
      <c r="AM7" s="15"/>
      <c r="AN7" s="15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>
      <c r="A8" s="59">
        <v>14273</v>
      </c>
      <c r="B8" s="59" t="s">
        <v>77</v>
      </c>
      <c r="C8" s="26" t="str">
        <f>Rollover!A8</f>
        <v xml:space="preserve">Honda </v>
      </c>
      <c r="D8" s="45" t="str">
        <f>Rollover!B8</f>
        <v>HR-V SUV AWD</v>
      </c>
      <c r="E8" s="10" t="s">
        <v>55</v>
      </c>
      <c r="F8" s="139">
        <f>Rollover!C8</f>
        <v>2023</v>
      </c>
      <c r="G8" s="11">
        <v>87.486000000000004</v>
      </c>
      <c r="H8" s="12">
        <v>17.439</v>
      </c>
      <c r="I8" s="12">
        <v>26.102</v>
      </c>
      <c r="J8" s="12">
        <v>524.91700000000003</v>
      </c>
      <c r="K8" s="13">
        <v>1861.2329999999999</v>
      </c>
      <c r="L8" s="11">
        <v>173.38200000000001</v>
      </c>
      <c r="M8" s="12">
        <v>12.121</v>
      </c>
      <c r="N8" s="12">
        <v>60.603000000000002</v>
      </c>
      <c r="O8" s="12">
        <v>9.7119999999999997</v>
      </c>
      <c r="P8" s="13">
        <v>4047.0810000000001</v>
      </c>
      <c r="Q8" s="22">
        <f t="shared" si="15"/>
        <v>2.8095690632962448E-5</v>
      </c>
      <c r="R8" s="6">
        <f t="shared" si="16"/>
        <v>2.2164362280513397E-2</v>
      </c>
      <c r="S8" s="6">
        <f t="shared" si="17"/>
        <v>7.2405441029785231E-3</v>
      </c>
      <c r="T8" s="23">
        <f t="shared" si="18"/>
        <v>3.8741639744349337E-3</v>
      </c>
      <c r="U8" s="22">
        <f t="shared" si="19"/>
        <v>9.5498809979887092E-4</v>
      </c>
      <c r="V8" s="23">
        <f t="shared" si="20"/>
        <v>7.5771026803307107E-2</v>
      </c>
      <c r="W8" s="22">
        <f t="shared" si="21"/>
        <v>3.3000000000000002E-2</v>
      </c>
      <c r="X8" s="6">
        <f t="shared" si="22"/>
        <v>7.6999999999999999E-2</v>
      </c>
      <c r="Y8" s="23">
        <f t="shared" si="23"/>
        <v>5.5E-2</v>
      </c>
      <c r="Z8" s="24">
        <f t="shared" si="24"/>
        <v>0.22</v>
      </c>
      <c r="AA8" s="140">
        <f t="shared" si="25"/>
        <v>0.51</v>
      </c>
      <c r="AB8" s="25">
        <f t="shared" si="26"/>
        <v>0.37</v>
      </c>
      <c r="AC8" s="20">
        <f t="shared" si="27"/>
        <v>5</v>
      </c>
      <c r="AD8" s="141">
        <f t="shared" si="28"/>
        <v>5</v>
      </c>
      <c r="AE8" s="21">
        <f t="shared" si="29"/>
        <v>5</v>
      </c>
      <c r="AF8" s="14"/>
      <c r="AG8" s="14"/>
      <c r="AH8" s="16"/>
      <c r="AI8" s="16"/>
      <c r="AJ8" s="16"/>
      <c r="AK8" s="16"/>
      <c r="AL8" s="15"/>
      <c r="AM8" s="15"/>
      <c r="AN8" s="15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>
      <c r="AE9" s="2"/>
    </row>
    <row r="10" spans="1:51">
      <c r="AE10" s="2"/>
    </row>
    <row r="11" spans="1:51">
      <c r="AE11" s="2"/>
    </row>
    <row r="12" spans="1:51">
      <c r="AE12" s="2"/>
    </row>
    <row r="13" spans="1:51">
      <c r="AE13" s="2"/>
    </row>
    <row r="14" spans="1:51">
      <c r="AE14" s="2"/>
    </row>
    <row r="15" spans="1:51">
      <c r="AE15" s="2"/>
    </row>
    <row r="16" spans="1:51">
      <c r="AE16" s="2"/>
    </row>
    <row r="17" spans="31:31">
      <c r="AE17" s="2"/>
    </row>
    <row r="18" spans="31:31">
      <c r="AE18" s="2"/>
    </row>
    <row r="19" spans="31:31">
      <c r="AE19" s="2"/>
    </row>
    <row r="20" spans="31:31">
      <c r="AE20" s="2"/>
    </row>
    <row r="21" spans="31:31">
      <c r="AE21" s="2"/>
    </row>
    <row r="22" spans="31:31">
      <c r="AE22" s="2"/>
    </row>
    <row r="23" spans="31:31">
      <c r="AE23" s="2"/>
    </row>
    <row r="24" spans="31:31">
      <c r="AE24" s="2"/>
    </row>
    <row r="25" spans="31:31">
      <c r="AE25" s="2"/>
    </row>
    <row r="26" spans="31:31">
      <c r="AE26" s="2"/>
    </row>
    <row r="27" spans="31:31">
      <c r="AE27" s="2"/>
    </row>
    <row r="28" spans="31:31">
      <c r="AE28" s="2"/>
    </row>
    <row r="29" spans="31:31">
      <c r="AE29" s="2"/>
    </row>
    <row r="30" spans="31:31">
      <c r="AE30" s="2"/>
    </row>
    <row r="31" spans="31:31">
      <c r="AE31" s="2"/>
    </row>
    <row r="32" spans="31:31">
      <c r="AE32" s="2"/>
    </row>
    <row r="33" spans="31:31">
      <c r="AE33" s="2"/>
    </row>
    <row r="34" spans="31:31">
      <c r="AE34" s="2"/>
    </row>
    <row r="35" spans="31:31">
      <c r="AE35" s="2"/>
    </row>
    <row r="36" spans="31:31">
      <c r="AE36" s="2"/>
    </row>
    <row r="37" spans="31:31">
      <c r="AE37" s="2"/>
    </row>
    <row r="38" spans="31:31">
      <c r="AE38" s="2"/>
    </row>
    <row r="39" spans="31:31">
      <c r="AE39" s="2"/>
    </row>
    <row r="40" spans="31:31">
      <c r="AE40" s="2"/>
    </row>
    <row r="41" spans="31:31">
      <c r="AE41" s="2"/>
    </row>
    <row r="42" spans="31:31">
      <c r="AE42" s="2"/>
    </row>
    <row r="43" spans="31:31">
      <c r="AE43" s="2"/>
    </row>
    <row r="44" spans="31:31">
      <c r="AE44" s="2"/>
    </row>
    <row r="45" spans="31:31">
      <c r="AE45" s="2"/>
    </row>
    <row r="46" spans="31:31">
      <c r="AE46" s="2"/>
    </row>
    <row r="47" spans="31:31">
      <c r="AE47" s="2"/>
    </row>
    <row r="48" spans="31:31">
      <c r="AE48" s="2"/>
    </row>
    <row r="49" spans="31:31">
      <c r="AE49" s="2"/>
    </row>
    <row r="50" spans="31:31">
      <c r="AE50" s="2"/>
    </row>
    <row r="51" spans="31:31">
      <c r="AE51" s="2"/>
    </row>
    <row r="52" spans="31:31">
      <c r="AE52" s="2"/>
    </row>
    <row r="53" spans="31:31">
      <c r="AE53" s="2"/>
    </row>
    <row r="54" spans="31:31">
      <c r="AE54" s="2"/>
    </row>
    <row r="55" spans="31:31">
      <c r="AE55" s="2"/>
    </row>
    <row r="56" spans="31:31">
      <c r="AE56" s="2"/>
    </row>
    <row r="57" spans="31:31">
      <c r="AE57" s="2"/>
    </row>
    <row r="58" spans="31:31">
      <c r="AE58" s="2"/>
    </row>
    <row r="59" spans="31:31">
      <c r="AE59" s="2"/>
    </row>
    <row r="60" spans="31:31">
      <c r="AE60" s="2"/>
    </row>
    <row r="61" spans="31:31">
      <c r="AE61" s="2"/>
    </row>
    <row r="62" spans="31:31">
      <c r="AE62" s="2"/>
    </row>
    <row r="63" spans="31:31">
      <c r="AE63" s="2"/>
    </row>
    <row r="64" spans="31:3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35"/>
  <sheetViews>
    <sheetView zoomScaleNormal="100" workbookViewId="0">
      <pane xSplit="6" ySplit="2" topLeftCell="G3" activePane="bottomRight" state="frozen"/>
      <selection activeCell="B34" sqref="B34"/>
      <selection pane="topRight" activeCell="B34" sqref="B34"/>
      <selection pane="bottomLeft" activeCell="B34" sqref="B34"/>
      <selection pane="bottomRight" activeCell="A7" sqref="A7:XFD8"/>
    </sheetView>
  </sheetViews>
  <sheetFormatPr defaultColWidth="9.140625" defaultRowHeight="13.9" customHeight="1"/>
  <cols>
    <col min="1" max="1" width="8.5703125" style="181" bestFit="1" customWidth="1"/>
    <col min="2" max="2" width="9" style="181" bestFit="1" customWidth="1"/>
    <col min="3" max="3" width="12" style="182" bestFit="1" customWidth="1"/>
    <col min="4" max="4" width="27.28515625" style="182" customWidth="1"/>
    <col min="5" max="5" width="6.5703125" style="183" customWidth="1"/>
    <col min="6" max="6" width="7.42578125" style="184" bestFit="1" customWidth="1"/>
    <col min="7" max="10" width="8.7109375" style="179" customWidth="1"/>
    <col min="11" max="11" width="9.85546875" style="179" customWidth="1"/>
    <col min="12" max="12" width="7" style="179" customWidth="1"/>
    <col min="13" max="13" width="7.42578125" style="179" customWidth="1"/>
    <col min="14" max="14" width="7.85546875" style="185" customWidth="1"/>
    <col min="15" max="15" width="8.5703125" style="185" bestFit="1" customWidth="1"/>
    <col min="16" max="16" width="8.28515625" style="186" customWidth="1"/>
    <col min="17" max="17" width="9.28515625" style="185" customWidth="1"/>
    <col min="18" max="18" width="10.140625" style="179" customWidth="1"/>
    <col min="19" max="19" width="6" style="181" customWidth="1"/>
    <col min="20" max="20" width="10.28515625" style="181" bestFit="1" customWidth="1"/>
    <col min="21" max="21" width="10.140625" style="181" customWidth="1"/>
    <col min="22" max="22" width="10.28515625" style="181" bestFit="1" customWidth="1"/>
    <col min="23" max="16384" width="9.140625" style="179"/>
  </cols>
  <sheetData>
    <row r="1" spans="1:37" s="118" customFormat="1" ht="13.9" customHeight="1" thickBot="1">
      <c r="A1" s="146"/>
      <c r="B1" s="147"/>
      <c r="C1" s="148"/>
      <c r="D1" s="148"/>
      <c r="E1" s="149"/>
      <c r="F1" s="150"/>
      <c r="G1" s="151" t="s">
        <v>78</v>
      </c>
      <c r="H1" s="152"/>
      <c r="I1" s="152"/>
      <c r="J1" s="152"/>
      <c r="K1" s="153"/>
      <c r="L1" s="154" t="s">
        <v>78</v>
      </c>
      <c r="M1" s="117"/>
      <c r="N1" s="155" t="s">
        <v>26</v>
      </c>
      <c r="O1" s="156" t="s">
        <v>26</v>
      </c>
      <c r="P1" s="39" t="s">
        <v>79</v>
      </c>
      <c r="Q1" s="157" t="s">
        <v>26</v>
      </c>
      <c r="R1" s="158" t="s">
        <v>26</v>
      </c>
      <c r="S1" s="38" t="s">
        <v>26</v>
      </c>
      <c r="T1" s="38" t="s">
        <v>80</v>
      </c>
      <c r="U1" s="38" t="s">
        <v>81</v>
      </c>
      <c r="V1" s="39" t="s">
        <v>80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s="119" customFormat="1" ht="45.75" thickBot="1">
      <c r="A2" s="37" t="s">
        <v>30</v>
      </c>
      <c r="B2" s="38" t="s">
        <v>31</v>
      </c>
      <c r="C2" s="159" t="s">
        <v>1</v>
      </c>
      <c r="D2" s="159" t="s">
        <v>2</v>
      </c>
      <c r="E2" s="160" t="s">
        <v>32</v>
      </c>
      <c r="F2" s="161" t="s">
        <v>3</v>
      </c>
      <c r="G2" s="162" t="s">
        <v>64</v>
      </c>
      <c r="H2" s="163" t="s">
        <v>82</v>
      </c>
      <c r="I2" s="163" t="s">
        <v>83</v>
      </c>
      <c r="J2" s="163" t="s">
        <v>84</v>
      </c>
      <c r="K2" s="164" t="s">
        <v>70</v>
      </c>
      <c r="L2" s="165" t="s">
        <v>71</v>
      </c>
      <c r="M2" s="166" t="s">
        <v>73</v>
      </c>
      <c r="N2" s="165" t="s">
        <v>74</v>
      </c>
      <c r="O2" s="167" t="s">
        <v>85</v>
      </c>
      <c r="P2" s="29" t="s">
        <v>10</v>
      </c>
      <c r="Q2" s="168" t="s">
        <v>86</v>
      </c>
      <c r="R2" s="163" t="s">
        <v>87</v>
      </c>
      <c r="S2" s="169" t="s">
        <v>88</v>
      </c>
      <c r="T2" s="163" t="s">
        <v>89</v>
      </c>
      <c r="U2" s="163" t="s">
        <v>90</v>
      </c>
      <c r="V2" s="41" t="s">
        <v>91</v>
      </c>
      <c r="W2" s="5"/>
      <c r="X2" s="42"/>
      <c r="Y2" s="42"/>
      <c r="Z2" s="42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</row>
    <row r="3" spans="1:37" ht="13.9" customHeight="1">
      <c r="A3" s="170">
        <v>14260</v>
      </c>
      <c r="B3" s="171" t="s">
        <v>92</v>
      </c>
      <c r="C3" s="172" t="str">
        <f>Rollover!A3</f>
        <v>Acura</v>
      </c>
      <c r="D3" s="172" t="str">
        <f>Rollover!B3</f>
        <v>Integra 5 HB FWD</v>
      </c>
      <c r="E3" s="62" t="s">
        <v>55</v>
      </c>
      <c r="F3" s="173">
        <f>Rollover!C3</f>
        <v>2023</v>
      </c>
      <c r="G3" s="174">
        <v>235.989</v>
      </c>
      <c r="H3" s="12">
        <v>19.187000000000001</v>
      </c>
      <c r="I3" s="12">
        <v>45.485999999999997</v>
      </c>
      <c r="J3" s="175">
        <v>21.614999999999998</v>
      </c>
      <c r="K3" s="13">
        <v>2871.9740000000002</v>
      </c>
      <c r="L3" s="22">
        <f>NORMDIST(LN(G3),7.45231,0.73998,1)</f>
        <v>3.6019529688484063E-3</v>
      </c>
      <c r="M3" s="23">
        <f t="shared" ref="M3:M6" si="0">1/(1+EXP(6.3055-0.00094*K3))</f>
        <v>2.6446101315489901E-2</v>
      </c>
      <c r="N3" s="22">
        <f t="shared" ref="N3:N6" si="1">ROUND(1-(1-L3)*(1-M3),3)</f>
        <v>0.03</v>
      </c>
      <c r="O3" s="6">
        <f t="shared" ref="O3:O6" si="2">ROUND(N3/0.15,2)</f>
        <v>0.2</v>
      </c>
      <c r="P3" s="21">
        <f t="shared" ref="P3:P6" si="3">IF(O3&lt;0.67,5,IF(O3&lt;1,4,IF(O3&lt;1.33,3,IF(O3&lt;2.67,2,1))))</f>
        <v>5</v>
      </c>
      <c r="Q3" s="176">
        <f>ROUND((0.8*'Side MDB'!W3+0.2*'Side Pole'!N3),3)</f>
        <v>5.5E-2</v>
      </c>
      <c r="R3" s="177">
        <f t="shared" ref="R3:R6" si="4">ROUND((Q3)/0.15,2)</f>
        <v>0.37</v>
      </c>
      <c r="S3" s="141">
        <f t="shared" ref="S3:S6" si="5">IF(R3&lt;0.67,5,IF(R3&lt;1,4,IF(R3&lt;1.33,3,IF(R3&lt;2.67,2,1))))</f>
        <v>5</v>
      </c>
      <c r="T3" s="177">
        <f>ROUND(((0.8*'Side MDB'!W3+0.2*'Side Pole'!N3)+(IF('Side MDB'!X3="N/A",(0.8*'Side MDB'!W3+0.2*'Side Pole'!N3),'Side MDB'!X3)))/2,3)</f>
        <v>3.6999999999999998E-2</v>
      </c>
      <c r="U3" s="177">
        <f t="shared" ref="U3:U6" si="6">ROUND((T3)/0.15,2)</f>
        <v>0.25</v>
      </c>
      <c r="V3" s="21">
        <f t="shared" ref="V3:V6" si="7">IF(U3&lt;0.67,5,IF(U3&lt;1,4,IF(U3&lt;1.33,3,IF(U3&lt;2.67,2,1))))</f>
        <v>5</v>
      </c>
      <c r="W3" s="16"/>
      <c r="X3" s="75"/>
      <c r="Y3" s="75"/>
      <c r="Z3" s="75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</row>
    <row r="4" spans="1:37" ht="13.9" customHeight="1">
      <c r="A4" s="170"/>
      <c r="B4" s="171"/>
      <c r="C4" s="180" t="str">
        <f>Rollover!A4</f>
        <v>Honda</v>
      </c>
      <c r="D4" s="180" t="str">
        <f>Rollover!B4</f>
        <v>Civic Hatchback FWD</v>
      </c>
      <c r="E4" s="62"/>
      <c r="F4" s="173">
        <f>Rollover!C4</f>
        <v>2023</v>
      </c>
      <c r="G4" s="174"/>
      <c r="H4" s="12"/>
      <c r="I4" s="12"/>
      <c r="J4" s="175"/>
      <c r="K4" s="13"/>
      <c r="L4" s="22" t="e">
        <f t="shared" ref="L4" si="8">NORMDIST(LN(G4),7.45231,0.73998,1)</f>
        <v>#NUM!</v>
      </c>
      <c r="M4" s="23">
        <f t="shared" si="0"/>
        <v>1.8229037773026034E-3</v>
      </c>
      <c r="N4" s="22" t="e">
        <f t="shared" si="1"/>
        <v>#NUM!</v>
      </c>
      <c r="O4" s="6" t="e">
        <f t="shared" si="2"/>
        <v>#NUM!</v>
      </c>
      <c r="P4" s="21" t="e">
        <f t="shared" si="3"/>
        <v>#NUM!</v>
      </c>
      <c r="Q4" s="176" t="e">
        <f>ROUND((0.8*'Side MDB'!W4+0.2*'Side Pole'!N4),3)</f>
        <v>#NUM!</v>
      </c>
      <c r="R4" s="177" t="e">
        <f t="shared" si="4"/>
        <v>#NUM!</v>
      </c>
      <c r="S4" s="141" t="e">
        <f t="shared" si="5"/>
        <v>#NUM!</v>
      </c>
      <c r="T4" s="177" t="e">
        <f>ROUND(((0.8*'Side MDB'!W4+0.2*'Side Pole'!N4)+(IF('Side MDB'!X4="N/A",(0.8*'Side MDB'!W4+0.2*'Side Pole'!N4),'Side MDB'!X4)))/2,3)</f>
        <v>#NUM!</v>
      </c>
      <c r="U4" s="177" t="e">
        <f t="shared" si="6"/>
        <v>#NUM!</v>
      </c>
      <c r="V4" s="21" t="e">
        <f t="shared" si="7"/>
        <v>#NUM!</v>
      </c>
      <c r="W4" s="16"/>
      <c r="X4" s="75"/>
      <c r="Y4" s="75"/>
      <c r="Z4" s="75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</row>
    <row r="5" spans="1:37" ht="13.9" customHeight="1">
      <c r="A5" s="170"/>
      <c r="B5" s="171"/>
      <c r="C5" s="180" t="str">
        <f>Rollover!A5</f>
        <v>Honda</v>
      </c>
      <c r="D5" s="180" t="str">
        <f>Rollover!B5</f>
        <v>Civic Hatchback Typer R FWD</v>
      </c>
      <c r="E5" s="62"/>
      <c r="F5" s="173">
        <f>Rollover!C5</f>
        <v>2023</v>
      </c>
      <c r="G5" s="174"/>
      <c r="H5" s="12"/>
      <c r="I5" s="12"/>
      <c r="J5" s="175"/>
      <c r="K5" s="13"/>
      <c r="L5" s="22" t="e">
        <f t="shared" ref="L5:L6" si="9">NORMDIST(LN(G5),7.45231,0.73998,1)</f>
        <v>#NUM!</v>
      </c>
      <c r="M5" s="23">
        <f t="shared" si="0"/>
        <v>1.8229037773026034E-3</v>
      </c>
      <c r="N5" s="22" t="e">
        <f t="shared" si="1"/>
        <v>#NUM!</v>
      </c>
      <c r="O5" s="6" t="e">
        <f t="shared" si="2"/>
        <v>#NUM!</v>
      </c>
      <c r="P5" s="21" t="e">
        <f t="shared" si="3"/>
        <v>#NUM!</v>
      </c>
      <c r="Q5" s="176" t="e">
        <f>ROUND((0.8*'Side MDB'!W5+0.2*'Side Pole'!N5),3)</f>
        <v>#NUM!</v>
      </c>
      <c r="R5" s="177" t="e">
        <f t="shared" si="4"/>
        <v>#NUM!</v>
      </c>
      <c r="S5" s="141" t="e">
        <f t="shared" si="5"/>
        <v>#NUM!</v>
      </c>
      <c r="T5" s="177" t="e">
        <f>ROUND(((0.8*'Side MDB'!W5+0.2*'Side Pole'!N5)+(IF('Side MDB'!X5="N/A",(0.8*'Side MDB'!W5+0.2*'Side Pole'!N5),'Side MDB'!X5)))/2,3)</f>
        <v>#NUM!</v>
      </c>
      <c r="U5" s="177" t="e">
        <f t="shared" si="6"/>
        <v>#NUM!</v>
      </c>
      <c r="V5" s="21" t="e">
        <f t="shared" si="7"/>
        <v>#NUM!</v>
      </c>
      <c r="W5" s="16"/>
      <c r="X5" s="75"/>
      <c r="Y5" s="75"/>
      <c r="Z5" s="75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</row>
    <row r="6" spans="1:37" ht="13.9" customHeight="1">
      <c r="A6" s="170"/>
      <c r="B6" s="171"/>
      <c r="C6" s="180" t="str">
        <f>Rollover!A6</f>
        <v>Honda</v>
      </c>
      <c r="D6" s="180" t="str">
        <f>Rollover!B6</f>
        <v>Civic Sedan FWD</v>
      </c>
      <c r="E6" s="62"/>
      <c r="F6" s="173">
        <f>Rollover!C6</f>
        <v>2023</v>
      </c>
      <c r="G6" s="174"/>
      <c r="H6" s="12"/>
      <c r="I6" s="12"/>
      <c r="J6" s="175"/>
      <c r="K6" s="13"/>
      <c r="L6" s="22" t="e">
        <f t="shared" si="9"/>
        <v>#NUM!</v>
      </c>
      <c r="M6" s="23">
        <f t="shared" si="0"/>
        <v>1.8229037773026034E-3</v>
      </c>
      <c r="N6" s="22" t="e">
        <f t="shared" si="1"/>
        <v>#NUM!</v>
      </c>
      <c r="O6" s="6" t="e">
        <f t="shared" si="2"/>
        <v>#NUM!</v>
      </c>
      <c r="P6" s="21" t="e">
        <f t="shared" si="3"/>
        <v>#NUM!</v>
      </c>
      <c r="Q6" s="176" t="e">
        <f>ROUND((0.8*'Side MDB'!W6+0.2*'Side Pole'!N6),3)</f>
        <v>#NUM!</v>
      </c>
      <c r="R6" s="177" t="e">
        <f t="shared" si="4"/>
        <v>#NUM!</v>
      </c>
      <c r="S6" s="141" t="e">
        <f t="shared" si="5"/>
        <v>#NUM!</v>
      </c>
      <c r="T6" s="177" t="e">
        <f>ROUND(((0.8*'Side MDB'!W6+0.2*'Side Pole'!N6)+(IF('Side MDB'!X6="N/A",(0.8*'Side MDB'!W6+0.2*'Side Pole'!N6),'Side MDB'!X6)))/2,3)</f>
        <v>#NUM!</v>
      </c>
      <c r="U6" s="177" t="e">
        <f t="shared" si="6"/>
        <v>#NUM!</v>
      </c>
      <c r="V6" s="21" t="e">
        <f t="shared" si="7"/>
        <v>#NUM!</v>
      </c>
      <c r="W6" s="16"/>
      <c r="X6" s="75"/>
      <c r="Y6" s="75"/>
      <c r="Z6" s="75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</row>
    <row r="7" spans="1:37" ht="13.9" customHeight="1">
      <c r="A7" s="171">
        <v>14291</v>
      </c>
      <c r="B7" s="171" t="s">
        <v>93</v>
      </c>
      <c r="C7" s="172" t="str">
        <f>Rollover!A7</f>
        <v xml:space="preserve">Honda </v>
      </c>
      <c r="D7" s="172" t="str">
        <f>Rollover!B7</f>
        <v>HR-V SUV FWD</v>
      </c>
      <c r="E7" s="62" t="s">
        <v>55</v>
      </c>
      <c r="F7" s="173">
        <f>Rollover!C7</f>
        <v>2023</v>
      </c>
      <c r="G7" s="174">
        <v>292.072</v>
      </c>
      <c r="H7" s="12">
        <v>19.196999999999999</v>
      </c>
      <c r="I7" s="12">
        <v>41.743000000000002</v>
      </c>
      <c r="J7" s="175">
        <v>18.065999999999999</v>
      </c>
      <c r="K7" s="175">
        <v>2510.424</v>
      </c>
      <c r="L7" s="22">
        <f t="shared" ref="L7:L8" si="10">NORMDIST(LN(G7),7.45231,0.73998,1)</f>
        <v>8.216995987454857E-3</v>
      </c>
      <c r="M7" s="23">
        <f t="shared" ref="M7:M8" si="11">1/(1+EXP(6.3055-0.00094*K7))</f>
        <v>1.8970796831674203E-2</v>
      </c>
      <c r="N7" s="22">
        <f t="shared" ref="N7:N8" si="12">ROUND(1-(1-L7)*(1-M7),3)</f>
        <v>2.7E-2</v>
      </c>
      <c r="O7" s="6">
        <f t="shared" ref="O7:O8" si="13">ROUND(N7/0.15,2)</f>
        <v>0.18</v>
      </c>
      <c r="P7" s="21">
        <f t="shared" ref="P7:P8" si="14">IF(O7&lt;0.67,5,IF(O7&lt;1,4,IF(O7&lt;1.33,3,IF(O7&lt;2.67,2,1))))</f>
        <v>5</v>
      </c>
      <c r="Q7" s="176">
        <f>ROUND((0.8*'Side MDB'!W7+0.2*'Side Pole'!N7),3)</f>
        <v>3.2000000000000001E-2</v>
      </c>
      <c r="R7" s="177">
        <f t="shared" ref="R7:R8" si="15">ROUND((Q7)/0.15,2)</f>
        <v>0.21</v>
      </c>
      <c r="S7" s="141">
        <f t="shared" ref="S7:S8" si="16">IF(R7&lt;0.67,5,IF(R7&lt;1,4,IF(R7&lt;1.33,3,IF(R7&lt;2.67,2,1))))</f>
        <v>5</v>
      </c>
      <c r="T7" s="177">
        <f>ROUND(((0.8*'Side MDB'!W7+0.2*'Side Pole'!N7)+(IF('Side MDB'!X7="N/A",(0.8*'Side MDB'!W7+0.2*'Side Pole'!N7),'Side MDB'!X7)))/2,3)</f>
        <v>5.3999999999999999E-2</v>
      </c>
      <c r="U7" s="177">
        <f t="shared" ref="U7:U8" si="17">ROUND((T7)/0.15,2)</f>
        <v>0.36</v>
      </c>
      <c r="V7" s="21">
        <f t="shared" ref="V7:V8" si="18">IF(U7&lt;0.67,5,IF(U7&lt;1,4,IF(U7&lt;1.33,3,IF(U7&lt;2.67,2,1))))</f>
        <v>5</v>
      </c>
      <c r="W7" s="16"/>
      <c r="X7" s="75"/>
      <c r="Y7" s="75"/>
      <c r="Z7" s="75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</row>
    <row r="8" spans="1:37" ht="13.9" customHeight="1">
      <c r="A8" s="171">
        <v>14291</v>
      </c>
      <c r="B8" s="171" t="s">
        <v>93</v>
      </c>
      <c r="C8" s="172" t="str">
        <f>Rollover!A8</f>
        <v xml:space="preserve">Honda </v>
      </c>
      <c r="D8" s="172" t="str">
        <f>Rollover!B8</f>
        <v>HR-V SUV AWD</v>
      </c>
      <c r="E8" s="62" t="s">
        <v>55</v>
      </c>
      <c r="F8" s="173">
        <f>Rollover!C8</f>
        <v>2023</v>
      </c>
      <c r="G8" s="174">
        <v>292.072</v>
      </c>
      <c r="H8" s="12">
        <v>19.196999999999999</v>
      </c>
      <c r="I8" s="12">
        <v>41.743000000000002</v>
      </c>
      <c r="J8" s="175">
        <v>18.065999999999999</v>
      </c>
      <c r="K8" s="175">
        <v>2510.424</v>
      </c>
      <c r="L8" s="22">
        <f t="shared" si="10"/>
        <v>8.216995987454857E-3</v>
      </c>
      <c r="M8" s="23">
        <f t="shared" si="11"/>
        <v>1.8970796831674203E-2</v>
      </c>
      <c r="N8" s="22">
        <f t="shared" si="12"/>
        <v>2.7E-2</v>
      </c>
      <c r="O8" s="6">
        <f t="shared" si="13"/>
        <v>0.18</v>
      </c>
      <c r="P8" s="21">
        <f t="shared" si="14"/>
        <v>5</v>
      </c>
      <c r="Q8" s="176">
        <f>ROUND((0.8*'Side MDB'!W8+0.2*'Side Pole'!N8),3)</f>
        <v>3.2000000000000001E-2</v>
      </c>
      <c r="R8" s="177">
        <f t="shared" si="15"/>
        <v>0.21</v>
      </c>
      <c r="S8" s="141">
        <f t="shared" si="16"/>
        <v>5</v>
      </c>
      <c r="T8" s="177">
        <f>ROUND(((0.8*'Side MDB'!W8+0.2*'Side Pole'!N8)+(IF('Side MDB'!X8="N/A",(0.8*'Side MDB'!W8+0.2*'Side Pole'!N8),'Side MDB'!X8)))/2,3)</f>
        <v>5.3999999999999999E-2</v>
      </c>
      <c r="U8" s="177">
        <f t="shared" si="17"/>
        <v>0.36</v>
      </c>
      <c r="V8" s="21">
        <f t="shared" si="18"/>
        <v>5</v>
      </c>
      <c r="W8" s="16"/>
      <c r="X8" s="75"/>
      <c r="Y8" s="75"/>
      <c r="Z8" s="75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</row>
    <row r="9" spans="1:37" ht="13.9" customHeight="1">
      <c r="N9" s="179"/>
      <c r="O9" s="179"/>
      <c r="P9" s="181"/>
      <c r="Q9" s="179"/>
    </row>
    <row r="10" spans="1:37" ht="13.9" customHeight="1">
      <c r="N10" s="179"/>
      <c r="O10" s="179"/>
      <c r="P10" s="181"/>
      <c r="Q10" s="179"/>
    </row>
    <row r="11" spans="1:37" ht="13.9" customHeight="1">
      <c r="N11" s="179"/>
      <c r="O11" s="179"/>
      <c r="P11" s="181"/>
      <c r="Q11" s="179"/>
    </row>
    <row r="12" spans="1:37" ht="13.9" customHeight="1">
      <c r="N12" s="179"/>
      <c r="O12" s="179"/>
      <c r="P12" s="181"/>
      <c r="Q12" s="179"/>
    </row>
    <row r="13" spans="1:37" ht="13.9" customHeight="1">
      <c r="N13" s="179"/>
      <c r="O13" s="179"/>
      <c r="P13" s="181"/>
      <c r="Q13" s="179"/>
    </row>
    <row r="14" spans="1:37" ht="13.9" customHeight="1">
      <c r="N14" s="179"/>
      <c r="O14" s="179"/>
      <c r="P14" s="181"/>
      <c r="Q14" s="179"/>
    </row>
    <row r="15" spans="1:37" ht="13.9" customHeight="1">
      <c r="N15" s="179"/>
      <c r="O15" s="179"/>
      <c r="P15" s="181"/>
      <c r="Q15" s="179"/>
    </row>
    <row r="16" spans="1:37" ht="13.9" customHeight="1">
      <c r="N16" s="179"/>
      <c r="O16" s="179"/>
      <c r="P16" s="181"/>
      <c r="Q16" s="179"/>
    </row>
    <row r="17" spans="14:17" ht="13.9" customHeight="1">
      <c r="N17" s="179"/>
      <c r="O17" s="179"/>
      <c r="P17" s="181"/>
      <c r="Q17" s="179"/>
    </row>
    <row r="18" spans="14:17" ht="13.9" customHeight="1">
      <c r="N18" s="179"/>
      <c r="O18" s="179"/>
      <c r="P18" s="181"/>
      <c r="Q18" s="179"/>
    </row>
    <row r="19" spans="14:17" ht="13.9" customHeight="1">
      <c r="N19" s="179"/>
      <c r="O19" s="179"/>
      <c r="P19" s="181"/>
      <c r="Q19" s="179"/>
    </row>
    <row r="20" spans="14:17" ht="13.9" customHeight="1">
      <c r="N20" s="179"/>
      <c r="O20" s="179"/>
      <c r="P20" s="181"/>
      <c r="Q20" s="179"/>
    </row>
    <row r="21" spans="14:17" ht="13.9" customHeight="1">
      <c r="N21" s="179"/>
      <c r="O21" s="179"/>
      <c r="P21" s="181"/>
      <c r="Q21" s="179"/>
    </row>
    <row r="22" spans="14:17" ht="13.9" customHeight="1">
      <c r="N22" s="179"/>
      <c r="O22" s="179"/>
      <c r="P22" s="181"/>
      <c r="Q22" s="179"/>
    </row>
    <row r="23" spans="14:17" ht="13.9" customHeight="1">
      <c r="N23" s="179"/>
      <c r="O23" s="179"/>
      <c r="P23" s="181"/>
      <c r="Q23" s="179"/>
    </row>
    <row r="24" spans="14:17" ht="13.9" customHeight="1">
      <c r="N24" s="179"/>
      <c r="O24" s="179"/>
      <c r="P24" s="181"/>
      <c r="Q24" s="179"/>
    </row>
    <row r="25" spans="14:17" ht="13.9" customHeight="1">
      <c r="N25" s="179"/>
      <c r="O25" s="179"/>
      <c r="P25" s="181"/>
      <c r="Q25" s="179"/>
    </row>
    <row r="26" spans="14:17" ht="13.9" customHeight="1">
      <c r="N26" s="179"/>
      <c r="O26" s="179"/>
      <c r="P26" s="181"/>
      <c r="Q26" s="179"/>
    </row>
    <row r="27" spans="14:17" ht="13.9" customHeight="1">
      <c r="N27" s="179"/>
      <c r="O27" s="179"/>
      <c r="P27" s="181"/>
      <c r="Q27" s="179"/>
    </row>
    <row r="28" spans="14:17" ht="13.9" customHeight="1">
      <c r="N28" s="179"/>
      <c r="O28" s="179"/>
      <c r="P28" s="181"/>
      <c r="Q28" s="179"/>
    </row>
    <row r="29" spans="14:17" ht="13.9" customHeight="1">
      <c r="N29" s="179"/>
      <c r="O29" s="179"/>
      <c r="P29" s="181"/>
      <c r="Q29" s="179"/>
    </row>
    <row r="30" spans="14:17" ht="13.9" customHeight="1">
      <c r="N30" s="179"/>
      <c r="O30" s="179"/>
      <c r="P30" s="181"/>
      <c r="Q30" s="179"/>
    </row>
    <row r="31" spans="14:17" ht="13.9" customHeight="1">
      <c r="N31" s="179"/>
      <c r="O31" s="179"/>
      <c r="P31" s="181"/>
      <c r="Q31" s="179"/>
    </row>
    <row r="32" spans="14:17" ht="13.9" customHeight="1">
      <c r="N32" s="179"/>
      <c r="O32" s="179"/>
      <c r="P32" s="181"/>
      <c r="Q32" s="179"/>
    </row>
    <row r="33" spans="14:17" ht="13.9" customHeight="1">
      <c r="N33" s="179"/>
      <c r="O33" s="179"/>
      <c r="P33" s="181"/>
      <c r="Q33" s="179"/>
    </row>
    <row r="34" spans="14:17" ht="13.9" customHeight="1">
      <c r="N34" s="179"/>
      <c r="O34" s="179"/>
      <c r="P34" s="181"/>
      <c r="Q34" s="179"/>
    </row>
    <row r="35" spans="14:17" ht="13.9" customHeight="1">
      <c r="N35" s="179"/>
      <c r="O35" s="179"/>
      <c r="P35" s="181"/>
      <c r="Q35" s="179"/>
    </row>
    <row r="36" spans="14:17" ht="13.9" customHeight="1">
      <c r="N36" s="179"/>
      <c r="O36" s="179"/>
      <c r="P36" s="181"/>
      <c r="Q36" s="179"/>
    </row>
    <row r="37" spans="14:17" ht="13.9" customHeight="1">
      <c r="N37" s="179"/>
      <c r="O37" s="179"/>
      <c r="P37" s="181"/>
      <c r="Q37" s="179"/>
    </row>
    <row r="38" spans="14:17" ht="13.9" customHeight="1">
      <c r="N38" s="179"/>
      <c r="O38" s="179"/>
      <c r="P38" s="181"/>
      <c r="Q38" s="179"/>
    </row>
    <row r="39" spans="14:17" ht="13.9" customHeight="1">
      <c r="N39" s="179"/>
      <c r="O39" s="179"/>
      <c r="P39" s="181"/>
      <c r="Q39" s="179"/>
    </row>
    <row r="40" spans="14:17" ht="13.9" customHeight="1">
      <c r="N40" s="179"/>
      <c r="O40" s="179"/>
      <c r="P40" s="181"/>
      <c r="Q40" s="179"/>
    </row>
    <row r="41" spans="14:17" ht="13.9" customHeight="1">
      <c r="N41" s="179"/>
      <c r="O41" s="179"/>
      <c r="P41" s="181"/>
      <c r="Q41" s="179"/>
    </row>
    <row r="42" spans="14:17" ht="13.9" customHeight="1">
      <c r="N42" s="179"/>
      <c r="O42" s="179"/>
      <c r="P42" s="181"/>
      <c r="Q42" s="179"/>
    </row>
    <row r="43" spans="14:17" ht="13.9" customHeight="1">
      <c r="N43" s="179"/>
      <c r="O43" s="179"/>
      <c r="P43" s="181"/>
      <c r="Q43" s="179"/>
    </row>
    <row r="44" spans="14:17" ht="13.9" customHeight="1">
      <c r="N44" s="179"/>
      <c r="O44" s="179"/>
      <c r="P44" s="181"/>
      <c r="Q44" s="179"/>
    </row>
    <row r="45" spans="14:17" ht="13.9" customHeight="1">
      <c r="N45" s="179"/>
      <c r="O45" s="179"/>
      <c r="P45" s="181"/>
      <c r="Q45" s="179"/>
    </row>
    <row r="46" spans="14:17" ht="13.9" customHeight="1">
      <c r="N46" s="179"/>
      <c r="O46" s="179"/>
      <c r="P46" s="181"/>
      <c r="Q46" s="179"/>
    </row>
    <row r="47" spans="14:17" ht="13.9" customHeight="1">
      <c r="N47" s="179"/>
      <c r="O47" s="179"/>
      <c r="P47" s="181"/>
      <c r="Q47" s="179"/>
    </row>
    <row r="48" spans="14:17" ht="13.9" customHeight="1">
      <c r="N48" s="179"/>
      <c r="O48" s="179"/>
      <c r="P48" s="181"/>
      <c r="Q48" s="179"/>
    </row>
    <row r="49" spans="14:17" ht="13.9" customHeight="1">
      <c r="N49" s="179"/>
      <c r="O49" s="179"/>
      <c r="P49" s="181"/>
      <c r="Q49" s="179"/>
    </row>
    <row r="50" spans="14:17" ht="13.9" customHeight="1">
      <c r="N50" s="179"/>
      <c r="O50" s="179"/>
      <c r="P50" s="181"/>
      <c r="Q50" s="179"/>
    </row>
    <row r="51" spans="14:17" ht="13.9" customHeight="1">
      <c r="N51" s="179"/>
      <c r="O51" s="179"/>
      <c r="P51" s="181"/>
      <c r="Q51" s="179"/>
    </row>
    <row r="52" spans="14:17" ht="13.9" customHeight="1">
      <c r="N52" s="179"/>
      <c r="O52" s="179"/>
      <c r="P52" s="181"/>
      <c r="Q52" s="179"/>
    </row>
    <row r="53" spans="14:17" ht="13.9" customHeight="1">
      <c r="N53" s="179"/>
      <c r="O53" s="179"/>
      <c r="P53" s="181"/>
      <c r="Q53" s="179"/>
    </row>
    <row r="54" spans="14:17" ht="13.9" customHeight="1">
      <c r="N54" s="179"/>
      <c r="O54" s="179"/>
      <c r="P54" s="181"/>
      <c r="Q54" s="179"/>
    </row>
    <row r="55" spans="14:17" ht="13.9" customHeight="1">
      <c r="N55" s="179"/>
      <c r="O55" s="179"/>
      <c r="P55" s="181"/>
      <c r="Q55" s="179"/>
    </row>
    <row r="56" spans="14:17" ht="13.9" customHeight="1">
      <c r="N56" s="179"/>
      <c r="O56" s="179"/>
      <c r="P56" s="181"/>
      <c r="Q56" s="179"/>
    </row>
    <row r="57" spans="14:17" ht="13.9" customHeight="1">
      <c r="N57" s="179"/>
      <c r="O57" s="179"/>
      <c r="P57" s="181"/>
      <c r="Q57" s="179"/>
    </row>
    <row r="58" spans="14:17" ht="13.9" customHeight="1">
      <c r="N58" s="179"/>
      <c r="O58" s="179"/>
      <c r="P58" s="181"/>
      <c r="Q58" s="179"/>
    </row>
    <row r="59" spans="14:17" ht="13.9" customHeight="1">
      <c r="N59" s="179"/>
      <c r="O59" s="179"/>
      <c r="P59" s="181"/>
      <c r="Q59" s="179"/>
    </row>
    <row r="60" spans="14:17" ht="13.9" customHeight="1">
      <c r="N60" s="179"/>
      <c r="O60" s="179"/>
      <c r="P60" s="181"/>
      <c r="Q60" s="179"/>
    </row>
    <row r="61" spans="14:17" ht="13.9" customHeight="1">
      <c r="N61" s="179"/>
      <c r="O61" s="179"/>
      <c r="P61" s="181"/>
      <c r="Q61" s="179"/>
    </row>
    <row r="62" spans="14:17" ht="13.9" customHeight="1">
      <c r="N62" s="179"/>
      <c r="O62" s="179"/>
      <c r="P62" s="181"/>
      <c r="Q62" s="179"/>
    </row>
    <row r="63" spans="14:17" ht="13.9" customHeight="1">
      <c r="N63" s="179"/>
      <c r="O63" s="179"/>
      <c r="P63" s="181"/>
      <c r="Q63" s="179"/>
    </row>
    <row r="64" spans="14:17" ht="13.9" customHeight="1">
      <c r="N64" s="179"/>
      <c r="O64" s="179"/>
      <c r="P64" s="181"/>
      <c r="Q64" s="179"/>
    </row>
    <row r="65" spans="14:17" ht="13.9" customHeight="1">
      <c r="N65" s="179"/>
      <c r="O65" s="179"/>
      <c r="P65" s="181"/>
      <c r="Q65" s="179"/>
    </row>
    <row r="66" spans="14:17" ht="13.9" customHeight="1">
      <c r="N66" s="179"/>
      <c r="O66" s="179"/>
      <c r="P66" s="181"/>
      <c r="Q66" s="179"/>
    </row>
    <row r="67" spans="14:17" ht="13.9" customHeight="1">
      <c r="N67" s="179"/>
      <c r="O67" s="179"/>
      <c r="P67" s="181"/>
      <c r="Q67" s="179"/>
    </row>
    <row r="68" spans="14:17" ht="13.9" customHeight="1">
      <c r="N68" s="179"/>
      <c r="O68" s="179"/>
      <c r="P68" s="181"/>
      <c r="Q68" s="179"/>
    </row>
    <row r="69" spans="14:17" ht="13.9" customHeight="1">
      <c r="N69" s="179"/>
      <c r="O69" s="179"/>
      <c r="P69" s="181"/>
      <c r="Q69" s="179"/>
    </row>
    <row r="70" spans="14:17" ht="13.9" customHeight="1">
      <c r="N70" s="179"/>
      <c r="O70" s="179"/>
      <c r="P70" s="181"/>
      <c r="Q70" s="179"/>
    </row>
    <row r="71" spans="14:17" ht="13.9" customHeight="1">
      <c r="N71" s="179"/>
      <c r="O71" s="179"/>
      <c r="P71" s="181"/>
      <c r="Q71" s="179"/>
    </row>
    <row r="72" spans="14:17" ht="13.9" customHeight="1">
      <c r="N72" s="179"/>
      <c r="O72" s="179"/>
      <c r="P72" s="181"/>
      <c r="Q72" s="179"/>
    </row>
    <row r="73" spans="14:17" ht="13.9" customHeight="1">
      <c r="N73" s="179"/>
      <c r="O73" s="179"/>
      <c r="P73" s="181"/>
      <c r="Q73" s="179"/>
    </row>
    <row r="74" spans="14:17" ht="13.9" customHeight="1">
      <c r="N74" s="179"/>
      <c r="O74" s="179"/>
      <c r="P74" s="181"/>
      <c r="Q74" s="179"/>
    </row>
    <row r="75" spans="14:17" ht="13.9" customHeight="1">
      <c r="N75" s="179"/>
      <c r="O75" s="179"/>
      <c r="P75" s="181"/>
      <c r="Q75" s="179"/>
    </row>
    <row r="76" spans="14:17" ht="13.9" customHeight="1">
      <c r="N76" s="179"/>
      <c r="O76" s="179"/>
      <c r="P76" s="181"/>
      <c r="Q76" s="179"/>
    </row>
    <row r="77" spans="14:17" ht="13.9" customHeight="1">
      <c r="N77" s="179"/>
      <c r="O77" s="179"/>
      <c r="P77" s="181"/>
      <c r="Q77" s="179"/>
    </row>
    <row r="78" spans="14:17" ht="13.9" customHeight="1">
      <c r="N78" s="179"/>
      <c r="O78" s="179"/>
      <c r="P78" s="181"/>
      <c r="Q78" s="179"/>
    </row>
    <row r="79" spans="14:17" ht="13.9" customHeight="1">
      <c r="N79" s="179"/>
      <c r="O79" s="179"/>
      <c r="P79" s="181"/>
      <c r="Q79" s="179"/>
    </row>
    <row r="80" spans="14:17" ht="13.9" customHeight="1">
      <c r="N80" s="179"/>
      <c r="O80" s="179"/>
      <c r="P80" s="181"/>
      <c r="Q80" s="179"/>
    </row>
    <row r="81" spans="14:17" ht="13.9" customHeight="1">
      <c r="N81" s="179"/>
      <c r="O81" s="179"/>
      <c r="P81" s="181"/>
      <c r="Q81" s="179"/>
    </row>
    <row r="82" spans="14:17" ht="13.9" customHeight="1">
      <c r="N82" s="179"/>
      <c r="O82" s="179"/>
      <c r="P82" s="181"/>
      <c r="Q82" s="179"/>
    </row>
    <row r="83" spans="14:17" ht="13.9" customHeight="1">
      <c r="N83" s="179"/>
      <c r="O83" s="179"/>
      <c r="P83" s="181"/>
      <c r="Q83" s="179"/>
    </row>
    <row r="84" spans="14:17" ht="13.9" customHeight="1">
      <c r="N84" s="179"/>
      <c r="O84" s="179"/>
      <c r="P84" s="181"/>
      <c r="Q84" s="179"/>
    </row>
    <row r="85" spans="14:17" ht="13.9" customHeight="1">
      <c r="N85" s="179"/>
      <c r="O85" s="179"/>
      <c r="P85" s="181"/>
      <c r="Q85" s="179"/>
    </row>
    <row r="86" spans="14:17" ht="13.9" customHeight="1">
      <c r="N86" s="179"/>
      <c r="O86" s="179"/>
      <c r="P86" s="181"/>
      <c r="Q86" s="179"/>
    </row>
    <row r="87" spans="14:17" ht="13.9" customHeight="1">
      <c r="N87" s="179"/>
      <c r="O87" s="179"/>
      <c r="P87" s="181"/>
      <c r="Q87" s="179"/>
    </row>
    <row r="88" spans="14:17" ht="13.9" customHeight="1">
      <c r="N88" s="179"/>
      <c r="O88" s="179"/>
      <c r="P88" s="181"/>
      <c r="Q88" s="179"/>
    </row>
    <row r="89" spans="14:17" ht="13.9" customHeight="1">
      <c r="N89" s="179"/>
      <c r="O89" s="179"/>
      <c r="P89" s="181"/>
      <c r="Q89" s="179"/>
    </row>
    <row r="90" spans="14:17" ht="13.9" customHeight="1">
      <c r="N90" s="179"/>
      <c r="O90" s="179"/>
      <c r="P90" s="181"/>
      <c r="Q90" s="179"/>
    </row>
    <row r="91" spans="14:17" ht="13.9" customHeight="1">
      <c r="N91" s="179"/>
      <c r="O91" s="179"/>
      <c r="P91" s="181"/>
      <c r="Q91" s="179"/>
    </row>
    <row r="92" spans="14:17" ht="13.9" customHeight="1">
      <c r="N92" s="179"/>
      <c r="O92" s="179"/>
      <c r="P92" s="181"/>
      <c r="Q92" s="179"/>
    </row>
    <row r="93" spans="14:17" ht="13.9" customHeight="1">
      <c r="N93" s="179"/>
      <c r="O93" s="179"/>
      <c r="P93" s="181"/>
      <c r="Q93" s="179"/>
    </row>
    <row r="94" spans="14:17" ht="13.9" customHeight="1">
      <c r="N94" s="179"/>
      <c r="O94" s="179"/>
      <c r="P94" s="181"/>
      <c r="Q94" s="179"/>
    </row>
    <row r="95" spans="14:17" ht="13.9" customHeight="1">
      <c r="N95" s="179"/>
      <c r="O95" s="179"/>
      <c r="P95" s="181"/>
      <c r="Q95" s="179"/>
    </row>
    <row r="96" spans="14:17" ht="13.9" customHeight="1">
      <c r="N96" s="179"/>
      <c r="O96" s="179"/>
      <c r="P96" s="181"/>
      <c r="Q96" s="179"/>
    </row>
    <row r="97" spans="14:17" ht="13.9" customHeight="1">
      <c r="N97" s="179"/>
      <c r="O97" s="179"/>
      <c r="P97" s="181"/>
      <c r="Q97" s="179"/>
    </row>
    <row r="98" spans="14:17" ht="13.9" customHeight="1">
      <c r="N98" s="179"/>
      <c r="O98" s="179"/>
      <c r="P98" s="181"/>
      <c r="Q98" s="179"/>
    </row>
    <row r="99" spans="14:17" ht="13.9" customHeight="1">
      <c r="N99" s="179"/>
      <c r="O99" s="179"/>
      <c r="P99" s="181"/>
      <c r="Q99" s="179"/>
    </row>
    <row r="100" spans="14:17" ht="13.9" customHeight="1">
      <c r="N100" s="179"/>
      <c r="O100" s="179"/>
      <c r="P100" s="181"/>
      <c r="Q100" s="179"/>
    </row>
    <row r="101" spans="14:17" ht="13.9" customHeight="1">
      <c r="N101" s="179"/>
      <c r="O101" s="179"/>
      <c r="P101" s="181"/>
      <c r="Q101" s="179"/>
    </row>
    <row r="102" spans="14:17" ht="13.9" customHeight="1">
      <c r="N102" s="179"/>
      <c r="O102" s="179"/>
      <c r="P102" s="181"/>
      <c r="Q102" s="179"/>
    </row>
    <row r="103" spans="14:17" ht="13.9" customHeight="1">
      <c r="N103" s="179"/>
      <c r="O103" s="179"/>
      <c r="P103" s="181"/>
      <c r="Q103" s="179"/>
    </row>
    <row r="104" spans="14:17" ht="13.9" customHeight="1">
      <c r="N104" s="179"/>
      <c r="O104" s="179"/>
      <c r="P104" s="181"/>
      <c r="Q104" s="179"/>
    </row>
    <row r="105" spans="14:17" ht="13.9" customHeight="1">
      <c r="N105" s="179"/>
      <c r="O105" s="179"/>
      <c r="P105" s="181"/>
      <c r="Q105" s="179"/>
    </row>
    <row r="106" spans="14:17" ht="13.9" customHeight="1">
      <c r="N106" s="179"/>
      <c r="O106" s="179"/>
      <c r="P106" s="181"/>
      <c r="Q106" s="179"/>
    </row>
    <row r="107" spans="14:17" ht="13.9" customHeight="1">
      <c r="N107" s="179"/>
      <c r="O107" s="179"/>
      <c r="P107" s="181"/>
      <c r="Q107" s="179"/>
    </row>
    <row r="108" spans="14:17" ht="13.9" customHeight="1">
      <c r="N108" s="179"/>
      <c r="O108" s="179"/>
      <c r="P108" s="181"/>
      <c r="Q108" s="179"/>
    </row>
    <row r="109" spans="14:17" ht="13.9" customHeight="1">
      <c r="N109" s="179"/>
      <c r="O109" s="179"/>
      <c r="P109" s="181"/>
      <c r="Q109" s="179"/>
    </row>
    <row r="110" spans="14:17" ht="13.9" customHeight="1">
      <c r="N110" s="179"/>
      <c r="O110" s="179"/>
      <c r="P110" s="181"/>
      <c r="Q110" s="179"/>
    </row>
    <row r="111" spans="14:17" ht="13.9" customHeight="1">
      <c r="N111" s="179"/>
      <c r="O111" s="179"/>
      <c r="P111" s="181"/>
      <c r="Q111" s="179"/>
    </row>
    <row r="112" spans="14:17" ht="13.9" customHeight="1">
      <c r="N112" s="179"/>
      <c r="O112" s="179"/>
      <c r="P112" s="181"/>
      <c r="Q112" s="179"/>
    </row>
    <row r="113" spans="14:17" ht="13.9" customHeight="1">
      <c r="N113" s="179"/>
      <c r="O113" s="179"/>
      <c r="P113" s="181"/>
      <c r="Q113" s="179"/>
    </row>
    <row r="114" spans="14:17" ht="13.9" customHeight="1">
      <c r="N114" s="179"/>
      <c r="O114" s="179"/>
      <c r="P114" s="181"/>
      <c r="Q114" s="179"/>
    </row>
    <row r="115" spans="14:17" ht="13.9" customHeight="1">
      <c r="N115" s="179"/>
      <c r="O115" s="179"/>
      <c r="P115" s="181"/>
      <c r="Q115" s="179"/>
    </row>
    <row r="116" spans="14:17" ht="13.9" customHeight="1">
      <c r="N116" s="179"/>
      <c r="O116" s="179"/>
      <c r="P116" s="181"/>
      <c r="Q116" s="179"/>
    </row>
    <row r="117" spans="14:17" ht="13.9" customHeight="1">
      <c r="N117" s="179"/>
      <c r="O117" s="179"/>
      <c r="P117" s="181"/>
      <c r="Q117" s="179"/>
    </row>
    <row r="118" spans="14:17" ht="13.9" customHeight="1">
      <c r="N118" s="179"/>
      <c r="O118" s="179"/>
      <c r="P118" s="181"/>
      <c r="Q118" s="179"/>
    </row>
    <row r="119" spans="14:17" ht="13.9" customHeight="1">
      <c r="N119" s="179"/>
      <c r="O119" s="179"/>
      <c r="P119" s="181"/>
      <c r="Q119" s="179"/>
    </row>
    <row r="120" spans="14:17" ht="13.9" customHeight="1">
      <c r="N120" s="179"/>
      <c r="O120" s="179"/>
      <c r="P120" s="181"/>
      <c r="Q120" s="179"/>
    </row>
    <row r="121" spans="14:17" ht="13.9" customHeight="1">
      <c r="N121" s="179"/>
      <c r="O121" s="179"/>
      <c r="P121" s="181"/>
      <c r="Q121" s="179"/>
    </row>
    <row r="122" spans="14:17" ht="13.9" customHeight="1">
      <c r="N122" s="179"/>
      <c r="O122" s="179"/>
      <c r="P122" s="181"/>
      <c r="Q122" s="179"/>
    </row>
    <row r="123" spans="14:17" ht="13.9" customHeight="1">
      <c r="N123" s="179"/>
      <c r="O123" s="179"/>
      <c r="P123" s="181"/>
      <c r="Q123" s="179"/>
    </row>
    <row r="124" spans="14:17" ht="13.9" customHeight="1">
      <c r="N124" s="179"/>
      <c r="O124" s="179"/>
      <c r="P124" s="181"/>
      <c r="Q124" s="179"/>
    </row>
    <row r="125" spans="14:17" ht="13.9" customHeight="1">
      <c r="N125" s="179"/>
      <c r="O125" s="179"/>
      <c r="P125" s="181"/>
      <c r="Q125" s="179"/>
    </row>
    <row r="126" spans="14:17" ht="13.9" customHeight="1">
      <c r="N126" s="179"/>
      <c r="O126" s="179"/>
      <c r="P126" s="181"/>
      <c r="Q126" s="179"/>
    </row>
    <row r="127" spans="14:17" ht="13.9" customHeight="1">
      <c r="N127" s="179"/>
      <c r="O127" s="179"/>
      <c r="P127" s="181"/>
      <c r="Q127" s="179"/>
    </row>
    <row r="128" spans="14:17" ht="13.9" customHeight="1">
      <c r="N128" s="179"/>
      <c r="O128" s="179"/>
      <c r="P128" s="181"/>
      <c r="Q128" s="179"/>
    </row>
    <row r="129" spans="14:17" ht="13.9" customHeight="1">
      <c r="N129" s="179"/>
      <c r="O129" s="179"/>
      <c r="P129" s="181"/>
      <c r="Q129" s="179"/>
    </row>
    <row r="130" spans="14:17" ht="13.9" customHeight="1">
      <c r="N130" s="179"/>
      <c r="O130" s="179"/>
      <c r="P130" s="181"/>
      <c r="Q130" s="179"/>
    </row>
    <row r="131" spans="14:17" ht="13.9" customHeight="1">
      <c r="N131" s="179"/>
      <c r="O131" s="179"/>
      <c r="P131" s="181"/>
      <c r="Q131" s="179"/>
    </row>
    <row r="132" spans="14:17" ht="13.9" customHeight="1">
      <c r="N132" s="179"/>
      <c r="O132" s="179"/>
      <c r="P132" s="181"/>
      <c r="Q132" s="179"/>
    </row>
    <row r="133" spans="14:17" ht="13.9" customHeight="1">
      <c r="N133" s="179"/>
      <c r="O133" s="179"/>
      <c r="P133" s="181"/>
      <c r="Q133" s="179"/>
    </row>
    <row r="134" spans="14:17" ht="13.9" customHeight="1">
      <c r="N134" s="179"/>
      <c r="O134" s="179"/>
      <c r="P134" s="181"/>
      <c r="Q134" s="179"/>
    </row>
    <row r="135" spans="14:17" ht="13.9" customHeight="1">
      <c r="N135" s="179"/>
      <c r="O135" s="179"/>
      <c r="P135" s="181"/>
      <c r="Q135" s="179"/>
    </row>
  </sheetData>
  <mergeCells count="2">
    <mergeCell ref="G1:K1"/>
    <mergeCell ref="L1:M1"/>
  </mergeCells>
  <phoneticPr fontId="2" type="noConversion"/>
  <conditionalFormatting sqref="H7">
    <cfRule type="cellIs" dxfId="3" priority="5" operator="greaterThan">
      <formula>38*0.8</formula>
    </cfRule>
  </conditionalFormatting>
  <conditionalFormatting sqref="H8">
    <cfRule type="cellIs" dxfId="1" priority="2" operator="greaterThan">
      <formula>38*0.8</formula>
    </cfRule>
  </conditionalFormatting>
  <pageMargins left="0.25" right="0.2" top="0.25" bottom="0.2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6"/>
  <sheetViews>
    <sheetView tabSelected="1" zoomScale="115" zoomScaleNormal="115" workbookViewId="0">
      <pane xSplit="4" ySplit="2" topLeftCell="E3" activePane="bottomRight" state="frozen"/>
      <selection activeCell="B34" sqref="B34"/>
      <selection pane="topRight" activeCell="B34" sqref="B34"/>
      <selection pane="bottomLeft" activeCell="B34" sqref="B34"/>
      <selection pane="bottomRight" activeCell="A7" sqref="A7:XFD8"/>
    </sheetView>
  </sheetViews>
  <sheetFormatPr defaultColWidth="9.140625" defaultRowHeight="14.45" customHeight="1"/>
  <cols>
    <col min="1" max="1" width="9.28515625" style="105" customWidth="1"/>
    <col min="2" max="2" width="12.85546875" style="107" customWidth="1"/>
    <col min="3" max="3" width="29.5703125" style="107" customWidth="1"/>
    <col min="4" max="4" width="5.85546875" style="107" customWidth="1"/>
    <col min="5" max="5" width="6.140625" style="108" customWidth="1"/>
    <col min="6" max="6" width="5.42578125" style="109" customWidth="1"/>
    <col min="7" max="7" width="6.28515625" style="109" customWidth="1"/>
    <col min="8" max="8" width="6.42578125" style="109" customWidth="1"/>
    <col min="9" max="9" width="5.7109375" style="109" bestFit="1" customWidth="1"/>
    <col min="10" max="10" width="7.140625" style="109" customWidth="1"/>
    <col min="11" max="12" width="9.28515625" style="110" customWidth="1"/>
    <col min="13" max="13" width="10" style="110" customWidth="1"/>
    <col min="14" max="14" width="7.42578125" style="108" customWidth="1"/>
    <col min="15" max="15" width="9" style="111" customWidth="1"/>
    <col min="16" max="16" width="9.7109375" style="105" customWidth="1"/>
    <col min="17" max="16384" width="9.140625" style="105"/>
  </cols>
  <sheetData>
    <row r="1" spans="1:16" s="91" customFormat="1" ht="24" customHeight="1">
      <c r="A1" s="79" t="s">
        <v>94</v>
      </c>
      <c r="B1" s="80"/>
      <c r="C1" s="80"/>
      <c r="D1" s="81"/>
      <c r="E1" s="82" t="s">
        <v>95</v>
      </c>
      <c r="F1" s="83"/>
      <c r="G1" s="84"/>
      <c r="H1" s="82" t="s">
        <v>96</v>
      </c>
      <c r="I1" s="85"/>
      <c r="J1" s="86"/>
      <c r="K1" s="87" t="s">
        <v>97</v>
      </c>
      <c r="L1" s="87" t="s">
        <v>98</v>
      </c>
      <c r="M1" s="87" t="s">
        <v>99</v>
      </c>
      <c r="N1" s="88" t="s">
        <v>100</v>
      </c>
      <c r="O1" s="89" t="s">
        <v>61</v>
      </c>
      <c r="P1" s="90" t="s">
        <v>61</v>
      </c>
    </row>
    <row r="2" spans="1:16" s="70" customFormat="1" ht="19.899999999999999" customHeight="1" thickBot="1">
      <c r="A2" s="92"/>
      <c r="B2" s="93" t="s">
        <v>1</v>
      </c>
      <c r="C2" s="93" t="s">
        <v>2</v>
      </c>
      <c r="D2" s="94" t="s">
        <v>3</v>
      </c>
      <c r="E2" s="95" t="s">
        <v>26</v>
      </c>
      <c r="F2" s="93" t="s">
        <v>101</v>
      </c>
      <c r="G2" s="96" t="s">
        <v>62</v>
      </c>
      <c r="H2" s="95" t="s">
        <v>26</v>
      </c>
      <c r="I2" s="93" t="s">
        <v>101</v>
      </c>
      <c r="J2" s="96" t="s">
        <v>62</v>
      </c>
      <c r="K2" s="97" t="s">
        <v>26</v>
      </c>
      <c r="L2" s="97" t="s">
        <v>26</v>
      </c>
      <c r="M2" s="97" t="s">
        <v>61</v>
      </c>
      <c r="N2" s="98" t="s">
        <v>102</v>
      </c>
      <c r="O2" s="99" t="s">
        <v>103</v>
      </c>
      <c r="P2" s="100" t="s">
        <v>102</v>
      </c>
    </row>
    <row r="3" spans="1:16" ht="14.45" customHeight="1">
      <c r="A3" s="145">
        <v>45035</v>
      </c>
      <c r="B3" s="45" t="str">
        <f>Rollover!A3</f>
        <v>Acura</v>
      </c>
      <c r="C3" s="45" t="str">
        <f>Rollover!B3</f>
        <v>Integra 5 HB FWD</v>
      </c>
      <c r="D3" s="10">
        <f>Rollover!C3</f>
        <v>2023</v>
      </c>
      <c r="E3" s="20">
        <f>Front!AW3</f>
        <v>5</v>
      </c>
      <c r="F3" s="45">
        <f>Front!AX3</f>
        <v>5</v>
      </c>
      <c r="G3" s="45">
        <f>Front!AY3</f>
        <v>5</v>
      </c>
      <c r="H3" s="20">
        <f>'Side MDB'!AC3</f>
        <v>5</v>
      </c>
      <c r="I3" s="20">
        <f>'Side MDB'!AD3</f>
        <v>5</v>
      </c>
      <c r="J3" s="20">
        <f>'Side MDB'!AE3</f>
        <v>5</v>
      </c>
      <c r="K3" s="101">
        <f>'Side Pole'!P3</f>
        <v>5</v>
      </c>
      <c r="L3" s="101">
        <f>'Side Pole'!S3</f>
        <v>5</v>
      </c>
      <c r="M3" s="101">
        <f>'Side Pole'!V3</f>
        <v>5</v>
      </c>
      <c r="N3" s="102">
        <f>Rollover!J3</f>
        <v>5</v>
      </c>
      <c r="O3" s="103">
        <f>ROUND(5/12*Front!AV3+4/12*'Side Pole'!U3+3/12*Rollover!I3,2)</f>
        <v>0.49</v>
      </c>
      <c r="P3" s="104">
        <f t="shared" ref="P3:P6" si="0">IF(O3&lt;0.67,5,IF(O3&lt;1,4,IF(O3&lt;1.33,3,IF(O3&lt;2.67,2,1))))</f>
        <v>5</v>
      </c>
    </row>
    <row r="4" spans="1:16" ht="14.45" customHeight="1">
      <c r="A4" s="145">
        <v>45035</v>
      </c>
      <c r="B4" s="10" t="str">
        <f>Rollover!A4</f>
        <v>Honda</v>
      </c>
      <c r="C4" s="10" t="str">
        <f>Rollover!B4</f>
        <v>Civic Hatchback FWD</v>
      </c>
      <c r="D4" s="10">
        <f>Rollover!C4</f>
        <v>2023</v>
      </c>
      <c r="E4" s="20" t="e">
        <f>Front!AW4</f>
        <v>#NUM!</v>
      </c>
      <c r="F4" s="45" t="e">
        <f>Front!AX4</f>
        <v>#NUM!</v>
      </c>
      <c r="G4" s="45" t="e">
        <f>Front!AY4</f>
        <v>#NUM!</v>
      </c>
      <c r="H4" s="20" t="e">
        <f>'Side MDB'!AC4</f>
        <v>#NUM!</v>
      </c>
      <c r="I4" s="20" t="e">
        <f>'Side MDB'!AD4</f>
        <v>#NUM!</v>
      </c>
      <c r="J4" s="20" t="e">
        <f>'Side MDB'!AE4</f>
        <v>#NUM!</v>
      </c>
      <c r="K4" s="101" t="e">
        <f>'Side Pole'!P4</f>
        <v>#NUM!</v>
      </c>
      <c r="L4" s="101" t="e">
        <f>'Side Pole'!S4</f>
        <v>#NUM!</v>
      </c>
      <c r="M4" s="101" t="e">
        <f>'Side Pole'!V4</f>
        <v>#NUM!</v>
      </c>
      <c r="N4" s="102">
        <f>Rollover!J4</f>
        <v>5</v>
      </c>
      <c r="O4" s="103" t="e">
        <f>ROUND(5/12*Front!AV4+4/12*'Side Pole'!U4+3/12*Rollover!I4,2)</f>
        <v>#NUM!</v>
      </c>
      <c r="P4" s="104" t="e">
        <f t="shared" si="0"/>
        <v>#NUM!</v>
      </c>
    </row>
    <row r="5" spans="1:16" ht="14.45" customHeight="1">
      <c r="A5" s="145">
        <v>45035</v>
      </c>
      <c r="B5" s="10" t="str">
        <f>Rollover!A5</f>
        <v>Honda</v>
      </c>
      <c r="C5" s="10" t="str">
        <f>Rollover!B5</f>
        <v>Civic Hatchback Typer R FWD</v>
      </c>
      <c r="D5" s="10">
        <f>Rollover!C5</f>
        <v>2023</v>
      </c>
      <c r="E5" s="20" t="e">
        <f>Front!AW5</f>
        <v>#NUM!</v>
      </c>
      <c r="F5" s="45" t="e">
        <f>Front!AX5</f>
        <v>#NUM!</v>
      </c>
      <c r="G5" s="45" t="e">
        <f>Front!AY5</f>
        <v>#NUM!</v>
      </c>
      <c r="H5" s="20" t="e">
        <f>'Side MDB'!AC5</f>
        <v>#NUM!</v>
      </c>
      <c r="I5" s="20" t="e">
        <f>'Side MDB'!AD5</f>
        <v>#NUM!</v>
      </c>
      <c r="J5" s="20" t="e">
        <f>'Side MDB'!AE5</f>
        <v>#NUM!</v>
      </c>
      <c r="K5" s="101" t="e">
        <f>'Side Pole'!P5</f>
        <v>#NUM!</v>
      </c>
      <c r="L5" s="101" t="e">
        <f>'Side Pole'!S5</f>
        <v>#NUM!</v>
      </c>
      <c r="M5" s="101" t="e">
        <f>'Side Pole'!V5</f>
        <v>#NUM!</v>
      </c>
      <c r="N5" s="102">
        <f>Rollover!J5</f>
        <v>5</v>
      </c>
      <c r="O5" s="103" t="e">
        <f>ROUND(5/12*Front!AV5+4/12*'Side Pole'!U5+3/12*Rollover!I5,2)</f>
        <v>#NUM!</v>
      </c>
      <c r="P5" s="104" t="e">
        <f t="shared" si="0"/>
        <v>#NUM!</v>
      </c>
    </row>
    <row r="6" spans="1:16" ht="14.45" customHeight="1">
      <c r="A6" s="145">
        <v>45035</v>
      </c>
      <c r="B6" s="10" t="str">
        <f>Rollover!A6</f>
        <v>Honda</v>
      </c>
      <c r="C6" s="10" t="str">
        <f>Rollover!B6</f>
        <v>Civic Sedan FWD</v>
      </c>
      <c r="D6" s="10">
        <f>Rollover!C6</f>
        <v>2023</v>
      </c>
      <c r="E6" s="20" t="e">
        <f>Front!AW6</f>
        <v>#NUM!</v>
      </c>
      <c r="F6" s="45" t="e">
        <f>Front!AX6</f>
        <v>#NUM!</v>
      </c>
      <c r="G6" s="45" t="e">
        <f>Front!AY6</f>
        <v>#NUM!</v>
      </c>
      <c r="H6" s="20" t="e">
        <f>'Side MDB'!AC6</f>
        <v>#NUM!</v>
      </c>
      <c r="I6" s="20" t="e">
        <f>'Side MDB'!AD6</f>
        <v>#NUM!</v>
      </c>
      <c r="J6" s="20" t="e">
        <f>'Side MDB'!AE6</f>
        <v>#NUM!</v>
      </c>
      <c r="K6" s="101" t="e">
        <f>'Side Pole'!P6</f>
        <v>#NUM!</v>
      </c>
      <c r="L6" s="101" t="e">
        <f>'Side Pole'!S6</f>
        <v>#NUM!</v>
      </c>
      <c r="M6" s="101" t="e">
        <f>'Side Pole'!V6</f>
        <v>#NUM!</v>
      </c>
      <c r="N6" s="102">
        <f>Rollover!J6</f>
        <v>5</v>
      </c>
      <c r="O6" s="103" t="e">
        <f>ROUND(5/12*Front!AV6+4/12*'Side Pole'!U6+3/12*Rollover!I6,2)</f>
        <v>#NUM!</v>
      </c>
      <c r="P6" s="104" t="e">
        <f t="shared" si="0"/>
        <v>#NUM!</v>
      </c>
    </row>
    <row r="7" spans="1:16" ht="14.45" customHeight="1">
      <c r="A7" s="44">
        <v>45106</v>
      </c>
      <c r="B7" s="45" t="str">
        <f>Rollover!A7</f>
        <v xml:space="preserve">Honda </v>
      </c>
      <c r="C7" s="45" t="str">
        <f>Rollover!B7</f>
        <v>HR-V SUV FWD</v>
      </c>
      <c r="D7" s="10">
        <f>Rollover!C7</f>
        <v>2023</v>
      </c>
      <c r="E7" s="20">
        <f>Front!AW7</f>
        <v>5</v>
      </c>
      <c r="F7" s="45">
        <f>Front!AX7</f>
        <v>4</v>
      </c>
      <c r="G7" s="45">
        <f>Front!AY7</f>
        <v>5</v>
      </c>
      <c r="H7" s="20">
        <f>'Side MDB'!AC7</f>
        <v>5</v>
      </c>
      <c r="I7" s="20">
        <f>'Side MDB'!AD7</f>
        <v>5</v>
      </c>
      <c r="J7" s="20">
        <f>'Side MDB'!AE7</f>
        <v>5</v>
      </c>
      <c r="K7" s="101">
        <f>'Side Pole'!P7</f>
        <v>5</v>
      </c>
      <c r="L7" s="101">
        <f>'Side Pole'!S7</f>
        <v>5</v>
      </c>
      <c r="M7" s="101">
        <f>'Side Pole'!V7</f>
        <v>5</v>
      </c>
      <c r="N7" s="102">
        <f>Rollover!J7</f>
        <v>4</v>
      </c>
      <c r="O7" s="103">
        <f>ROUND(5/12*Front!AV7+4/12*'Side Pole'!U7+3/12*Rollover!I7,2)</f>
        <v>0.62</v>
      </c>
      <c r="P7" s="104">
        <f t="shared" ref="P7:P8" si="1">IF(O7&lt;0.67,5,IF(O7&lt;1,4,IF(O7&lt;1.33,3,IF(O7&lt;2.67,2,1))))</f>
        <v>5</v>
      </c>
    </row>
    <row r="8" spans="1:16" ht="14.45" customHeight="1">
      <c r="A8" s="44">
        <v>45106</v>
      </c>
      <c r="B8" s="45" t="str">
        <f>Rollover!A8</f>
        <v xml:space="preserve">Honda </v>
      </c>
      <c r="C8" s="45" t="str">
        <f>Rollover!B8</f>
        <v>HR-V SUV AWD</v>
      </c>
      <c r="D8" s="10">
        <f>Rollover!C8</f>
        <v>2023</v>
      </c>
      <c r="E8" s="20">
        <f>Front!AW8</f>
        <v>5</v>
      </c>
      <c r="F8" s="45">
        <f>Front!AX8</f>
        <v>4</v>
      </c>
      <c r="G8" s="45">
        <f>Front!AY8</f>
        <v>5</v>
      </c>
      <c r="H8" s="20">
        <f>'Side MDB'!AC8</f>
        <v>5</v>
      </c>
      <c r="I8" s="20">
        <f>'Side MDB'!AD8</f>
        <v>5</v>
      </c>
      <c r="J8" s="20">
        <f>'Side MDB'!AE8</f>
        <v>5</v>
      </c>
      <c r="K8" s="101">
        <f>'Side Pole'!P8</f>
        <v>5</v>
      </c>
      <c r="L8" s="101">
        <f>'Side Pole'!S8</f>
        <v>5</v>
      </c>
      <c r="M8" s="101">
        <f>'Side Pole'!V8</f>
        <v>5</v>
      </c>
      <c r="N8" s="102" t="e">
        <f>Rollover!J8</f>
        <v>#NUM!</v>
      </c>
      <c r="O8" s="103" t="e">
        <f>ROUND(5/12*Front!AV8+4/12*'Side Pole'!U8+3/12*Rollover!I8,2)</f>
        <v>#NUM!</v>
      </c>
      <c r="P8" s="104" t="e">
        <f t="shared" si="1"/>
        <v>#NUM!</v>
      </c>
    </row>
    <row r="9" spans="1:16" ht="14.45" customHeight="1">
      <c r="B9" s="106"/>
    </row>
    <row r="10" spans="1:16" ht="14.45" customHeight="1">
      <c r="B10" s="106"/>
    </row>
    <row r="11" spans="1:16" ht="14.45" customHeight="1">
      <c r="B11" s="106"/>
      <c r="C11" s="106"/>
      <c r="D11" s="106"/>
    </row>
    <row r="12" spans="1:16" ht="14.45" customHeight="1">
      <c r="B12" s="106"/>
      <c r="C12" s="106"/>
      <c r="D12" s="106"/>
    </row>
    <row r="13" spans="1:16" ht="14.45" customHeight="1">
      <c r="B13" s="106"/>
      <c r="C13" s="106"/>
      <c r="D13" s="106"/>
    </row>
    <row r="14" spans="1:16" ht="14.45" customHeight="1">
      <c r="B14" s="106"/>
      <c r="C14" s="106"/>
      <c r="D14" s="106"/>
    </row>
    <row r="15" spans="1:16" ht="14.45" customHeight="1">
      <c r="B15" s="106"/>
      <c r="C15" s="106"/>
      <c r="D15" s="106"/>
    </row>
    <row r="16" spans="1:16" ht="14.45" customHeight="1">
      <c r="B16" s="106"/>
      <c r="C16" s="106"/>
      <c r="D16" s="106"/>
    </row>
    <row r="17" spans="2:10" ht="14.45" customHeight="1">
      <c r="B17" s="106"/>
      <c r="C17" s="106"/>
      <c r="D17" s="106"/>
      <c r="H17" s="110"/>
      <c r="I17" s="110"/>
      <c r="J17" s="110"/>
    </row>
    <row r="18" spans="2:10" ht="14.45" customHeight="1">
      <c r="H18" s="110"/>
      <c r="I18" s="110"/>
      <c r="J18" s="110"/>
    </row>
    <row r="19" spans="2:10" ht="14.45" customHeight="1">
      <c r="H19" s="110"/>
      <c r="I19" s="110"/>
      <c r="J19" s="110"/>
    </row>
    <row r="20" spans="2:10" ht="14.45" customHeight="1">
      <c r="B20" s="112"/>
      <c r="C20" s="112"/>
      <c r="D20" s="112"/>
      <c r="E20" s="113"/>
      <c r="F20" s="106"/>
      <c r="H20" s="110"/>
      <c r="I20" s="110"/>
      <c r="J20" s="110"/>
    </row>
    <row r="21" spans="2:10" ht="14.45" customHeight="1">
      <c r="B21" s="112"/>
      <c r="C21" s="112"/>
      <c r="D21" s="112"/>
      <c r="E21" s="113"/>
      <c r="F21" s="106"/>
      <c r="H21" s="110"/>
      <c r="I21" s="110"/>
      <c r="J21" s="110"/>
    </row>
    <row r="22" spans="2:10" ht="14.45" customHeight="1">
      <c r="B22" s="112"/>
      <c r="C22" s="112"/>
      <c r="D22" s="112"/>
      <c r="E22" s="113"/>
      <c r="F22" s="106"/>
      <c r="H22" s="110"/>
      <c r="I22" s="110"/>
      <c r="J22" s="110"/>
    </row>
    <row r="23" spans="2:10" ht="14.45" customHeight="1">
      <c r="B23" s="112"/>
      <c r="C23" s="112"/>
      <c r="D23" s="112"/>
      <c r="E23" s="113"/>
      <c r="F23" s="106"/>
      <c r="H23" s="110"/>
      <c r="I23" s="110"/>
      <c r="J23" s="110"/>
    </row>
    <row r="24" spans="2:10" ht="14.45" customHeight="1">
      <c r="B24" s="112"/>
      <c r="C24" s="112"/>
      <c r="D24" s="112"/>
      <c r="E24" s="113"/>
      <c r="F24" s="106"/>
      <c r="H24" s="110"/>
      <c r="I24" s="110"/>
      <c r="J24" s="110"/>
    </row>
    <row r="25" spans="2:10" ht="14.45" customHeight="1">
      <c r="B25" s="112"/>
      <c r="C25" s="112"/>
      <c r="D25" s="112"/>
      <c r="E25" s="113"/>
      <c r="F25" s="106"/>
      <c r="H25" s="110"/>
      <c r="I25" s="110"/>
      <c r="J25" s="110"/>
    </row>
    <row r="26" spans="2:10" ht="14.45" customHeight="1">
      <c r="B26" s="112"/>
      <c r="C26" s="112"/>
      <c r="D26" s="112"/>
      <c r="E26" s="113"/>
      <c r="F26" s="106"/>
    </row>
    <row r="27" spans="2:10" ht="14.45" customHeight="1">
      <c r="B27" s="112"/>
      <c r="C27" s="112"/>
      <c r="D27" s="112"/>
      <c r="E27" s="113"/>
      <c r="F27" s="106"/>
    </row>
    <row r="28" spans="2:10" ht="14.45" customHeight="1">
      <c r="B28" s="112"/>
      <c r="C28" s="112"/>
      <c r="D28" s="112"/>
      <c r="E28" s="113"/>
      <c r="F28" s="106"/>
    </row>
    <row r="29" spans="2:10" ht="14.45" customHeight="1">
      <c r="B29" s="112"/>
      <c r="C29" s="112"/>
      <c r="D29" s="112"/>
      <c r="E29" s="113"/>
      <c r="F29" s="106"/>
    </row>
    <row r="30" spans="2:10" ht="14.45" customHeight="1">
      <c r="E30" s="113"/>
      <c r="F30" s="106"/>
    </row>
    <row r="31" spans="2:10" ht="14.45" customHeight="1">
      <c r="E31" s="113"/>
      <c r="F31" s="106"/>
    </row>
    <row r="32" spans="2:10" ht="14.45" customHeight="1">
      <c r="B32" s="112"/>
      <c r="C32" s="112"/>
      <c r="D32" s="112"/>
      <c r="E32" s="113"/>
      <c r="F32" s="106"/>
    </row>
    <row r="33" spans="2:10" ht="14.45" customHeight="1">
      <c r="B33" s="112"/>
      <c r="C33" s="112"/>
      <c r="D33" s="112"/>
      <c r="E33" s="113"/>
      <c r="F33" s="106"/>
    </row>
    <row r="34" spans="2:10" ht="14.45" customHeight="1">
      <c r="B34" s="112"/>
      <c r="C34" s="112"/>
      <c r="D34" s="112"/>
      <c r="E34" s="113"/>
      <c r="F34" s="106"/>
    </row>
    <row r="35" spans="2:10" ht="14.45" customHeight="1">
      <c r="B35" s="112"/>
      <c r="C35" s="112"/>
      <c r="D35" s="112"/>
      <c r="E35" s="113"/>
      <c r="F35" s="106"/>
      <c r="H35" s="114"/>
      <c r="I35" s="114"/>
      <c r="J35" s="114"/>
    </row>
    <row r="36" spans="2:10" ht="14.45" customHeight="1">
      <c r="B36" s="112"/>
      <c r="C36" s="112"/>
      <c r="D36" s="112"/>
      <c r="F36" s="110"/>
      <c r="G36" s="110"/>
      <c r="H36" s="114"/>
      <c r="I36" s="114"/>
      <c r="J36" s="114"/>
    </row>
    <row r="37" spans="2:10" ht="14.45" customHeight="1">
      <c r="B37" s="112"/>
      <c r="C37" s="112"/>
      <c r="D37" s="112"/>
      <c r="F37" s="110"/>
      <c r="G37" s="110"/>
      <c r="H37" s="114"/>
      <c r="I37" s="114"/>
      <c r="J37" s="114"/>
    </row>
    <row r="38" spans="2:10" ht="14.45" customHeight="1">
      <c r="B38" s="115"/>
      <c r="C38" s="115"/>
      <c r="D38" s="115"/>
      <c r="E38" s="116"/>
      <c r="F38" s="110"/>
      <c r="G38" s="110"/>
      <c r="H38" s="114"/>
      <c r="I38" s="114"/>
      <c r="J38" s="114"/>
    </row>
    <row r="39" spans="2:10" ht="14.45" customHeight="1">
      <c r="B39" s="106"/>
      <c r="C39" s="106"/>
      <c r="D39" s="106"/>
      <c r="F39" s="110"/>
      <c r="G39" s="110"/>
      <c r="H39" s="114"/>
      <c r="I39" s="114"/>
      <c r="J39" s="114"/>
    </row>
    <row r="40" spans="2:10" ht="14.45" customHeight="1">
      <c r="B40" s="112"/>
      <c r="C40" s="112"/>
      <c r="D40" s="112"/>
      <c r="F40" s="110"/>
      <c r="G40" s="110"/>
      <c r="H40" s="114"/>
      <c r="I40" s="114"/>
      <c r="J40" s="114"/>
    </row>
    <row r="41" spans="2:10" ht="14.45" customHeight="1">
      <c r="B41" s="112"/>
      <c r="C41" s="112"/>
      <c r="D41" s="112"/>
      <c r="F41" s="110"/>
      <c r="G41" s="110"/>
      <c r="H41" s="114"/>
      <c r="I41" s="114"/>
      <c r="J41" s="114"/>
    </row>
    <row r="42" spans="2:10" ht="14.45" customHeight="1">
      <c r="B42" s="112"/>
      <c r="C42" s="112"/>
      <c r="D42" s="112"/>
      <c r="F42" s="110"/>
      <c r="G42" s="110"/>
      <c r="H42" s="114"/>
      <c r="I42" s="114"/>
      <c r="J42" s="114"/>
    </row>
    <row r="43" spans="2:10" ht="14.45" customHeight="1">
      <c r="B43" s="112"/>
      <c r="C43" s="112"/>
      <c r="D43" s="112"/>
      <c r="F43" s="110"/>
      <c r="G43" s="110"/>
      <c r="H43" s="114"/>
      <c r="I43" s="114"/>
      <c r="J43" s="114"/>
    </row>
    <row r="44" spans="2:10" ht="14.45" customHeight="1">
      <c r="B44" s="106"/>
      <c r="C44" s="106"/>
      <c r="D44" s="106"/>
      <c r="F44" s="110"/>
      <c r="G44" s="110"/>
      <c r="H44" s="114"/>
      <c r="I44" s="114"/>
      <c r="J44" s="114"/>
    </row>
    <row r="45" spans="2:10" ht="14.45" customHeight="1">
      <c r="F45" s="110"/>
      <c r="G45" s="110"/>
      <c r="H45" s="114"/>
      <c r="I45" s="114"/>
      <c r="J45" s="114"/>
    </row>
    <row r="46" spans="2:10" ht="14.45" customHeight="1">
      <c r="F46" s="110"/>
      <c r="G46" s="110"/>
      <c r="H46" s="114"/>
      <c r="I46" s="114"/>
      <c r="J46" s="114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Manager/>
  <Company>USDOT\NHTSA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 McKoy</dc:creator>
  <cp:keywords/>
  <dc:description/>
  <cp:lastModifiedBy>Moore, Vanessa (NHTSA)</cp:lastModifiedBy>
  <cp:revision/>
  <dcterms:created xsi:type="dcterms:W3CDTF">2007-06-14T17:31:50Z</dcterms:created>
  <dcterms:modified xsi:type="dcterms:W3CDTF">2023-06-30T20:52:59Z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