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13_ncr:1_{61D4BF55-3E10-44AD-9AB2-3A3A6891E1EC}" xr6:coauthVersionLast="47" xr6:coauthVersionMax="47" xr10:uidLastSave="{00000000-0000-0000-0000-000000000000}"/>
  <workbookProtection workbookPassword="C8D7" lockStructure="1"/>
  <bookViews>
    <workbookView xWindow="19665" yWindow="540" windowWidth="29295" windowHeight="18780" tabRatio="481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1" l="1"/>
  <c r="C6" i="31"/>
  <c r="B6" i="31"/>
  <c r="M6" i="29"/>
  <c r="L6" i="29"/>
  <c r="N6" i="29" s="1"/>
  <c r="F6" i="29"/>
  <c r="D6" i="29"/>
  <c r="C6" i="29"/>
  <c r="V6" i="22"/>
  <c r="U6" i="22"/>
  <c r="T6" i="22"/>
  <c r="S6" i="22"/>
  <c r="R6" i="22"/>
  <c r="Q6" i="22"/>
  <c r="W6" i="22" s="1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AA6" i="21" s="1"/>
  <c r="W6" i="21"/>
  <c r="F6" i="21"/>
  <c r="D6" i="21"/>
  <c r="C6" i="21"/>
  <c r="G6" i="24"/>
  <c r="H6" i="24" s="1"/>
  <c r="I6" i="24" s="1"/>
  <c r="J6" i="24" s="1"/>
  <c r="N6" i="31" s="1"/>
  <c r="AP6" i="21" l="1"/>
  <c r="AF6" i="21"/>
  <c r="AQ6" i="21" s="1"/>
  <c r="AT6" i="21" s="1"/>
  <c r="AW6" i="21" s="1"/>
  <c r="E6" i="31" s="1"/>
  <c r="X6" i="22"/>
  <c r="AA6" i="22" s="1"/>
  <c r="AD6" i="22" s="1"/>
  <c r="I6" i="31" s="1"/>
  <c r="AK6" i="21"/>
  <c r="AR6" i="21" s="1"/>
  <c r="AU6" i="21" s="1"/>
  <c r="AX6" i="21" s="1"/>
  <c r="F6" i="31" s="1"/>
  <c r="O6" i="29"/>
  <c r="P6" i="29" s="1"/>
  <c r="K6" i="31" s="1"/>
  <c r="Q6" i="29"/>
  <c r="R6" i="29" s="1"/>
  <c r="S6" i="29" s="1"/>
  <c r="L6" i="31" s="1"/>
  <c r="T6" i="29"/>
  <c r="U6" i="29" s="1"/>
  <c r="Z6" i="22"/>
  <c r="AC6" i="22" s="1"/>
  <c r="H6" i="31" s="1"/>
  <c r="Y6" i="22"/>
  <c r="AB6" i="22" s="1"/>
  <c r="AE6" i="22" s="1"/>
  <c r="J6" i="31" s="1"/>
  <c r="AS6" i="21" l="1"/>
  <c r="AV6" i="21" s="1"/>
  <c r="AY6" i="21" s="1"/>
  <c r="G6" i="31" s="1"/>
  <c r="V6" i="29"/>
  <c r="M6" i="31" s="1"/>
  <c r="O6" i="31" l="1"/>
  <c r="P6" i="31" s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Q4" i="21" s="1"/>
  <c r="AP4" i="21"/>
  <c r="N4" i="29"/>
  <c r="Q4" i="29" l="1"/>
  <c r="R4" i="29" s="1"/>
  <c r="S4" i="29" s="1"/>
  <c r="L4" i="31" s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C3" i="21" l="1"/>
  <c r="C5" i="21"/>
  <c r="Q5" i="22" l="1"/>
  <c r="R5" i="22"/>
  <c r="S5" i="22"/>
  <c r="D5" i="31"/>
  <c r="C5" i="31"/>
  <c r="B5" i="31"/>
  <c r="M5" i="29"/>
  <c r="L5" i="29"/>
  <c r="F5" i="29"/>
  <c r="D5" i="29"/>
  <c r="C5" i="29"/>
  <c r="V5" i="22"/>
  <c r="U5" i="22"/>
  <c r="T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G5" i="24"/>
  <c r="H5" i="24" s="1"/>
  <c r="I5" i="24" s="1"/>
  <c r="J5" i="24" s="1"/>
  <c r="N5" i="31" s="1"/>
  <c r="W5" i="22" l="1"/>
  <c r="Z5" i="22" s="1"/>
  <c r="AC5" i="22" s="1"/>
  <c r="H5" i="31" s="1"/>
  <c r="AF5" i="21"/>
  <c r="AA5" i="21"/>
  <c r="AP5" i="21"/>
  <c r="N5" i="29"/>
  <c r="AK5" i="21"/>
  <c r="X5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AK3" i="21" l="1"/>
  <c r="AR5" i="21"/>
  <c r="AU5" i="21" s="1"/>
  <c r="AX5" i="21" s="1"/>
  <c r="F5" i="31" s="1"/>
  <c r="AQ5" i="21"/>
  <c r="AT5" i="21" s="1"/>
  <c r="AW5" i="21" s="1"/>
  <c r="E5" i="31" s="1"/>
  <c r="AA3" i="21"/>
  <c r="AF3" i="21"/>
  <c r="AA5" i="22"/>
  <c r="AD5" i="22" s="1"/>
  <c r="I5" i="31" s="1"/>
  <c r="Y5" i="22"/>
  <c r="AB5" i="22" s="1"/>
  <c r="AE5" i="22" s="1"/>
  <c r="J5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N3" i="29"/>
  <c r="T5" i="29"/>
  <c r="U5" i="29" s="1"/>
  <c r="AP3" i="21"/>
  <c r="W3" i="22"/>
  <c r="AR3" i="21" l="1"/>
  <c r="AU3" i="21" s="1"/>
  <c r="AX3" i="21" s="1"/>
  <c r="F3" i="31" s="1"/>
  <c r="AS5" i="21"/>
  <c r="AV5" i="21" s="1"/>
  <c r="AY5" i="21" s="1"/>
  <c r="G5" i="31" s="1"/>
  <c r="AQ3" i="21"/>
  <c r="AT3" i="21" s="1"/>
  <c r="AW3" i="21" s="1"/>
  <c r="E3" i="31" s="1"/>
  <c r="T3" i="29"/>
  <c r="U3" i="29" s="1"/>
  <c r="O3" i="29"/>
  <c r="P3" i="29" s="1"/>
  <c r="K3" i="31" s="1"/>
  <c r="Q3" i="29"/>
  <c r="R3" i="29" s="1"/>
  <c r="S3" i="29" s="1"/>
  <c r="L3" i="31" s="1"/>
  <c r="Y3" i="22"/>
  <c r="AB3" i="22" s="1"/>
  <c r="AE3" i="22" s="1"/>
  <c r="J3" i="31" s="1"/>
  <c r="V5" i="29"/>
  <c r="M5" i="31" s="1"/>
  <c r="Z3" i="22"/>
  <c r="AC3" i="22" s="1"/>
  <c r="H3" i="31" s="1"/>
  <c r="AS3" i="21" l="1"/>
  <c r="AV3" i="21" s="1"/>
  <c r="AY3" i="21" s="1"/>
  <c r="G3" i="31" s="1"/>
  <c r="O5" i="31"/>
  <c r="P5" i="31" s="1"/>
  <c r="V3" i="29"/>
  <c r="M3" i="31" s="1"/>
  <c r="O3" i="31" l="1"/>
  <c r="P3" i="31" s="1"/>
</calcChain>
</file>

<file path=xl/sharedStrings.xml><?xml version="1.0" encoding="utf-8"?>
<sst xmlns="http://schemas.openxmlformats.org/spreadsheetml/2006/main" count="198" uniqueCount="98">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</sst>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7" formatCode="[$-409]mmmm\-yy;@"/>
    <numFmt numFmtId="168" formatCode="_-* #,##0_-;\-* #,##0_-;_-* &quot;-&quot;_-;_-@_-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10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2" fontId="4" fillId="0" borderId="3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1" fontId="4" fillId="0" borderId="3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/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alignment horizontal="center"/>
    </xf>
    <xf numFmtId="1" fontId="4" fillId="0" borderId="27" xfId="0" applyNumberFormat="1" applyFont="1" applyFill="1" applyBorder="1" applyAlignment="1" applyProtection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23" xfId="0" applyNumberFormat="1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/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164" fontId="3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2" fontId="5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0"/>
  <tableStyles count="0" defaultTableStyle="TableStyleMedium9" defaultPivotStyle="PivotStyleLight16"/>
  <colors>
    <mruColors>
      <color rgb="FF800080"/>
      <color rgb="FF990099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zoomScaleNormal="100" workbookViewId="0">
      <selection activeCell="A2" sqref="A2"/>
    </sheetView>
  </sheetViews>
  <sheetFormatPr defaultColWidth="9.140625" defaultRowHeight="13.15" customHeight="1"/>
  <cols>
    <col min="1" max="1" width="13.5703125" style="66" customWidth="1"/>
    <col min="2" max="2" width="43.85546875" style="66" customWidth="1"/>
    <col min="3" max="3" width="6.28515625" style="62" customWidth="1"/>
    <col min="4" max="4" width="4.85546875" style="62" bestFit="1" customWidth="1"/>
    <col min="5" max="5" width="18" style="62" bestFit="1" customWidth="1"/>
    <col min="6" max="6" width="13.140625" style="62" bestFit="1" customWidth="1"/>
    <col min="7" max="7" width="7.7109375" style="67" customWidth="1"/>
    <col min="8" max="8" width="7.42578125" style="67" bestFit="1" customWidth="1"/>
    <col min="9" max="9" width="7.7109375" style="68" bestFit="1" customWidth="1"/>
    <col min="10" max="10" width="9.7109375" style="67" customWidth="1"/>
    <col min="11" max="16384" width="9.140625" style="62"/>
  </cols>
  <sheetData>
    <row r="1" spans="1:10" s="46" customFormat="1" ht="13.15" customHeight="1" thickBot="1">
      <c r="A1" s="43"/>
      <c r="B1" s="43"/>
      <c r="C1" s="43"/>
      <c r="D1" s="43"/>
      <c r="E1" s="43"/>
      <c r="F1" s="43"/>
      <c r="G1" s="44"/>
      <c r="H1" s="44"/>
      <c r="I1" s="45"/>
      <c r="J1" s="44" t="s">
        <v>0</v>
      </c>
    </row>
    <row r="2" spans="1:10" s="46" customFormat="1" ht="13.15" customHeight="1" thickBot="1">
      <c r="A2" s="72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8" t="s">
        <v>6</v>
      </c>
      <c r="G2" s="49" t="s">
        <v>7</v>
      </c>
      <c r="H2" s="50" t="s">
        <v>8</v>
      </c>
      <c r="I2" s="51" t="s">
        <v>9</v>
      </c>
      <c r="J2" s="52" t="s">
        <v>10</v>
      </c>
    </row>
    <row r="3" spans="1:10" ht="13.15" customHeight="1">
      <c r="A3" s="53" t="s">
        <v>11</v>
      </c>
      <c r="B3" s="54" t="s">
        <v>12</v>
      </c>
      <c r="C3" s="55">
        <v>2023</v>
      </c>
      <c r="D3" s="56">
        <v>1.48</v>
      </c>
      <c r="E3" s="56" t="s">
        <v>13</v>
      </c>
      <c r="F3" s="56" t="s">
        <v>14</v>
      </c>
      <c r="G3" s="58">
        <f t="shared" ref="G3:G6" si="0">IF(F3="Y",((1/(1+EXP(2.6968+(1.1686*LN(D3-0.9)))))),((1/(1+EXP(2.8891+(1.1686*(LN(D3-0.9))))))))</f>
        <v>9.5131298699074329E-2</v>
      </c>
      <c r="H3" s="59">
        <f t="shared" ref="H3:H6" si="1">ROUND(G3,3)</f>
        <v>9.5000000000000001E-2</v>
      </c>
      <c r="I3" s="60">
        <f t="shared" ref="I3:I6" si="2">ROUND(H3/0.15,2)</f>
        <v>0.63</v>
      </c>
      <c r="J3" s="61">
        <f t="shared" ref="J3:J6" si="3">IF(I3&lt;0.673,5,IF(I3&lt;1.33,4,IF(I3&lt;2,3,IF(I3&lt;2.67,2,1))))</f>
        <v>5</v>
      </c>
    </row>
    <row r="4" spans="1:10" ht="13.15" customHeight="1">
      <c r="A4" s="64" t="s">
        <v>15</v>
      </c>
      <c r="B4" s="65" t="s">
        <v>16</v>
      </c>
      <c r="C4" s="55">
        <v>2023</v>
      </c>
      <c r="D4" s="56">
        <v>1.48</v>
      </c>
      <c r="E4" s="56" t="s">
        <v>13</v>
      </c>
      <c r="F4" s="56" t="s">
        <v>14</v>
      </c>
      <c r="G4" s="58">
        <f t="shared" si="0"/>
        <v>9.5131298699074329E-2</v>
      </c>
      <c r="H4" s="59">
        <f t="shared" si="1"/>
        <v>9.5000000000000001E-2</v>
      </c>
      <c r="I4" s="60">
        <f t="shared" si="2"/>
        <v>0.63</v>
      </c>
      <c r="J4" s="61">
        <f t="shared" si="3"/>
        <v>5</v>
      </c>
    </row>
    <row r="5" spans="1:10" ht="13.15" customHeight="1">
      <c r="A5" s="64" t="s">
        <v>15</v>
      </c>
      <c r="B5" s="65" t="s">
        <v>17</v>
      </c>
      <c r="C5" s="55">
        <v>2023</v>
      </c>
      <c r="D5" s="56">
        <v>1.48</v>
      </c>
      <c r="E5" s="56" t="s">
        <v>13</v>
      </c>
      <c r="F5" s="56" t="s">
        <v>14</v>
      </c>
      <c r="G5" s="58">
        <f t="shared" si="0"/>
        <v>9.5131298699074329E-2</v>
      </c>
      <c r="H5" s="59">
        <f t="shared" si="1"/>
        <v>9.5000000000000001E-2</v>
      </c>
      <c r="I5" s="60">
        <f t="shared" si="2"/>
        <v>0.63</v>
      </c>
      <c r="J5" s="61">
        <f t="shared" si="3"/>
        <v>5</v>
      </c>
    </row>
    <row r="6" spans="1:10" ht="13.15" customHeight="1">
      <c r="A6" s="64" t="s">
        <v>15</v>
      </c>
      <c r="B6" s="65" t="s">
        <v>18</v>
      </c>
      <c r="C6" s="55">
        <v>2023</v>
      </c>
      <c r="D6" s="56">
        <v>1.48</v>
      </c>
      <c r="E6" s="56" t="s">
        <v>13</v>
      </c>
      <c r="F6" s="56" t="s">
        <v>14</v>
      </c>
      <c r="G6" s="58">
        <f t="shared" si="0"/>
        <v>9.5131298699074329E-2</v>
      </c>
      <c r="H6" s="59">
        <f t="shared" si="1"/>
        <v>9.5000000000000001E-2</v>
      </c>
      <c r="I6" s="60">
        <f t="shared" si="2"/>
        <v>0.63</v>
      </c>
      <c r="J6" s="61">
        <f t="shared" si="3"/>
        <v>5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"/>
  <sheetViews>
    <sheetView workbookViewId="0">
      <pane xSplit="6" ySplit="2" topLeftCell="G3" activePane="bottomRight" state="frozen"/>
      <selection activeCell="B12" sqref="B12"/>
      <selection pane="topRight" activeCell="B12" sqref="B12"/>
      <selection pane="bottomLeft" activeCell="B12" sqref="B12"/>
      <selection pane="bottomRight" activeCell="A2" sqref="A2"/>
    </sheetView>
  </sheetViews>
  <sheetFormatPr defaultRowHeight="12.75"/>
  <cols>
    <col min="1" max="1" width="8.140625" style="204" customWidth="1"/>
    <col min="2" max="2" width="9.85546875" style="204" bestFit="1" customWidth="1"/>
    <col min="3" max="3" width="11.28515625" style="205" bestFit="1" customWidth="1"/>
    <col min="4" max="4" width="26.140625" style="205" customWidth="1"/>
    <col min="5" max="5" width="7.42578125" style="205" customWidth="1"/>
    <col min="6" max="6" width="8.28515625" style="205" customWidth="1"/>
    <col min="7" max="9" width="8.7109375" style="206" customWidth="1"/>
    <col min="10" max="10" width="8.42578125" style="206" bestFit="1" customWidth="1"/>
    <col min="11" max="22" width="8.7109375" style="206" customWidth="1"/>
    <col min="23" max="23" width="7.42578125" style="207" bestFit="1" customWidth="1"/>
    <col min="24" max="24" width="5.28515625" style="207" bestFit="1" customWidth="1"/>
    <col min="25" max="25" width="10.140625" style="207" bestFit="1" customWidth="1"/>
    <col min="26" max="26" width="11.28515625" style="207" bestFit="1" customWidth="1"/>
    <col min="27" max="27" width="7.28515625" style="207" customWidth="1"/>
    <col min="28" max="28" width="7.5703125" style="207" bestFit="1" customWidth="1"/>
    <col min="29" max="29" width="7.5703125" style="62" bestFit="1" customWidth="1"/>
    <col min="30" max="31" width="9" style="62" bestFit="1" customWidth="1"/>
    <col min="32" max="32" width="8" style="62" bestFit="1" customWidth="1"/>
    <col min="33" max="33" width="7.42578125" style="62" bestFit="1" customWidth="1"/>
    <col min="34" max="34" width="5" style="62" bestFit="1" customWidth="1"/>
    <col min="35" max="35" width="10.140625" style="62" bestFit="1" customWidth="1"/>
    <col min="36" max="36" width="11.5703125" style="62" bestFit="1" customWidth="1"/>
    <col min="37" max="37" width="7" style="62" bestFit="1" customWidth="1"/>
    <col min="38" max="39" width="7.5703125" style="62" bestFit="1" customWidth="1"/>
    <col min="40" max="41" width="9" style="62" bestFit="1" customWidth="1"/>
    <col min="42" max="42" width="8" style="62" bestFit="1" customWidth="1"/>
    <col min="43" max="43" width="7.5703125" style="62" customWidth="1"/>
    <col min="44" max="44" width="9.5703125" style="62" bestFit="1" customWidth="1"/>
    <col min="45" max="45" width="7.140625" style="62" bestFit="1" customWidth="1"/>
    <col min="46" max="46" width="5.7109375" style="207" bestFit="1" customWidth="1"/>
    <col min="47" max="47" width="9.5703125" style="207" bestFit="1" customWidth="1"/>
    <col min="48" max="48" width="5.85546875" style="207" bestFit="1" customWidth="1"/>
    <col min="49" max="49" width="5.7109375" style="208" bestFit="1" customWidth="1"/>
    <col min="50" max="50" width="9.5703125" style="208" bestFit="1" customWidth="1"/>
    <col min="51" max="51" width="5.85546875" style="209" bestFit="1" customWidth="1"/>
    <col min="52" max="16384" width="9.140625" style="62"/>
  </cols>
  <sheetData>
    <row r="1" spans="1:51" s="124" customFormat="1" ht="13.5" thickBot="1">
      <c r="A1" s="180"/>
      <c r="B1" s="160"/>
      <c r="C1" s="181"/>
      <c r="D1" s="181"/>
      <c r="E1" s="182"/>
      <c r="F1" s="182"/>
      <c r="G1" s="134" t="s">
        <v>19</v>
      </c>
      <c r="H1" s="183"/>
      <c r="I1" s="183"/>
      <c r="J1" s="183"/>
      <c r="K1" s="183"/>
      <c r="L1" s="183"/>
      <c r="M1" s="183"/>
      <c r="N1" s="135"/>
      <c r="O1" s="134" t="s">
        <v>20</v>
      </c>
      <c r="P1" s="183"/>
      <c r="Q1" s="183"/>
      <c r="R1" s="183"/>
      <c r="S1" s="183"/>
      <c r="T1" s="183"/>
      <c r="U1" s="183"/>
      <c r="V1" s="135"/>
      <c r="W1" s="184" t="s">
        <v>21</v>
      </c>
      <c r="X1" s="185"/>
      <c r="Y1" s="185"/>
      <c r="Z1" s="185"/>
      <c r="AA1" s="185"/>
      <c r="AB1" s="185"/>
      <c r="AC1" s="185"/>
      <c r="AD1" s="185"/>
      <c r="AE1" s="185"/>
      <c r="AF1" s="186"/>
      <c r="AG1" s="184" t="s">
        <v>22</v>
      </c>
      <c r="AH1" s="185"/>
      <c r="AI1" s="185"/>
      <c r="AJ1" s="185"/>
      <c r="AK1" s="185"/>
      <c r="AL1" s="185"/>
      <c r="AM1" s="185"/>
      <c r="AN1" s="185"/>
      <c r="AO1" s="185"/>
      <c r="AP1" s="186"/>
      <c r="AQ1" s="187" t="s">
        <v>23</v>
      </c>
      <c r="AR1" s="188" t="s">
        <v>24</v>
      </c>
      <c r="AS1" s="189" t="s">
        <v>25</v>
      </c>
      <c r="AT1" s="31" t="s">
        <v>23</v>
      </c>
      <c r="AU1" s="32" t="s">
        <v>24</v>
      </c>
      <c r="AV1" s="33" t="s">
        <v>26</v>
      </c>
      <c r="AW1" s="190" t="s">
        <v>23</v>
      </c>
      <c r="AX1" s="36" t="s">
        <v>24</v>
      </c>
      <c r="AY1" s="37" t="s">
        <v>26</v>
      </c>
    </row>
    <row r="2" spans="1:51" s="7" customFormat="1" ht="34.5" thickBot="1">
      <c r="A2" s="72" t="s">
        <v>27</v>
      </c>
      <c r="B2" s="191" t="s">
        <v>28</v>
      </c>
      <c r="C2" s="72" t="s">
        <v>1</v>
      </c>
      <c r="D2" s="47" t="s">
        <v>2</v>
      </c>
      <c r="E2" s="191" t="s">
        <v>29</v>
      </c>
      <c r="F2" s="48" t="s">
        <v>3</v>
      </c>
      <c r="G2" s="76" t="s">
        <v>30</v>
      </c>
      <c r="H2" s="78" t="s">
        <v>31</v>
      </c>
      <c r="I2" s="80" t="s">
        <v>32</v>
      </c>
      <c r="J2" s="80" t="s">
        <v>33</v>
      </c>
      <c r="K2" s="80" t="s">
        <v>34</v>
      </c>
      <c r="L2" s="80" t="s">
        <v>35</v>
      </c>
      <c r="M2" s="80" t="s">
        <v>36</v>
      </c>
      <c r="N2" s="192" t="s">
        <v>37</v>
      </c>
      <c r="O2" s="76" t="s">
        <v>30</v>
      </c>
      <c r="P2" s="78" t="s">
        <v>31</v>
      </c>
      <c r="Q2" s="80" t="s">
        <v>32</v>
      </c>
      <c r="R2" s="80" t="s">
        <v>33</v>
      </c>
      <c r="S2" s="80" t="s">
        <v>34</v>
      </c>
      <c r="T2" s="80" t="s">
        <v>35</v>
      </c>
      <c r="U2" s="80" t="s">
        <v>36</v>
      </c>
      <c r="V2" s="192" t="s">
        <v>37</v>
      </c>
      <c r="W2" s="193" t="s">
        <v>38</v>
      </c>
      <c r="X2" s="194" t="s">
        <v>39</v>
      </c>
      <c r="Y2" s="29" t="s">
        <v>40</v>
      </c>
      <c r="Z2" s="29" t="s">
        <v>41</v>
      </c>
      <c r="AA2" s="194" t="s">
        <v>42</v>
      </c>
      <c r="AB2" s="29" t="s">
        <v>43</v>
      </c>
      <c r="AC2" s="195" t="s">
        <v>43</v>
      </c>
      <c r="AD2" s="195" t="s">
        <v>44</v>
      </c>
      <c r="AE2" s="195" t="s">
        <v>45</v>
      </c>
      <c r="AF2" s="196" t="s">
        <v>46</v>
      </c>
      <c r="AG2" s="76" t="s">
        <v>38</v>
      </c>
      <c r="AH2" s="78" t="s">
        <v>39</v>
      </c>
      <c r="AI2" s="78" t="s">
        <v>40</v>
      </c>
      <c r="AJ2" s="78" t="s">
        <v>47</v>
      </c>
      <c r="AK2" s="78" t="s">
        <v>42</v>
      </c>
      <c r="AL2" s="78" t="s">
        <v>43</v>
      </c>
      <c r="AM2" s="78" t="s">
        <v>43</v>
      </c>
      <c r="AN2" s="78" t="s">
        <v>44</v>
      </c>
      <c r="AO2" s="78" t="s">
        <v>45</v>
      </c>
      <c r="AP2" s="197" t="s">
        <v>46</v>
      </c>
      <c r="AQ2" s="38" t="s">
        <v>48</v>
      </c>
      <c r="AR2" s="107" t="s">
        <v>8</v>
      </c>
      <c r="AS2" s="198" t="s">
        <v>8</v>
      </c>
      <c r="AT2" s="88" t="s">
        <v>49</v>
      </c>
      <c r="AU2" s="89" t="s">
        <v>49</v>
      </c>
      <c r="AV2" s="34" t="s">
        <v>49</v>
      </c>
      <c r="AW2" s="90" t="s">
        <v>10</v>
      </c>
      <c r="AX2" s="81" t="s">
        <v>10</v>
      </c>
      <c r="AY2" s="199" t="s">
        <v>50</v>
      </c>
    </row>
    <row r="3" spans="1:51" ht="13.15" customHeight="1">
      <c r="A3" s="56">
        <v>14258</v>
      </c>
      <c r="B3" s="56" t="s">
        <v>51</v>
      </c>
      <c r="C3" s="200" t="str">
        <f>Rollover!A3</f>
        <v>Acura</v>
      </c>
      <c r="D3" s="201" t="str">
        <f>Rollover!B3</f>
        <v>Integra 5 HB FWD</v>
      </c>
      <c r="E3" s="175" t="s">
        <v>52</v>
      </c>
      <c r="F3" s="92">
        <f>Rollover!C3</f>
        <v>2023</v>
      </c>
      <c r="G3" s="10">
        <v>231.16</v>
      </c>
      <c r="H3" s="11">
        <v>0.27</v>
      </c>
      <c r="I3" s="11">
        <v>847.85400000000004</v>
      </c>
      <c r="J3" s="11">
        <v>85.427000000000007</v>
      </c>
      <c r="K3" s="11">
        <v>19.751999999999999</v>
      </c>
      <c r="L3" s="11">
        <v>37.284999999999997</v>
      </c>
      <c r="M3" s="11">
        <v>1276.6130000000001</v>
      </c>
      <c r="N3" s="12">
        <v>2553.4580000000001</v>
      </c>
      <c r="O3" s="10">
        <v>328.25900000000001</v>
      </c>
      <c r="P3" s="11">
        <v>0.26700000000000002</v>
      </c>
      <c r="Q3" s="11">
        <v>671.62</v>
      </c>
      <c r="R3" s="11">
        <v>322.96699999999998</v>
      </c>
      <c r="S3" s="11">
        <v>14.266999999999999</v>
      </c>
      <c r="T3" s="11">
        <v>42.319000000000003</v>
      </c>
      <c r="U3" s="11">
        <v>1178.136</v>
      </c>
      <c r="V3" s="12">
        <v>474.15499999999997</v>
      </c>
      <c r="W3" s="202">
        <f t="shared" ref="W3:W6" si="0">NORMDIST(LN(G3),7.45231,0.73998,1)</f>
        <v>3.3117041367638198E-3</v>
      </c>
      <c r="X3" s="6">
        <f t="shared" ref="X3:X6" si="1">1/(1+EXP(3.2269-1.9688*H3))</f>
        <v>6.3249840623120709E-2</v>
      </c>
      <c r="Y3" s="6">
        <f t="shared" ref="Y3:Y6" si="2">1/(1+EXP(10.9745-2.375*I3/1000))</f>
        <v>1.2832106949297898E-4</v>
      </c>
      <c r="Z3" s="6">
        <f t="shared" ref="Z3:Z6" si="3">1/(1+EXP(10.9745-2.375*J3/1000))</f>
        <v>2.0986485779530627E-5</v>
      </c>
      <c r="AA3" s="6">
        <f t="shared" ref="AA3:AA6" si="4">MAX(X3,Y3,Z3)</f>
        <v>6.3249840623120709E-2</v>
      </c>
      <c r="AB3" s="6">
        <f t="shared" ref="AB3:AB6" si="5">1/(1+EXP(12.597-0.05861*35-1.568*(K3^0.4612)))</f>
        <v>1.2885950492916742E-2</v>
      </c>
      <c r="AC3" s="6">
        <f t="shared" ref="AC3:AC6" si="6">AB3</f>
        <v>1.2885950492916742E-2</v>
      </c>
      <c r="AD3" s="6">
        <f t="shared" ref="AD3:AD6" si="7">1/(1+EXP(5.7949-0.5196*M3/1000))</f>
        <v>5.8725767429259786E-3</v>
      </c>
      <c r="AE3" s="6">
        <f t="shared" ref="AE3:AE6" si="8">1/(1+EXP(5.7949-0.5196*N3/1000))</f>
        <v>1.1338777679190577E-2</v>
      </c>
      <c r="AF3" s="22">
        <f t="shared" ref="AF3:AF6" si="9">MAX(AD3,AE3)</f>
        <v>1.1338777679190577E-2</v>
      </c>
      <c r="AG3" s="21">
        <f t="shared" ref="AG3:AG6" si="10">NORMDIST(LN(O3),7.45231,0.73998,1)</f>
        <v>1.2503766468287793E-2</v>
      </c>
      <c r="AH3" s="6">
        <f t="shared" ref="AH3:AH6" si="11">1/(1+EXP(3.2269-1.9688*P3))</f>
        <v>6.2900791995682381E-2</v>
      </c>
      <c r="AI3" s="6">
        <f t="shared" ref="AI3:AI6" si="12">1/(1+EXP(10.958-3.77*Q3/1000))</f>
        <v>2.1904975246422087E-4</v>
      </c>
      <c r="AJ3" s="6">
        <f t="shared" ref="AJ3:AJ6" si="13">1/(1+EXP(10.958-3.77*R3/1000))</f>
        <v>5.8852675373025976E-5</v>
      </c>
      <c r="AK3" s="6">
        <f t="shared" ref="AK3:AK6" si="14">MAX(AH3,AI3,AJ3)</f>
        <v>6.2900791995682381E-2</v>
      </c>
      <c r="AL3" s="6">
        <f t="shared" ref="AL3:AL6" si="15">1/(1+EXP(12.597-0.05861*35-1.568*((S3/0.817)^0.4612)))</f>
        <v>9.1803462434360949E-3</v>
      </c>
      <c r="AM3" s="6">
        <f t="shared" ref="AM3:AM6" si="16">AL3</f>
        <v>9.1803462434360949E-3</v>
      </c>
      <c r="AN3" s="6">
        <f t="shared" ref="AN3:AN6" si="17">1/(1+EXP(5.7949-0.7619*U3/1000))</f>
        <v>7.4115378700983295E-3</v>
      </c>
      <c r="AO3" s="6">
        <f t="shared" ref="AO3:AO6" si="18">1/(1+EXP(5.7949-0.7619*V3/1000))</f>
        <v>4.3481754365519978E-3</v>
      </c>
      <c r="AP3" s="22">
        <f t="shared" ref="AP3:AP6" si="19">MAX(AN3,AO3)</f>
        <v>7.4115378700983295E-3</v>
      </c>
      <c r="AQ3" s="202">
        <f t="shared" ref="AQ3:AQ6" si="20">ROUND(1-(1-W3)*(1-AA3)*(1-AC3)*(1-AF3),3)</f>
        <v>8.8999999999999996E-2</v>
      </c>
      <c r="AR3" s="6">
        <f t="shared" ref="AR3:AR6" si="21">ROUND(1-(1-AG3)*(1-AK3)*(1-AM3)*(1-AP3),3)</f>
        <v>0.09</v>
      </c>
      <c r="AS3" s="6">
        <f t="shared" ref="AS3:AS6" si="22">ROUND(AVERAGE(AR3,AQ3),3)</f>
        <v>0.09</v>
      </c>
      <c r="AT3" s="178">
        <f t="shared" ref="AT3:AT6" si="23">ROUND(AQ3/0.15,2)</f>
        <v>0.59</v>
      </c>
      <c r="AU3" s="178">
        <f t="shared" ref="AU3:AU6" si="24">ROUND(AR3/0.15,2)</f>
        <v>0.6</v>
      </c>
      <c r="AV3" s="178">
        <f t="shared" ref="AV3:AV6" si="25">ROUND(AS3/0.15,2)</f>
        <v>0.6</v>
      </c>
      <c r="AW3" s="86">
        <f t="shared" ref="AW3:AW6" si="26">IF(AT3&lt;0.67,5,IF(AT3&lt;1,4,IF(AT3&lt;1.33,3,IF(AT3&lt;2.67,2,1))))</f>
        <v>5</v>
      </c>
      <c r="AX3" s="86">
        <f t="shared" ref="AX3:AX6" si="27">IF(AU3&lt;0.67,5,IF(AU3&lt;1,4,IF(AU3&lt;1.33,3,IF(AU3&lt;2.67,2,1))))</f>
        <v>5</v>
      </c>
      <c r="AY3" s="203">
        <f t="shared" ref="AY3:AY6" si="28">IF(AV3&lt;0.67,5,IF(AV3&lt;1,4,IF(AV3&lt;1.33,3,IF(AV3&lt;2.67,2,1))))</f>
        <v>5</v>
      </c>
    </row>
    <row r="4" spans="1:51" ht="13.15" customHeight="1">
      <c r="A4" s="56"/>
      <c r="B4" s="56"/>
      <c r="C4" s="200" t="str">
        <f>Rollover!A4</f>
        <v>Honda</v>
      </c>
      <c r="D4" s="201" t="str">
        <f>Rollover!B4</f>
        <v>Civic Hatchback FWD</v>
      </c>
      <c r="E4" s="175"/>
      <c r="F4" s="92">
        <f>Rollover!C4</f>
        <v>2023</v>
      </c>
      <c r="G4" s="10"/>
      <c r="H4" s="11"/>
      <c r="I4" s="11"/>
      <c r="J4" s="11"/>
      <c r="K4" s="11"/>
      <c r="L4" s="11"/>
      <c r="M4" s="11"/>
      <c r="N4" s="12"/>
      <c r="O4" s="10"/>
      <c r="P4" s="11"/>
      <c r="Q4" s="11"/>
      <c r="R4" s="11"/>
      <c r="S4" s="11"/>
      <c r="T4" s="11"/>
      <c r="U4" s="11"/>
      <c r="V4" s="12"/>
      <c r="W4" s="202" t="e">
        <f t="shared" si="0"/>
        <v>#NUM!</v>
      </c>
      <c r="X4" s="6">
        <f t="shared" si="1"/>
        <v>3.8165882958950202E-2</v>
      </c>
      <c r="Y4" s="6">
        <f t="shared" si="2"/>
        <v>1.713277721572889E-5</v>
      </c>
      <c r="Z4" s="6">
        <f t="shared" si="3"/>
        <v>1.713277721572889E-5</v>
      </c>
      <c r="AA4" s="6">
        <f t="shared" si="4"/>
        <v>3.8165882958950202E-2</v>
      </c>
      <c r="AB4" s="6">
        <f t="shared" si="5"/>
        <v>2.6306978617002889E-5</v>
      </c>
      <c r="AC4" s="6">
        <f t="shared" si="6"/>
        <v>2.6306978617002889E-5</v>
      </c>
      <c r="AD4" s="6">
        <f t="shared" si="7"/>
        <v>3.033802747866758E-3</v>
      </c>
      <c r="AE4" s="6">
        <f t="shared" si="8"/>
        <v>3.033802747866758E-3</v>
      </c>
      <c r="AF4" s="22">
        <f t="shared" si="9"/>
        <v>3.033802747866758E-3</v>
      </c>
      <c r="AG4" s="21" t="e">
        <f t="shared" si="10"/>
        <v>#NUM!</v>
      </c>
      <c r="AH4" s="6">
        <f t="shared" si="11"/>
        <v>3.8165882958950202E-2</v>
      </c>
      <c r="AI4" s="6">
        <f t="shared" si="12"/>
        <v>1.7417808154569238E-5</v>
      </c>
      <c r="AJ4" s="6">
        <f t="shared" si="13"/>
        <v>1.7417808154569238E-5</v>
      </c>
      <c r="AK4" s="6">
        <f t="shared" si="14"/>
        <v>3.8165882958950202E-2</v>
      </c>
      <c r="AL4" s="6">
        <f t="shared" si="15"/>
        <v>2.6306978617002889E-5</v>
      </c>
      <c r="AM4" s="6">
        <f t="shared" si="16"/>
        <v>2.6306978617002889E-5</v>
      </c>
      <c r="AN4" s="6">
        <f t="shared" si="17"/>
        <v>3.033802747866758E-3</v>
      </c>
      <c r="AO4" s="6">
        <f t="shared" si="18"/>
        <v>3.033802747866758E-3</v>
      </c>
      <c r="AP4" s="22">
        <f t="shared" si="19"/>
        <v>3.033802747866758E-3</v>
      </c>
      <c r="AQ4" s="202" t="e">
        <f t="shared" si="20"/>
        <v>#NUM!</v>
      </c>
      <c r="AR4" s="6" t="e">
        <f t="shared" si="21"/>
        <v>#NUM!</v>
      </c>
      <c r="AS4" s="6" t="e">
        <f t="shared" si="22"/>
        <v>#NUM!</v>
      </c>
      <c r="AT4" s="178" t="e">
        <f t="shared" si="23"/>
        <v>#NUM!</v>
      </c>
      <c r="AU4" s="178" t="e">
        <f t="shared" si="24"/>
        <v>#NUM!</v>
      </c>
      <c r="AV4" s="178" t="e">
        <f t="shared" si="25"/>
        <v>#NUM!</v>
      </c>
      <c r="AW4" s="86" t="e">
        <f t="shared" si="26"/>
        <v>#NUM!</v>
      </c>
      <c r="AX4" s="86" t="e">
        <f t="shared" si="27"/>
        <v>#NUM!</v>
      </c>
      <c r="AY4" s="203" t="e">
        <f t="shared" si="28"/>
        <v>#NUM!</v>
      </c>
    </row>
    <row r="5" spans="1:51" ht="13.15" customHeight="1">
      <c r="A5" s="63"/>
      <c r="B5" s="57"/>
      <c r="C5" s="200" t="str">
        <f>Rollover!A5</f>
        <v>Honda</v>
      </c>
      <c r="D5" s="201" t="str">
        <f>Rollover!B5</f>
        <v>Civic Hatchback Typer R FWD</v>
      </c>
      <c r="E5" s="175"/>
      <c r="F5" s="92">
        <f>Rollover!C5</f>
        <v>2023</v>
      </c>
      <c r="G5" s="10"/>
      <c r="H5" s="11"/>
      <c r="I5" s="11"/>
      <c r="J5" s="11"/>
      <c r="K5" s="11"/>
      <c r="L5" s="11"/>
      <c r="M5" s="11"/>
      <c r="N5" s="12"/>
      <c r="O5" s="10"/>
      <c r="P5" s="11"/>
      <c r="Q5" s="11"/>
      <c r="R5" s="11"/>
      <c r="S5" s="11"/>
      <c r="T5" s="11"/>
      <c r="U5" s="11"/>
      <c r="V5" s="12"/>
      <c r="W5" s="202" t="e">
        <f t="shared" si="0"/>
        <v>#NUM!</v>
      </c>
      <c r="X5" s="6">
        <f t="shared" si="1"/>
        <v>3.8165882958950202E-2</v>
      </c>
      <c r="Y5" s="6">
        <f t="shared" si="2"/>
        <v>1.713277721572889E-5</v>
      </c>
      <c r="Z5" s="6">
        <f t="shared" si="3"/>
        <v>1.713277721572889E-5</v>
      </c>
      <c r="AA5" s="6">
        <f t="shared" si="4"/>
        <v>3.8165882958950202E-2</v>
      </c>
      <c r="AB5" s="6">
        <f t="shared" si="5"/>
        <v>2.6306978617002889E-5</v>
      </c>
      <c r="AC5" s="6">
        <f t="shared" si="6"/>
        <v>2.6306978617002889E-5</v>
      </c>
      <c r="AD5" s="6">
        <f t="shared" si="7"/>
        <v>3.033802747866758E-3</v>
      </c>
      <c r="AE5" s="6">
        <f t="shared" si="8"/>
        <v>3.033802747866758E-3</v>
      </c>
      <c r="AF5" s="22">
        <f t="shared" si="9"/>
        <v>3.033802747866758E-3</v>
      </c>
      <c r="AG5" s="21" t="e">
        <f t="shared" si="10"/>
        <v>#NUM!</v>
      </c>
      <c r="AH5" s="6">
        <f t="shared" si="11"/>
        <v>3.8165882958950202E-2</v>
      </c>
      <c r="AI5" s="6">
        <f t="shared" si="12"/>
        <v>1.7417808154569238E-5</v>
      </c>
      <c r="AJ5" s="6">
        <f t="shared" si="13"/>
        <v>1.7417808154569238E-5</v>
      </c>
      <c r="AK5" s="6">
        <f t="shared" si="14"/>
        <v>3.8165882958950202E-2</v>
      </c>
      <c r="AL5" s="6">
        <f t="shared" si="15"/>
        <v>2.6306978617002889E-5</v>
      </c>
      <c r="AM5" s="6">
        <f t="shared" si="16"/>
        <v>2.6306978617002889E-5</v>
      </c>
      <c r="AN5" s="6">
        <f t="shared" si="17"/>
        <v>3.033802747866758E-3</v>
      </c>
      <c r="AO5" s="6">
        <f t="shared" si="18"/>
        <v>3.033802747866758E-3</v>
      </c>
      <c r="AP5" s="22">
        <f t="shared" si="19"/>
        <v>3.033802747866758E-3</v>
      </c>
      <c r="AQ5" s="202" t="e">
        <f t="shared" si="20"/>
        <v>#NUM!</v>
      </c>
      <c r="AR5" s="6" t="e">
        <f t="shared" si="21"/>
        <v>#NUM!</v>
      </c>
      <c r="AS5" s="6" t="e">
        <f t="shared" si="22"/>
        <v>#NUM!</v>
      </c>
      <c r="AT5" s="178" t="e">
        <f t="shared" si="23"/>
        <v>#NUM!</v>
      </c>
      <c r="AU5" s="178" t="e">
        <f t="shared" si="24"/>
        <v>#NUM!</v>
      </c>
      <c r="AV5" s="178" t="e">
        <f t="shared" si="25"/>
        <v>#NUM!</v>
      </c>
      <c r="AW5" s="86" t="e">
        <f t="shared" si="26"/>
        <v>#NUM!</v>
      </c>
      <c r="AX5" s="86" t="e">
        <f t="shared" si="27"/>
        <v>#NUM!</v>
      </c>
      <c r="AY5" s="203" t="e">
        <f t="shared" si="28"/>
        <v>#NUM!</v>
      </c>
    </row>
    <row r="6" spans="1:51" ht="13.15" customHeight="1">
      <c r="A6" s="63"/>
      <c r="B6" s="57"/>
      <c r="C6" s="200" t="str">
        <f>Rollover!A6</f>
        <v>Honda</v>
      </c>
      <c r="D6" s="201" t="str">
        <f>Rollover!B6</f>
        <v>Civic Sedan FWD</v>
      </c>
      <c r="E6" s="175"/>
      <c r="F6" s="92">
        <f>Rollover!C6</f>
        <v>2023</v>
      </c>
      <c r="G6" s="10"/>
      <c r="H6" s="11"/>
      <c r="I6" s="11"/>
      <c r="J6" s="11"/>
      <c r="K6" s="11"/>
      <c r="L6" s="11"/>
      <c r="M6" s="11"/>
      <c r="N6" s="12"/>
      <c r="O6" s="10"/>
      <c r="P6" s="11"/>
      <c r="Q6" s="11"/>
      <c r="R6" s="11"/>
      <c r="S6" s="11"/>
      <c r="T6" s="11"/>
      <c r="U6" s="11"/>
      <c r="V6" s="12"/>
      <c r="W6" s="202" t="e">
        <f t="shared" si="0"/>
        <v>#NUM!</v>
      </c>
      <c r="X6" s="6">
        <f t="shared" si="1"/>
        <v>3.8165882958950202E-2</v>
      </c>
      <c r="Y6" s="6">
        <f t="shared" si="2"/>
        <v>1.713277721572889E-5</v>
      </c>
      <c r="Z6" s="6">
        <f t="shared" si="3"/>
        <v>1.713277721572889E-5</v>
      </c>
      <c r="AA6" s="6">
        <f t="shared" si="4"/>
        <v>3.8165882958950202E-2</v>
      </c>
      <c r="AB6" s="6">
        <f t="shared" si="5"/>
        <v>2.6306978617002889E-5</v>
      </c>
      <c r="AC6" s="6">
        <f t="shared" si="6"/>
        <v>2.6306978617002889E-5</v>
      </c>
      <c r="AD6" s="6">
        <f t="shared" si="7"/>
        <v>3.033802747866758E-3</v>
      </c>
      <c r="AE6" s="6">
        <f t="shared" si="8"/>
        <v>3.033802747866758E-3</v>
      </c>
      <c r="AF6" s="22">
        <f t="shared" si="9"/>
        <v>3.033802747866758E-3</v>
      </c>
      <c r="AG6" s="21" t="e">
        <f t="shared" si="10"/>
        <v>#NUM!</v>
      </c>
      <c r="AH6" s="6">
        <f t="shared" si="11"/>
        <v>3.8165882958950202E-2</v>
      </c>
      <c r="AI6" s="6">
        <f t="shared" si="12"/>
        <v>1.7417808154569238E-5</v>
      </c>
      <c r="AJ6" s="6">
        <f t="shared" si="13"/>
        <v>1.7417808154569238E-5</v>
      </c>
      <c r="AK6" s="6">
        <f t="shared" si="14"/>
        <v>3.8165882958950202E-2</v>
      </c>
      <c r="AL6" s="6">
        <f t="shared" si="15"/>
        <v>2.6306978617002889E-5</v>
      </c>
      <c r="AM6" s="6">
        <f t="shared" si="16"/>
        <v>2.6306978617002889E-5</v>
      </c>
      <c r="AN6" s="6">
        <f t="shared" si="17"/>
        <v>3.033802747866758E-3</v>
      </c>
      <c r="AO6" s="6">
        <f t="shared" si="18"/>
        <v>3.033802747866758E-3</v>
      </c>
      <c r="AP6" s="22">
        <f t="shared" si="19"/>
        <v>3.033802747866758E-3</v>
      </c>
      <c r="AQ6" s="202" t="e">
        <f t="shared" si="20"/>
        <v>#NUM!</v>
      </c>
      <c r="AR6" s="6" t="e">
        <f t="shared" si="21"/>
        <v>#NUM!</v>
      </c>
      <c r="AS6" s="6" t="e">
        <f t="shared" si="22"/>
        <v>#NUM!</v>
      </c>
      <c r="AT6" s="178" t="e">
        <f t="shared" si="23"/>
        <v>#NUM!</v>
      </c>
      <c r="AU6" s="178" t="e">
        <f t="shared" si="24"/>
        <v>#NUM!</v>
      </c>
      <c r="AV6" s="178" t="e">
        <f t="shared" si="25"/>
        <v>#NUM!</v>
      </c>
      <c r="AW6" s="86" t="e">
        <f t="shared" si="26"/>
        <v>#NUM!</v>
      </c>
      <c r="AX6" s="86" t="e">
        <f t="shared" si="27"/>
        <v>#NUM!</v>
      </c>
      <c r="AY6" s="203" t="e">
        <f t="shared" si="28"/>
        <v>#NUM!</v>
      </c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0"/>
  <sheetViews>
    <sheetView workbookViewId="0">
      <pane xSplit="6" ySplit="2" topLeftCell="G3" activePane="bottomRight" state="frozen"/>
      <selection activeCell="B12" sqref="B12"/>
      <selection pane="topRight" activeCell="B12" sqref="B12"/>
      <selection pane="bottomLeft" activeCell="B12" sqref="B12"/>
      <selection pane="bottomRight" activeCell="A2" sqref="A2"/>
    </sheetView>
  </sheetViews>
  <sheetFormatPr defaultRowHeight="12.75"/>
  <cols>
    <col min="1" max="1" width="7.28515625" style="179" customWidth="1"/>
    <col min="2" max="2" width="9" style="179" bestFit="1" customWidth="1"/>
    <col min="3" max="3" width="13.5703125" style="62" bestFit="1" customWidth="1"/>
    <col min="4" max="4" width="36.140625" style="62" customWidth="1"/>
    <col min="5" max="5" width="6.5703125" style="62" bestFit="1" customWidth="1"/>
    <col min="6" max="6" width="5.7109375" style="62" customWidth="1"/>
    <col min="7" max="16" width="8.7109375" style="150" customWidth="1"/>
    <col min="17" max="20" width="9.140625" style="62" customWidth="1"/>
    <col min="21" max="21" width="10.7109375" style="62" customWidth="1"/>
    <col min="22" max="22" width="8.140625" style="62" customWidth="1"/>
    <col min="23" max="23" width="8" style="91" customWidth="1"/>
    <col min="24" max="24" width="10.140625" style="91" customWidth="1"/>
    <col min="25" max="25" width="9.140625" style="91" customWidth="1"/>
    <col min="26" max="26" width="8" style="91" customWidth="1"/>
    <col min="27" max="27" width="9.5703125" style="91" customWidth="1"/>
    <col min="28" max="28" width="6.140625" style="9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62"/>
  </cols>
  <sheetData>
    <row r="1" spans="1:50" s="46" customFormat="1" ht="13.5" thickBot="1">
      <c r="A1" s="158"/>
      <c r="B1" s="159"/>
      <c r="C1" s="160"/>
      <c r="D1" s="160"/>
      <c r="E1" s="161"/>
      <c r="F1" s="161"/>
      <c r="G1" s="162" t="s">
        <v>53</v>
      </c>
      <c r="H1" s="163"/>
      <c r="I1" s="163"/>
      <c r="J1" s="163"/>
      <c r="K1" s="164"/>
      <c r="L1" s="165" t="s">
        <v>54</v>
      </c>
      <c r="M1" s="166"/>
      <c r="N1" s="166"/>
      <c r="O1" s="166"/>
      <c r="P1" s="167"/>
      <c r="Q1" s="73" t="s">
        <v>55</v>
      </c>
      <c r="R1" s="168"/>
      <c r="S1" s="168"/>
      <c r="T1" s="169"/>
      <c r="U1" s="73" t="s">
        <v>54</v>
      </c>
      <c r="V1" s="74"/>
      <c r="W1" s="31" t="s">
        <v>23</v>
      </c>
      <c r="X1" s="32" t="s">
        <v>56</v>
      </c>
      <c r="Y1" s="33" t="s">
        <v>57</v>
      </c>
      <c r="Z1" s="31" t="s">
        <v>23</v>
      </c>
      <c r="AA1" s="32" t="s">
        <v>24</v>
      </c>
      <c r="AB1" s="33" t="s">
        <v>58</v>
      </c>
      <c r="AC1" s="35" t="s">
        <v>23</v>
      </c>
      <c r="AD1" s="36" t="s">
        <v>24</v>
      </c>
      <c r="AE1" s="37" t="s">
        <v>59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4.5" thickBot="1">
      <c r="A2" s="170" t="s">
        <v>27</v>
      </c>
      <c r="B2" s="171" t="s">
        <v>28</v>
      </c>
      <c r="C2" s="72" t="s">
        <v>1</v>
      </c>
      <c r="D2" s="47" t="s">
        <v>2</v>
      </c>
      <c r="E2" s="47" t="s">
        <v>29</v>
      </c>
      <c r="F2" s="48" t="s">
        <v>3</v>
      </c>
      <c r="G2" s="172" t="s">
        <v>60</v>
      </c>
      <c r="H2" s="173" t="s">
        <v>61</v>
      </c>
      <c r="I2" s="173" t="s">
        <v>62</v>
      </c>
      <c r="J2" s="173" t="s">
        <v>63</v>
      </c>
      <c r="K2" s="174" t="s">
        <v>64</v>
      </c>
      <c r="L2" s="172" t="s">
        <v>60</v>
      </c>
      <c r="M2" s="173" t="s">
        <v>61</v>
      </c>
      <c r="N2" s="173" t="s">
        <v>62</v>
      </c>
      <c r="O2" s="173" t="s">
        <v>65</v>
      </c>
      <c r="P2" s="174" t="s">
        <v>66</v>
      </c>
      <c r="Q2" s="25" t="s">
        <v>67</v>
      </c>
      <c r="R2" s="26" t="s">
        <v>43</v>
      </c>
      <c r="S2" s="26" t="s">
        <v>68</v>
      </c>
      <c r="T2" s="27" t="s">
        <v>69</v>
      </c>
      <c r="U2" s="25" t="s">
        <v>67</v>
      </c>
      <c r="V2" s="27" t="s">
        <v>69</v>
      </c>
      <c r="W2" s="28" t="s">
        <v>70</v>
      </c>
      <c r="X2" s="29" t="s">
        <v>70</v>
      </c>
      <c r="Y2" s="30" t="s">
        <v>70</v>
      </c>
      <c r="Z2" s="88" t="s">
        <v>71</v>
      </c>
      <c r="AA2" s="89" t="s">
        <v>71</v>
      </c>
      <c r="AB2" s="34" t="s">
        <v>71</v>
      </c>
      <c r="AC2" s="90" t="s">
        <v>10</v>
      </c>
      <c r="AD2" s="81" t="s">
        <v>10</v>
      </c>
      <c r="AE2" s="27" t="s">
        <v>10</v>
      </c>
      <c r="AF2" s="69"/>
      <c r="AG2" s="70"/>
      <c r="AH2" s="70"/>
      <c r="AI2" s="70"/>
      <c r="AJ2" s="70"/>
      <c r="AK2" s="14"/>
      <c r="AL2" s="14"/>
      <c r="AM2" s="14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s="46" customFormat="1">
      <c r="A3" s="56">
        <v>14261</v>
      </c>
      <c r="B3" s="175" t="s">
        <v>72</v>
      </c>
      <c r="C3" s="176" t="str">
        <f>Rollover!A3</f>
        <v>Acura</v>
      </c>
      <c r="D3" s="9" t="str">
        <f>Rollover!B3</f>
        <v>Integra 5 HB FWD</v>
      </c>
      <c r="E3" s="9" t="s">
        <v>52</v>
      </c>
      <c r="F3" s="177">
        <f>Rollover!C3</f>
        <v>2023</v>
      </c>
      <c r="G3" s="10">
        <v>144.97499999999999</v>
      </c>
      <c r="H3" s="11">
        <v>23.876999999999999</v>
      </c>
      <c r="I3" s="11">
        <v>37.933999999999997</v>
      </c>
      <c r="J3" s="11">
        <v>1007.45</v>
      </c>
      <c r="K3" s="12">
        <v>1336.9269999999999</v>
      </c>
      <c r="L3" s="10">
        <v>239.345</v>
      </c>
      <c r="M3" s="11">
        <v>26.091999999999999</v>
      </c>
      <c r="N3" s="11">
        <v>60.372999999999998</v>
      </c>
      <c r="O3" s="11">
        <v>21.831</v>
      </c>
      <c r="P3" s="12">
        <v>2363.0349999999999</v>
      </c>
      <c r="Q3" s="21">
        <f t="shared" ref="Q3:Q6" si="0">NORMDIST(LN(G3),7.45231,0.73998,1)</f>
        <v>4.1038051978318157E-4</v>
      </c>
      <c r="R3" s="6">
        <f t="shared" ref="R3:R6" si="1">1/(1+EXP(5.3895-0.0919*H3))</f>
        <v>3.9346615530531315E-2</v>
      </c>
      <c r="S3" s="6">
        <f t="shared" ref="S3:S6" si="2">1/(1+EXP(6.04044-0.002133*J3))</f>
        <v>2.0005315194714112E-2</v>
      </c>
      <c r="T3" s="22">
        <f t="shared" ref="T3:T6" si="3">1/(1+EXP(7.5969-0.0011*K3))</f>
        <v>2.1799297896217783E-3</v>
      </c>
      <c r="U3" s="21">
        <f t="shared" ref="U3:U6" si="4">NORMDIST(LN(L3),7.45231,0.73998,1)</f>
        <v>3.8131059323650777E-3</v>
      </c>
      <c r="V3" s="22">
        <f t="shared" ref="V3:V6" si="5">1/(1+EXP(6.3055-0.00094*P3))</f>
        <v>1.6557058728255376E-2</v>
      </c>
      <c r="W3" s="21">
        <f t="shared" ref="W3:W6" si="6">ROUND(1-(1-Q3)*(1-R3)*(1-S3)*(1-T3),3)</f>
        <v>6.0999999999999999E-2</v>
      </c>
      <c r="X3" s="6">
        <f t="shared" ref="X3:X6" si="7">IF(L3="N/A",L3,ROUND(1-(1-U3)*(1-V3),3))</f>
        <v>0.02</v>
      </c>
      <c r="Y3" s="22">
        <f t="shared" ref="Y3:Y6" si="8">ROUND(AVERAGE(W3:X3),3)</f>
        <v>4.1000000000000002E-2</v>
      </c>
      <c r="Z3" s="23">
        <f t="shared" ref="Z3:Z6" si="9">ROUND(W3/0.15,2)</f>
        <v>0.41</v>
      </c>
      <c r="AA3" s="178">
        <f t="shared" ref="AA3:AA6" si="10">IF(L3="N/A", L3, ROUND(X3/0.15,2))</f>
        <v>0.13</v>
      </c>
      <c r="AB3" s="24">
        <f t="shared" ref="AB3:AB6" si="11">ROUND(Y3/0.15,2)</f>
        <v>0.27</v>
      </c>
      <c r="AC3" s="19">
        <f t="shared" ref="AC3:AC6" si="12">IF(Z3&lt;0.67,5,IF(Z3&lt;1,4,IF(Z3&lt;1.33,3,IF(Z3&lt;2.67,2,1))))</f>
        <v>5</v>
      </c>
      <c r="AD3" s="86">
        <f t="shared" ref="AD3:AD6" si="13">IF(L3="N/A",L3,IF(AA3&lt;0.67,5,IF(AA3&lt;1,4,IF(AA3&lt;1.33,3,IF(AA3&lt;2.67,2,1)))))</f>
        <v>5</v>
      </c>
      <c r="AE3" s="20">
        <f t="shared" ref="AE3:AE6" si="14">IF(AB3&lt;0.67,5,IF(AB3&lt;1,4,IF(AB3&lt;1.33,3,IF(AB3&lt;2.67,2,1))))</f>
        <v>5</v>
      </c>
      <c r="AF3" s="17"/>
      <c r="AG3" s="3"/>
      <c r="AH3" s="3"/>
      <c r="AI3" s="3"/>
      <c r="AJ3" s="3"/>
      <c r="AK3" s="18"/>
      <c r="AL3" s="18"/>
      <c r="AM3" s="18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3.15" customHeight="1">
      <c r="A4" s="56"/>
      <c r="B4" s="175"/>
      <c r="C4" s="176" t="str">
        <f>Rollover!A4</f>
        <v>Honda</v>
      </c>
      <c r="D4" s="9" t="str">
        <f>Rollover!B4</f>
        <v>Civic Hatchback FWD</v>
      </c>
      <c r="E4" s="9"/>
      <c r="F4" s="177">
        <f>Rollover!C4</f>
        <v>2023</v>
      </c>
      <c r="G4" s="10"/>
      <c r="H4" s="11"/>
      <c r="I4" s="11"/>
      <c r="J4" s="11"/>
      <c r="K4" s="12"/>
      <c r="L4" s="10"/>
      <c r="M4" s="11"/>
      <c r="N4" s="11"/>
      <c r="O4" s="11"/>
      <c r="P4" s="12"/>
      <c r="Q4" s="21" t="e">
        <f t="shared" si="0"/>
        <v>#NUM!</v>
      </c>
      <c r="R4" s="6">
        <f t="shared" si="1"/>
        <v>4.5435171224880964E-3</v>
      </c>
      <c r="S4" s="6">
        <f t="shared" si="2"/>
        <v>2.3748578822706131E-3</v>
      </c>
      <c r="T4" s="22">
        <f t="shared" si="3"/>
        <v>5.0175335722563109E-4</v>
      </c>
      <c r="U4" s="21" t="e">
        <f t="shared" si="4"/>
        <v>#NUM!</v>
      </c>
      <c r="V4" s="22">
        <f t="shared" si="5"/>
        <v>1.8229037773026034E-3</v>
      </c>
      <c r="W4" s="21" t="e">
        <f t="shared" si="6"/>
        <v>#NUM!</v>
      </c>
      <c r="X4" s="6" t="e">
        <f t="shared" si="7"/>
        <v>#NUM!</v>
      </c>
      <c r="Y4" s="22" t="e">
        <f t="shared" si="8"/>
        <v>#NUM!</v>
      </c>
      <c r="Z4" s="23" t="e">
        <f t="shared" si="9"/>
        <v>#NUM!</v>
      </c>
      <c r="AA4" s="178" t="e">
        <f t="shared" si="10"/>
        <v>#NUM!</v>
      </c>
      <c r="AB4" s="24" t="e">
        <f t="shared" si="11"/>
        <v>#NUM!</v>
      </c>
      <c r="AC4" s="19" t="e">
        <f t="shared" si="12"/>
        <v>#NUM!</v>
      </c>
      <c r="AD4" s="86" t="e">
        <f t="shared" si="13"/>
        <v>#NUM!</v>
      </c>
      <c r="AE4" s="20" t="e">
        <f t="shared" si="14"/>
        <v>#NUM!</v>
      </c>
      <c r="AF4" s="13"/>
      <c r="AG4" s="15"/>
      <c r="AH4" s="15"/>
      <c r="AI4" s="15"/>
      <c r="AJ4" s="15"/>
      <c r="AK4" s="14"/>
      <c r="AL4" s="14"/>
      <c r="AM4" s="14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>
      <c r="A5" s="56"/>
      <c r="B5" s="175"/>
      <c r="C5" s="176" t="str">
        <f>Rollover!A5</f>
        <v>Honda</v>
      </c>
      <c r="D5" s="9" t="str">
        <f>Rollover!B5</f>
        <v>Civic Hatchback Typer R FWD</v>
      </c>
      <c r="E5" s="9"/>
      <c r="F5" s="177">
        <f>Rollover!C5</f>
        <v>2023</v>
      </c>
      <c r="G5" s="10"/>
      <c r="H5" s="11"/>
      <c r="I5" s="11"/>
      <c r="J5" s="11"/>
      <c r="K5" s="12"/>
      <c r="L5" s="10"/>
      <c r="M5" s="11"/>
      <c r="N5" s="11"/>
      <c r="O5" s="11"/>
      <c r="P5" s="12"/>
      <c r="Q5" s="21" t="e">
        <f t="shared" si="0"/>
        <v>#NUM!</v>
      </c>
      <c r="R5" s="6">
        <f t="shared" si="1"/>
        <v>4.5435171224880964E-3</v>
      </c>
      <c r="S5" s="6">
        <f t="shared" si="2"/>
        <v>2.3748578822706131E-3</v>
      </c>
      <c r="T5" s="22">
        <f t="shared" si="3"/>
        <v>5.0175335722563109E-4</v>
      </c>
      <c r="U5" s="21" t="e">
        <f t="shared" si="4"/>
        <v>#NUM!</v>
      </c>
      <c r="V5" s="22">
        <f t="shared" si="5"/>
        <v>1.8229037773026034E-3</v>
      </c>
      <c r="W5" s="21" t="e">
        <f t="shared" si="6"/>
        <v>#NUM!</v>
      </c>
      <c r="X5" s="6" t="e">
        <f t="shared" si="7"/>
        <v>#NUM!</v>
      </c>
      <c r="Y5" s="22" t="e">
        <f t="shared" si="8"/>
        <v>#NUM!</v>
      </c>
      <c r="Z5" s="23" t="e">
        <f t="shared" si="9"/>
        <v>#NUM!</v>
      </c>
      <c r="AA5" s="178" t="e">
        <f t="shared" si="10"/>
        <v>#NUM!</v>
      </c>
      <c r="AB5" s="24" t="e">
        <f t="shared" si="11"/>
        <v>#NUM!</v>
      </c>
      <c r="AC5" s="19" t="e">
        <f t="shared" si="12"/>
        <v>#NUM!</v>
      </c>
      <c r="AD5" s="86" t="e">
        <f t="shared" si="13"/>
        <v>#NUM!</v>
      </c>
      <c r="AE5" s="20" t="e">
        <f t="shared" si="14"/>
        <v>#NUM!</v>
      </c>
      <c r="AF5" s="13"/>
      <c r="AG5" s="15"/>
      <c r="AH5" s="15"/>
      <c r="AI5" s="15"/>
      <c r="AJ5" s="15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3.15" customHeight="1">
      <c r="A6" s="56"/>
      <c r="B6" s="175"/>
      <c r="C6" s="176" t="str">
        <f>Rollover!A6</f>
        <v>Honda</v>
      </c>
      <c r="D6" s="9" t="str">
        <f>Rollover!B6</f>
        <v>Civic Sedan FWD</v>
      </c>
      <c r="E6" s="9"/>
      <c r="F6" s="177">
        <f>Rollover!C6</f>
        <v>2023</v>
      </c>
      <c r="G6" s="10"/>
      <c r="H6" s="11"/>
      <c r="I6" s="11"/>
      <c r="J6" s="11"/>
      <c r="K6" s="12"/>
      <c r="L6" s="10"/>
      <c r="M6" s="11"/>
      <c r="N6" s="11"/>
      <c r="O6" s="11"/>
      <c r="P6" s="12"/>
      <c r="Q6" s="21" t="e">
        <f t="shared" si="0"/>
        <v>#NUM!</v>
      </c>
      <c r="R6" s="6">
        <f t="shared" si="1"/>
        <v>4.5435171224880964E-3</v>
      </c>
      <c r="S6" s="6">
        <f t="shared" si="2"/>
        <v>2.3748578822706131E-3</v>
      </c>
      <c r="T6" s="22">
        <f t="shared" si="3"/>
        <v>5.0175335722563109E-4</v>
      </c>
      <c r="U6" s="21" t="e">
        <f t="shared" si="4"/>
        <v>#NUM!</v>
      </c>
      <c r="V6" s="22">
        <f t="shared" si="5"/>
        <v>1.8229037773026034E-3</v>
      </c>
      <c r="W6" s="21" t="e">
        <f t="shared" si="6"/>
        <v>#NUM!</v>
      </c>
      <c r="X6" s="6" t="e">
        <f t="shared" si="7"/>
        <v>#NUM!</v>
      </c>
      <c r="Y6" s="22" t="e">
        <f t="shared" si="8"/>
        <v>#NUM!</v>
      </c>
      <c r="Z6" s="23" t="e">
        <f t="shared" si="9"/>
        <v>#NUM!</v>
      </c>
      <c r="AA6" s="178" t="e">
        <f t="shared" si="10"/>
        <v>#NUM!</v>
      </c>
      <c r="AB6" s="24" t="e">
        <f t="shared" si="11"/>
        <v>#NUM!</v>
      </c>
      <c r="AC6" s="19" t="e">
        <f t="shared" si="12"/>
        <v>#NUM!</v>
      </c>
      <c r="AD6" s="86" t="e">
        <f t="shared" si="13"/>
        <v>#NUM!</v>
      </c>
      <c r="AE6" s="20" t="e">
        <f t="shared" si="14"/>
        <v>#NUM!</v>
      </c>
      <c r="AF6" s="13"/>
      <c r="AG6" s="15"/>
      <c r="AH6" s="15"/>
      <c r="AI6" s="15"/>
      <c r="AJ6" s="15"/>
      <c r="AK6" s="14"/>
      <c r="AL6" s="14"/>
      <c r="AM6" s="14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>
      <c r="AE7" s="2"/>
    </row>
    <row r="8" spans="1:50">
      <c r="AE8" s="2"/>
    </row>
    <row r="9" spans="1:50">
      <c r="AE9" s="2"/>
    </row>
    <row r="10" spans="1:50">
      <c r="AE10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"/>
  <sheetViews>
    <sheetView zoomScaleNormal="100" workbookViewId="0">
      <pane xSplit="6" ySplit="2" topLeftCell="G3" activePane="bottomRight" state="frozen"/>
      <selection activeCell="B12" sqref="B12"/>
      <selection pane="topRight" activeCell="B12" sqref="B12"/>
      <selection pane="bottomLeft" activeCell="B12" sqref="B12"/>
      <selection pane="bottomRight" activeCell="A2" sqref="A2"/>
    </sheetView>
  </sheetViews>
  <sheetFormatPr defaultColWidth="9.140625" defaultRowHeight="13.9" customHeight="1"/>
  <cols>
    <col min="1" max="1" width="8.5703125" style="152" bestFit="1" customWidth="1"/>
    <col min="2" max="2" width="9" style="152" bestFit="1" customWidth="1"/>
    <col min="3" max="3" width="12" style="153" bestFit="1" customWidth="1"/>
    <col min="4" max="4" width="27.28515625" style="153" customWidth="1"/>
    <col min="5" max="5" width="6.5703125" style="154" customWidth="1"/>
    <col min="6" max="6" width="7.42578125" style="155" bestFit="1" customWidth="1"/>
    <col min="7" max="10" width="8.7109375" style="150" customWidth="1"/>
    <col min="11" max="11" width="9.85546875" style="150" customWidth="1"/>
    <col min="12" max="12" width="7" style="150" customWidth="1"/>
    <col min="13" max="13" width="7.42578125" style="150" customWidth="1"/>
    <col min="14" max="14" width="7.85546875" style="156" customWidth="1"/>
    <col min="15" max="15" width="8.5703125" style="156" bestFit="1" customWidth="1"/>
    <col min="16" max="16" width="8.28515625" style="157" customWidth="1"/>
    <col min="17" max="17" width="9.28515625" style="156" customWidth="1"/>
    <col min="18" max="18" width="10.140625" style="150" customWidth="1"/>
    <col min="19" max="19" width="6" style="152" customWidth="1"/>
    <col min="20" max="20" width="10.28515625" style="152" bestFit="1" customWidth="1"/>
    <col min="21" max="21" width="10.140625" style="152" customWidth="1"/>
    <col min="22" max="22" width="10.28515625" style="152" bestFit="1" customWidth="1"/>
    <col min="23" max="16384" width="9.140625" style="150"/>
  </cols>
  <sheetData>
    <row r="1" spans="1:38" s="139" customFormat="1" ht="13.9" customHeight="1" thickBot="1">
      <c r="A1" s="126"/>
      <c r="B1" s="127"/>
      <c r="C1" s="128"/>
      <c r="D1" s="128"/>
      <c r="E1" s="129"/>
      <c r="F1" s="130"/>
      <c r="G1" s="131" t="s">
        <v>73</v>
      </c>
      <c r="H1" s="132"/>
      <c r="I1" s="132"/>
      <c r="J1" s="132"/>
      <c r="K1" s="133"/>
      <c r="L1" s="134" t="s">
        <v>73</v>
      </c>
      <c r="M1" s="135"/>
      <c r="N1" s="136" t="s">
        <v>23</v>
      </c>
      <c r="O1" s="137" t="s">
        <v>23</v>
      </c>
      <c r="P1" s="37" t="s">
        <v>74</v>
      </c>
      <c r="Q1" s="138" t="s">
        <v>23</v>
      </c>
      <c r="R1" s="75" t="s">
        <v>23</v>
      </c>
      <c r="S1" s="36" t="s">
        <v>23</v>
      </c>
      <c r="T1" s="36" t="s">
        <v>75</v>
      </c>
      <c r="U1" s="36" t="s">
        <v>76</v>
      </c>
      <c r="V1" s="37" t="s">
        <v>75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45" customFormat="1" ht="45.75" thickBot="1">
      <c r="A2" s="35" t="s">
        <v>27</v>
      </c>
      <c r="B2" s="36" t="s">
        <v>28</v>
      </c>
      <c r="C2" s="140" t="s">
        <v>1</v>
      </c>
      <c r="D2" s="140" t="s">
        <v>2</v>
      </c>
      <c r="E2" s="141" t="s">
        <v>29</v>
      </c>
      <c r="F2" s="142" t="s">
        <v>3</v>
      </c>
      <c r="G2" s="143" t="s">
        <v>60</v>
      </c>
      <c r="H2" s="80" t="s">
        <v>77</v>
      </c>
      <c r="I2" s="80" t="s">
        <v>78</v>
      </c>
      <c r="J2" s="80" t="s">
        <v>79</v>
      </c>
      <c r="K2" s="144" t="s">
        <v>66</v>
      </c>
      <c r="L2" s="76" t="s">
        <v>67</v>
      </c>
      <c r="M2" s="77" t="s">
        <v>69</v>
      </c>
      <c r="N2" s="76" t="s">
        <v>70</v>
      </c>
      <c r="O2" s="78" t="s">
        <v>80</v>
      </c>
      <c r="P2" s="27" t="s">
        <v>10</v>
      </c>
      <c r="Q2" s="79" t="s">
        <v>81</v>
      </c>
      <c r="R2" s="80" t="s">
        <v>82</v>
      </c>
      <c r="S2" s="81" t="s">
        <v>83</v>
      </c>
      <c r="T2" s="80" t="s">
        <v>84</v>
      </c>
      <c r="U2" s="80" t="s">
        <v>85</v>
      </c>
      <c r="V2" s="39" t="s">
        <v>86</v>
      </c>
      <c r="W2" s="5"/>
      <c r="X2" s="5"/>
      <c r="Y2" s="40"/>
      <c r="Z2" s="40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3.9" customHeight="1">
      <c r="A3" s="146">
        <v>14260</v>
      </c>
      <c r="B3" s="147" t="s">
        <v>87</v>
      </c>
      <c r="C3" s="148" t="str">
        <f>Rollover!A3</f>
        <v>Acura</v>
      </c>
      <c r="D3" s="148" t="str">
        <f>Rollover!B3</f>
        <v>Integra 5 HB FWD</v>
      </c>
      <c r="E3" s="59" t="s">
        <v>52</v>
      </c>
      <c r="F3" s="149">
        <f>Rollover!C3</f>
        <v>2023</v>
      </c>
      <c r="G3" s="82">
        <v>235.989</v>
      </c>
      <c r="H3" s="11">
        <v>19.187000000000001</v>
      </c>
      <c r="I3" s="11">
        <v>45.485999999999997</v>
      </c>
      <c r="J3" s="83">
        <v>21.614999999999998</v>
      </c>
      <c r="K3" s="12">
        <v>2871.9740000000002</v>
      </c>
      <c r="L3" s="21">
        <f>NORMDIST(LN(G3),7.45231,0.73998,1)</f>
        <v>3.6019529688484063E-3</v>
      </c>
      <c r="M3" s="22">
        <f t="shared" ref="M3:M6" si="0">1/(1+EXP(6.3055-0.00094*K3))</f>
        <v>2.6446101315489901E-2</v>
      </c>
      <c r="N3" s="21">
        <f t="shared" ref="N3:N6" si="1">ROUND(1-(1-L3)*(1-M3),3)</f>
        <v>0.03</v>
      </c>
      <c r="O3" s="6">
        <f t="shared" ref="O3:O6" si="2">ROUND(N3/0.15,2)</f>
        <v>0.2</v>
      </c>
      <c r="P3" s="20">
        <f t="shared" ref="P3:P6" si="3">IF(O3&lt;0.67,5,IF(O3&lt;1,4,IF(O3&lt;1.33,3,IF(O3&lt;2.67,2,1))))</f>
        <v>5</v>
      </c>
      <c r="Q3" s="84">
        <f>ROUND((0.8*'Side MDB'!W3+0.2*'Side Pole'!N3),3)</f>
        <v>5.5E-2</v>
      </c>
      <c r="R3" s="85">
        <f t="shared" ref="R3:R6" si="4">ROUND((Q3)/0.15,2)</f>
        <v>0.37</v>
      </c>
      <c r="S3" s="86">
        <f t="shared" ref="S3:S6" si="5">IF(R3&lt;0.67,5,IF(R3&lt;1,4,IF(R3&lt;1.33,3,IF(R3&lt;2.67,2,1))))</f>
        <v>5</v>
      </c>
      <c r="T3" s="85">
        <f>ROUND(((0.8*'Side MDB'!W3+0.2*'Side Pole'!N3)+(IF('Side MDB'!X3="N/A",(0.8*'Side MDB'!W3+0.2*'Side Pole'!N3),'Side MDB'!X3)))/2,3)</f>
        <v>3.6999999999999998E-2</v>
      </c>
      <c r="U3" s="85">
        <f t="shared" ref="U3:U6" si="6">ROUND((T3)/0.15,2)</f>
        <v>0.25</v>
      </c>
      <c r="V3" s="20">
        <f t="shared" ref="V3:V6" si="7">IF(U3&lt;0.67,5,IF(U3&lt;1,4,IF(U3&lt;1.33,3,IF(U3&lt;2.67,2,1))))</f>
        <v>5</v>
      </c>
      <c r="W3" s="15"/>
      <c r="X3" s="15"/>
      <c r="Y3" s="71"/>
      <c r="Z3" s="71"/>
      <c r="AA3" s="71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3.9" customHeight="1">
      <c r="A4" s="146"/>
      <c r="B4" s="147"/>
      <c r="C4" s="151" t="str">
        <f>Rollover!A4</f>
        <v>Honda</v>
      </c>
      <c r="D4" s="151" t="str">
        <f>Rollover!B4</f>
        <v>Civic Hatchback FWD</v>
      </c>
      <c r="E4" s="59"/>
      <c r="F4" s="149">
        <f>Rollover!C4</f>
        <v>2023</v>
      </c>
      <c r="G4" s="82"/>
      <c r="H4" s="11"/>
      <c r="I4" s="11"/>
      <c r="J4" s="83"/>
      <c r="K4" s="12"/>
      <c r="L4" s="21" t="e">
        <f t="shared" ref="L4" si="8">NORMDIST(LN(G4),7.45231,0.73998,1)</f>
        <v>#NUM!</v>
      </c>
      <c r="M4" s="22">
        <f t="shared" si="0"/>
        <v>1.8229037773026034E-3</v>
      </c>
      <c r="N4" s="21" t="e">
        <f t="shared" si="1"/>
        <v>#NUM!</v>
      </c>
      <c r="O4" s="6" t="e">
        <f t="shared" si="2"/>
        <v>#NUM!</v>
      </c>
      <c r="P4" s="20" t="e">
        <f t="shared" si="3"/>
        <v>#NUM!</v>
      </c>
      <c r="Q4" s="84" t="e">
        <f>ROUND((0.8*'Side MDB'!W4+0.2*'Side Pole'!N4),3)</f>
        <v>#NUM!</v>
      </c>
      <c r="R4" s="85" t="e">
        <f t="shared" si="4"/>
        <v>#NUM!</v>
      </c>
      <c r="S4" s="86" t="e">
        <f t="shared" si="5"/>
        <v>#NUM!</v>
      </c>
      <c r="T4" s="85" t="e">
        <f>ROUND(((0.8*'Side MDB'!W4+0.2*'Side Pole'!N4)+(IF('Side MDB'!X4="N/A",(0.8*'Side MDB'!W4+0.2*'Side Pole'!N4),'Side MDB'!X4)))/2,3)</f>
        <v>#NUM!</v>
      </c>
      <c r="U4" s="85" t="e">
        <f t="shared" si="6"/>
        <v>#NUM!</v>
      </c>
      <c r="V4" s="20" t="e">
        <f t="shared" si="7"/>
        <v>#NUM!</v>
      </c>
      <c r="W4" s="15"/>
      <c r="X4" s="15"/>
      <c r="Y4" s="71"/>
      <c r="Z4" s="71"/>
      <c r="AA4" s="71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8" ht="13.9" customHeight="1">
      <c r="A5" s="146"/>
      <c r="B5" s="147"/>
      <c r="C5" s="151" t="str">
        <f>Rollover!A5</f>
        <v>Honda</v>
      </c>
      <c r="D5" s="151" t="str">
        <f>Rollover!B5</f>
        <v>Civic Hatchback Typer R FWD</v>
      </c>
      <c r="E5" s="59"/>
      <c r="F5" s="149">
        <f>Rollover!C5</f>
        <v>2023</v>
      </c>
      <c r="G5" s="82"/>
      <c r="H5" s="11"/>
      <c r="I5" s="11"/>
      <c r="J5" s="83"/>
      <c r="K5" s="12"/>
      <c r="L5" s="21" t="e">
        <f t="shared" ref="L5:L6" si="9">NORMDIST(LN(G5),7.45231,0.73998,1)</f>
        <v>#NUM!</v>
      </c>
      <c r="M5" s="22">
        <f t="shared" si="0"/>
        <v>1.8229037773026034E-3</v>
      </c>
      <c r="N5" s="21" t="e">
        <f t="shared" si="1"/>
        <v>#NUM!</v>
      </c>
      <c r="O5" s="6" t="e">
        <f t="shared" si="2"/>
        <v>#NUM!</v>
      </c>
      <c r="P5" s="20" t="e">
        <f t="shared" si="3"/>
        <v>#NUM!</v>
      </c>
      <c r="Q5" s="84" t="e">
        <f>ROUND((0.8*'Side MDB'!W5+0.2*'Side Pole'!N5),3)</f>
        <v>#NUM!</v>
      </c>
      <c r="R5" s="85" t="e">
        <f t="shared" si="4"/>
        <v>#NUM!</v>
      </c>
      <c r="S5" s="86" t="e">
        <f t="shared" si="5"/>
        <v>#NUM!</v>
      </c>
      <c r="T5" s="85" t="e">
        <f>ROUND(((0.8*'Side MDB'!W5+0.2*'Side Pole'!N5)+(IF('Side MDB'!X5="N/A",(0.8*'Side MDB'!W5+0.2*'Side Pole'!N5),'Side MDB'!X5)))/2,3)</f>
        <v>#NUM!</v>
      </c>
      <c r="U5" s="85" t="e">
        <f t="shared" si="6"/>
        <v>#NUM!</v>
      </c>
      <c r="V5" s="20" t="e">
        <f t="shared" si="7"/>
        <v>#NUM!</v>
      </c>
      <c r="W5" s="15"/>
      <c r="X5" s="15"/>
      <c r="Y5" s="71"/>
      <c r="Z5" s="71"/>
      <c r="AA5" s="71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8" ht="13.9" customHeight="1">
      <c r="A6" s="146"/>
      <c r="B6" s="147"/>
      <c r="C6" s="151" t="str">
        <f>Rollover!A6</f>
        <v>Honda</v>
      </c>
      <c r="D6" s="151" t="str">
        <f>Rollover!B6</f>
        <v>Civic Sedan FWD</v>
      </c>
      <c r="E6" s="59"/>
      <c r="F6" s="149">
        <f>Rollover!C6</f>
        <v>2023</v>
      </c>
      <c r="G6" s="82"/>
      <c r="H6" s="11"/>
      <c r="I6" s="11"/>
      <c r="J6" s="83"/>
      <c r="K6" s="12"/>
      <c r="L6" s="21" t="e">
        <f t="shared" si="9"/>
        <v>#NUM!</v>
      </c>
      <c r="M6" s="22">
        <f t="shared" si="0"/>
        <v>1.8229037773026034E-3</v>
      </c>
      <c r="N6" s="21" t="e">
        <f t="shared" si="1"/>
        <v>#NUM!</v>
      </c>
      <c r="O6" s="6" t="e">
        <f t="shared" si="2"/>
        <v>#NUM!</v>
      </c>
      <c r="P6" s="20" t="e">
        <f t="shared" si="3"/>
        <v>#NUM!</v>
      </c>
      <c r="Q6" s="84" t="e">
        <f>ROUND((0.8*'Side MDB'!W6+0.2*'Side Pole'!N6),3)</f>
        <v>#NUM!</v>
      </c>
      <c r="R6" s="85" t="e">
        <f t="shared" si="4"/>
        <v>#NUM!</v>
      </c>
      <c r="S6" s="86" t="e">
        <f t="shared" si="5"/>
        <v>#NUM!</v>
      </c>
      <c r="T6" s="85" t="e">
        <f>ROUND(((0.8*'Side MDB'!W6+0.2*'Side Pole'!N6)+(IF('Side MDB'!X6="N/A",(0.8*'Side MDB'!W6+0.2*'Side Pole'!N6),'Side MDB'!X6)))/2,3)</f>
        <v>#NUM!</v>
      </c>
      <c r="U6" s="85" t="e">
        <f t="shared" si="6"/>
        <v>#NUM!</v>
      </c>
      <c r="V6" s="20" t="e">
        <f t="shared" si="7"/>
        <v>#NUM!</v>
      </c>
      <c r="W6" s="15"/>
      <c r="X6" s="15"/>
      <c r="Y6" s="71"/>
      <c r="Z6" s="71"/>
      <c r="AA6" s="71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</sheetData>
  <mergeCells count="2">
    <mergeCell ref="G1:K1"/>
    <mergeCell ref="L1:M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tabSelected="1" zoomScale="115" zoomScaleNormal="115" workbookViewId="0">
      <pane xSplit="4" ySplit="2" topLeftCell="E3" activePane="bottomRight" state="frozen"/>
      <selection activeCell="B12" sqref="B12"/>
      <selection pane="topRight" activeCell="B12" sqref="B12"/>
      <selection pane="bottomLeft" activeCell="B12" sqref="B12"/>
      <selection pane="bottomRight" activeCell="I29" sqref="I29"/>
    </sheetView>
  </sheetViews>
  <sheetFormatPr defaultColWidth="9.140625" defaultRowHeight="14.45" customHeight="1"/>
  <cols>
    <col min="1" max="1" width="9.28515625" style="120" customWidth="1"/>
    <col min="2" max="2" width="12.85546875" style="121" customWidth="1"/>
    <col min="3" max="3" width="29.5703125" style="121" customWidth="1"/>
    <col min="4" max="4" width="5.85546875" style="121" customWidth="1"/>
    <col min="5" max="5" width="6.140625" style="122" customWidth="1"/>
    <col min="6" max="6" width="5.42578125" style="123" customWidth="1"/>
    <col min="7" max="7" width="6.28515625" style="123" customWidth="1"/>
    <col min="8" max="8" width="6.42578125" style="123" customWidth="1"/>
    <col min="9" max="9" width="5.7109375" style="123" bestFit="1" customWidth="1"/>
    <col min="10" max="10" width="7.140625" style="123" customWidth="1"/>
    <col min="11" max="12" width="9.28515625" style="124" customWidth="1"/>
    <col min="13" max="13" width="10" style="124" customWidth="1"/>
    <col min="14" max="14" width="7.42578125" style="122" customWidth="1"/>
    <col min="15" max="15" width="9" style="125" customWidth="1"/>
    <col min="16" max="16" width="9.7109375" style="120" customWidth="1"/>
    <col min="17" max="16384" width="9.140625" style="120"/>
  </cols>
  <sheetData>
    <row r="1" spans="1:16" s="105" customFormat="1" ht="24" customHeight="1">
      <c r="A1" s="93" t="s">
        <v>88</v>
      </c>
      <c r="B1" s="94"/>
      <c r="C1" s="94"/>
      <c r="D1" s="95"/>
      <c r="E1" s="96" t="s">
        <v>89</v>
      </c>
      <c r="F1" s="97"/>
      <c r="G1" s="98"/>
      <c r="H1" s="96" t="s">
        <v>90</v>
      </c>
      <c r="I1" s="99"/>
      <c r="J1" s="100"/>
      <c r="K1" s="101" t="s">
        <v>91</v>
      </c>
      <c r="L1" s="101" t="s">
        <v>92</v>
      </c>
      <c r="M1" s="101" t="s">
        <v>93</v>
      </c>
      <c r="N1" s="102" t="s">
        <v>94</v>
      </c>
      <c r="O1" s="103" t="s">
        <v>57</v>
      </c>
      <c r="P1" s="104" t="s">
        <v>57</v>
      </c>
    </row>
    <row r="2" spans="1:16" s="66" customFormat="1" ht="19.899999999999999" customHeight="1" thickBot="1">
      <c r="A2" s="106"/>
      <c r="B2" s="107" t="s">
        <v>1</v>
      </c>
      <c r="C2" s="107" t="s">
        <v>2</v>
      </c>
      <c r="D2" s="108" t="s">
        <v>3</v>
      </c>
      <c r="E2" s="109" t="s">
        <v>23</v>
      </c>
      <c r="F2" s="107" t="s">
        <v>95</v>
      </c>
      <c r="G2" s="110" t="s">
        <v>58</v>
      </c>
      <c r="H2" s="109" t="s">
        <v>23</v>
      </c>
      <c r="I2" s="107" t="s">
        <v>95</v>
      </c>
      <c r="J2" s="110" t="s">
        <v>58</v>
      </c>
      <c r="K2" s="111" t="s">
        <v>23</v>
      </c>
      <c r="L2" s="111" t="s">
        <v>23</v>
      </c>
      <c r="M2" s="111" t="s">
        <v>57</v>
      </c>
      <c r="N2" s="112" t="s">
        <v>96</v>
      </c>
      <c r="O2" s="113" t="s">
        <v>97</v>
      </c>
      <c r="P2" s="114" t="s">
        <v>96</v>
      </c>
    </row>
    <row r="3" spans="1:16" ht="14.45" customHeight="1">
      <c r="A3" s="115">
        <v>45035</v>
      </c>
      <c r="B3" s="42" t="str">
        <f>Rollover!A3</f>
        <v>Acura</v>
      </c>
      <c r="C3" s="42" t="str">
        <f>Rollover!B3</f>
        <v>Integra 5 HB FWD</v>
      </c>
      <c r="D3" s="9">
        <f>Rollover!C3</f>
        <v>2023</v>
      </c>
      <c r="E3" s="19">
        <f>Front!AW3</f>
        <v>5</v>
      </c>
      <c r="F3" s="42">
        <f>Front!AX3</f>
        <v>5</v>
      </c>
      <c r="G3" s="42">
        <f>Front!AY3</f>
        <v>5</v>
      </c>
      <c r="H3" s="19">
        <f>'Side MDB'!AC3</f>
        <v>5</v>
      </c>
      <c r="I3" s="19">
        <f>'Side MDB'!AD3</f>
        <v>5</v>
      </c>
      <c r="J3" s="19">
        <f>'Side MDB'!AE3</f>
        <v>5</v>
      </c>
      <c r="K3" s="116">
        <f>'Side Pole'!P3</f>
        <v>5</v>
      </c>
      <c r="L3" s="116">
        <f>'Side Pole'!S3</f>
        <v>5</v>
      </c>
      <c r="M3" s="116">
        <f>'Side Pole'!V3</f>
        <v>5</v>
      </c>
      <c r="N3" s="117">
        <f>Rollover!J3</f>
        <v>5</v>
      </c>
      <c r="O3" s="118">
        <f>ROUND(5/12*Front!AV3+4/12*'Side Pole'!U3+3/12*Rollover!I3,2)</f>
        <v>0.49</v>
      </c>
      <c r="P3" s="119">
        <f t="shared" ref="P3:P6" si="0">IF(O3&lt;0.67,5,IF(O3&lt;1,4,IF(O3&lt;1.33,3,IF(O3&lt;2.67,2,1))))</f>
        <v>5</v>
      </c>
    </row>
    <row r="4" spans="1:16" ht="14.45" customHeight="1">
      <c r="A4" s="115">
        <v>45035</v>
      </c>
      <c r="B4" s="9" t="str">
        <f>Rollover!A4</f>
        <v>Honda</v>
      </c>
      <c r="C4" s="9" t="str">
        <f>Rollover!B4</f>
        <v>Civic Hatchback FWD</v>
      </c>
      <c r="D4" s="9">
        <f>Rollover!C4</f>
        <v>2023</v>
      </c>
      <c r="E4" s="19" t="e">
        <f>Front!AW4</f>
        <v>#NUM!</v>
      </c>
      <c r="F4" s="42" t="e">
        <f>Front!AX4</f>
        <v>#NUM!</v>
      </c>
      <c r="G4" s="42" t="e">
        <f>Front!AY4</f>
        <v>#NUM!</v>
      </c>
      <c r="H4" s="19" t="e">
        <f>'Side MDB'!AC4</f>
        <v>#NUM!</v>
      </c>
      <c r="I4" s="19" t="e">
        <f>'Side MDB'!AD4</f>
        <v>#NUM!</v>
      </c>
      <c r="J4" s="19" t="e">
        <f>'Side MDB'!AE4</f>
        <v>#NUM!</v>
      </c>
      <c r="K4" s="116" t="e">
        <f>'Side Pole'!P4</f>
        <v>#NUM!</v>
      </c>
      <c r="L4" s="116" t="e">
        <f>'Side Pole'!S4</f>
        <v>#NUM!</v>
      </c>
      <c r="M4" s="116" t="e">
        <f>'Side Pole'!V4</f>
        <v>#NUM!</v>
      </c>
      <c r="N4" s="117">
        <f>Rollover!J4</f>
        <v>5</v>
      </c>
      <c r="O4" s="118" t="e">
        <f>ROUND(5/12*Front!AV4+4/12*'Side Pole'!U4+3/12*Rollover!I4,2)</f>
        <v>#NUM!</v>
      </c>
      <c r="P4" s="119" t="e">
        <f t="shared" si="0"/>
        <v>#NUM!</v>
      </c>
    </row>
    <row r="5" spans="1:16" ht="14.45" customHeight="1">
      <c r="A5" s="115">
        <v>45035</v>
      </c>
      <c r="B5" s="9" t="str">
        <f>Rollover!A5</f>
        <v>Honda</v>
      </c>
      <c r="C5" s="9" t="str">
        <f>Rollover!B5</f>
        <v>Civic Hatchback Typer R FWD</v>
      </c>
      <c r="D5" s="9">
        <f>Rollover!C5</f>
        <v>2023</v>
      </c>
      <c r="E5" s="19" t="e">
        <f>Front!AW5</f>
        <v>#NUM!</v>
      </c>
      <c r="F5" s="42" t="e">
        <f>Front!AX5</f>
        <v>#NUM!</v>
      </c>
      <c r="G5" s="42" t="e">
        <f>Front!AY5</f>
        <v>#NUM!</v>
      </c>
      <c r="H5" s="19" t="e">
        <f>'Side MDB'!AC5</f>
        <v>#NUM!</v>
      </c>
      <c r="I5" s="19" t="e">
        <f>'Side MDB'!AD5</f>
        <v>#NUM!</v>
      </c>
      <c r="J5" s="19" t="e">
        <f>'Side MDB'!AE5</f>
        <v>#NUM!</v>
      </c>
      <c r="K5" s="116" t="e">
        <f>'Side Pole'!P5</f>
        <v>#NUM!</v>
      </c>
      <c r="L5" s="116" t="e">
        <f>'Side Pole'!S5</f>
        <v>#NUM!</v>
      </c>
      <c r="M5" s="116" t="e">
        <f>'Side Pole'!V5</f>
        <v>#NUM!</v>
      </c>
      <c r="N5" s="117">
        <f>Rollover!J5</f>
        <v>5</v>
      </c>
      <c r="O5" s="118" t="e">
        <f>ROUND(5/12*Front!AV5+4/12*'Side Pole'!U5+3/12*Rollover!I5,2)</f>
        <v>#NUM!</v>
      </c>
      <c r="P5" s="119" t="e">
        <f t="shared" si="0"/>
        <v>#NUM!</v>
      </c>
    </row>
    <row r="6" spans="1:16" ht="14.45" customHeight="1">
      <c r="A6" s="115">
        <v>45035</v>
      </c>
      <c r="B6" s="9" t="str">
        <f>Rollover!A6</f>
        <v>Honda</v>
      </c>
      <c r="C6" s="9" t="str">
        <f>Rollover!B6</f>
        <v>Civic Sedan FWD</v>
      </c>
      <c r="D6" s="9">
        <f>Rollover!C6</f>
        <v>2023</v>
      </c>
      <c r="E6" s="19" t="e">
        <f>Front!AW6</f>
        <v>#NUM!</v>
      </c>
      <c r="F6" s="42" t="e">
        <f>Front!AX6</f>
        <v>#NUM!</v>
      </c>
      <c r="G6" s="42" t="e">
        <f>Front!AY6</f>
        <v>#NUM!</v>
      </c>
      <c r="H6" s="19" t="e">
        <f>'Side MDB'!AC6</f>
        <v>#NUM!</v>
      </c>
      <c r="I6" s="19" t="e">
        <f>'Side MDB'!AD6</f>
        <v>#NUM!</v>
      </c>
      <c r="J6" s="19" t="e">
        <f>'Side MDB'!AE6</f>
        <v>#NUM!</v>
      </c>
      <c r="K6" s="116" t="e">
        <f>'Side Pole'!P6</f>
        <v>#NUM!</v>
      </c>
      <c r="L6" s="116" t="e">
        <f>'Side Pole'!S6</f>
        <v>#NUM!</v>
      </c>
      <c r="M6" s="116" t="e">
        <f>'Side Pole'!V6</f>
        <v>#NUM!</v>
      </c>
      <c r="N6" s="117">
        <f>Rollover!J6</f>
        <v>5</v>
      </c>
      <c r="O6" s="118" t="e">
        <f>ROUND(5/12*Front!AV6+4/12*'Side Pole'!U6+3/12*Rollover!I6,2)</f>
        <v>#NUM!</v>
      </c>
      <c r="P6" s="119" t="e">
        <f t="shared" si="0"/>
        <v>#NUM!</v>
      </c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2023-06-23T17:28:53Z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