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htsa-nvsfile.ad.dot.gov\NVS\data\Rulemaking\NCAPDATA\Web Database and media files\2022 web and docket data\"/>
    </mc:Choice>
  </mc:AlternateContent>
  <xr:revisionPtr revIDLastSave="0" documentId="8_{690427CD-0138-4AB1-8613-94BEFDBB30F7}" xr6:coauthVersionLast="47" xr6:coauthVersionMax="47" xr10:uidLastSave="{00000000-0000-0000-0000-000000000000}"/>
  <bookViews>
    <workbookView xWindow="2940" yWindow="360" windowWidth="31995" windowHeight="20100" tabRatio="462" activeTab="4" xr2:uid="{00000000-000D-0000-FFFF-FFFF00000000}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9" l="1"/>
  <c r="C12" i="29"/>
  <c r="D67" i="31"/>
  <c r="C67" i="31"/>
  <c r="B67" i="31"/>
  <c r="M67" i="29"/>
  <c r="L67" i="29"/>
  <c r="F67" i="29"/>
  <c r="D67" i="29"/>
  <c r="C67" i="29"/>
  <c r="V67" i="22"/>
  <c r="U67" i="22"/>
  <c r="T67" i="22"/>
  <c r="S67" i="22"/>
  <c r="R67" i="22"/>
  <c r="Q67" i="22"/>
  <c r="F67" i="22"/>
  <c r="D67" i="22"/>
  <c r="C67" i="22"/>
  <c r="AO67" i="21"/>
  <c r="AN67" i="21"/>
  <c r="AL67" i="21"/>
  <c r="AM67" i="21" s="1"/>
  <c r="AJ67" i="21"/>
  <c r="AI67" i="21"/>
  <c r="AH67" i="21"/>
  <c r="AG67" i="21"/>
  <c r="AE67" i="21"/>
  <c r="AD67" i="21"/>
  <c r="AB67" i="21"/>
  <c r="AC67" i="21" s="1"/>
  <c r="Z67" i="21"/>
  <c r="Y67" i="21"/>
  <c r="X67" i="21"/>
  <c r="W67" i="21"/>
  <c r="F67" i="21"/>
  <c r="D67" i="21"/>
  <c r="C67" i="21"/>
  <c r="G67" i="24"/>
  <c r="H67" i="24" s="1"/>
  <c r="I67" i="24" s="1"/>
  <c r="J67" i="24" s="1"/>
  <c r="N67" i="31" s="1"/>
  <c r="C37" i="31"/>
  <c r="N67" i="29" l="1"/>
  <c r="O67" i="29" s="1"/>
  <c r="P67" i="29" s="1"/>
  <c r="K67" i="31" s="1"/>
  <c r="AF67" i="21"/>
  <c r="X67" i="22"/>
  <c r="AA67" i="22" s="1"/>
  <c r="AD67" i="22" s="1"/>
  <c r="I67" i="31" s="1"/>
  <c r="AK67" i="21"/>
  <c r="W67" i="22"/>
  <c r="AP67" i="21"/>
  <c r="AA67" i="21"/>
  <c r="B22" i="31"/>
  <c r="C22" i="31"/>
  <c r="D22" i="31"/>
  <c r="B23" i="31"/>
  <c r="C23" i="31"/>
  <c r="D23" i="31"/>
  <c r="B24" i="31"/>
  <c r="C24" i="31"/>
  <c r="D24" i="31"/>
  <c r="B25" i="31"/>
  <c r="C25" i="31"/>
  <c r="D25" i="31"/>
  <c r="C22" i="29"/>
  <c r="D22" i="29"/>
  <c r="F22" i="29"/>
  <c r="L22" i="29"/>
  <c r="M22" i="29"/>
  <c r="C23" i="29"/>
  <c r="D23" i="29"/>
  <c r="F23" i="29"/>
  <c r="L23" i="29"/>
  <c r="M23" i="29"/>
  <c r="C24" i="29"/>
  <c r="D24" i="29"/>
  <c r="F24" i="29"/>
  <c r="L24" i="29"/>
  <c r="M24" i="29"/>
  <c r="C25" i="29"/>
  <c r="D25" i="29"/>
  <c r="F25" i="29"/>
  <c r="L25" i="29"/>
  <c r="M25" i="29"/>
  <c r="C22" i="22"/>
  <c r="D22" i="22"/>
  <c r="F22" i="22"/>
  <c r="Q22" i="22"/>
  <c r="R22" i="22"/>
  <c r="S22" i="22"/>
  <c r="T22" i="22"/>
  <c r="U22" i="22"/>
  <c r="V22" i="22"/>
  <c r="C23" i="22"/>
  <c r="D23" i="22"/>
  <c r="F23" i="22"/>
  <c r="Q23" i="22"/>
  <c r="R23" i="22"/>
  <c r="S23" i="22"/>
  <c r="T23" i="22"/>
  <c r="U23" i="22"/>
  <c r="V23" i="22"/>
  <c r="C24" i="22"/>
  <c r="D24" i="22"/>
  <c r="F24" i="22"/>
  <c r="Q24" i="22"/>
  <c r="R24" i="22"/>
  <c r="S24" i="22"/>
  <c r="T24" i="22"/>
  <c r="U24" i="22"/>
  <c r="V24" i="22"/>
  <c r="C25" i="22"/>
  <c r="D25" i="22"/>
  <c r="F25" i="22"/>
  <c r="Q25" i="22"/>
  <c r="R25" i="22"/>
  <c r="S25" i="22"/>
  <c r="T25" i="22"/>
  <c r="U25" i="22"/>
  <c r="V25" i="22"/>
  <c r="C22" i="21"/>
  <c r="D22" i="21"/>
  <c r="F22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C23" i="21"/>
  <c r="D23" i="21"/>
  <c r="F23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C24" i="21"/>
  <c r="D24" i="21"/>
  <c r="F24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G22" i="24"/>
  <c r="H22" i="24" s="1"/>
  <c r="I22" i="24" s="1"/>
  <c r="J22" i="24" s="1"/>
  <c r="N22" i="31" s="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38" i="24"/>
  <c r="H38" i="24" s="1"/>
  <c r="I38" i="24" s="1"/>
  <c r="G37" i="24"/>
  <c r="H37" i="24" s="1"/>
  <c r="I37" i="24" s="1"/>
  <c r="D38" i="31"/>
  <c r="C38" i="31"/>
  <c r="B38" i="31"/>
  <c r="D37" i="31"/>
  <c r="B37" i="31"/>
  <c r="M38" i="29"/>
  <c r="L38" i="29"/>
  <c r="F38" i="29"/>
  <c r="D38" i="29"/>
  <c r="C38" i="29"/>
  <c r="M37" i="29"/>
  <c r="L37" i="29"/>
  <c r="F37" i="29"/>
  <c r="D37" i="29"/>
  <c r="C37" i="29"/>
  <c r="V38" i="22"/>
  <c r="U38" i="22"/>
  <c r="T38" i="22"/>
  <c r="S38" i="22"/>
  <c r="R38" i="22"/>
  <c r="Q38" i="22"/>
  <c r="F38" i="22"/>
  <c r="D38" i="22"/>
  <c r="C38" i="22"/>
  <c r="V37" i="22"/>
  <c r="U37" i="22"/>
  <c r="T37" i="22"/>
  <c r="S37" i="22"/>
  <c r="R37" i="22"/>
  <c r="Q37" i="22"/>
  <c r="F37" i="22"/>
  <c r="D37" i="22"/>
  <c r="C37" i="22"/>
  <c r="AO38" i="21"/>
  <c r="AN38" i="21"/>
  <c r="AL38" i="21"/>
  <c r="AM38" i="21" s="1"/>
  <c r="AJ38" i="21"/>
  <c r="AI38" i="21"/>
  <c r="AH38" i="21"/>
  <c r="AG38" i="21"/>
  <c r="AE38" i="21"/>
  <c r="AD38" i="21"/>
  <c r="AB38" i="21"/>
  <c r="AC38" i="21" s="1"/>
  <c r="Z38" i="21"/>
  <c r="Y38" i="21"/>
  <c r="X38" i="21"/>
  <c r="W38" i="21"/>
  <c r="F38" i="21"/>
  <c r="D38" i="21"/>
  <c r="C38" i="21"/>
  <c r="AO37" i="21"/>
  <c r="AN37" i="21"/>
  <c r="AL37" i="21"/>
  <c r="AM37" i="21" s="1"/>
  <c r="AJ37" i="21"/>
  <c r="AI37" i="21"/>
  <c r="AH37" i="21"/>
  <c r="AG37" i="21"/>
  <c r="AE37" i="21"/>
  <c r="AD37" i="21"/>
  <c r="AB37" i="21"/>
  <c r="AC37" i="21" s="1"/>
  <c r="Z37" i="21"/>
  <c r="Y37" i="21"/>
  <c r="X37" i="21"/>
  <c r="W37" i="21"/>
  <c r="F37" i="21"/>
  <c r="D37" i="21"/>
  <c r="C37" i="21"/>
  <c r="G33" i="24"/>
  <c r="H33" i="24" s="1"/>
  <c r="I33" i="24" s="1"/>
  <c r="G32" i="24"/>
  <c r="H32" i="24" s="1"/>
  <c r="I32" i="24" s="1"/>
  <c r="G31" i="24"/>
  <c r="H31" i="24" s="1"/>
  <c r="I31" i="24" s="1"/>
  <c r="J31" i="24" s="1"/>
  <c r="N31" i="31" s="1"/>
  <c r="G30" i="24"/>
  <c r="H30" i="24" s="1"/>
  <c r="I30" i="24" s="1"/>
  <c r="G29" i="24"/>
  <c r="H29" i="24" s="1"/>
  <c r="I29" i="24" s="1"/>
  <c r="J29" i="24" s="1"/>
  <c r="N29" i="31" s="1"/>
  <c r="G28" i="24"/>
  <c r="H28" i="24" s="1"/>
  <c r="I28" i="24" s="1"/>
  <c r="G27" i="24"/>
  <c r="H27" i="24" s="1"/>
  <c r="I27" i="24" s="1"/>
  <c r="G26" i="24"/>
  <c r="H26" i="24" s="1"/>
  <c r="I26" i="24" s="1"/>
  <c r="G21" i="24"/>
  <c r="H21" i="24" s="1"/>
  <c r="I21" i="24" s="1"/>
  <c r="J21" i="24" s="1"/>
  <c r="N21" i="31" s="1"/>
  <c r="G20" i="24"/>
  <c r="H20" i="24" s="1"/>
  <c r="I20" i="24" s="1"/>
  <c r="G19" i="24"/>
  <c r="H19" i="24" s="1"/>
  <c r="I19" i="24" s="1"/>
  <c r="G18" i="24"/>
  <c r="H18" i="24" s="1"/>
  <c r="I18" i="24" s="1"/>
  <c r="D33" i="31"/>
  <c r="C33" i="31"/>
  <c r="B33" i="31"/>
  <c r="D32" i="31"/>
  <c r="C32" i="31"/>
  <c r="B32" i="31"/>
  <c r="D31" i="31"/>
  <c r="C31" i="31"/>
  <c r="B31" i="31"/>
  <c r="D30" i="31"/>
  <c r="C30" i="31"/>
  <c r="B30" i="31"/>
  <c r="D29" i="31"/>
  <c r="C29" i="31"/>
  <c r="B29" i="31"/>
  <c r="D28" i="31"/>
  <c r="C28" i="31"/>
  <c r="B28" i="31"/>
  <c r="D27" i="31"/>
  <c r="C27" i="31"/>
  <c r="B27" i="31"/>
  <c r="D26" i="31"/>
  <c r="C26" i="31"/>
  <c r="B26" i="31"/>
  <c r="D21" i="31"/>
  <c r="C21" i="31"/>
  <c r="B21" i="31"/>
  <c r="D20" i="31"/>
  <c r="C20" i="31"/>
  <c r="B20" i="31"/>
  <c r="D19" i="31"/>
  <c r="C19" i="31"/>
  <c r="B19" i="31"/>
  <c r="D18" i="31"/>
  <c r="C18" i="31"/>
  <c r="B18" i="31"/>
  <c r="M33" i="29"/>
  <c r="L33" i="29"/>
  <c r="F33" i="29"/>
  <c r="D33" i="29"/>
  <c r="C33" i="29"/>
  <c r="M32" i="29"/>
  <c r="L32" i="29"/>
  <c r="F32" i="29"/>
  <c r="D32" i="29"/>
  <c r="C32" i="29"/>
  <c r="M31" i="29"/>
  <c r="L31" i="29"/>
  <c r="F31" i="29"/>
  <c r="D31" i="29"/>
  <c r="C31" i="29"/>
  <c r="M30" i="29"/>
  <c r="L30" i="29"/>
  <c r="F30" i="29"/>
  <c r="D30" i="29"/>
  <c r="C30" i="29"/>
  <c r="M29" i="29"/>
  <c r="L29" i="29"/>
  <c r="F29" i="29"/>
  <c r="D29" i="29"/>
  <c r="C29" i="29"/>
  <c r="M28" i="29"/>
  <c r="L28" i="29"/>
  <c r="F28" i="29"/>
  <c r="D28" i="29"/>
  <c r="C28" i="29"/>
  <c r="M27" i="29"/>
  <c r="L27" i="29"/>
  <c r="F27" i="29"/>
  <c r="D27" i="29"/>
  <c r="C27" i="29"/>
  <c r="M26" i="29"/>
  <c r="L26" i="29"/>
  <c r="F26" i="29"/>
  <c r="D26" i="29"/>
  <c r="C26" i="29"/>
  <c r="M21" i="29"/>
  <c r="L21" i="29"/>
  <c r="F21" i="29"/>
  <c r="D21" i="29"/>
  <c r="C21" i="29"/>
  <c r="M20" i="29"/>
  <c r="L20" i="29"/>
  <c r="F20" i="29"/>
  <c r="D20" i="29"/>
  <c r="C20" i="29"/>
  <c r="M19" i="29"/>
  <c r="L19" i="29"/>
  <c r="F19" i="29"/>
  <c r="D19" i="29"/>
  <c r="C19" i="29"/>
  <c r="M18" i="29"/>
  <c r="L18" i="29"/>
  <c r="F18" i="29"/>
  <c r="D18" i="29"/>
  <c r="C18" i="29"/>
  <c r="V33" i="22"/>
  <c r="U33" i="22"/>
  <c r="T33" i="22"/>
  <c r="S33" i="22"/>
  <c r="R33" i="22"/>
  <c r="Q33" i="22"/>
  <c r="F33" i="22"/>
  <c r="D33" i="22"/>
  <c r="C33" i="22"/>
  <c r="V32" i="22"/>
  <c r="U32" i="22"/>
  <c r="T32" i="22"/>
  <c r="S32" i="22"/>
  <c r="R32" i="22"/>
  <c r="Q32" i="22"/>
  <c r="F32" i="22"/>
  <c r="D32" i="22"/>
  <c r="C32" i="22"/>
  <c r="V31" i="22"/>
  <c r="U31" i="22"/>
  <c r="T31" i="22"/>
  <c r="S31" i="22"/>
  <c r="R31" i="22"/>
  <c r="Q31" i="22"/>
  <c r="F31" i="22"/>
  <c r="D31" i="22"/>
  <c r="C31" i="22"/>
  <c r="V30" i="22"/>
  <c r="U30" i="22"/>
  <c r="T30" i="22"/>
  <c r="S30" i="22"/>
  <c r="R30" i="22"/>
  <c r="Q30" i="22"/>
  <c r="F30" i="22"/>
  <c r="D30" i="22"/>
  <c r="C30" i="22"/>
  <c r="V29" i="22"/>
  <c r="U29" i="22"/>
  <c r="T29" i="22"/>
  <c r="S29" i="22"/>
  <c r="R29" i="22"/>
  <c r="Q29" i="22"/>
  <c r="F29" i="22"/>
  <c r="D29" i="22"/>
  <c r="C29" i="22"/>
  <c r="V28" i="22"/>
  <c r="U28" i="22"/>
  <c r="T28" i="22"/>
  <c r="S28" i="22"/>
  <c r="R28" i="22"/>
  <c r="Q28" i="22"/>
  <c r="F28" i="22"/>
  <c r="D28" i="22"/>
  <c r="C28" i="22"/>
  <c r="V27" i="22"/>
  <c r="U27" i="22"/>
  <c r="T27" i="22"/>
  <c r="S27" i="22"/>
  <c r="R27" i="22"/>
  <c r="Q27" i="22"/>
  <c r="F27" i="22"/>
  <c r="D27" i="22"/>
  <c r="C27" i="22"/>
  <c r="V26" i="22"/>
  <c r="U26" i="22"/>
  <c r="T26" i="22"/>
  <c r="S26" i="22"/>
  <c r="R26" i="22"/>
  <c r="Q26" i="22"/>
  <c r="F26" i="22"/>
  <c r="D26" i="22"/>
  <c r="C26" i="22"/>
  <c r="V21" i="22"/>
  <c r="U21" i="22"/>
  <c r="T21" i="22"/>
  <c r="S21" i="22"/>
  <c r="R21" i="22"/>
  <c r="Q21" i="22"/>
  <c r="F21" i="22"/>
  <c r="D21" i="22"/>
  <c r="C21" i="22"/>
  <c r="V20" i="22"/>
  <c r="U20" i="22"/>
  <c r="T20" i="22"/>
  <c r="S20" i="22"/>
  <c r="R20" i="22"/>
  <c r="Q20" i="22"/>
  <c r="F20" i="22"/>
  <c r="D20" i="22"/>
  <c r="C20" i="22"/>
  <c r="V19" i="22"/>
  <c r="U19" i="22"/>
  <c r="T19" i="22"/>
  <c r="S19" i="22"/>
  <c r="R19" i="22"/>
  <c r="Q19" i="22"/>
  <c r="F19" i="22"/>
  <c r="D19" i="22"/>
  <c r="C19" i="22"/>
  <c r="V18" i="22"/>
  <c r="U18" i="22"/>
  <c r="T18" i="22"/>
  <c r="S18" i="22"/>
  <c r="R18" i="22"/>
  <c r="Q18" i="22"/>
  <c r="F18" i="22"/>
  <c r="D18" i="22"/>
  <c r="C18" i="22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D33" i="21"/>
  <c r="C33" i="21"/>
  <c r="AO32" i="21"/>
  <c r="AN32" i="21"/>
  <c r="AL32" i="21"/>
  <c r="AM32" i="21" s="1"/>
  <c r="AJ32" i="21"/>
  <c r="AI32" i="21"/>
  <c r="AH32" i="21"/>
  <c r="AG32" i="21"/>
  <c r="AE32" i="21"/>
  <c r="AD32" i="21"/>
  <c r="AB32" i="21"/>
  <c r="AC32" i="21" s="1"/>
  <c r="Z32" i="21"/>
  <c r="Y32" i="21"/>
  <c r="X32" i="21"/>
  <c r="W32" i="21"/>
  <c r="F32" i="21"/>
  <c r="D32" i="21"/>
  <c r="C32" i="21"/>
  <c r="AO31" i="21"/>
  <c r="AN31" i="21"/>
  <c r="AL31" i="21"/>
  <c r="AM31" i="21" s="1"/>
  <c r="AJ31" i="21"/>
  <c r="AI31" i="21"/>
  <c r="AH31" i="21"/>
  <c r="AG31" i="21"/>
  <c r="AE31" i="21"/>
  <c r="AD31" i="21"/>
  <c r="AB31" i="21"/>
  <c r="AC31" i="21" s="1"/>
  <c r="Z31" i="21"/>
  <c r="Y31" i="21"/>
  <c r="X31" i="21"/>
  <c r="W31" i="21"/>
  <c r="F31" i="21"/>
  <c r="D31" i="21"/>
  <c r="C31" i="21"/>
  <c r="AO30" i="21"/>
  <c r="AN30" i="21"/>
  <c r="AL30" i="21"/>
  <c r="AM30" i="21" s="1"/>
  <c r="AJ30" i="21"/>
  <c r="AI30" i="21"/>
  <c r="AH30" i="21"/>
  <c r="AG30" i="21"/>
  <c r="AE30" i="21"/>
  <c r="AD30" i="21"/>
  <c r="AB30" i="21"/>
  <c r="AC30" i="21" s="1"/>
  <c r="Z30" i="21"/>
  <c r="Y30" i="21"/>
  <c r="X30" i="21"/>
  <c r="W30" i="21"/>
  <c r="F30" i="21"/>
  <c r="D30" i="21"/>
  <c r="C30" i="21"/>
  <c r="AO29" i="21"/>
  <c r="AN29" i="21"/>
  <c r="AL29" i="21"/>
  <c r="AM29" i="21" s="1"/>
  <c r="AJ29" i="21"/>
  <c r="AI29" i="21"/>
  <c r="AH29" i="21"/>
  <c r="AG29" i="21"/>
  <c r="AE29" i="21"/>
  <c r="AD29" i="21"/>
  <c r="AB29" i="21"/>
  <c r="AC29" i="21" s="1"/>
  <c r="Z29" i="21"/>
  <c r="Y29" i="21"/>
  <c r="X29" i="21"/>
  <c r="W29" i="21"/>
  <c r="F29" i="21"/>
  <c r="D29" i="21"/>
  <c r="C29" i="21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D28" i="21"/>
  <c r="C28" i="21"/>
  <c r="AO27" i="21"/>
  <c r="AN27" i="21"/>
  <c r="AL27" i="21"/>
  <c r="AM27" i="21" s="1"/>
  <c r="AJ27" i="21"/>
  <c r="AI27" i="21"/>
  <c r="AH27" i="21"/>
  <c r="AG27" i="21"/>
  <c r="AE27" i="21"/>
  <c r="AD27" i="21"/>
  <c r="AB27" i="21"/>
  <c r="AC27" i="21" s="1"/>
  <c r="Z27" i="21"/>
  <c r="Y27" i="21"/>
  <c r="X27" i="21"/>
  <c r="W27" i="21"/>
  <c r="F27" i="21"/>
  <c r="D27" i="21"/>
  <c r="C27" i="21"/>
  <c r="AO26" i="21"/>
  <c r="AN26" i="21"/>
  <c r="AL26" i="21"/>
  <c r="AM26" i="21" s="1"/>
  <c r="AJ26" i="21"/>
  <c r="AI26" i="21"/>
  <c r="AH26" i="21"/>
  <c r="AG26" i="21"/>
  <c r="AE26" i="21"/>
  <c r="AD26" i="21"/>
  <c r="AB26" i="21"/>
  <c r="AC26" i="21" s="1"/>
  <c r="Z26" i="21"/>
  <c r="Y26" i="21"/>
  <c r="X26" i="21"/>
  <c r="W26" i="21"/>
  <c r="F26" i="21"/>
  <c r="D26" i="21"/>
  <c r="C26" i="21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D21" i="21"/>
  <c r="C21" i="21"/>
  <c r="AO20" i="21"/>
  <c r="AN20" i="2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F20" i="21"/>
  <c r="D20" i="21"/>
  <c r="C20" i="21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D19" i="21"/>
  <c r="C19" i="21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D18" i="21"/>
  <c r="C18" i="21"/>
  <c r="D14" i="31"/>
  <c r="C14" i="31"/>
  <c r="B14" i="31"/>
  <c r="D13" i="31"/>
  <c r="C13" i="31"/>
  <c r="B13" i="31"/>
  <c r="D12" i="31"/>
  <c r="C12" i="31"/>
  <c r="B12" i="31"/>
  <c r="D11" i="31"/>
  <c r="C11" i="31"/>
  <c r="B11" i="31"/>
  <c r="D10" i="31"/>
  <c r="C10" i="31"/>
  <c r="B10" i="31"/>
  <c r="D9" i="31"/>
  <c r="C9" i="31"/>
  <c r="B9" i="31"/>
  <c r="D8" i="31"/>
  <c r="C8" i="31"/>
  <c r="B8" i="31"/>
  <c r="D7" i="31"/>
  <c r="C7" i="31"/>
  <c r="B7" i="31"/>
  <c r="M14" i="29"/>
  <c r="L14" i="29"/>
  <c r="F14" i="29"/>
  <c r="D14" i="29"/>
  <c r="C14" i="29"/>
  <c r="M13" i="29"/>
  <c r="L13" i="29"/>
  <c r="F13" i="29"/>
  <c r="D13" i="29"/>
  <c r="C13" i="29"/>
  <c r="M12" i="29"/>
  <c r="L12" i="29"/>
  <c r="F12" i="29"/>
  <c r="D12" i="29"/>
  <c r="M11" i="29"/>
  <c r="L11" i="29"/>
  <c r="F11" i="29"/>
  <c r="D11" i="29"/>
  <c r="M10" i="29"/>
  <c r="L10" i="29"/>
  <c r="F10" i="29"/>
  <c r="D10" i="29"/>
  <c r="C10" i="29"/>
  <c r="M9" i="29"/>
  <c r="L9" i="29"/>
  <c r="F9" i="29"/>
  <c r="D9" i="29"/>
  <c r="C9" i="29"/>
  <c r="M8" i="29"/>
  <c r="L8" i="29"/>
  <c r="F8" i="29"/>
  <c r="D8" i="29"/>
  <c r="C8" i="29"/>
  <c r="M7" i="29"/>
  <c r="L7" i="29"/>
  <c r="F7" i="29"/>
  <c r="D7" i="29"/>
  <c r="C7" i="29"/>
  <c r="V14" i="22"/>
  <c r="U14" i="22"/>
  <c r="T14" i="22"/>
  <c r="S14" i="22"/>
  <c r="R14" i="22"/>
  <c r="Q14" i="22"/>
  <c r="F14" i="22"/>
  <c r="D14" i="22"/>
  <c r="C14" i="22"/>
  <c r="V13" i="22"/>
  <c r="U13" i="22"/>
  <c r="T13" i="22"/>
  <c r="S13" i="22"/>
  <c r="R13" i="22"/>
  <c r="Q13" i="22"/>
  <c r="F13" i="22"/>
  <c r="D13" i="22"/>
  <c r="C13" i="22"/>
  <c r="V12" i="22"/>
  <c r="U12" i="22"/>
  <c r="T12" i="22"/>
  <c r="S12" i="22"/>
  <c r="R12" i="22"/>
  <c r="Q12" i="22"/>
  <c r="F12" i="22"/>
  <c r="D12" i="22"/>
  <c r="C12" i="22"/>
  <c r="V11" i="22"/>
  <c r="U11" i="22"/>
  <c r="T11" i="22"/>
  <c r="S11" i="22"/>
  <c r="R11" i="22"/>
  <c r="Q11" i="22"/>
  <c r="F11" i="22"/>
  <c r="D11" i="22"/>
  <c r="C11" i="22"/>
  <c r="V10" i="22"/>
  <c r="U10" i="22"/>
  <c r="T10" i="22"/>
  <c r="S10" i="22"/>
  <c r="R10" i="22"/>
  <c r="Q10" i="22"/>
  <c r="F10" i="22"/>
  <c r="D10" i="22"/>
  <c r="C10" i="22"/>
  <c r="V9" i="22"/>
  <c r="U9" i="22"/>
  <c r="T9" i="22"/>
  <c r="S9" i="22"/>
  <c r="R9" i="22"/>
  <c r="Q9" i="22"/>
  <c r="F9" i="22"/>
  <c r="D9" i="22"/>
  <c r="C9" i="22"/>
  <c r="V8" i="22"/>
  <c r="U8" i="22"/>
  <c r="T8" i="22"/>
  <c r="S8" i="22"/>
  <c r="R8" i="22"/>
  <c r="Q8" i="22"/>
  <c r="F8" i="22"/>
  <c r="D8" i="22"/>
  <c r="C8" i="22"/>
  <c r="V7" i="22"/>
  <c r="U7" i="22"/>
  <c r="T7" i="22"/>
  <c r="S7" i="22"/>
  <c r="R7" i="22"/>
  <c r="Q7" i="22"/>
  <c r="F7" i="22"/>
  <c r="D7" i="22"/>
  <c r="C7" i="22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D14" i="21"/>
  <c r="C14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C13" i="21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C12" i="21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11" i="21"/>
  <c r="C11" i="21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D10" i="21"/>
  <c r="C10" i="21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D9" i="21"/>
  <c r="C9" i="21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C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C7" i="21"/>
  <c r="G14" i="24"/>
  <c r="H14" i="24" s="1"/>
  <c r="I14" i="24" s="1"/>
  <c r="J14" i="24" s="1"/>
  <c r="N14" i="31" s="1"/>
  <c r="G13" i="24"/>
  <c r="H13" i="24" s="1"/>
  <c r="I13" i="24" s="1"/>
  <c r="J13" i="24" s="1"/>
  <c r="N13" i="31" s="1"/>
  <c r="G12" i="24"/>
  <c r="H12" i="24" s="1"/>
  <c r="I12" i="24" s="1"/>
  <c r="J12" i="24" s="1"/>
  <c r="N12" i="31" s="1"/>
  <c r="G11" i="24"/>
  <c r="H11" i="24" s="1"/>
  <c r="I11" i="24" s="1"/>
  <c r="J11" i="24" s="1"/>
  <c r="N11" i="31" s="1"/>
  <c r="G10" i="24"/>
  <c r="H10" i="24" s="1"/>
  <c r="I10" i="24" s="1"/>
  <c r="J10" i="24" s="1"/>
  <c r="N10" i="31" s="1"/>
  <c r="G9" i="24"/>
  <c r="H9" i="24" s="1"/>
  <c r="I9" i="24" s="1"/>
  <c r="J9" i="24" s="1"/>
  <c r="N9" i="31" s="1"/>
  <c r="G8" i="24"/>
  <c r="H8" i="24" s="1"/>
  <c r="I8" i="24" s="1"/>
  <c r="J8" i="24" s="1"/>
  <c r="N8" i="31" s="1"/>
  <c r="G7" i="24"/>
  <c r="H7" i="24" s="1"/>
  <c r="I7" i="24" s="1"/>
  <c r="J7" i="24" s="1"/>
  <c r="N7" i="31" s="1"/>
  <c r="G6" i="24"/>
  <c r="H6" i="24" s="1"/>
  <c r="I6" i="24" s="1"/>
  <c r="J6" i="24" s="1"/>
  <c r="G5" i="24"/>
  <c r="H5" i="24" s="1"/>
  <c r="I5" i="24" s="1"/>
  <c r="J5" i="24" s="1"/>
  <c r="D6" i="31"/>
  <c r="C6" i="31"/>
  <c r="B6" i="31"/>
  <c r="D5" i="31"/>
  <c r="C5" i="31"/>
  <c r="B5" i="31"/>
  <c r="F5" i="29"/>
  <c r="M6" i="29"/>
  <c r="L6" i="29"/>
  <c r="F6" i="29"/>
  <c r="D6" i="29"/>
  <c r="C6" i="29"/>
  <c r="M5" i="29"/>
  <c r="L5" i="29"/>
  <c r="D5" i="29"/>
  <c r="C5" i="29"/>
  <c r="V6" i="22"/>
  <c r="U6" i="22"/>
  <c r="T6" i="22"/>
  <c r="S6" i="22"/>
  <c r="R6" i="22"/>
  <c r="Q6" i="22"/>
  <c r="F6" i="22"/>
  <c r="C6" i="22"/>
  <c r="V5" i="22"/>
  <c r="U5" i="22"/>
  <c r="T5" i="22"/>
  <c r="S5" i="22"/>
  <c r="R5" i="22"/>
  <c r="Q5" i="22"/>
  <c r="D5" i="22"/>
  <c r="C5" i="22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C6" i="21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C5" i="21"/>
  <c r="AQ67" i="21" l="1"/>
  <c r="AT67" i="21" s="1"/>
  <c r="AW67" i="21" s="1"/>
  <c r="E67" i="31" s="1"/>
  <c r="N22" i="29"/>
  <c r="O22" i="29" s="1"/>
  <c r="P22" i="29" s="1"/>
  <c r="K22" i="31" s="1"/>
  <c r="T67" i="29"/>
  <c r="U67" i="29" s="1"/>
  <c r="V67" i="29" s="1"/>
  <c r="M67" i="31" s="1"/>
  <c r="Y67" i="22"/>
  <c r="AB67" i="22" s="1"/>
  <c r="AE67" i="22" s="1"/>
  <c r="J67" i="31" s="1"/>
  <c r="Z67" i="22"/>
  <c r="AC67" i="22" s="1"/>
  <c r="H67" i="31" s="1"/>
  <c r="Q67" i="29"/>
  <c r="R67" i="29" s="1"/>
  <c r="S67" i="29" s="1"/>
  <c r="L67" i="31" s="1"/>
  <c r="AR67" i="21"/>
  <c r="AS67" i="21" s="1"/>
  <c r="AV67" i="21" s="1"/>
  <c r="AK23" i="21"/>
  <c r="AA22" i="21"/>
  <c r="AK24" i="21"/>
  <c r="W23" i="22"/>
  <c r="Z23" i="22" s="1"/>
  <c r="AC23" i="22" s="1"/>
  <c r="H23" i="31" s="1"/>
  <c r="AP23" i="21"/>
  <c r="X25" i="22"/>
  <c r="AA25" i="22" s="1"/>
  <c r="AD25" i="22" s="1"/>
  <c r="I25" i="31" s="1"/>
  <c r="X23" i="22"/>
  <c r="AA23" i="22" s="1"/>
  <c r="AD23" i="22" s="1"/>
  <c r="I23" i="31" s="1"/>
  <c r="N25" i="29"/>
  <c r="O25" i="29" s="1"/>
  <c r="P25" i="29" s="1"/>
  <c r="K25" i="31" s="1"/>
  <c r="N23" i="29"/>
  <c r="O23" i="29" s="1"/>
  <c r="P23" i="29" s="1"/>
  <c r="K23" i="31" s="1"/>
  <c r="N24" i="29"/>
  <c r="O24" i="29" s="1"/>
  <c r="P24" i="29" s="1"/>
  <c r="K24" i="31" s="1"/>
  <c r="W24" i="22"/>
  <c r="W22" i="22"/>
  <c r="Z22" i="22" s="1"/>
  <c r="AC22" i="22" s="1"/>
  <c r="H22" i="31" s="1"/>
  <c r="X22" i="22"/>
  <c r="AA22" i="22" s="1"/>
  <c r="AD22" i="22" s="1"/>
  <c r="I22" i="31" s="1"/>
  <c r="AP24" i="21"/>
  <c r="AF24" i="21"/>
  <c r="AK22" i="21"/>
  <c r="X38" i="22"/>
  <c r="AA38" i="22" s="1"/>
  <c r="AD38" i="22" s="1"/>
  <c r="I38" i="31" s="1"/>
  <c r="AF23" i="21"/>
  <c r="X24" i="22"/>
  <c r="AA24" i="22" s="1"/>
  <c r="AD24" i="22" s="1"/>
  <c r="I24" i="31" s="1"/>
  <c r="AK25" i="21"/>
  <c r="AA25" i="21"/>
  <c r="AA24" i="21"/>
  <c r="AP22" i="21"/>
  <c r="AF22" i="21"/>
  <c r="W25" i="22"/>
  <c r="AF25" i="21"/>
  <c r="AA23" i="21"/>
  <c r="AF38" i="21"/>
  <c r="AP25" i="21"/>
  <c r="N37" i="29"/>
  <c r="O37" i="29" s="1"/>
  <c r="P37" i="29" s="1"/>
  <c r="K37" i="31" s="1"/>
  <c r="AF26" i="21"/>
  <c r="AP38" i="21"/>
  <c r="AK37" i="21"/>
  <c r="X37" i="22"/>
  <c r="AA37" i="22" s="1"/>
  <c r="AD37" i="22" s="1"/>
  <c r="I37" i="31" s="1"/>
  <c r="N28" i="29"/>
  <c r="O28" i="29" s="1"/>
  <c r="P28" i="29" s="1"/>
  <c r="K28" i="31" s="1"/>
  <c r="N38" i="29"/>
  <c r="O38" i="29" s="1"/>
  <c r="P38" i="29" s="1"/>
  <c r="K38" i="31" s="1"/>
  <c r="X30" i="22"/>
  <c r="AA30" i="22" s="1"/>
  <c r="AD30" i="22" s="1"/>
  <c r="I30" i="31" s="1"/>
  <c r="AF37" i="21"/>
  <c r="AA37" i="21"/>
  <c r="W38" i="22"/>
  <c r="X31" i="22"/>
  <c r="AA31" i="22" s="1"/>
  <c r="AD31" i="22" s="1"/>
  <c r="I31" i="31" s="1"/>
  <c r="AA38" i="21"/>
  <c r="AK38" i="21"/>
  <c r="AP37" i="21"/>
  <c r="AK26" i="21"/>
  <c r="W37" i="22"/>
  <c r="J37" i="24"/>
  <c r="N37" i="31" s="1"/>
  <c r="J38" i="24"/>
  <c r="N38" i="31" s="1"/>
  <c r="N20" i="29"/>
  <c r="O20" i="29" s="1"/>
  <c r="P20" i="29" s="1"/>
  <c r="K20" i="31" s="1"/>
  <c r="N32" i="29"/>
  <c r="O32" i="29" s="1"/>
  <c r="P32" i="29" s="1"/>
  <c r="K32" i="31" s="1"/>
  <c r="N33" i="29"/>
  <c r="O33" i="29" s="1"/>
  <c r="P33" i="29" s="1"/>
  <c r="K33" i="31" s="1"/>
  <c r="N18" i="29"/>
  <c r="O18" i="29" s="1"/>
  <c r="P18" i="29" s="1"/>
  <c r="K18" i="31" s="1"/>
  <c r="N27" i="29"/>
  <c r="O27" i="29" s="1"/>
  <c r="P27" i="29" s="1"/>
  <c r="K27" i="31" s="1"/>
  <c r="N30" i="29"/>
  <c r="N26" i="29"/>
  <c r="O26" i="29" s="1"/>
  <c r="P26" i="29" s="1"/>
  <c r="K26" i="31" s="1"/>
  <c r="N29" i="29"/>
  <c r="O29" i="29" s="1"/>
  <c r="P29" i="29" s="1"/>
  <c r="K29" i="31" s="1"/>
  <c r="N21" i="29"/>
  <c r="O21" i="29" s="1"/>
  <c r="P21" i="29" s="1"/>
  <c r="K21" i="31" s="1"/>
  <c r="N31" i="29"/>
  <c r="O31" i="29" s="1"/>
  <c r="P31" i="29" s="1"/>
  <c r="K31" i="31" s="1"/>
  <c r="W30" i="22"/>
  <c r="Z30" i="22" s="1"/>
  <c r="AC30" i="22" s="1"/>
  <c r="H30" i="31" s="1"/>
  <c r="X29" i="22"/>
  <c r="AA29" i="22" s="1"/>
  <c r="AD29" i="22" s="1"/>
  <c r="I29" i="31" s="1"/>
  <c r="W26" i="22"/>
  <c r="Z26" i="22" s="1"/>
  <c r="AC26" i="22" s="1"/>
  <c r="H26" i="31" s="1"/>
  <c r="W32" i="22"/>
  <c r="X8" i="22"/>
  <c r="AA8" i="22" s="1"/>
  <c r="AD8" i="22" s="1"/>
  <c r="I8" i="31" s="1"/>
  <c r="W18" i="22"/>
  <c r="Z18" i="22" s="1"/>
  <c r="AC18" i="22" s="1"/>
  <c r="H18" i="31" s="1"/>
  <c r="X26" i="22"/>
  <c r="AA26" i="22" s="1"/>
  <c r="AD26" i="22" s="1"/>
  <c r="I26" i="31" s="1"/>
  <c r="W29" i="22"/>
  <c r="W28" i="22"/>
  <c r="X32" i="22"/>
  <c r="AA32" i="22" s="1"/>
  <c r="AD32" i="22" s="1"/>
  <c r="I32" i="31" s="1"/>
  <c r="X27" i="22"/>
  <c r="AA27" i="22" s="1"/>
  <c r="AD27" i="22" s="1"/>
  <c r="I27" i="31" s="1"/>
  <c r="X33" i="22"/>
  <c r="AA33" i="22" s="1"/>
  <c r="AD33" i="22" s="1"/>
  <c r="I33" i="31" s="1"/>
  <c r="X18" i="22"/>
  <c r="AA18" i="22" s="1"/>
  <c r="AD18" i="22" s="1"/>
  <c r="I18" i="31" s="1"/>
  <c r="X28" i="22"/>
  <c r="AA28" i="22" s="1"/>
  <c r="AD28" i="22" s="1"/>
  <c r="I28" i="31" s="1"/>
  <c r="W31" i="22"/>
  <c r="Z31" i="22" s="1"/>
  <c r="AC31" i="22" s="1"/>
  <c r="H31" i="31" s="1"/>
  <c r="X21" i="22"/>
  <c r="AA21" i="22" s="1"/>
  <c r="AD21" i="22" s="1"/>
  <c r="I21" i="31" s="1"/>
  <c r="W27" i="22"/>
  <c r="W33" i="22"/>
  <c r="Z33" i="22" s="1"/>
  <c r="AC33" i="22" s="1"/>
  <c r="H33" i="31" s="1"/>
  <c r="AP27" i="21"/>
  <c r="AP20" i="21"/>
  <c r="AF30" i="21"/>
  <c r="AF31" i="21"/>
  <c r="AF20" i="21"/>
  <c r="AF27" i="21"/>
  <c r="AA26" i="21"/>
  <c r="AP31" i="21"/>
  <c r="AF19" i="21"/>
  <c r="AF32" i="21"/>
  <c r="AF33" i="21"/>
  <c r="AF21" i="21"/>
  <c r="AP33" i="21"/>
  <c r="AF18" i="21"/>
  <c r="AP19" i="21"/>
  <c r="AP28" i="21"/>
  <c r="AK31" i="21"/>
  <c r="AF28" i="21"/>
  <c r="AA31" i="21"/>
  <c r="AK18" i="21"/>
  <c r="AK33" i="21"/>
  <c r="AR33" i="21" s="1"/>
  <c r="AA18" i="21"/>
  <c r="AA33" i="21"/>
  <c r="AA19" i="21"/>
  <c r="AK19" i="21"/>
  <c r="AP21" i="21"/>
  <c r="AA27" i="21"/>
  <c r="AK27" i="21"/>
  <c r="AF29" i="21"/>
  <c r="AA32" i="21"/>
  <c r="AK32" i="21"/>
  <c r="AP18" i="21"/>
  <c r="AA20" i="21"/>
  <c r="AK20" i="21"/>
  <c r="AP26" i="21"/>
  <c r="AA28" i="21"/>
  <c r="AK28" i="21"/>
  <c r="AA21" i="21"/>
  <c r="AK21" i="21"/>
  <c r="AK30" i="21"/>
  <c r="AP32" i="21"/>
  <c r="AP29" i="21"/>
  <c r="AP30" i="21"/>
  <c r="AK29" i="21"/>
  <c r="AA29" i="21"/>
  <c r="AA30" i="21"/>
  <c r="N19" i="29"/>
  <c r="O19" i="29" s="1"/>
  <c r="P19" i="29" s="1"/>
  <c r="K19" i="31" s="1"/>
  <c r="X19" i="22"/>
  <c r="AA19" i="22" s="1"/>
  <c r="AD19" i="22" s="1"/>
  <c r="I19" i="31" s="1"/>
  <c r="X20" i="22"/>
  <c r="AA20" i="22" s="1"/>
  <c r="AD20" i="22" s="1"/>
  <c r="I20" i="31" s="1"/>
  <c r="W20" i="22"/>
  <c r="W19" i="22"/>
  <c r="Z19" i="22" s="1"/>
  <c r="AC19" i="22" s="1"/>
  <c r="H19" i="31" s="1"/>
  <c r="W21" i="22"/>
  <c r="J32" i="24"/>
  <c r="N32" i="31" s="1"/>
  <c r="J26" i="24"/>
  <c r="N26" i="31" s="1"/>
  <c r="J30" i="24"/>
  <c r="N30" i="31" s="1"/>
  <c r="J20" i="24"/>
  <c r="N20" i="31" s="1"/>
  <c r="J28" i="24"/>
  <c r="N28" i="31" s="1"/>
  <c r="J18" i="24"/>
  <c r="N18" i="31" s="1"/>
  <c r="J19" i="24"/>
  <c r="N19" i="31" s="1"/>
  <c r="J27" i="24"/>
  <c r="N27" i="31" s="1"/>
  <c r="J33" i="24"/>
  <c r="N33" i="31" s="1"/>
  <c r="N10" i="29"/>
  <c r="N14" i="29"/>
  <c r="O14" i="29" s="1"/>
  <c r="P14" i="29" s="1"/>
  <c r="K14" i="31" s="1"/>
  <c r="N11" i="29"/>
  <c r="O11" i="29" s="1"/>
  <c r="P11" i="29" s="1"/>
  <c r="K11" i="31" s="1"/>
  <c r="N12" i="29"/>
  <c r="O12" i="29" s="1"/>
  <c r="P12" i="29" s="1"/>
  <c r="K12" i="31" s="1"/>
  <c r="W14" i="22"/>
  <c r="X7" i="22"/>
  <c r="AA7" i="22" s="1"/>
  <c r="AD7" i="22" s="1"/>
  <c r="I7" i="31" s="1"/>
  <c r="X14" i="22"/>
  <c r="AA14" i="22" s="1"/>
  <c r="AD14" i="22" s="1"/>
  <c r="I14" i="31" s="1"/>
  <c r="X12" i="22"/>
  <c r="AA12" i="22" s="1"/>
  <c r="AD12" i="22" s="1"/>
  <c r="I12" i="31" s="1"/>
  <c r="X11" i="22"/>
  <c r="AA11" i="22" s="1"/>
  <c r="AD11" i="22" s="1"/>
  <c r="I11" i="31" s="1"/>
  <c r="W11" i="22"/>
  <c r="Z11" i="22" s="1"/>
  <c r="AC11" i="22" s="1"/>
  <c r="H11" i="31" s="1"/>
  <c r="W12" i="22"/>
  <c r="W7" i="22"/>
  <c r="Z7" i="22" s="1"/>
  <c r="AC7" i="22" s="1"/>
  <c r="H7" i="31" s="1"/>
  <c r="AF8" i="21"/>
  <c r="AP11" i="21"/>
  <c r="AP9" i="21"/>
  <c r="AK14" i="21"/>
  <c r="AF10" i="21"/>
  <c r="AP14" i="21"/>
  <c r="AF14" i="21"/>
  <c r="AA14" i="21"/>
  <c r="AA8" i="21"/>
  <c r="AP13" i="21"/>
  <c r="AK13" i="21"/>
  <c r="AF12" i="21"/>
  <c r="AF7" i="21"/>
  <c r="AP8" i="21"/>
  <c r="AK10" i="21"/>
  <c r="AA11" i="21"/>
  <c r="N13" i="29"/>
  <c r="O13" i="29" s="1"/>
  <c r="P13" i="29" s="1"/>
  <c r="K13" i="31" s="1"/>
  <c r="N7" i="29"/>
  <c r="O7" i="29" s="1"/>
  <c r="P7" i="29" s="1"/>
  <c r="K7" i="31" s="1"/>
  <c r="X9" i="22"/>
  <c r="AA9" i="22" s="1"/>
  <c r="AD9" i="22" s="1"/>
  <c r="I9" i="31" s="1"/>
  <c r="X10" i="22"/>
  <c r="AA10" i="22" s="1"/>
  <c r="AD10" i="22" s="1"/>
  <c r="I10" i="31" s="1"/>
  <c r="W13" i="22"/>
  <c r="Z13" i="22" s="1"/>
  <c r="AC13" i="22" s="1"/>
  <c r="H13" i="31" s="1"/>
  <c r="X13" i="22"/>
  <c r="AA13" i="22" s="1"/>
  <c r="AD13" i="22" s="1"/>
  <c r="I13" i="31" s="1"/>
  <c r="AA7" i="21"/>
  <c r="AF11" i="21"/>
  <c r="AP12" i="21"/>
  <c r="AK7" i="21"/>
  <c r="AK8" i="21"/>
  <c r="AA9" i="21"/>
  <c r="AF13" i="21"/>
  <c r="AP7" i="21"/>
  <c r="AK9" i="21"/>
  <c r="AA10" i="21"/>
  <c r="AK11" i="21"/>
  <c r="AA12" i="21"/>
  <c r="AF9" i="21"/>
  <c r="AP10" i="21"/>
  <c r="AK12" i="21"/>
  <c r="AA13" i="21"/>
  <c r="N9" i="29"/>
  <c r="O9" i="29" s="1"/>
  <c r="P9" i="29" s="1"/>
  <c r="K9" i="31" s="1"/>
  <c r="N8" i="29"/>
  <c r="W8" i="22"/>
  <c r="W9" i="22"/>
  <c r="Z9" i="22" s="1"/>
  <c r="AC9" i="22" s="1"/>
  <c r="H9" i="31" s="1"/>
  <c r="W10" i="22"/>
  <c r="Z10" i="22" s="1"/>
  <c r="AC10" i="22" s="1"/>
  <c r="H10" i="31" s="1"/>
  <c r="W6" i="22"/>
  <c r="X5" i="22"/>
  <c r="AA5" i="22" s="1"/>
  <c r="AD5" i="22" s="1"/>
  <c r="X6" i="22"/>
  <c r="AA6" i="22" s="1"/>
  <c r="AD6" i="22" s="1"/>
  <c r="AF6" i="21"/>
  <c r="AP6" i="21"/>
  <c r="N6" i="29"/>
  <c r="O6" i="29" s="1"/>
  <c r="P6" i="29" s="1"/>
  <c r="N5" i="29"/>
  <c r="O5" i="29" s="1"/>
  <c r="P5" i="29" s="1"/>
  <c r="W5" i="22"/>
  <c r="AF5" i="21"/>
  <c r="AA6" i="21"/>
  <c r="AA5" i="21"/>
  <c r="AK5" i="21"/>
  <c r="AK6" i="21"/>
  <c r="AP5" i="21"/>
  <c r="N5" i="31"/>
  <c r="N6" i="31"/>
  <c r="F5" i="22"/>
  <c r="D6" i="22"/>
  <c r="AR24" i="21" l="1"/>
  <c r="AU24" i="21" s="1"/>
  <c r="AX24" i="21" s="1"/>
  <c r="F24" i="31" s="1"/>
  <c r="AQ22" i="21"/>
  <c r="AT22" i="21" s="1"/>
  <c r="AW22" i="21" s="1"/>
  <c r="E22" i="31" s="1"/>
  <c r="AR23" i="21"/>
  <c r="AU23" i="21" s="1"/>
  <c r="AX23" i="21" s="1"/>
  <c r="F23" i="31" s="1"/>
  <c r="Y12" i="22"/>
  <c r="AB12" i="22" s="1"/>
  <c r="AE12" i="22" s="1"/>
  <c r="J12" i="31" s="1"/>
  <c r="AU67" i="21"/>
  <c r="AX67" i="21" s="1"/>
  <c r="F67" i="31" s="1"/>
  <c r="Y14" i="22"/>
  <c r="AB14" i="22" s="1"/>
  <c r="AE14" i="22" s="1"/>
  <c r="J14" i="31" s="1"/>
  <c r="AY67" i="21"/>
  <c r="G67" i="31" s="1"/>
  <c r="O67" i="31"/>
  <c r="P67" i="31" s="1"/>
  <c r="AQ23" i="21"/>
  <c r="AT23" i="21" s="1"/>
  <c r="AW23" i="21" s="1"/>
  <c r="E23" i="31" s="1"/>
  <c r="T22" i="29"/>
  <c r="U22" i="29" s="1"/>
  <c r="V22" i="29" s="1"/>
  <c r="M22" i="31" s="1"/>
  <c r="AQ24" i="21"/>
  <c r="AT24" i="21" s="1"/>
  <c r="AW24" i="21" s="1"/>
  <c r="E24" i="31" s="1"/>
  <c r="AQ25" i="21"/>
  <c r="AT25" i="21" s="1"/>
  <c r="AW25" i="21" s="1"/>
  <c r="E25" i="31" s="1"/>
  <c r="Q20" i="29"/>
  <c r="R20" i="29" s="1"/>
  <c r="S20" i="29" s="1"/>
  <c r="L20" i="31" s="1"/>
  <c r="Q24" i="29"/>
  <c r="R24" i="29" s="1"/>
  <c r="S24" i="29" s="1"/>
  <c r="L24" i="31" s="1"/>
  <c r="Q23" i="29"/>
  <c r="R23" i="29" s="1"/>
  <c r="S23" i="29" s="1"/>
  <c r="L23" i="31" s="1"/>
  <c r="T25" i="29"/>
  <c r="U25" i="29" s="1"/>
  <c r="V25" i="29" s="1"/>
  <c r="M25" i="31" s="1"/>
  <c r="T23" i="29"/>
  <c r="U23" i="29" s="1"/>
  <c r="V23" i="29" s="1"/>
  <c r="M23" i="31" s="1"/>
  <c r="Y23" i="22"/>
  <c r="AB23" i="22" s="1"/>
  <c r="AE23" i="22" s="1"/>
  <c r="J23" i="31" s="1"/>
  <c r="Q22" i="29"/>
  <c r="R22" i="29" s="1"/>
  <c r="S22" i="29" s="1"/>
  <c r="L22" i="31" s="1"/>
  <c r="AR26" i="21"/>
  <c r="AU26" i="21" s="1"/>
  <c r="AX26" i="21" s="1"/>
  <c r="F26" i="31" s="1"/>
  <c r="AQ26" i="21"/>
  <c r="AT26" i="21" s="1"/>
  <c r="AW26" i="21" s="1"/>
  <c r="E26" i="31" s="1"/>
  <c r="AQ38" i="21"/>
  <c r="AT38" i="21" s="1"/>
  <c r="AW38" i="21" s="1"/>
  <c r="E38" i="31" s="1"/>
  <c r="AR22" i="21"/>
  <c r="AS22" i="21" s="1"/>
  <c r="AV22" i="21" s="1"/>
  <c r="Y25" i="22"/>
  <c r="AB25" i="22" s="1"/>
  <c r="AE25" i="22" s="1"/>
  <c r="J25" i="31" s="1"/>
  <c r="Z25" i="22"/>
  <c r="AC25" i="22" s="1"/>
  <c r="H25" i="31" s="1"/>
  <c r="Y22" i="22"/>
  <c r="AB22" i="22" s="1"/>
  <c r="AE22" i="22" s="1"/>
  <c r="J22" i="31" s="1"/>
  <c r="Z24" i="22"/>
  <c r="AC24" i="22" s="1"/>
  <c r="H24" i="31" s="1"/>
  <c r="Y24" i="22"/>
  <c r="AB24" i="22" s="1"/>
  <c r="AE24" i="22" s="1"/>
  <c r="J24" i="31" s="1"/>
  <c r="Q28" i="29"/>
  <c r="R28" i="29" s="1"/>
  <c r="S28" i="29" s="1"/>
  <c r="L28" i="31" s="1"/>
  <c r="T24" i="29"/>
  <c r="U24" i="29" s="1"/>
  <c r="V24" i="29" s="1"/>
  <c r="M24" i="31" s="1"/>
  <c r="Q25" i="29"/>
  <c r="R25" i="29" s="1"/>
  <c r="S25" i="29" s="1"/>
  <c r="L25" i="31" s="1"/>
  <c r="AR25" i="21"/>
  <c r="AU25" i="21" s="1"/>
  <c r="AX25" i="21" s="1"/>
  <c r="F25" i="31" s="1"/>
  <c r="Q32" i="29"/>
  <c r="R32" i="29" s="1"/>
  <c r="S32" i="29" s="1"/>
  <c r="L32" i="31" s="1"/>
  <c r="AR37" i="21"/>
  <c r="AU37" i="21" s="1"/>
  <c r="AX37" i="21" s="1"/>
  <c r="F37" i="31" s="1"/>
  <c r="T26" i="29"/>
  <c r="U26" i="29" s="1"/>
  <c r="V26" i="29" s="1"/>
  <c r="M26" i="31" s="1"/>
  <c r="AQ30" i="21"/>
  <c r="AT30" i="21" s="1"/>
  <c r="AW30" i="21" s="1"/>
  <c r="E30" i="31" s="1"/>
  <c r="Q37" i="29"/>
  <c r="R37" i="29" s="1"/>
  <c r="S37" i="29" s="1"/>
  <c r="L37" i="31" s="1"/>
  <c r="Y28" i="22"/>
  <c r="AB28" i="22" s="1"/>
  <c r="AE28" i="22" s="1"/>
  <c r="J28" i="31" s="1"/>
  <c r="AS24" i="21"/>
  <c r="AV24" i="21" s="1"/>
  <c r="Z28" i="22"/>
  <c r="AC28" i="22" s="1"/>
  <c r="H28" i="31" s="1"/>
  <c r="AQ33" i="21"/>
  <c r="AT33" i="21" s="1"/>
  <c r="AW33" i="21" s="1"/>
  <c r="E33" i="31" s="1"/>
  <c r="T38" i="29"/>
  <c r="U38" i="29" s="1"/>
  <c r="V38" i="29" s="1"/>
  <c r="M38" i="31" s="1"/>
  <c r="Y32" i="22"/>
  <c r="AB32" i="22" s="1"/>
  <c r="AE32" i="22" s="1"/>
  <c r="J32" i="31" s="1"/>
  <c r="AR38" i="21"/>
  <c r="AU38" i="21" s="1"/>
  <c r="AX38" i="21" s="1"/>
  <c r="F38" i="31" s="1"/>
  <c r="Y5" i="22"/>
  <c r="AB5" i="22" s="1"/>
  <c r="AE5" i="22" s="1"/>
  <c r="J5" i="31" s="1"/>
  <c r="Y31" i="22"/>
  <c r="AB31" i="22" s="1"/>
  <c r="AE31" i="22" s="1"/>
  <c r="J31" i="31" s="1"/>
  <c r="Q31" i="29"/>
  <c r="R31" i="29" s="1"/>
  <c r="S31" i="29" s="1"/>
  <c r="L31" i="31" s="1"/>
  <c r="T30" i="29"/>
  <c r="U30" i="29" s="1"/>
  <c r="V30" i="29" s="1"/>
  <c r="M30" i="31" s="1"/>
  <c r="Y30" i="22"/>
  <c r="AB30" i="22" s="1"/>
  <c r="AE30" i="22" s="1"/>
  <c r="J30" i="31" s="1"/>
  <c r="AR20" i="21"/>
  <c r="AQ18" i="21"/>
  <c r="AT18" i="21" s="1"/>
  <c r="AW18" i="21" s="1"/>
  <c r="E18" i="31" s="1"/>
  <c r="Y38" i="22"/>
  <c r="AB38" i="22" s="1"/>
  <c r="AE38" i="22" s="1"/>
  <c r="J38" i="31" s="1"/>
  <c r="Z38" i="22"/>
  <c r="AC38" i="22" s="1"/>
  <c r="H38" i="31" s="1"/>
  <c r="Q38" i="29"/>
  <c r="R38" i="29" s="1"/>
  <c r="S38" i="29" s="1"/>
  <c r="L38" i="31" s="1"/>
  <c r="AQ37" i="21"/>
  <c r="AT37" i="21" s="1"/>
  <c r="AW37" i="21" s="1"/>
  <c r="E37" i="31" s="1"/>
  <c r="T31" i="29"/>
  <c r="U31" i="29" s="1"/>
  <c r="V31" i="29" s="1"/>
  <c r="M31" i="31" s="1"/>
  <c r="Y26" i="22"/>
  <c r="AB26" i="22" s="1"/>
  <c r="AE26" i="22" s="1"/>
  <c r="J26" i="31" s="1"/>
  <c r="AR31" i="21"/>
  <c r="AU31" i="21" s="1"/>
  <c r="AX31" i="21" s="1"/>
  <c r="F31" i="31" s="1"/>
  <c r="Z32" i="22"/>
  <c r="AC32" i="22" s="1"/>
  <c r="H32" i="31" s="1"/>
  <c r="Y37" i="22"/>
  <c r="AB37" i="22" s="1"/>
  <c r="AE37" i="22" s="1"/>
  <c r="J37" i="31" s="1"/>
  <c r="AR27" i="21"/>
  <c r="AU27" i="21" s="1"/>
  <c r="AX27" i="21" s="1"/>
  <c r="F27" i="31" s="1"/>
  <c r="Z37" i="22"/>
  <c r="AC37" i="22" s="1"/>
  <c r="H37" i="31" s="1"/>
  <c r="Q26" i="29"/>
  <c r="R26" i="29" s="1"/>
  <c r="S26" i="29" s="1"/>
  <c r="L26" i="31" s="1"/>
  <c r="T37" i="29"/>
  <c r="U37" i="29" s="1"/>
  <c r="V37" i="29" s="1"/>
  <c r="M37" i="31" s="1"/>
  <c r="O30" i="29"/>
  <c r="P30" i="29" s="1"/>
  <c r="K30" i="31" s="1"/>
  <c r="T29" i="29"/>
  <c r="U29" i="29" s="1"/>
  <c r="V29" i="29" s="1"/>
  <c r="M29" i="31" s="1"/>
  <c r="Q30" i="29"/>
  <c r="R30" i="29" s="1"/>
  <c r="S30" i="29" s="1"/>
  <c r="L30" i="31" s="1"/>
  <c r="Q29" i="29"/>
  <c r="R29" i="29" s="1"/>
  <c r="S29" i="29" s="1"/>
  <c r="L29" i="31" s="1"/>
  <c r="Y18" i="22"/>
  <c r="AB18" i="22" s="1"/>
  <c r="AE18" i="22" s="1"/>
  <c r="J18" i="31" s="1"/>
  <c r="Q19" i="29"/>
  <c r="R19" i="29" s="1"/>
  <c r="S19" i="29" s="1"/>
  <c r="L19" i="31" s="1"/>
  <c r="Y8" i="22"/>
  <c r="AB8" i="22" s="1"/>
  <c r="AE8" i="22" s="1"/>
  <c r="J8" i="31" s="1"/>
  <c r="Q18" i="29"/>
  <c r="R18" i="29" s="1"/>
  <c r="S18" i="29" s="1"/>
  <c r="L18" i="31" s="1"/>
  <c r="Q10" i="29"/>
  <c r="R10" i="29" s="1"/>
  <c r="S10" i="29" s="1"/>
  <c r="L10" i="31" s="1"/>
  <c r="T21" i="29"/>
  <c r="U21" i="29" s="1"/>
  <c r="V21" i="29" s="1"/>
  <c r="M21" i="31" s="1"/>
  <c r="T27" i="29"/>
  <c r="U27" i="29" s="1"/>
  <c r="V27" i="29" s="1"/>
  <c r="M27" i="31" s="1"/>
  <c r="Y27" i="22"/>
  <c r="AB27" i="22" s="1"/>
  <c r="AE27" i="22" s="1"/>
  <c r="J27" i="31" s="1"/>
  <c r="T18" i="29"/>
  <c r="U18" i="29" s="1"/>
  <c r="V18" i="29" s="1"/>
  <c r="M18" i="31" s="1"/>
  <c r="Y33" i="22"/>
  <c r="AB33" i="22" s="1"/>
  <c r="AE33" i="22" s="1"/>
  <c r="J33" i="31" s="1"/>
  <c r="Z27" i="22"/>
  <c r="AC27" i="22" s="1"/>
  <c r="H27" i="31" s="1"/>
  <c r="Z20" i="22"/>
  <c r="AC20" i="22" s="1"/>
  <c r="H20" i="31" s="1"/>
  <c r="T32" i="29"/>
  <c r="U32" i="29" s="1"/>
  <c r="V32" i="29" s="1"/>
  <c r="M32" i="31" s="1"/>
  <c r="Z21" i="22"/>
  <c r="AC21" i="22" s="1"/>
  <c r="H21" i="31" s="1"/>
  <c r="Q33" i="29"/>
  <c r="R33" i="29" s="1"/>
  <c r="S33" i="29" s="1"/>
  <c r="L33" i="31" s="1"/>
  <c r="Y21" i="22"/>
  <c r="AB21" i="22" s="1"/>
  <c r="AE21" i="22" s="1"/>
  <c r="J21" i="31" s="1"/>
  <c r="T33" i="29"/>
  <c r="U33" i="29" s="1"/>
  <c r="V33" i="29" s="1"/>
  <c r="M33" i="31" s="1"/>
  <c r="Q21" i="29"/>
  <c r="R21" i="29" s="1"/>
  <c r="S21" i="29" s="1"/>
  <c r="L21" i="31" s="1"/>
  <c r="Y29" i="22"/>
  <c r="AB29" i="22" s="1"/>
  <c r="AE29" i="22" s="1"/>
  <c r="J29" i="31" s="1"/>
  <c r="Q27" i="29"/>
  <c r="R27" i="29" s="1"/>
  <c r="S27" i="29" s="1"/>
  <c r="L27" i="31" s="1"/>
  <c r="Z29" i="22"/>
  <c r="AC29" i="22" s="1"/>
  <c r="H29" i="31" s="1"/>
  <c r="T28" i="29"/>
  <c r="U28" i="29" s="1"/>
  <c r="V28" i="29" s="1"/>
  <c r="M28" i="31" s="1"/>
  <c r="AR30" i="21"/>
  <c r="AR32" i="21"/>
  <c r="AU32" i="21" s="1"/>
  <c r="AX32" i="21" s="1"/>
  <c r="F32" i="31" s="1"/>
  <c r="AQ20" i="21"/>
  <c r="AT20" i="21" s="1"/>
  <c r="AW20" i="21" s="1"/>
  <c r="E20" i="31" s="1"/>
  <c r="AR19" i="21"/>
  <c r="AU19" i="21" s="1"/>
  <c r="AX19" i="21" s="1"/>
  <c r="F19" i="31" s="1"/>
  <c r="AQ31" i="21"/>
  <c r="AT31" i="21" s="1"/>
  <c r="AW31" i="21" s="1"/>
  <c r="E31" i="31" s="1"/>
  <c r="AQ27" i="21"/>
  <c r="AT27" i="21" s="1"/>
  <c r="AW27" i="21" s="1"/>
  <c r="E27" i="31" s="1"/>
  <c r="AQ28" i="21"/>
  <c r="AT28" i="21" s="1"/>
  <c r="AW28" i="21" s="1"/>
  <c r="E28" i="31" s="1"/>
  <c r="AR28" i="21"/>
  <c r="AU28" i="21" s="1"/>
  <c r="AX28" i="21" s="1"/>
  <c r="F28" i="31" s="1"/>
  <c r="AQ19" i="21"/>
  <c r="AT19" i="21" s="1"/>
  <c r="AW19" i="21" s="1"/>
  <c r="E19" i="31" s="1"/>
  <c r="AQ21" i="21"/>
  <c r="AT21" i="21" s="1"/>
  <c r="AW21" i="21" s="1"/>
  <c r="E21" i="31" s="1"/>
  <c r="AQ32" i="21"/>
  <c r="AT32" i="21" s="1"/>
  <c r="AW32" i="21" s="1"/>
  <c r="E32" i="31" s="1"/>
  <c r="AR21" i="21"/>
  <c r="AU21" i="21" s="1"/>
  <c r="AX21" i="21" s="1"/>
  <c r="F21" i="31" s="1"/>
  <c r="AR18" i="21"/>
  <c r="AU18" i="21" s="1"/>
  <c r="AX18" i="21" s="1"/>
  <c r="F18" i="31" s="1"/>
  <c r="AQ9" i="21"/>
  <c r="AT9" i="21" s="1"/>
  <c r="AW9" i="21" s="1"/>
  <c r="E9" i="31" s="1"/>
  <c r="AR11" i="21"/>
  <c r="AU11" i="21" s="1"/>
  <c r="AX11" i="21" s="1"/>
  <c r="F11" i="31" s="1"/>
  <c r="AQ29" i="21"/>
  <c r="AT29" i="21" s="1"/>
  <c r="AW29" i="21" s="1"/>
  <c r="E29" i="31" s="1"/>
  <c r="AR29" i="21"/>
  <c r="AU29" i="21" s="1"/>
  <c r="AX29" i="21" s="1"/>
  <c r="F29" i="31" s="1"/>
  <c r="T19" i="29"/>
  <c r="U19" i="29" s="1"/>
  <c r="V19" i="29" s="1"/>
  <c r="M19" i="31" s="1"/>
  <c r="Y20" i="22"/>
  <c r="AB20" i="22" s="1"/>
  <c r="AE20" i="22" s="1"/>
  <c r="J20" i="31" s="1"/>
  <c r="Y19" i="22"/>
  <c r="AB19" i="22" s="1"/>
  <c r="AE19" i="22" s="1"/>
  <c r="J19" i="31" s="1"/>
  <c r="T20" i="29"/>
  <c r="U20" i="29" s="1"/>
  <c r="O10" i="29"/>
  <c r="P10" i="29" s="1"/>
  <c r="K10" i="31" s="1"/>
  <c r="Q12" i="29"/>
  <c r="R12" i="29" s="1"/>
  <c r="S12" i="29" s="1"/>
  <c r="L12" i="31" s="1"/>
  <c r="Z12" i="22"/>
  <c r="AC12" i="22" s="1"/>
  <c r="H12" i="31" s="1"/>
  <c r="Y11" i="22"/>
  <c r="AB11" i="22" s="1"/>
  <c r="AE11" i="22" s="1"/>
  <c r="J11" i="31" s="1"/>
  <c r="Q14" i="29"/>
  <c r="R14" i="29" s="1"/>
  <c r="S14" i="29" s="1"/>
  <c r="L14" i="31" s="1"/>
  <c r="T14" i="29"/>
  <c r="U14" i="29" s="1"/>
  <c r="V14" i="29" s="1"/>
  <c r="M14" i="31" s="1"/>
  <c r="Z14" i="22"/>
  <c r="AC14" i="22" s="1"/>
  <c r="H14" i="31" s="1"/>
  <c r="T7" i="29"/>
  <c r="U7" i="29" s="1"/>
  <c r="V7" i="29" s="1"/>
  <c r="M7" i="31" s="1"/>
  <c r="Y13" i="22"/>
  <c r="AB13" i="22" s="1"/>
  <c r="AE13" i="22" s="1"/>
  <c r="J13" i="31" s="1"/>
  <c r="Q11" i="29"/>
  <c r="R11" i="29" s="1"/>
  <c r="S11" i="29" s="1"/>
  <c r="L11" i="31" s="1"/>
  <c r="Q7" i="29"/>
  <c r="R7" i="29" s="1"/>
  <c r="S7" i="29" s="1"/>
  <c r="L7" i="31" s="1"/>
  <c r="Y7" i="22"/>
  <c r="AB7" i="22" s="1"/>
  <c r="AE7" i="22" s="1"/>
  <c r="J7" i="31" s="1"/>
  <c r="T11" i="29"/>
  <c r="U11" i="29" s="1"/>
  <c r="V11" i="29" s="1"/>
  <c r="M11" i="31" s="1"/>
  <c r="T12" i="29"/>
  <c r="U12" i="29" s="1"/>
  <c r="V12" i="29" s="1"/>
  <c r="M12" i="31" s="1"/>
  <c r="Q13" i="29"/>
  <c r="R13" i="29" s="1"/>
  <c r="S13" i="29" s="1"/>
  <c r="L13" i="31" s="1"/>
  <c r="T10" i="29"/>
  <c r="U10" i="29" s="1"/>
  <c r="V10" i="29" s="1"/>
  <c r="M10" i="31" s="1"/>
  <c r="T13" i="29"/>
  <c r="U13" i="29" s="1"/>
  <c r="V13" i="29" s="1"/>
  <c r="M13" i="31" s="1"/>
  <c r="AU33" i="21"/>
  <c r="AX33" i="21" s="1"/>
  <c r="F33" i="31" s="1"/>
  <c r="AQ8" i="21"/>
  <c r="AT8" i="21" s="1"/>
  <c r="AW8" i="21" s="1"/>
  <c r="E8" i="31" s="1"/>
  <c r="AR14" i="21"/>
  <c r="AU14" i="21" s="1"/>
  <c r="AX14" i="21" s="1"/>
  <c r="F14" i="31" s="1"/>
  <c r="AR8" i="21"/>
  <c r="AU8" i="21" s="1"/>
  <c r="AX8" i="21" s="1"/>
  <c r="F8" i="31" s="1"/>
  <c r="AR9" i="21"/>
  <c r="AU9" i="21" s="1"/>
  <c r="AX9" i="21" s="1"/>
  <c r="F9" i="31" s="1"/>
  <c r="AQ10" i="21"/>
  <c r="AT10" i="21" s="1"/>
  <c r="AW10" i="21" s="1"/>
  <c r="E10" i="31" s="1"/>
  <c r="AR13" i="21"/>
  <c r="AQ14" i="21"/>
  <c r="AT14" i="21" s="1"/>
  <c r="AW14" i="21" s="1"/>
  <c r="E14" i="31" s="1"/>
  <c r="AQ12" i="21"/>
  <c r="AT12" i="21" s="1"/>
  <c r="AW12" i="21" s="1"/>
  <c r="E12" i="31" s="1"/>
  <c r="AQ7" i="21"/>
  <c r="AT7" i="21" s="1"/>
  <c r="AW7" i="21" s="1"/>
  <c r="E7" i="31" s="1"/>
  <c r="AQ11" i="21"/>
  <c r="AT11" i="21" s="1"/>
  <c r="AW11" i="21" s="1"/>
  <c r="E11" i="31" s="1"/>
  <c r="AQ13" i="21"/>
  <c r="AT13" i="21" s="1"/>
  <c r="AW13" i="21" s="1"/>
  <c r="E13" i="31" s="1"/>
  <c r="AR7" i="21"/>
  <c r="AR10" i="21"/>
  <c r="AU10" i="21" s="1"/>
  <c r="AX10" i="21" s="1"/>
  <c r="F10" i="31" s="1"/>
  <c r="Y10" i="22"/>
  <c r="AB10" i="22" s="1"/>
  <c r="AE10" i="22" s="1"/>
  <c r="J10" i="31" s="1"/>
  <c r="T8" i="29"/>
  <c r="U8" i="29" s="1"/>
  <c r="V8" i="29" s="1"/>
  <c r="M8" i="31" s="1"/>
  <c r="AR12" i="21"/>
  <c r="O8" i="29"/>
  <c r="P8" i="29" s="1"/>
  <c r="K8" i="31" s="1"/>
  <c r="Q8" i="29"/>
  <c r="R8" i="29" s="1"/>
  <c r="S8" i="29" s="1"/>
  <c r="L8" i="31" s="1"/>
  <c r="Y9" i="22"/>
  <c r="AB9" i="22" s="1"/>
  <c r="AE9" i="22" s="1"/>
  <c r="J9" i="31" s="1"/>
  <c r="Z8" i="22"/>
  <c r="AC8" i="22" s="1"/>
  <c r="H8" i="31" s="1"/>
  <c r="Q9" i="29"/>
  <c r="R9" i="29" s="1"/>
  <c r="S9" i="29" s="1"/>
  <c r="L9" i="31" s="1"/>
  <c r="T9" i="29"/>
  <c r="U9" i="29" s="1"/>
  <c r="Q6" i="29"/>
  <c r="R6" i="29" s="1"/>
  <c r="S6" i="29" s="1"/>
  <c r="L6" i="31" s="1"/>
  <c r="K6" i="31"/>
  <c r="K5" i="31"/>
  <c r="Z6" i="22"/>
  <c r="AC6" i="22" s="1"/>
  <c r="H6" i="31" s="1"/>
  <c r="Y6" i="22"/>
  <c r="AB6" i="22" s="1"/>
  <c r="AE6" i="22" s="1"/>
  <c r="T5" i="29"/>
  <c r="U5" i="29" s="1"/>
  <c r="V5" i="29" s="1"/>
  <c r="M5" i="31" s="1"/>
  <c r="T6" i="29"/>
  <c r="U6" i="29" s="1"/>
  <c r="V6" i="29" s="1"/>
  <c r="I6" i="31"/>
  <c r="I5" i="31"/>
  <c r="AQ6" i="21"/>
  <c r="AT6" i="21" s="1"/>
  <c r="AW6" i="21" s="1"/>
  <c r="E6" i="31" s="1"/>
  <c r="AR6" i="21"/>
  <c r="AU6" i="21" s="1"/>
  <c r="AX6" i="21" s="1"/>
  <c r="F6" i="31" s="1"/>
  <c r="AQ5" i="21"/>
  <c r="AT5" i="21" s="1"/>
  <c r="AW5" i="21" s="1"/>
  <c r="E5" i="31" s="1"/>
  <c r="Q5" i="29"/>
  <c r="R5" i="29" s="1"/>
  <c r="S5" i="29" s="1"/>
  <c r="Z5" i="22"/>
  <c r="AC5" i="22" s="1"/>
  <c r="AR5" i="21"/>
  <c r="AS26" i="21" l="1"/>
  <c r="AV26" i="21" s="1"/>
  <c r="AS25" i="21"/>
  <c r="AV25" i="21" s="1"/>
  <c r="AY25" i="21" s="1"/>
  <c r="G25" i="31" s="1"/>
  <c r="AS23" i="21"/>
  <c r="AV23" i="21" s="1"/>
  <c r="AY23" i="21" s="1"/>
  <c r="G23" i="31" s="1"/>
  <c r="AS13" i="21"/>
  <c r="AV13" i="21" s="1"/>
  <c r="AY13" i="21" s="1"/>
  <c r="G13" i="31" s="1"/>
  <c r="AS27" i="21"/>
  <c r="AV27" i="21" s="1"/>
  <c r="AY27" i="21" s="1"/>
  <c r="G27" i="31" s="1"/>
  <c r="AU22" i="21"/>
  <c r="AX22" i="21" s="1"/>
  <c r="F22" i="31" s="1"/>
  <c r="AS30" i="21"/>
  <c r="AV30" i="21" s="1"/>
  <c r="O30" i="31" s="1"/>
  <c r="P30" i="31" s="1"/>
  <c r="AS38" i="21"/>
  <c r="AV38" i="21" s="1"/>
  <c r="AY38" i="21" s="1"/>
  <c r="G38" i="31" s="1"/>
  <c r="AS37" i="21"/>
  <c r="AV37" i="21" s="1"/>
  <c r="AY37" i="21" s="1"/>
  <c r="G37" i="31" s="1"/>
  <c r="AS33" i="21"/>
  <c r="AV33" i="21" s="1"/>
  <c r="AY33" i="21" s="1"/>
  <c r="G33" i="31" s="1"/>
  <c r="AS32" i="21"/>
  <c r="AV32" i="21" s="1"/>
  <c r="AY32" i="21" s="1"/>
  <c r="G32" i="31" s="1"/>
  <c r="O24" i="31"/>
  <c r="P24" i="31" s="1"/>
  <c r="AY24" i="21"/>
  <c r="G24" i="31" s="1"/>
  <c r="O22" i="31"/>
  <c r="P22" i="31" s="1"/>
  <c r="AY22" i="21"/>
  <c r="G22" i="31" s="1"/>
  <c r="AS7" i="21"/>
  <c r="AV7" i="21" s="1"/>
  <c r="AY7" i="21" s="1"/>
  <c r="G7" i="31" s="1"/>
  <c r="AS28" i="21"/>
  <c r="AV28" i="21" s="1"/>
  <c r="O28" i="31" s="1"/>
  <c r="P28" i="31" s="1"/>
  <c r="AS20" i="21"/>
  <c r="AV20" i="21" s="1"/>
  <c r="AY20" i="21" s="1"/>
  <c r="G20" i="31" s="1"/>
  <c r="AU20" i="21"/>
  <c r="AX20" i="21" s="1"/>
  <c r="F20" i="31" s="1"/>
  <c r="AS19" i="21"/>
  <c r="AV19" i="21" s="1"/>
  <c r="AY19" i="21" s="1"/>
  <c r="G19" i="31" s="1"/>
  <c r="AS31" i="21"/>
  <c r="AV31" i="21" s="1"/>
  <c r="O31" i="31" s="1"/>
  <c r="P31" i="31" s="1"/>
  <c r="AU30" i="21"/>
  <c r="AX30" i="21" s="1"/>
  <c r="F30" i="31" s="1"/>
  <c r="AS21" i="21"/>
  <c r="AV21" i="21" s="1"/>
  <c r="AY21" i="21" s="1"/>
  <c r="G21" i="31" s="1"/>
  <c r="AS11" i="21"/>
  <c r="AV11" i="21" s="1"/>
  <c r="AY11" i="21" s="1"/>
  <c r="G11" i="31" s="1"/>
  <c r="AS18" i="21"/>
  <c r="AV18" i="21" s="1"/>
  <c r="AY18" i="21" s="1"/>
  <c r="G18" i="31" s="1"/>
  <c r="AS29" i="21"/>
  <c r="AV29" i="21" s="1"/>
  <c r="AY29" i="21" s="1"/>
  <c r="G29" i="31" s="1"/>
  <c r="AS14" i="21"/>
  <c r="AV14" i="21" s="1"/>
  <c r="AY14" i="21" s="1"/>
  <c r="G14" i="31" s="1"/>
  <c r="AY26" i="21"/>
  <c r="G26" i="31" s="1"/>
  <c r="O26" i="31"/>
  <c r="P26" i="31" s="1"/>
  <c r="V20" i="29"/>
  <c r="M20" i="31" s="1"/>
  <c r="AS8" i="21"/>
  <c r="AV8" i="21" s="1"/>
  <c r="AY8" i="21" s="1"/>
  <c r="G8" i="31" s="1"/>
  <c r="AS9" i="21"/>
  <c r="AV9" i="21" s="1"/>
  <c r="AY9" i="21" s="1"/>
  <c r="G9" i="31" s="1"/>
  <c r="O13" i="31"/>
  <c r="P13" i="31" s="1"/>
  <c r="AU13" i="21"/>
  <c r="AX13" i="21" s="1"/>
  <c r="F13" i="31" s="1"/>
  <c r="AU7" i="21"/>
  <c r="AX7" i="21" s="1"/>
  <c r="F7" i="31" s="1"/>
  <c r="AS10" i="21"/>
  <c r="AV10" i="21" s="1"/>
  <c r="AY10" i="21" s="1"/>
  <c r="G10" i="31" s="1"/>
  <c r="AU12" i="21"/>
  <c r="AX12" i="21" s="1"/>
  <c r="F12" i="31" s="1"/>
  <c r="AS12" i="21"/>
  <c r="AV12" i="21" s="1"/>
  <c r="V9" i="29"/>
  <c r="M9" i="31" s="1"/>
  <c r="J6" i="31"/>
  <c r="M6" i="31"/>
  <c r="H5" i="31"/>
  <c r="L5" i="31"/>
  <c r="AS6" i="21"/>
  <c r="AV6" i="21" s="1"/>
  <c r="AY6" i="21" s="1"/>
  <c r="G6" i="31" s="1"/>
  <c r="AU5" i="21"/>
  <c r="AX5" i="21" s="1"/>
  <c r="F5" i="31" s="1"/>
  <c r="AS5" i="21"/>
  <c r="AV5" i="21" s="1"/>
  <c r="O25" i="31" l="1"/>
  <c r="P25" i="31" s="1"/>
  <c r="O23" i="31"/>
  <c r="P23" i="31" s="1"/>
  <c r="O27" i="31"/>
  <c r="P27" i="31" s="1"/>
  <c r="AY30" i="21"/>
  <c r="G30" i="31" s="1"/>
  <c r="O37" i="31"/>
  <c r="P37" i="31" s="1"/>
  <c r="O7" i="31"/>
  <c r="P7" i="31" s="1"/>
  <c r="O11" i="31"/>
  <c r="P11" i="31" s="1"/>
  <c r="O32" i="31"/>
  <c r="P32" i="31" s="1"/>
  <c r="O38" i="31"/>
  <c r="P38" i="31" s="1"/>
  <c r="AY28" i="21"/>
  <c r="G28" i="31" s="1"/>
  <c r="O33" i="31"/>
  <c r="P33" i="31" s="1"/>
  <c r="AY31" i="21"/>
  <c r="G31" i="31" s="1"/>
  <c r="O20" i="31"/>
  <c r="P20" i="31" s="1"/>
  <c r="O19" i="31"/>
  <c r="P19" i="31" s="1"/>
  <c r="O8" i="31"/>
  <c r="P8" i="31" s="1"/>
  <c r="O18" i="31"/>
  <c r="P18" i="31" s="1"/>
  <c r="O21" i="31"/>
  <c r="P21" i="31" s="1"/>
  <c r="O9" i="31"/>
  <c r="P9" i="31" s="1"/>
  <c r="O14" i="31"/>
  <c r="P14" i="31" s="1"/>
  <c r="O29" i="31"/>
  <c r="P29" i="31" s="1"/>
  <c r="O10" i="31"/>
  <c r="P10" i="31" s="1"/>
  <c r="AY12" i="21"/>
  <c r="G12" i="31" s="1"/>
  <c r="O12" i="31"/>
  <c r="P12" i="31" s="1"/>
  <c r="O6" i="31"/>
  <c r="P6" i="31" s="1"/>
  <c r="AY5" i="21"/>
  <c r="G5" i="31" s="1"/>
  <c r="O5" i="31"/>
  <c r="P5" i="31" s="1"/>
  <c r="M64" i="29" l="1"/>
  <c r="L64" i="29"/>
  <c r="M63" i="29"/>
  <c r="L63" i="29"/>
  <c r="V64" i="22"/>
  <c r="U64" i="22"/>
  <c r="T64" i="22"/>
  <c r="S64" i="22"/>
  <c r="R64" i="22"/>
  <c r="Q64" i="22"/>
  <c r="V63" i="22"/>
  <c r="U63" i="22"/>
  <c r="T63" i="22"/>
  <c r="S63" i="22"/>
  <c r="R63" i="22"/>
  <c r="Q63" i="22"/>
  <c r="V62" i="22"/>
  <c r="U62" i="22"/>
  <c r="T62" i="22"/>
  <c r="S62" i="22"/>
  <c r="R62" i="22"/>
  <c r="Q62" i="22"/>
  <c r="V61" i="22"/>
  <c r="U61" i="22"/>
  <c r="T61" i="22"/>
  <c r="S61" i="22"/>
  <c r="R61" i="22"/>
  <c r="Q61" i="22"/>
  <c r="N64" i="29" l="1"/>
  <c r="O64" i="29" s="1"/>
  <c r="P64" i="29" s="1"/>
  <c r="K64" i="31" s="1"/>
  <c r="X64" i="22"/>
  <c r="AA64" i="22" s="1"/>
  <c r="AD64" i="22" s="1"/>
  <c r="I64" i="31" s="1"/>
  <c r="N63" i="29"/>
  <c r="O63" i="29" s="1"/>
  <c r="P63" i="29" s="1"/>
  <c r="K63" i="31" s="1"/>
  <c r="X62" i="22"/>
  <c r="AA62" i="22" s="1"/>
  <c r="AD62" i="22" s="1"/>
  <c r="W64" i="22"/>
  <c r="X61" i="22"/>
  <c r="AA61" i="22" s="1"/>
  <c r="AD61" i="22" s="1"/>
  <c r="W63" i="22"/>
  <c r="W62" i="22"/>
  <c r="Z62" i="22" s="1"/>
  <c r="AC62" i="22" s="1"/>
  <c r="W61" i="22"/>
  <c r="Z61" i="22" s="1"/>
  <c r="AC61" i="22" s="1"/>
  <c r="X63" i="22"/>
  <c r="AA63" i="22" s="1"/>
  <c r="AD63" i="22" s="1"/>
  <c r="I63" i="31" s="1"/>
  <c r="Y64" i="22" l="1"/>
  <c r="AB64" i="22" s="1"/>
  <c r="AE64" i="22" s="1"/>
  <c r="J64" i="31" s="1"/>
  <c r="Q63" i="29"/>
  <c r="R63" i="29" s="1"/>
  <c r="S63" i="29" s="1"/>
  <c r="L63" i="31" s="1"/>
  <c r="Z63" i="22"/>
  <c r="AC63" i="22" s="1"/>
  <c r="H63" i="31" s="1"/>
  <c r="Y63" i="22"/>
  <c r="AB63" i="22" s="1"/>
  <c r="AE63" i="22" s="1"/>
  <c r="J63" i="31" s="1"/>
  <c r="Q64" i="29"/>
  <c r="R64" i="29" s="1"/>
  <c r="S64" i="29" s="1"/>
  <c r="L64" i="31" s="1"/>
  <c r="T64" i="29"/>
  <c r="U64" i="29" s="1"/>
  <c r="V64" i="29" s="1"/>
  <c r="M64" i="31" s="1"/>
  <c r="Z64" i="22"/>
  <c r="AC64" i="22" s="1"/>
  <c r="H64" i="31" s="1"/>
  <c r="T63" i="29"/>
  <c r="U63" i="29" s="1"/>
  <c r="V63" i="29" s="1"/>
  <c r="M63" i="31" s="1"/>
  <c r="Y61" i="22"/>
  <c r="AB61" i="22" s="1"/>
  <c r="AE61" i="22" s="1"/>
  <c r="Y62" i="22"/>
  <c r="AB62" i="22" s="1"/>
  <c r="AE62" i="22" s="1"/>
  <c r="G63" i="24" l="1"/>
  <c r="H63" i="24" s="1"/>
  <c r="I63" i="24" s="1"/>
  <c r="J63" i="24" s="1"/>
  <c r="N63" i="31" s="1"/>
  <c r="G64" i="24"/>
  <c r="H64" i="24" s="1"/>
  <c r="I64" i="24" s="1"/>
  <c r="J64" i="24" s="1"/>
  <c r="N64" i="31" s="1"/>
  <c r="B63" i="31"/>
  <c r="C63" i="31"/>
  <c r="D63" i="31"/>
  <c r="B64" i="31"/>
  <c r="C64" i="31"/>
  <c r="D64" i="31"/>
  <c r="C63" i="29"/>
  <c r="D63" i="29"/>
  <c r="F63" i="29"/>
  <c r="C64" i="29"/>
  <c r="D64" i="29"/>
  <c r="F64" i="29"/>
  <c r="C63" i="22"/>
  <c r="D63" i="22"/>
  <c r="F63" i="22"/>
  <c r="C64" i="22"/>
  <c r="D64" i="22"/>
  <c r="F64" i="22"/>
  <c r="W63" i="21"/>
  <c r="X63" i="21"/>
  <c r="Y63" i="21"/>
  <c r="Z63" i="21"/>
  <c r="AB63" i="21"/>
  <c r="AC63" i="21" s="1"/>
  <c r="AD63" i="21"/>
  <c r="AE63" i="21"/>
  <c r="AG63" i="21"/>
  <c r="AH63" i="21"/>
  <c r="AI63" i="21"/>
  <c r="AJ63" i="21"/>
  <c r="AL63" i="21"/>
  <c r="AM63" i="21" s="1"/>
  <c r="AN63" i="21"/>
  <c r="AO63" i="21"/>
  <c r="W64" i="21"/>
  <c r="X64" i="21"/>
  <c r="Y64" i="21"/>
  <c r="Z64" i="21"/>
  <c r="AB64" i="21"/>
  <c r="AC64" i="21" s="1"/>
  <c r="AD64" i="21"/>
  <c r="AE64" i="21"/>
  <c r="AG64" i="21"/>
  <c r="AH64" i="21"/>
  <c r="AI64" i="21"/>
  <c r="AJ64" i="21"/>
  <c r="AL64" i="21"/>
  <c r="AM64" i="21" s="1"/>
  <c r="AN64" i="21"/>
  <c r="AO64" i="21"/>
  <c r="F62" i="21"/>
  <c r="F63" i="21"/>
  <c r="F64" i="21"/>
  <c r="C63" i="21"/>
  <c r="D63" i="21"/>
  <c r="C64" i="21"/>
  <c r="D64" i="21"/>
  <c r="D58" i="31"/>
  <c r="C58" i="31"/>
  <c r="B58" i="31"/>
  <c r="D57" i="31"/>
  <c r="C57" i="31"/>
  <c r="B57" i="31"/>
  <c r="M58" i="29"/>
  <c r="L58" i="29"/>
  <c r="F58" i="29"/>
  <c r="D58" i="29"/>
  <c r="C58" i="29"/>
  <c r="M57" i="29"/>
  <c r="L57" i="29"/>
  <c r="F57" i="29"/>
  <c r="D57" i="29"/>
  <c r="C57" i="29"/>
  <c r="V58" i="22"/>
  <c r="U58" i="22"/>
  <c r="T58" i="22"/>
  <c r="S58" i="22"/>
  <c r="R58" i="22"/>
  <c r="Q58" i="22"/>
  <c r="F58" i="22"/>
  <c r="D58" i="22"/>
  <c r="C58" i="22"/>
  <c r="V57" i="22"/>
  <c r="U57" i="22"/>
  <c r="T57" i="22"/>
  <c r="S57" i="22"/>
  <c r="R57" i="22"/>
  <c r="Q57" i="22"/>
  <c r="F57" i="22"/>
  <c r="D57" i="22"/>
  <c r="C57" i="22"/>
  <c r="AO58" i="21"/>
  <c r="AN58" i="21"/>
  <c r="AL58" i="21"/>
  <c r="AM58" i="21" s="1"/>
  <c r="AJ58" i="21"/>
  <c r="AI58" i="21"/>
  <c r="AH58" i="21"/>
  <c r="AG58" i="21"/>
  <c r="AE58" i="21"/>
  <c r="AD58" i="21"/>
  <c r="AB58" i="21"/>
  <c r="AC58" i="21" s="1"/>
  <c r="Z58" i="21"/>
  <c r="Y58" i="21"/>
  <c r="X58" i="21"/>
  <c r="W58" i="21"/>
  <c r="F58" i="21"/>
  <c r="D58" i="21"/>
  <c r="C58" i="21"/>
  <c r="AO57" i="21"/>
  <c r="AN57" i="21"/>
  <c r="AL57" i="21"/>
  <c r="AM57" i="21" s="1"/>
  <c r="AJ57" i="21"/>
  <c r="AI57" i="21"/>
  <c r="AH57" i="21"/>
  <c r="AG57" i="21"/>
  <c r="AE57" i="21"/>
  <c r="AD57" i="21"/>
  <c r="AB57" i="21"/>
  <c r="AC57" i="21" s="1"/>
  <c r="Z57" i="21"/>
  <c r="Y57" i="21"/>
  <c r="X57" i="21"/>
  <c r="W57" i="21"/>
  <c r="F57" i="21"/>
  <c r="D57" i="21"/>
  <c r="C57" i="21"/>
  <c r="G58" i="24"/>
  <c r="H58" i="24" s="1"/>
  <c r="I58" i="24" s="1"/>
  <c r="J58" i="24" s="1"/>
  <c r="N58" i="31" s="1"/>
  <c r="G57" i="24"/>
  <c r="H57" i="24" s="1"/>
  <c r="I57" i="24" s="1"/>
  <c r="J57" i="24" s="1"/>
  <c r="N57" i="31" s="1"/>
  <c r="W58" i="22" l="1"/>
  <c r="Z58" i="22" s="1"/>
  <c r="AC58" i="22" s="1"/>
  <c r="H58" i="31" s="1"/>
  <c r="AK64" i="21"/>
  <c r="AP63" i="21"/>
  <c r="AP58" i="21"/>
  <c r="AA58" i="21"/>
  <c r="AP57" i="21"/>
  <c r="AK63" i="21"/>
  <c r="X58" i="22"/>
  <c r="AA58" i="22" s="1"/>
  <c r="AD58" i="22" s="1"/>
  <c r="I58" i="31" s="1"/>
  <c r="AF64" i="21"/>
  <c r="AA57" i="21"/>
  <c r="AF63" i="21"/>
  <c r="AP64" i="21"/>
  <c r="AA64" i="21"/>
  <c r="AA63" i="21"/>
  <c r="AF58" i="21"/>
  <c r="X57" i="22"/>
  <c r="AA57" i="22" s="1"/>
  <c r="AD57" i="22" s="1"/>
  <c r="I57" i="31" s="1"/>
  <c r="AK58" i="21"/>
  <c r="AF57" i="21"/>
  <c r="W57" i="22"/>
  <c r="N58" i="29"/>
  <c r="AK57" i="21"/>
  <c r="N57" i="29"/>
  <c r="O57" i="29" s="1"/>
  <c r="P57" i="29" s="1"/>
  <c r="K57" i="31" s="1"/>
  <c r="D46" i="31"/>
  <c r="C46" i="31"/>
  <c r="B46" i="31"/>
  <c r="D45" i="31"/>
  <c r="C45" i="31"/>
  <c r="B45" i="31"/>
  <c r="D44" i="31"/>
  <c r="C44" i="31"/>
  <c r="B44" i="31"/>
  <c r="D43" i="31"/>
  <c r="C43" i="31"/>
  <c r="B43" i="31"/>
  <c r="M46" i="29"/>
  <c r="L46" i="29"/>
  <c r="F46" i="29"/>
  <c r="D46" i="29"/>
  <c r="C46" i="29"/>
  <c r="M45" i="29"/>
  <c r="L45" i="29"/>
  <c r="F45" i="29"/>
  <c r="D45" i="29"/>
  <c r="C45" i="29"/>
  <c r="M44" i="29"/>
  <c r="L44" i="29"/>
  <c r="F44" i="29"/>
  <c r="D44" i="29"/>
  <c r="C44" i="29"/>
  <c r="M43" i="29"/>
  <c r="L43" i="29"/>
  <c r="F43" i="29"/>
  <c r="D43" i="29"/>
  <c r="C43" i="29"/>
  <c r="V46" i="22"/>
  <c r="U46" i="22"/>
  <c r="T46" i="22"/>
  <c r="S46" i="22"/>
  <c r="R46" i="22"/>
  <c r="Q46" i="22"/>
  <c r="F46" i="22"/>
  <c r="D46" i="22"/>
  <c r="C46" i="22"/>
  <c r="V45" i="22"/>
  <c r="U45" i="22"/>
  <c r="T45" i="22"/>
  <c r="S45" i="22"/>
  <c r="R45" i="22"/>
  <c r="Q45" i="22"/>
  <c r="F45" i="22"/>
  <c r="D45" i="22"/>
  <c r="C45" i="22"/>
  <c r="V44" i="22"/>
  <c r="U44" i="22"/>
  <c r="T44" i="22"/>
  <c r="S44" i="22"/>
  <c r="R44" i="22"/>
  <c r="Q44" i="22"/>
  <c r="F44" i="22"/>
  <c r="D44" i="22"/>
  <c r="C44" i="22"/>
  <c r="V43" i="22"/>
  <c r="U43" i="22"/>
  <c r="T43" i="22"/>
  <c r="S43" i="22"/>
  <c r="R43" i="22"/>
  <c r="Q43" i="22"/>
  <c r="F43" i="22"/>
  <c r="D43" i="22"/>
  <c r="C43" i="22"/>
  <c r="AO46" i="21"/>
  <c r="AN46" i="21"/>
  <c r="AL46" i="21"/>
  <c r="AM46" i="21" s="1"/>
  <c r="AJ46" i="21"/>
  <c r="AI46" i="21"/>
  <c r="AH46" i="21"/>
  <c r="AG46" i="21"/>
  <c r="AE46" i="21"/>
  <c r="AD46" i="21"/>
  <c r="AB46" i="21"/>
  <c r="AC46" i="21" s="1"/>
  <c r="Z46" i="21"/>
  <c r="Y46" i="21"/>
  <c r="X46" i="21"/>
  <c r="W46" i="21"/>
  <c r="F46" i="21"/>
  <c r="D46" i="21"/>
  <c r="C46" i="21"/>
  <c r="AO45" i="21"/>
  <c r="AN45" i="21"/>
  <c r="AL45" i="21"/>
  <c r="AM45" i="21" s="1"/>
  <c r="AJ45" i="21"/>
  <c r="AI45" i="21"/>
  <c r="AH45" i="21"/>
  <c r="AG45" i="21"/>
  <c r="AE45" i="21"/>
  <c r="AD45" i="21"/>
  <c r="AB45" i="21"/>
  <c r="AC45" i="21" s="1"/>
  <c r="Z45" i="21"/>
  <c r="Y45" i="21"/>
  <c r="X45" i="21"/>
  <c r="W45" i="21"/>
  <c r="F45" i="21"/>
  <c r="D45" i="21"/>
  <c r="C45" i="21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D44" i="21"/>
  <c r="C44" i="21"/>
  <c r="AO43" i="21"/>
  <c r="AN43" i="21"/>
  <c r="AL43" i="21"/>
  <c r="AM43" i="21" s="1"/>
  <c r="AJ43" i="21"/>
  <c r="AI43" i="21"/>
  <c r="AH43" i="21"/>
  <c r="AG43" i="21"/>
  <c r="AE43" i="21"/>
  <c r="AD43" i="21"/>
  <c r="AB43" i="21"/>
  <c r="AC43" i="21" s="1"/>
  <c r="Z43" i="21"/>
  <c r="Y43" i="21"/>
  <c r="X43" i="21"/>
  <c r="W43" i="21"/>
  <c r="F43" i="21"/>
  <c r="D43" i="21"/>
  <c r="C43" i="21"/>
  <c r="G46" i="24"/>
  <c r="H46" i="24" s="1"/>
  <c r="I46" i="24" s="1"/>
  <c r="J46" i="24" s="1"/>
  <c r="N46" i="31" s="1"/>
  <c r="G45" i="24"/>
  <c r="H45" i="24" s="1"/>
  <c r="I45" i="24" s="1"/>
  <c r="J45" i="24" s="1"/>
  <c r="N45" i="31" s="1"/>
  <c r="G44" i="24"/>
  <c r="H44" i="24" s="1"/>
  <c r="I44" i="24" s="1"/>
  <c r="J44" i="24" s="1"/>
  <c r="N44" i="31" s="1"/>
  <c r="G43" i="24"/>
  <c r="H43" i="24" s="1"/>
  <c r="I43" i="24" s="1"/>
  <c r="J43" i="24" s="1"/>
  <c r="N43" i="31" s="1"/>
  <c r="AR63" i="21" l="1"/>
  <c r="AU63" i="21" s="1"/>
  <c r="AX63" i="21" s="1"/>
  <c r="F63" i="31" s="1"/>
  <c r="Y58" i="22"/>
  <c r="AB58" i="22" s="1"/>
  <c r="AE58" i="22" s="1"/>
  <c r="J58" i="31" s="1"/>
  <c r="AR64" i="21"/>
  <c r="N46" i="29"/>
  <c r="O46" i="29" s="1"/>
  <c r="P46" i="29" s="1"/>
  <c r="K46" i="31" s="1"/>
  <c r="AR58" i="21"/>
  <c r="AS58" i="21" s="1"/>
  <c r="AV58" i="21" s="1"/>
  <c r="AY58" i="21" s="1"/>
  <c r="G58" i="31" s="1"/>
  <c r="Q57" i="29"/>
  <c r="R57" i="29" s="1"/>
  <c r="S57" i="29" s="1"/>
  <c r="L57" i="31" s="1"/>
  <c r="AQ64" i="21"/>
  <c r="AT64" i="21" s="1"/>
  <c r="AW64" i="21" s="1"/>
  <c r="E64" i="31" s="1"/>
  <c r="AQ58" i="21"/>
  <c r="AT58" i="21" s="1"/>
  <c r="AW58" i="21" s="1"/>
  <c r="E58" i="31" s="1"/>
  <c r="AF44" i="21"/>
  <c r="AF46" i="21"/>
  <c r="N43" i="29"/>
  <c r="O43" i="29" s="1"/>
  <c r="P43" i="29" s="1"/>
  <c r="K43" i="31" s="1"/>
  <c r="AQ63" i="21"/>
  <c r="AT63" i="21" s="1"/>
  <c r="AW63" i="21" s="1"/>
  <c r="E63" i="31" s="1"/>
  <c r="AQ57" i="21"/>
  <c r="AT57" i="21" s="1"/>
  <c r="AW57" i="21" s="1"/>
  <c r="E57" i="31" s="1"/>
  <c r="N45" i="29"/>
  <c r="O45" i="29" s="1"/>
  <c r="P45" i="29" s="1"/>
  <c r="K45" i="31" s="1"/>
  <c r="AR57" i="21"/>
  <c r="AU57" i="21" s="1"/>
  <c r="AX57" i="21" s="1"/>
  <c r="F57" i="31" s="1"/>
  <c r="T58" i="29"/>
  <c r="U58" i="29" s="1"/>
  <c r="V58" i="29" s="1"/>
  <c r="M58" i="31" s="1"/>
  <c r="AP45" i="21"/>
  <c r="AF45" i="21"/>
  <c r="AK43" i="21"/>
  <c r="Z57" i="22"/>
  <c r="AC57" i="22" s="1"/>
  <c r="H57" i="31" s="1"/>
  <c r="Y57" i="22"/>
  <c r="AB57" i="22" s="1"/>
  <c r="AE57" i="22" s="1"/>
  <c r="J57" i="31" s="1"/>
  <c r="AF43" i="21"/>
  <c r="AP43" i="21"/>
  <c r="X44" i="22"/>
  <c r="AA44" i="22" s="1"/>
  <c r="AD44" i="22" s="1"/>
  <c r="I44" i="31" s="1"/>
  <c r="X45" i="22"/>
  <c r="AA45" i="22" s="1"/>
  <c r="AD45" i="22" s="1"/>
  <c r="I45" i="31" s="1"/>
  <c r="Q58" i="29"/>
  <c r="R58" i="29" s="1"/>
  <c r="S58" i="29" s="1"/>
  <c r="L58" i="31" s="1"/>
  <c r="T57" i="29"/>
  <c r="U57" i="29" s="1"/>
  <c r="V57" i="29" s="1"/>
  <c r="M57" i="31" s="1"/>
  <c r="AP46" i="21"/>
  <c r="AK44" i="21"/>
  <c r="AA45" i="21"/>
  <c r="AP44" i="21"/>
  <c r="O58" i="29"/>
  <c r="P58" i="29" s="1"/>
  <c r="K58" i="31" s="1"/>
  <c r="X46" i="22"/>
  <c r="AA46" i="22" s="1"/>
  <c r="AD46" i="22" s="1"/>
  <c r="I46" i="31" s="1"/>
  <c r="N44" i="29"/>
  <c r="O44" i="29" s="1"/>
  <c r="P44" i="29" s="1"/>
  <c r="K44" i="31" s="1"/>
  <c r="AA46" i="21"/>
  <c r="AK46" i="21"/>
  <c r="AK45" i="21"/>
  <c r="AA44" i="21"/>
  <c r="AA43" i="21"/>
  <c r="W46" i="22"/>
  <c r="W45" i="22"/>
  <c r="W44" i="22"/>
  <c r="Z44" i="22" s="1"/>
  <c r="AC44" i="22" s="1"/>
  <c r="H44" i="31" s="1"/>
  <c r="X43" i="22"/>
  <c r="AA43" i="22" s="1"/>
  <c r="AD43" i="22" s="1"/>
  <c r="I43" i="31" s="1"/>
  <c r="W43" i="22"/>
  <c r="Z43" i="22" s="1"/>
  <c r="AC43" i="22" s="1"/>
  <c r="H43" i="31" s="1"/>
  <c r="D50" i="31"/>
  <c r="C50" i="31"/>
  <c r="B50" i="31"/>
  <c r="M50" i="29"/>
  <c r="L50" i="29"/>
  <c r="F50" i="29"/>
  <c r="D50" i="29"/>
  <c r="C50" i="29"/>
  <c r="V50" i="22"/>
  <c r="U50" i="22"/>
  <c r="T50" i="22"/>
  <c r="S50" i="22"/>
  <c r="R50" i="22"/>
  <c r="Q50" i="22"/>
  <c r="F50" i="22"/>
  <c r="D50" i="22"/>
  <c r="C50" i="22"/>
  <c r="AO50" i="21"/>
  <c r="AN50" i="21"/>
  <c r="AL50" i="21"/>
  <c r="AM50" i="21" s="1"/>
  <c r="AJ50" i="21"/>
  <c r="AI50" i="21"/>
  <c r="AH50" i="21"/>
  <c r="AG50" i="21"/>
  <c r="AE50" i="21"/>
  <c r="AD50" i="21"/>
  <c r="AB50" i="21"/>
  <c r="AC50" i="21" s="1"/>
  <c r="Z50" i="21"/>
  <c r="Y50" i="21"/>
  <c r="X50" i="21"/>
  <c r="W50" i="21"/>
  <c r="F50" i="21"/>
  <c r="D50" i="21"/>
  <c r="C50" i="21"/>
  <c r="G50" i="24"/>
  <c r="H50" i="24" s="1"/>
  <c r="I50" i="24" s="1"/>
  <c r="J50" i="24" s="1"/>
  <c r="N50" i="31" s="1"/>
  <c r="Y45" i="22" l="1"/>
  <c r="AB45" i="22" s="1"/>
  <c r="AE45" i="22" s="1"/>
  <c r="J45" i="31" s="1"/>
  <c r="AR43" i="21"/>
  <c r="AU43" i="21" s="1"/>
  <c r="AX43" i="21" s="1"/>
  <c r="F43" i="31" s="1"/>
  <c r="AS64" i="21"/>
  <c r="AV64" i="21" s="1"/>
  <c r="AY64" i="21" s="1"/>
  <c r="G64" i="31" s="1"/>
  <c r="AU64" i="21"/>
  <c r="AX64" i="21" s="1"/>
  <c r="F64" i="31" s="1"/>
  <c r="AQ45" i="21"/>
  <c r="AT45" i="21" s="1"/>
  <c r="AW45" i="21" s="1"/>
  <c r="E45" i="31" s="1"/>
  <c r="AU58" i="21"/>
  <c r="AX58" i="21" s="1"/>
  <c r="F58" i="31" s="1"/>
  <c r="O58" i="31"/>
  <c r="P58" i="31" s="1"/>
  <c r="AQ46" i="21"/>
  <c r="AT46" i="21" s="1"/>
  <c r="AW46" i="21" s="1"/>
  <c r="E46" i="31" s="1"/>
  <c r="AQ44" i="21"/>
  <c r="AT44" i="21" s="1"/>
  <c r="AW44" i="21" s="1"/>
  <c r="E44" i="31" s="1"/>
  <c r="AR45" i="21"/>
  <c r="AU45" i="21" s="1"/>
  <c r="AX45" i="21" s="1"/>
  <c r="F45" i="31" s="1"/>
  <c r="AP50" i="21"/>
  <c r="AQ43" i="21"/>
  <c r="AT43" i="21" s="1"/>
  <c r="AW43" i="21" s="1"/>
  <c r="E43" i="31" s="1"/>
  <c r="AS63" i="21"/>
  <c r="AV63" i="21" s="1"/>
  <c r="AY63" i="21" s="1"/>
  <c r="G63" i="31" s="1"/>
  <c r="AS57" i="21"/>
  <c r="AV57" i="21" s="1"/>
  <c r="AY57" i="21" s="1"/>
  <c r="G57" i="31" s="1"/>
  <c r="AR44" i="21"/>
  <c r="AU44" i="21" s="1"/>
  <c r="AX44" i="21" s="1"/>
  <c r="F44" i="31" s="1"/>
  <c r="AR46" i="21"/>
  <c r="AU46" i="21" s="1"/>
  <c r="AX46" i="21" s="1"/>
  <c r="F46" i="31" s="1"/>
  <c r="AF50" i="21"/>
  <c r="T46" i="29"/>
  <c r="U46" i="29" s="1"/>
  <c r="V46" i="29" s="1"/>
  <c r="M46" i="31" s="1"/>
  <c r="X50" i="22"/>
  <c r="AA50" i="22" s="1"/>
  <c r="AD50" i="22" s="1"/>
  <c r="I50" i="31" s="1"/>
  <c r="AA50" i="21"/>
  <c r="Y46" i="22"/>
  <c r="AB46" i="22" s="1"/>
  <c r="AE46" i="22" s="1"/>
  <c r="J46" i="31" s="1"/>
  <c r="Z46" i="22"/>
  <c r="AC46" i="22" s="1"/>
  <c r="H46" i="31" s="1"/>
  <c r="Q46" i="29"/>
  <c r="R46" i="29" s="1"/>
  <c r="S46" i="29" s="1"/>
  <c r="L46" i="31" s="1"/>
  <c r="T45" i="29"/>
  <c r="U45" i="29" s="1"/>
  <c r="Q45" i="29"/>
  <c r="R45" i="29" s="1"/>
  <c r="S45" i="29" s="1"/>
  <c r="L45" i="31" s="1"/>
  <c r="Z45" i="22"/>
  <c r="AC45" i="22" s="1"/>
  <c r="H45" i="31" s="1"/>
  <c r="T44" i="29"/>
  <c r="Q44" i="29"/>
  <c r="R44" i="29" s="1"/>
  <c r="S44" i="29" s="1"/>
  <c r="L44" i="31" s="1"/>
  <c r="Y44" i="22"/>
  <c r="AB44" i="22" s="1"/>
  <c r="AE44" i="22" s="1"/>
  <c r="J44" i="31" s="1"/>
  <c r="Q43" i="29"/>
  <c r="R43" i="29" s="1"/>
  <c r="S43" i="29" s="1"/>
  <c r="L43" i="31" s="1"/>
  <c r="Y43" i="22"/>
  <c r="AB43" i="22" s="1"/>
  <c r="AE43" i="22" s="1"/>
  <c r="J43" i="31" s="1"/>
  <c r="T43" i="29"/>
  <c r="U43" i="29" s="1"/>
  <c r="AK50" i="21"/>
  <c r="N50" i="29"/>
  <c r="O50" i="29" s="1"/>
  <c r="P50" i="29" s="1"/>
  <c r="K50" i="31" s="1"/>
  <c r="W50" i="22"/>
  <c r="Z50" i="22" s="1"/>
  <c r="AC50" i="22" s="1"/>
  <c r="H50" i="31" s="1"/>
  <c r="C4" i="21"/>
  <c r="C15" i="21"/>
  <c r="C16" i="21"/>
  <c r="C17" i="21"/>
  <c r="C34" i="21"/>
  <c r="C35" i="21"/>
  <c r="C36" i="21"/>
  <c r="C39" i="21"/>
  <c r="C40" i="21"/>
  <c r="C41" i="21"/>
  <c r="C42" i="21"/>
  <c r="C47" i="21"/>
  <c r="C48" i="21"/>
  <c r="C49" i="21"/>
  <c r="C51" i="21"/>
  <c r="C52" i="21"/>
  <c r="C53" i="21"/>
  <c r="C54" i="21"/>
  <c r="C55" i="21"/>
  <c r="C56" i="21"/>
  <c r="C59" i="21"/>
  <c r="C60" i="21"/>
  <c r="C61" i="21"/>
  <c r="C62" i="21"/>
  <c r="C65" i="21"/>
  <c r="C66" i="21"/>
  <c r="C68" i="21"/>
  <c r="C69" i="21"/>
  <c r="C70" i="21"/>
  <c r="C71" i="21"/>
  <c r="C72" i="21"/>
  <c r="C73" i="21"/>
  <c r="O64" i="31" l="1"/>
  <c r="P64" i="31" s="1"/>
  <c r="AS45" i="21"/>
  <c r="AV45" i="21" s="1"/>
  <c r="AY45" i="21" s="1"/>
  <c r="G45" i="31" s="1"/>
  <c r="AS43" i="21"/>
  <c r="AV43" i="21" s="1"/>
  <c r="AY43" i="21" s="1"/>
  <c r="G43" i="31" s="1"/>
  <c r="O63" i="31"/>
  <c r="P63" i="31" s="1"/>
  <c r="AR50" i="21"/>
  <c r="AU50" i="21" s="1"/>
  <c r="AX50" i="21" s="1"/>
  <c r="F50" i="31" s="1"/>
  <c r="AS46" i="21"/>
  <c r="AV46" i="21" s="1"/>
  <c r="AY46" i="21" s="1"/>
  <c r="G46" i="31" s="1"/>
  <c r="O57" i="31"/>
  <c r="P57" i="31" s="1"/>
  <c r="AS44" i="21"/>
  <c r="AV44" i="21" s="1"/>
  <c r="AY44" i="21" s="1"/>
  <c r="G44" i="31" s="1"/>
  <c r="AQ50" i="21"/>
  <c r="AT50" i="21" s="1"/>
  <c r="AW50" i="21" s="1"/>
  <c r="E50" i="31" s="1"/>
  <c r="Y50" i="22"/>
  <c r="AB50" i="22" s="1"/>
  <c r="AE50" i="22" s="1"/>
  <c r="J50" i="31" s="1"/>
  <c r="V45" i="29"/>
  <c r="M45" i="31" s="1"/>
  <c r="U44" i="29"/>
  <c r="V43" i="29"/>
  <c r="M43" i="31" s="1"/>
  <c r="T50" i="29"/>
  <c r="U50" i="29" s="1"/>
  <c r="V50" i="29" s="1"/>
  <c r="M50" i="31" s="1"/>
  <c r="Q50" i="29"/>
  <c r="R50" i="29" s="1"/>
  <c r="S50" i="29" s="1"/>
  <c r="L50" i="31" s="1"/>
  <c r="D59" i="31"/>
  <c r="C59" i="31"/>
  <c r="B59" i="31"/>
  <c r="M59" i="29"/>
  <c r="L59" i="29"/>
  <c r="F59" i="29"/>
  <c r="D59" i="29"/>
  <c r="C59" i="29"/>
  <c r="V59" i="22"/>
  <c r="U59" i="22"/>
  <c r="T59" i="22"/>
  <c r="S59" i="22"/>
  <c r="R59" i="22"/>
  <c r="Q59" i="22"/>
  <c r="F59" i="22"/>
  <c r="D59" i="22"/>
  <c r="C59" i="22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F59" i="21"/>
  <c r="D59" i="21"/>
  <c r="G59" i="24"/>
  <c r="H59" i="24" s="1"/>
  <c r="I59" i="24" s="1"/>
  <c r="J59" i="24" s="1"/>
  <c r="N59" i="31" s="1"/>
  <c r="O43" i="31" l="1"/>
  <c r="P43" i="31" s="1"/>
  <c r="O45" i="31"/>
  <c r="P45" i="31" s="1"/>
  <c r="O44" i="31"/>
  <c r="P44" i="31" s="1"/>
  <c r="O46" i="31"/>
  <c r="P46" i="31" s="1"/>
  <c r="AS50" i="21"/>
  <c r="AV50" i="21" s="1"/>
  <c r="AY50" i="21" s="1"/>
  <c r="G50" i="31" s="1"/>
  <c r="N59" i="29"/>
  <c r="O59" i="29" s="1"/>
  <c r="P59" i="29" s="1"/>
  <c r="K59" i="31" s="1"/>
  <c r="V44" i="29"/>
  <c r="M44" i="31" s="1"/>
  <c r="AP59" i="21"/>
  <c r="X59" i="22"/>
  <c r="AA59" i="22" s="1"/>
  <c r="AD59" i="22" s="1"/>
  <c r="I59" i="31" s="1"/>
  <c r="W59" i="22"/>
  <c r="AA59" i="21"/>
  <c r="AF59" i="21"/>
  <c r="AK59" i="21"/>
  <c r="F42" i="21"/>
  <c r="D42" i="31"/>
  <c r="C42" i="31"/>
  <c r="B42" i="31"/>
  <c r="B47" i="31"/>
  <c r="C47" i="31"/>
  <c r="D47" i="31"/>
  <c r="M42" i="29"/>
  <c r="L42" i="29"/>
  <c r="F42" i="29"/>
  <c r="D42" i="29"/>
  <c r="C42" i="29"/>
  <c r="V42" i="22"/>
  <c r="U42" i="22"/>
  <c r="T42" i="22"/>
  <c r="S42" i="22"/>
  <c r="R42" i="22"/>
  <c r="Q42" i="22"/>
  <c r="F42" i="22"/>
  <c r="D42" i="22"/>
  <c r="C42" i="22"/>
  <c r="AO42" i="21"/>
  <c r="AN42" i="21"/>
  <c r="AL42" i="21"/>
  <c r="AM42" i="21" s="1"/>
  <c r="AJ42" i="21"/>
  <c r="AI42" i="21"/>
  <c r="AH42" i="21"/>
  <c r="AG42" i="21"/>
  <c r="AE42" i="21"/>
  <c r="AD42" i="21"/>
  <c r="AB42" i="21"/>
  <c r="AC42" i="21" s="1"/>
  <c r="Z42" i="21"/>
  <c r="Y42" i="21"/>
  <c r="X42" i="21"/>
  <c r="W42" i="21"/>
  <c r="D42" i="21"/>
  <c r="G42" i="24"/>
  <c r="H42" i="24" s="1"/>
  <c r="I42" i="24" s="1"/>
  <c r="J42" i="24" s="1"/>
  <c r="N42" i="31" s="1"/>
  <c r="O50" i="31" l="1"/>
  <c r="P50" i="31" s="1"/>
  <c r="AR59" i="21"/>
  <c r="AU59" i="21" s="1"/>
  <c r="AX59" i="21" s="1"/>
  <c r="F59" i="31" s="1"/>
  <c r="N42" i="29"/>
  <c r="O42" i="29" s="1"/>
  <c r="P42" i="29" s="1"/>
  <c r="K42" i="31" s="1"/>
  <c r="T59" i="29"/>
  <c r="U59" i="29" s="1"/>
  <c r="V59" i="29" s="1"/>
  <c r="M59" i="31" s="1"/>
  <c r="AQ59" i="21"/>
  <c r="AT59" i="21" s="1"/>
  <c r="AW59" i="21" s="1"/>
  <c r="E59" i="31" s="1"/>
  <c r="Y59" i="22"/>
  <c r="AB59" i="22" s="1"/>
  <c r="AE59" i="22" s="1"/>
  <c r="J59" i="31" s="1"/>
  <c r="AF42" i="21"/>
  <c r="Q59" i="29"/>
  <c r="R59" i="29" s="1"/>
  <c r="S59" i="29" s="1"/>
  <c r="L59" i="31" s="1"/>
  <c r="Z59" i="22"/>
  <c r="AC59" i="22" s="1"/>
  <c r="H59" i="31" s="1"/>
  <c r="W42" i="22"/>
  <c r="X42" i="22"/>
  <c r="AA42" i="22" s="1"/>
  <c r="AD42" i="22" s="1"/>
  <c r="I42" i="31" s="1"/>
  <c r="AP42" i="21"/>
  <c r="AK42" i="21"/>
  <c r="AA42" i="21"/>
  <c r="D52" i="21"/>
  <c r="Q42" i="29" l="1"/>
  <c r="R42" i="29" s="1"/>
  <c r="S42" i="29" s="1"/>
  <c r="L42" i="31" s="1"/>
  <c r="AQ42" i="21"/>
  <c r="AT42" i="21" s="1"/>
  <c r="AW42" i="21" s="1"/>
  <c r="E42" i="31" s="1"/>
  <c r="AS59" i="21"/>
  <c r="AV59" i="21" s="1"/>
  <c r="Z42" i="22"/>
  <c r="AC42" i="22" s="1"/>
  <c r="H42" i="31" s="1"/>
  <c r="T42" i="29"/>
  <c r="U42" i="29" s="1"/>
  <c r="V42" i="29" s="1"/>
  <c r="M42" i="31" s="1"/>
  <c r="Y42" i="22"/>
  <c r="AB42" i="22" s="1"/>
  <c r="AE42" i="22" s="1"/>
  <c r="J42" i="31" s="1"/>
  <c r="AR42" i="21"/>
  <c r="AU42" i="21" s="1"/>
  <c r="AX42" i="21" s="1"/>
  <c r="F42" i="31" s="1"/>
  <c r="AY59" i="21" l="1"/>
  <c r="G59" i="31" s="1"/>
  <c r="O59" i="31"/>
  <c r="P59" i="31" s="1"/>
  <c r="AS42" i="21"/>
  <c r="AV42" i="21" s="1"/>
  <c r="AY42" i="21" l="1"/>
  <c r="G42" i="31" s="1"/>
  <c r="O42" i="31"/>
  <c r="P42" i="31" s="1"/>
  <c r="D54" i="31"/>
  <c r="C54" i="31"/>
  <c r="B54" i="31"/>
  <c r="D53" i="31"/>
  <c r="C53" i="31"/>
  <c r="B53" i="31"/>
  <c r="M54" i="29"/>
  <c r="L54" i="29"/>
  <c r="F54" i="29"/>
  <c r="D54" i="29"/>
  <c r="C54" i="29"/>
  <c r="M53" i="29"/>
  <c r="L53" i="29"/>
  <c r="F53" i="29"/>
  <c r="D53" i="29"/>
  <c r="C53" i="29"/>
  <c r="V54" i="22"/>
  <c r="U54" i="22"/>
  <c r="T54" i="22"/>
  <c r="S54" i="22"/>
  <c r="R54" i="22"/>
  <c r="Q54" i="22"/>
  <c r="F54" i="22"/>
  <c r="D54" i="22"/>
  <c r="C54" i="22"/>
  <c r="V53" i="22"/>
  <c r="U53" i="22"/>
  <c r="T53" i="22"/>
  <c r="S53" i="22"/>
  <c r="R53" i="22"/>
  <c r="Q53" i="22"/>
  <c r="F53" i="22"/>
  <c r="D53" i="22"/>
  <c r="C53" i="22"/>
  <c r="AO54" i="21"/>
  <c r="AN54" i="21"/>
  <c r="AL54" i="21"/>
  <c r="AM54" i="21" s="1"/>
  <c r="AJ54" i="21"/>
  <c r="AI54" i="21"/>
  <c r="AH54" i="21"/>
  <c r="AG54" i="21"/>
  <c r="AE54" i="21"/>
  <c r="AD54" i="21"/>
  <c r="AB54" i="21"/>
  <c r="AC54" i="21" s="1"/>
  <c r="Z54" i="21"/>
  <c r="Y54" i="21"/>
  <c r="X54" i="21"/>
  <c r="W54" i="21"/>
  <c r="F54" i="21"/>
  <c r="D54" i="21"/>
  <c r="AO53" i="21"/>
  <c r="AN53" i="21"/>
  <c r="AL53" i="21"/>
  <c r="AM53" i="21" s="1"/>
  <c r="AJ53" i="21"/>
  <c r="AI53" i="21"/>
  <c r="AH53" i="21"/>
  <c r="AG53" i="21"/>
  <c r="AE53" i="21"/>
  <c r="AD53" i="21"/>
  <c r="AB53" i="21"/>
  <c r="AC53" i="21" s="1"/>
  <c r="Z53" i="21"/>
  <c r="Y53" i="21"/>
  <c r="X53" i="21"/>
  <c r="W53" i="21"/>
  <c r="F53" i="21"/>
  <c r="D53" i="21"/>
  <c r="G54" i="24"/>
  <c r="H54" i="24" s="1"/>
  <c r="I54" i="24" s="1"/>
  <c r="J54" i="24" s="1"/>
  <c r="N54" i="31" s="1"/>
  <c r="G53" i="24"/>
  <c r="H53" i="24" s="1"/>
  <c r="I53" i="24" s="1"/>
  <c r="J53" i="24" s="1"/>
  <c r="N53" i="31" s="1"/>
  <c r="D4" i="31"/>
  <c r="C4" i="31"/>
  <c r="B4" i="31"/>
  <c r="D3" i="31"/>
  <c r="C3" i="31"/>
  <c r="B3" i="31"/>
  <c r="M4" i="29"/>
  <c r="L4" i="29"/>
  <c r="F4" i="29"/>
  <c r="D4" i="29"/>
  <c r="C4" i="29"/>
  <c r="M3" i="29"/>
  <c r="L3" i="29"/>
  <c r="F3" i="29"/>
  <c r="D3" i="29"/>
  <c r="C3" i="29"/>
  <c r="V4" i="22"/>
  <c r="U4" i="22"/>
  <c r="T4" i="22"/>
  <c r="S4" i="22"/>
  <c r="R4" i="22"/>
  <c r="Q4" i="22"/>
  <c r="F4" i="22"/>
  <c r="D4" i="22"/>
  <c r="C4" i="22"/>
  <c r="V3" i="22"/>
  <c r="U3" i="22"/>
  <c r="T3" i="22"/>
  <c r="S3" i="22"/>
  <c r="R3" i="22"/>
  <c r="Q3" i="22"/>
  <c r="F3" i="22"/>
  <c r="D3" i="22"/>
  <c r="C3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C3" i="21"/>
  <c r="G4" i="24"/>
  <c r="H4" i="24" s="1"/>
  <c r="I4" i="24" s="1"/>
  <c r="J4" i="24" s="1"/>
  <c r="N4" i="31" s="1"/>
  <c r="G3" i="24"/>
  <c r="H3" i="24" s="1"/>
  <c r="I3" i="24" s="1"/>
  <c r="J3" i="24" s="1"/>
  <c r="N3" i="31" s="1"/>
  <c r="G15" i="24"/>
  <c r="H15" i="24" s="1"/>
  <c r="I15" i="24" s="1"/>
  <c r="J15" i="24" s="1"/>
  <c r="N15" i="31" s="1"/>
  <c r="G16" i="24"/>
  <c r="H16" i="24" s="1"/>
  <c r="I16" i="24" s="1"/>
  <c r="J16" i="24" s="1"/>
  <c r="N16" i="31" s="1"/>
  <c r="G17" i="24"/>
  <c r="H17" i="24" s="1"/>
  <c r="I17" i="24" s="1"/>
  <c r="J17" i="24" s="1"/>
  <c r="N17" i="31" s="1"/>
  <c r="D60" i="21"/>
  <c r="D61" i="21"/>
  <c r="D62" i="21"/>
  <c r="D65" i="21"/>
  <c r="D66" i="21"/>
  <c r="D68" i="21"/>
  <c r="D69" i="21"/>
  <c r="D70" i="21"/>
  <c r="D71" i="21"/>
  <c r="D72" i="21"/>
  <c r="D73" i="21"/>
  <c r="D15" i="21"/>
  <c r="D16" i="21"/>
  <c r="D17" i="21"/>
  <c r="D34" i="21"/>
  <c r="D35" i="21"/>
  <c r="D36" i="21"/>
  <c r="D39" i="21"/>
  <c r="D40" i="21"/>
  <c r="D41" i="21"/>
  <c r="D47" i="21"/>
  <c r="D48" i="21"/>
  <c r="D49" i="21"/>
  <c r="D51" i="21"/>
  <c r="D55" i="21"/>
  <c r="D56" i="21"/>
  <c r="M73" i="29"/>
  <c r="L73" i="29"/>
  <c r="C70" i="22"/>
  <c r="D73" i="31"/>
  <c r="C73" i="31"/>
  <c r="B73" i="31"/>
  <c r="F73" i="29"/>
  <c r="D73" i="29"/>
  <c r="C73" i="29"/>
  <c r="V73" i="22"/>
  <c r="U73" i="22"/>
  <c r="T73" i="22"/>
  <c r="S73" i="22"/>
  <c r="R73" i="22"/>
  <c r="Q73" i="22"/>
  <c r="F73" i="22"/>
  <c r="D73" i="22"/>
  <c r="C73" i="22"/>
  <c r="AO73" i="21"/>
  <c r="AN73" i="21"/>
  <c r="AL73" i="21"/>
  <c r="AM73" i="21" s="1"/>
  <c r="AJ73" i="21"/>
  <c r="AI73" i="21"/>
  <c r="AH73" i="21"/>
  <c r="AG73" i="21"/>
  <c r="AE73" i="21"/>
  <c r="AD73" i="21"/>
  <c r="AB73" i="21"/>
  <c r="AC73" i="21" s="1"/>
  <c r="Z73" i="21"/>
  <c r="Y73" i="21"/>
  <c r="X73" i="21"/>
  <c r="W73" i="21"/>
  <c r="F73" i="21"/>
  <c r="G73" i="24"/>
  <c r="H73" i="24" s="1"/>
  <c r="D17" i="31"/>
  <c r="C17" i="31"/>
  <c r="B17" i="31"/>
  <c r="M17" i="29"/>
  <c r="L17" i="29"/>
  <c r="F17" i="29"/>
  <c r="D17" i="29"/>
  <c r="C17" i="29"/>
  <c r="V17" i="22"/>
  <c r="U17" i="22"/>
  <c r="T17" i="22"/>
  <c r="S17" i="22"/>
  <c r="R17" i="22"/>
  <c r="Q17" i="22"/>
  <c r="F17" i="22"/>
  <c r="D17" i="22"/>
  <c r="C17" i="22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F17" i="21"/>
  <c r="D72" i="31"/>
  <c r="C72" i="31"/>
  <c r="B72" i="31"/>
  <c r="D71" i="31"/>
  <c r="C71" i="31"/>
  <c r="B71" i="31"/>
  <c r="D70" i="31"/>
  <c r="C70" i="31"/>
  <c r="B70" i="31"/>
  <c r="M72" i="29"/>
  <c r="L72" i="29"/>
  <c r="F72" i="29"/>
  <c r="D72" i="29"/>
  <c r="C72" i="29"/>
  <c r="M71" i="29"/>
  <c r="L71" i="29"/>
  <c r="F71" i="29"/>
  <c r="D71" i="29"/>
  <c r="C71" i="29"/>
  <c r="M70" i="29"/>
  <c r="L70" i="29"/>
  <c r="F70" i="29"/>
  <c r="D70" i="29"/>
  <c r="C70" i="29"/>
  <c r="V72" i="22"/>
  <c r="U72" i="22"/>
  <c r="T72" i="22"/>
  <c r="S72" i="22"/>
  <c r="R72" i="22"/>
  <c r="Q72" i="22"/>
  <c r="F72" i="22"/>
  <c r="D72" i="22"/>
  <c r="C72" i="22"/>
  <c r="V71" i="22"/>
  <c r="U71" i="22"/>
  <c r="T71" i="22"/>
  <c r="S71" i="22"/>
  <c r="R71" i="22"/>
  <c r="Q71" i="22"/>
  <c r="F71" i="22"/>
  <c r="D71" i="22"/>
  <c r="C71" i="22"/>
  <c r="V70" i="22"/>
  <c r="U70" i="22"/>
  <c r="T70" i="22"/>
  <c r="S70" i="22"/>
  <c r="R70" i="22"/>
  <c r="Q70" i="22"/>
  <c r="F70" i="22"/>
  <c r="D70" i="22"/>
  <c r="AO72" i="21"/>
  <c r="AN72" i="21"/>
  <c r="AL72" i="21"/>
  <c r="AM72" i="21" s="1"/>
  <c r="AJ72" i="21"/>
  <c r="AI72" i="21"/>
  <c r="AH72" i="21"/>
  <c r="AG72" i="21"/>
  <c r="AE72" i="21"/>
  <c r="AD72" i="21"/>
  <c r="AB72" i="21"/>
  <c r="AC72" i="21" s="1"/>
  <c r="Z72" i="21"/>
  <c r="Y72" i="21"/>
  <c r="X72" i="21"/>
  <c r="W72" i="21"/>
  <c r="F72" i="21"/>
  <c r="AO71" i="21"/>
  <c r="AN71" i="21"/>
  <c r="AL71" i="21"/>
  <c r="AM71" i="21" s="1"/>
  <c r="AJ71" i="21"/>
  <c r="AI71" i="21"/>
  <c r="AH71" i="21"/>
  <c r="AG71" i="21"/>
  <c r="AE71" i="21"/>
  <c r="AD71" i="21"/>
  <c r="AB71" i="21"/>
  <c r="AC71" i="21" s="1"/>
  <c r="Z71" i="21"/>
  <c r="Y71" i="21"/>
  <c r="X71" i="21"/>
  <c r="W71" i="21"/>
  <c r="F71" i="21"/>
  <c r="AO70" i="21"/>
  <c r="AN70" i="21"/>
  <c r="AL70" i="21"/>
  <c r="AM70" i="21" s="1"/>
  <c r="AJ70" i="21"/>
  <c r="AI70" i="21"/>
  <c r="AH70" i="21"/>
  <c r="AG70" i="21"/>
  <c r="AE70" i="21"/>
  <c r="AD70" i="21"/>
  <c r="AB70" i="21"/>
  <c r="AC70" i="21" s="1"/>
  <c r="Z70" i="21"/>
  <c r="Y70" i="21"/>
  <c r="X70" i="21"/>
  <c r="W70" i="21"/>
  <c r="F70" i="21"/>
  <c r="G72" i="24"/>
  <c r="H72" i="24" s="1"/>
  <c r="G71" i="24"/>
  <c r="H71" i="24" s="1"/>
  <c r="I71" i="24" s="1"/>
  <c r="J71" i="24" s="1"/>
  <c r="N71" i="31" s="1"/>
  <c r="G70" i="24"/>
  <c r="H70" i="24" s="1"/>
  <c r="I70" i="24" s="1"/>
  <c r="J70" i="24" s="1"/>
  <c r="N70" i="31" s="1"/>
  <c r="D68" i="31"/>
  <c r="C68" i="31"/>
  <c r="B68" i="31"/>
  <c r="M68" i="29"/>
  <c r="L68" i="29"/>
  <c r="F68" i="29"/>
  <c r="D68" i="29"/>
  <c r="C68" i="29"/>
  <c r="V68" i="22"/>
  <c r="U68" i="22"/>
  <c r="T68" i="22"/>
  <c r="S68" i="22"/>
  <c r="R68" i="22"/>
  <c r="Q68" i="22"/>
  <c r="F68" i="22"/>
  <c r="D68" i="22"/>
  <c r="C68" i="22"/>
  <c r="AO68" i="21"/>
  <c r="AN68" i="21"/>
  <c r="AL68" i="21"/>
  <c r="AM68" i="21" s="1"/>
  <c r="AJ68" i="21"/>
  <c r="AI68" i="21"/>
  <c r="AH68" i="21"/>
  <c r="AG68" i="21"/>
  <c r="AE68" i="21"/>
  <c r="AD68" i="21"/>
  <c r="AB68" i="21"/>
  <c r="AC68" i="21" s="1"/>
  <c r="Z68" i="21"/>
  <c r="Y68" i="21"/>
  <c r="X68" i="21"/>
  <c r="W68" i="21"/>
  <c r="F68" i="21"/>
  <c r="G68" i="24"/>
  <c r="H68" i="24" s="1"/>
  <c r="I68" i="24" s="1"/>
  <c r="J68" i="24" s="1"/>
  <c r="N68" i="31" s="1"/>
  <c r="D51" i="31"/>
  <c r="C51" i="31"/>
  <c r="B51" i="31"/>
  <c r="M51" i="29"/>
  <c r="L51" i="29"/>
  <c r="F51" i="29"/>
  <c r="D51" i="29"/>
  <c r="C51" i="29"/>
  <c r="V51" i="22"/>
  <c r="U51" i="22"/>
  <c r="T51" i="22"/>
  <c r="S51" i="22"/>
  <c r="R51" i="22"/>
  <c r="Q51" i="22"/>
  <c r="F51" i="22"/>
  <c r="D51" i="22"/>
  <c r="C51" i="22"/>
  <c r="AO51" i="21"/>
  <c r="AN51" i="21"/>
  <c r="AL51" i="21"/>
  <c r="AM51" i="21" s="1"/>
  <c r="AJ51" i="21"/>
  <c r="AI51" i="21"/>
  <c r="AH51" i="21"/>
  <c r="AG51" i="21"/>
  <c r="AE51" i="21"/>
  <c r="AD51" i="21"/>
  <c r="AB51" i="21"/>
  <c r="AC51" i="21" s="1"/>
  <c r="Z51" i="21"/>
  <c r="Y51" i="21"/>
  <c r="X51" i="21"/>
  <c r="W51" i="21"/>
  <c r="F51" i="21"/>
  <c r="G51" i="24"/>
  <c r="H51" i="24" s="1"/>
  <c r="I51" i="24" s="1"/>
  <c r="J51" i="24" s="1"/>
  <c r="N51" i="31" s="1"/>
  <c r="D36" i="31"/>
  <c r="C36" i="31"/>
  <c r="B36" i="31"/>
  <c r="D35" i="31"/>
  <c r="C35" i="31"/>
  <c r="B35" i="31"/>
  <c r="D34" i="31"/>
  <c r="C34" i="31"/>
  <c r="B34" i="31"/>
  <c r="M36" i="29"/>
  <c r="L36" i="29"/>
  <c r="F36" i="29"/>
  <c r="D36" i="29"/>
  <c r="C36" i="29"/>
  <c r="M35" i="29"/>
  <c r="L35" i="29"/>
  <c r="F35" i="29"/>
  <c r="D35" i="29"/>
  <c r="C35" i="29"/>
  <c r="M34" i="29"/>
  <c r="L34" i="29"/>
  <c r="F34" i="29"/>
  <c r="D34" i="29"/>
  <c r="C34" i="29"/>
  <c r="V36" i="22"/>
  <c r="U36" i="22"/>
  <c r="T36" i="22"/>
  <c r="S36" i="22"/>
  <c r="R36" i="22"/>
  <c r="Q36" i="22"/>
  <c r="F36" i="22"/>
  <c r="D36" i="22"/>
  <c r="C36" i="22"/>
  <c r="V35" i="22"/>
  <c r="U35" i="22"/>
  <c r="T35" i="22"/>
  <c r="S35" i="22"/>
  <c r="R35" i="22"/>
  <c r="Q35" i="22"/>
  <c r="F35" i="22"/>
  <c r="D35" i="22"/>
  <c r="C35" i="22"/>
  <c r="V34" i="22"/>
  <c r="U34" i="22"/>
  <c r="T34" i="22"/>
  <c r="S34" i="22"/>
  <c r="R34" i="22"/>
  <c r="Q34" i="22"/>
  <c r="F34" i="22"/>
  <c r="D34" i="22"/>
  <c r="C34" i="22"/>
  <c r="AO36" i="21"/>
  <c r="AN36" i="21"/>
  <c r="AL36" i="21"/>
  <c r="AM36" i="21" s="1"/>
  <c r="AJ36" i="21"/>
  <c r="AI36" i="21"/>
  <c r="AH36" i="21"/>
  <c r="AG36" i="21"/>
  <c r="AE36" i="21"/>
  <c r="AD36" i="21"/>
  <c r="AB36" i="21"/>
  <c r="AC36" i="21" s="1"/>
  <c r="Z36" i="21"/>
  <c r="Y36" i="21"/>
  <c r="X36" i="21"/>
  <c r="W36" i="21"/>
  <c r="F36" i="21"/>
  <c r="AO35" i="21"/>
  <c r="AN35" i="21"/>
  <c r="AL35" i="21"/>
  <c r="AM35" i="21" s="1"/>
  <c r="AJ35" i="21"/>
  <c r="AI35" i="21"/>
  <c r="AH35" i="21"/>
  <c r="AG35" i="21"/>
  <c r="AE35" i="21"/>
  <c r="AD35" i="21"/>
  <c r="AB35" i="21"/>
  <c r="AC35" i="21" s="1"/>
  <c r="Z35" i="21"/>
  <c r="Y35" i="21"/>
  <c r="X35" i="21"/>
  <c r="W35" i="21"/>
  <c r="F35" i="21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G36" i="24"/>
  <c r="H36" i="24" s="1"/>
  <c r="I36" i="24" s="1"/>
  <c r="J36" i="24" s="1"/>
  <c r="N36" i="31" s="1"/>
  <c r="G35" i="24"/>
  <c r="H35" i="24" s="1"/>
  <c r="I35" i="24" s="1"/>
  <c r="J35" i="24" s="1"/>
  <c r="N35" i="31" s="1"/>
  <c r="G34" i="24"/>
  <c r="H34" i="24" s="1"/>
  <c r="D55" i="31"/>
  <c r="C55" i="31"/>
  <c r="B55" i="31"/>
  <c r="D52" i="31"/>
  <c r="C52" i="31"/>
  <c r="B52" i="31"/>
  <c r="M55" i="29"/>
  <c r="L55" i="29"/>
  <c r="F55" i="29"/>
  <c r="D55" i="29"/>
  <c r="C55" i="29"/>
  <c r="M52" i="29"/>
  <c r="L52" i="29"/>
  <c r="F52" i="29"/>
  <c r="D52" i="29"/>
  <c r="C52" i="29"/>
  <c r="V55" i="22"/>
  <c r="U55" i="22"/>
  <c r="T55" i="22"/>
  <c r="S55" i="22"/>
  <c r="R55" i="22"/>
  <c r="Q55" i="22"/>
  <c r="F55" i="22"/>
  <c r="D55" i="22"/>
  <c r="C55" i="22"/>
  <c r="V52" i="22"/>
  <c r="U52" i="22"/>
  <c r="T52" i="22"/>
  <c r="S52" i="22"/>
  <c r="R52" i="22"/>
  <c r="Q52" i="22"/>
  <c r="F52" i="22"/>
  <c r="D52" i="22"/>
  <c r="C52" i="22"/>
  <c r="AO55" i="21"/>
  <c r="AN55" i="21"/>
  <c r="AL55" i="21"/>
  <c r="AM55" i="21" s="1"/>
  <c r="AJ55" i="21"/>
  <c r="AI55" i="21"/>
  <c r="AH55" i="21"/>
  <c r="AG55" i="21"/>
  <c r="AE55" i="21"/>
  <c r="AD55" i="21"/>
  <c r="AB55" i="21"/>
  <c r="AC55" i="21" s="1"/>
  <c r="Z55" i="21"/>
  <c r="Y55" i="21"/>
  <c r="X55" i="21"/>
  <c r="W55" i="21"/>
  <c r="F55" i="21"/>
  <c r="AO52" i="21"/>
  <c r="AN52" i="21"/>
  <c r="AL52" i="21"/>
  <c r="AM52" i="21" s="1"/>
  <c r="AJ52" i="21"/>
  <c r="AI52" i="21"/>
  <c r="AH52" i="21"/>
  <c r="AG52" i="21"/>
  <c r="AE52" i="21"/>
  <c r="AD52" i="21"/>
  <c r="AB52" i="21"/>
  <c r="AC52" i="21" s="1"/>
  <c r="Z52" i="21"/>
  <c r="Y52" i="21"/>
  <c r="X52" i="21"/>
  <c r="W52" i="21"/>
  <c r="F52" i="21"/>
  <c r="G55" i="24"/>
  <c r="H55" i="24" s="1"/>
  <c r="I55" i="24" s="1"/>
  <c r="J55" i="24" s="1"/>
  <c r="N55" i="31" s="1"/>
  <c r="G52" i="24"/>
  <c r="H52" i="24" s="1"/>
  <c r="I52" i="24" s="1"/>
  <c r="J52" i="24" s="1"/>
  <c r="N52" i="31" s="1"/>
  <c r="D49" i="31"/>
  <c r="C49" i="31"/>
  <c r="B49" i="31"/>
  <c r="M49" i="29"/>
  <c r="L49" i="29"/>
  <c r="F49" i="29"/>
  <c r="D49" i="29"/>
  <c r="C49" i="29"/>
  <c r="V49" i="22"/>
  <c r="U49" i="22"/>
  <c r="T49" i="22"/>
  <c r="S49" i="22"/>
  <c r="R49" i="22"/>
  <c r="Q49" i="22"/>
  <c r="F49" i="22"/>
  <c r="D49" i="22"/>
  <c r="C49" i="22"/>
  <c r="AO49" i="21"/>
  <c r="AN49" i="21"/>
  <c r="AL49" i="21"/>
  <c r="AM49" i="21" s="1"/>
  <c r="AJ49" i="21"/>
  <c r="AI49" i="21"/>
  <c r="AH49" i="21"/>
  <c r="AG49" i="21"/>
  <c r="AE49" i="21"/>
  <c r="AD49" i="21"/>
  <c r="AB49" i="21"/>
  <c r="AC49" i="21" s="1"/>
  <c r="Z49" i="21"/>
  <c r="Y49" i="21"/>
  <c r="X49" i="21"/>
  <c r="W49" i="21"/>
  <c r="F49" i="21"/>
  <c r="G49" i="24"/>
  <c r="H49" i="24" s="1"/>
  <c r="I49" i="24" s="1"/>
  <c r="J49" i="24" s="1"/>
  <c r="N49" i="31" s="1"/>
  <c r="D48" i="31"/>
  <c r="C48" i="31"/>
  <c r="B48" i="31"/>
  <c r="D41" i="31"/>
  <c r="C41" i="31"/>
  <c r="B41" i="31"/>
  <c r="D40" i="31"/>
  <c r="C40" i="31"/>
  <c r="B40" i="31"/>
  <c r="D39" i="31"/>
  <c r="C39" i="31"/>
  <c r="B39" i="31"/>
  <c r="M48" i="29"/>
  <c r="L48" i="29"/>
  <c r="F48" i="29"/>
  <c r="D48" i="29"/>
  <c r="C48" i="29"/>
  <c r="M47" i="29"/>
  <c r="L47" i="29"/>
  <c r="F47" i="29"/>
  <c r="D47" i="29"/>
  <c r="C47" i="29"/>
  <c r="M41" i="29"/>
  <c r="L41" i="29"/>
  <c r="F41" i="29"/>
  <c r="D41" i="29"/>
  <c r="C41" i="29"/>
  <c r="M40" i="29"/>
  <c r="L40" i="29"/>
  <c r="F40" i="29"/>
  <c r="D40" i="29"/>
  <c r="C40" i="29"/>
  <c r="M39" i="29"/>
  <c r="L39" i="29"/>
  <c r="F39" i="29"/>
  <c r="D39" i="29"/>
  <c r="C39" i="29"/>
  <c r="V48" i="22"/>
  <c r="U48" i="22"/>
  <c r="T48" i="22"/>
  <c r="S48" i="22"/>
  <c r="R48" i="22"/>
  <c r="Q48" i="22"/>
  <c r="F48" i="22"/>
  <c r="D48" i="22"/>
  <c r="C48" i="22"/>
  <c r="V47" i="22"/>
  <c r="U47" i="22"/>
  <c r="T47" i="22"/>
  <c r="S47" i="22"/>
  <c r="R47" i="22"/>
  <c r="Q47" i="22"/>
  <c r="F47" i="22"/>
  <c r="D47" i="22"/>
  <c r="C47" i="22"/>
  <c r="V41" i="22"/>
  <c r="U41" i="22"/>
  <c r="T41" i="22"/>
  <c r="S41" i="22"/>
  <c r="R41" i="22"/>
  <c r="Q41" i="22"/>
  <c r="F41" i="22"/>
  <c r="D41" i="22"/>
  <c r="C41" i="22"/>
  <c r="V40" i="22"/>
  <c r="U40" i="22"/>
  <c r="T40" i="22"/>
  <c r="S40" i="22"/>
  <c r="R40" i="22"/>
  <c r="Q40" i="22"/>
  <c r="F40" i="22"/>
  <c r="D40" i="22"/>
  <c r="C40" i="22"/>
  <c r="V39" i="22"/>
  <c r="U39" i="22"/>
  <c r="T39" i="22"/>
  <c r="S39" i="22"/>
  <c r="R39" i="22"/>
  <c r="Q39" i="22"/>
  <c r="F39" i="22"/>
  <c r="D39" i="22"/>
  <c r="C39" i="22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AO47" i="21"/>
  <c r="AN47" i="21"/>
  <c r="AL47" i="21"/>
  <c r="AM47" i="21" s="1"/>
  <c r="AJ47" i="21"/>
  <c r="AI47" i="21"/>
  <c r="AH47" i="21"/>
  <c r="AG47" i="21"/>
  <c r="AE47" i="21"/>
  <c r="AD47" i="21"/>
  <c r="AB47" i="21"/>
  <c r="AC47" i="21" s="1"/>
  <c r="Z47" i="21"/>
  <c r="Y47" i="21"/>
  <c r="X47" i="21"/>
  <c r="W47" i="21"/>
  <c r="F47" i="21"/>
  <c r="AO41" i="21"/>
  <c r="AN41" i="21"/>
  <c r="AL41" i="21"/>
  <c r="AM41" i="21" s="1"/>
  <c r="AJ41" i="21"/>
  <c r="AI41" i="21"/>
  <c r="AH41" i="21"/>
  <c r="AG41" i="21"/>
  <c r="AE41" i="21"/>
  <c r="AD41" i="21"/>
  <c r="AB41" i="21"/>
  <c r="AC41" i="21" s="1"/>
  <c r="Z41" i="21"/>
  <c r="Y41" i="21"/>
  <c r="X41" i="21"/>
  <c r="W41" i="21"/>
  <c r="F41" i="21"/>
  <c r="AO40" i="21"/>
  <c r="AN40" i="21"/>
  <c r="AL40" i="21"/>
  <c r="AM40" i="21" s="1"/>
  <c r="AJ40" i="21"/>
  <c r="AI40" i="21"/>
  <c r="AH40" i="21"/>
  <c r="AG40" i="21"/>
  <c r="AE40" i="21"/>
  <c r="AD40" i="21"/>
  <c r="AB40" i="21"/>
  <c r="AC40" i="21" s="1"/>
  <c r="Z40" i="21"/>
  <c r="Y40" i="21"/>
  <c r="X40" i="21"/>
  <c r="W40" i="21"/>
  <c r="F40" i="21"/>
  <c r="AO39" i="21"/>
  <c r="AN39" i="21"/>
  <c r="AL39" i="21"/>
  <c r="AM39" i="21" s="1"/>
  <c r="AJ39" i="21"/>
  <c r="AI39" i="21"/>
  <c r="AH39" i="21"/>
  <c r="AG39" i="21"/>
  <c r="AE39" i="21"/>
  <c r="AD39" i="21"/>
  <c r="AB39" i="21"/>
  <c r="AC39" i="21" s="1"/>
  <c r="Z39" i="21"/>
  <c r="Y39" i="21"/>
  <c r="X39" i="21"/>
  <c r="W39" i="21"/>
  <c r="F39" i="21"/>
  <c r="G48" i="24"/>
  <c r="H48" i="24" s="1"/>
  <c r="I48" i="24" s="1"/>
  <c r="J48" i="24" s="1"/>
  <c r="N48" i="31" s="1"/>
  <c r="G47" i="24"/>
  <c r="H47" i="24" s="1"/>
  <c r="I47" i="24" s="1"/>
  <c r="J47" i="24" s="1"/>
  <c r="N47" i="31" s="1"/>
  <c r="G41" i="24"/>
  <c r="H41" i="24" s="1"/>
  <c r="I41" i="24" s="1"/>
  <c r="J41" i="24" s="1"/>
  <c r="N41" i="31" s="1"/>
  <c r="G40" i="24"/>
  <c r="H40" i="24" s="1"/>
  <c r="I40" i="24" s="1"/>
  <c r="J40" i="24" s="1"/>
  <c r="N40" i="31" s="1"/>
  <c r="G39" i="24"/>
  <c r="H39" i="24" s="1"/>
  <c r="I39" i="24" s="1"/>
  <c r="J39" i="24" s="1"/>
  <c r="N39" i="31" s="1"/>
  <c r="M69" i="29"/>
  <c r="L69" i="29"/>
  <c r="F69" i="29"/>
  <c r="D69" i="29"/>
  <c r="C69" i="29"/>
  <c r="M66" i="29"/>
  <c r="L66" i="29"/>
  <c r="F66" i="29"/>
  <c r="D66" i="29"/>
  <c r="C66" i="29"/>
  <c r="M65" i="29"/>
  <c r="L65" i="29"/>
  <c r="F65" i="29"/>
  <c r="D65" i="29"/>
  <c r="C65" i="29"/>
  <c r="D16" i="31"/>
  <c r="C16" i="31"/>
  <c r="B16" i="31"/>
  <c r="D15" i="31"/>
  <c r="C15" i="31"/>
  <c r="B15" i="31"/>
  <c r="M16" i="29"/>
  <c r="L16" i="29"/>
  <c r="F16" i="29"/>
  <c r="D16" i="29"/>
  <c r="C16" i="29"/>
  <c r="M15" i="29"/>
  <c r="L15" i="29"/>
  <c r="F15" i="29"/>
  <c r="D15" i="29"/>
  <c r="C15" i="29"/>
  <c r="V16" i="22"/>
  <c r="U16" i="22"/>
  <c r="T16" i="22"/>
  <c r="S16" i="22"/>
  <c r="R16" i="22"/>
  <c r="Q16" i="22"/>
  <c r="F16" i="22"/>
  <c r="D16" i="22"/>
  <c r="C16" i="22"/>
  <c r="V15" i="22"/>
  <c r="U15" i="22"/>
  <c r="T15" i="22"/>
  <c r="S15" i="22"/>
  <c r="R15" i="22"/>
  <c r="Q15" i="22"/>
  <c r="F15" i="22"/>
  <c r="D15" i="22"/>
  <c r="C15" i="22"/>
  <c r="F15" i="21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D56" i="31"/>
  <c r="C56" i="31"/>
  <c r="B56" i="31"/>
  <c r="M56" i="29"/>
  <c r="L56" i="29"/>
  <c r="F56" i="29"/>
  <c r="D56" i="29"/>
  <c r="C56" i="29"/>
  <c r="V56" i="22"/>
  <c r="U56" i="22"/>
  <c r="T56" i="22"/>
  <c r="S56" i="22"/>
  <c r="R56" i="22"/>
  <c r="Q56" i="22"/>
  <c r="F56" i="22"/>
  <c r="D56" i="22"/>
  <c r="C56" i="22"/>
  <c r="AO56" i="21"/>
  <c r="AN56" i="21"/>
  <c r="AL56" i="21"/>
  <c r="AM56" i="21" s="1"/>
  <c r="AJ56" i="21"/>
  <c r="AI56" i="21"/>
  <c r="AH56" i="21"/>
  <c r="AG56" i="21"/>
  <c r="AE56" i="21"/>
  <c r="AD56" i="21"/>
  <c r="AB56" i="21"/>
  <c r="AC56" i="21" s="1"/>
  <c r="Z56" i="21"/>
  <c r="Y56" i="21"/>
  <c r="X56" i="21"/>
  <c r="W56" i="21"/>
  <c r="F56" i="21"/>
  <c r="G56" i="24"/>
  <c r="H56" i="24" s="1"/>
  <c r="I56" i="24" s="1"/>
  <c r="J56" i="24" s="1"/>
  <c r="N56" i="31" s="1"/>
  <c r="D69" i="31"/>
  <c r="C69" i="31"/>
  <c r="B69" i="31"/>
  <c r="B60" i="31"/>
  <c r="B61" i="31"/>
  <c r="F60" i="21"/>
  <c r="F61" i="21"/>
  <c r="F65" i="21"/>
  <c r="F66" i="21"/>
  <c r="F69" i="21"/>
  <c r="D62" i="31"/>
  <c r="C62" i="31"/>
  <c r="B62" i="31"/>
  <c r="M62" i="29"/>
  <c r="L62" i="29"/>
  <c r="F62" i="29"/>
  <c r="D62" i="29"/>
  <c r="C62" i="29"/>
  <c r="F62" i="22"/>
  <c r="D62" i="22"/>
  <c r="C62" i="22"/>
  <c r="AO62" i="21"/>
  <c r="AN62" i="21"/>
  <c r="AL62" i="21"/>
  <c r="AM62" i="21" s="1"/>
  <c r="AJ62" i="21"/>
  <c r="AI62" i="21"/>
  <c r="AH62" i="21"/>
  <c r="AG62" i="21"/>
  <c r="AE62" i="21"/>
  <c r="AD62" i="21"/>
  <c r="AB62" i="21"/>
  <c r="AC62" i="21" s="1"/>
  <c r="Z62" i="21"/>
  <c r="Y62" i="21"/>
  <c r="X62" i="21"/>
  <c r="W62" i="21"/>
  <c r="G62" i="24"/>
  <c r="H62" i="24" s="1"/>
  <c r="I62" i="24" s="1"/>
  <c r="J62" i="24" s="1"/>
  <c r="N62" i="31" s="1"/>
  <c r="F60" i="22"/>
  <c r="F61" i="22"/>
  <c r="F65" i="22"/>
  <c r="F66" i="22"/>
  <c r="F69" i="22"/>
  <c r="F60" i="29"/>
  <c r="C60" i="31"/>
  <c r="C61" i="31"/>
  <c r="B65" i="31"/>
  <c r="C65" i="31"/>
  <c r="B66" i="31"/>
  <c r="C66" i="31"/>
  <c r="C60" i="29"/>
  <c r="D60" i="29"/>
  <c r="C61" i="29"/>
  <c r="D61" i="29"/>
  <c r="V69" i="22"/>
  <c r="U69" i="22"/>
  <c r="T69" i="22"/>
  <c r="S69" i="22"/>
  <c r="R69" i="22"/>
  <c r="Q69" i="22"/>
  <c r="D69" i="22"/>
  <c r="C69" i="22"/>
  <c r="AO69" i="21"/>
  <c r="AN69" i="21"/>
  <c r="AL69" i="21"/>
  <c r="AM69" i="21" s="1"/>
  <c r="AJ69" i="21"/>
  <c r="AI69" i="21"/>
  <c r="AH69" i="21"/>
  <c r="AG69" i="21"/>
  <c r="AE69" i="21"/>
  <c r="AD69" i="21"/>
  <c r="AB69" i="21"/>
  <c r="AC69" i="21" s="1"/>
  <c r="Z69" i="21"/>
  <c r="Y69" i="21"/>
  <c r="X69" i="21"/>
  <c r="W69" i="21"/>
  <c r="G69" i="24"/>
  <c r="H69" i="24" s="1"/>
  <c r="I69" i="24" s="1"/>
  <c r="J69" i="24" s="1"/>
  <c r="N69" i="31" s="1"/>
  <c r="D65" i="31"/>
  <c r="V65" i="22"/>
  <c r="U65" i="22"/>
  <c r="T65" i="22"/>
  <c r="S65" i="22"/>
  <c r="R65" i="22"/>
  <c r="Q65" i="22"/>
  <c r="D65" i="22"/>
  <c r="C65" i="22"/>
  <c r="C66" i="22"/>
  <c r="D66" i="22"/>
  <c r="Q66" i="22"/>
  <c r="R66" i="22"/>
  <c r="S66" i="22"/>
  <c r="T66" i="22"/>
  <c r="U66" i="22"/>
  <c r="V66" i="22"/>
  <c r="AO65" i="21"/>
  <c r="AN65" i="21"/>
  <c r="AL65" i="21"/>
  <c r="AM65" i="21" s="1"/>
  <c r="AJ65" i="21"/>
  <c r="AI65" i="21"/>
  <c r="AH65" i="21"/>
  <c r="AG65" i="21"/>
  <c r="AE65" i="21"/>
  <c r="AD65" i="21"/>
  <c r="AB65" i="21"/>
  <c r="AC65" i="21" s="1"/>
  <c r="Z65" i="21"/>
  <c r="Y65" i="21"/>
  <c r="X65" i="21"/>
  <c r="W65" i="21"/>
  <c r="G65" i="24"/>
  <c r="H65" i="24" s="1"/>
  <c r="I65" i="24" s="1"/>
  <c r="J65" i="24" s="1"/>
  <c r="N65" i="31" s="1"/>
  <c r="D61" i="31"/>
  <c r="M61" i="29"/>
  <c r="L61" i="29"/>
  <c r="D61" i="22"/>
  <c r="C61" i="22"/>
  <c r="AO61" i="21"/>
  <c r="AN61" i="21"/>
  <c r="AL61" i="21"/>
  <c r="AM61" i="21" s="1"/>
  <c r="AJ61" i="21"/>
  <c r="AI61" i="21"/>
  <c r="AH61" i="21"/>
  <c r="AG61" i="21"/>
  <c r="AE61" i="21"/>
  <c r="AD61" i="21"/>
  <c r="AB61" i="21"/>
  <c r="AC61" i="21" s="1"/>
  <c r="Z61" i="21"/>
  <c r="Y61" i="21"/>
  <c r="X61" i="21"/>
  <c r="W61" i="21"/>
  <c r="G61" i="24"/>
  <c r="H61" i="24" s="1"/>
  <c r="I61" i="24" s="1"/>
  <c r="J61" i="24" s="1"/>
  <c r="N61" i="31" s="1"/>
  <c r="M60" i="29"/>
  <c r="L60" i="29"/>
  <c r="V60" i="22"/>
  <c r="U60" i="22"/>
  <c r="T60" i="22"/>
  <c r="S60" i="22"/>
  <c r="R60" i="22"/>
  <c r="Q60" i="22"/>
  <c r="D60" i="22"/>
  <c r="C60" i="22"/>
  <c r="AO66" i="21"/>
  <c r="AN66" i="21"/>
  <c r="AL66" i="21"/>
  <c r="AM66" i="21" s="1"/>
  <c r="AJ66" i="21"/>
  <c r="AI66" i="21"/>
  <c r="AH66" i="21"/>
  <c r="AG66" i="21"/>
  <c r="AE66" i="21"/>
  <c r="AD66" i="21"/>
  <c r="AB66" i="21"/>
  <c r="AC66" i="21" s="1"/>
  <c r="Z66" i="21"/>
  <c r="Y66" i="21"/>
  <c r="X66" i="21"/>
  <c r="W66" i="21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G66" i="24"/>
  <c r="H66" i="24" s="1"/>
  <c r="I66" i="24" s="1"/>
  <c r="J66" i="24" s="1"/>
  <c r="N66" i="31" s="1"/>
  <c r="G60" i="24"/>
  <c r="H60" i="24" s="1"/>
  <c r="I60" i="24" s="1"/>
  <c r="J60" i="24" s="1"/>
  <c r="N60" i="31" s="1"/>
  <c r="D66" i="31"/>
  <c r="D60" i="31"/>
  <c r="I34" i="24" l="1"/>
  <c r="J34" i="24" s="1"/>
  <c r="N34" i="31" s="1"/>
  <c r="I72" i="24"/>
  <c r="J72" i="24" s="1"/>
  <c r="N72" i="31" s="1"/>
  <c r="I73" i="24"/>
  <c r="J73" i="24" s="1"/>
  <c r="N73" i="31" s="1"/>
  <c r="X73" i="22"/>
  <c r="AA73" i="22" s="1"/>
  <c r="AD73" i="22" s="1"/>
  <c r="I73" i="31" s="1"/>
  <c r="X54" i="22"/>
  <c r="AA54" i="22" s="1"/>
  <c r="AD54" i="22" s="1"/>
  <c r="I54" i="31" s="1"/>
  <c r="AK4" i="21"/>
  <c r="AP65" i="21"/>
  <c r="AA69" i="21"/>
  <c r="N52" i="29"/>
  <c r="O52" i="29" s="1"/>
  <c r="P52" i="29" s="1"/>
  <c r="K52" i="31" s="1"/>
  <c r="AF73" i="21"/>
  <c r="I62" i="31"/>
  <c r="N62" i="29"/>
  <c r="O62" i="29" s="1"/>
  <c r="P62" i="29" s="1"/>
  <c r="K62" i="31" s="1"/>
  <c r="AP61" i="21"/>
  <c r="X41" i="22"/>
  <c r="AA41" i="22" s="1"/>
  <c r="AD41" i="22" s="1"/>
  <c r="I41" i="31" s="1"/>
  <c r="AA62" i="21"/>
  <c r="AP60" i="21"/>
  <c r="AF61" i="21"/>
  <c r="X65" i="22"/>
  <c r="AA65" i="22" s="1"/>
  <c r="AD65" i="22" s="1"/>
  <c r="I65" i="31" s="1"/>
  <c r="N49" i="29"/>
  <c r="O49" i="29" s="1"/>
  <c r="P49" i="29" s="1"/>
  <c r="K49" i="31" s="1"/>
  <c r="AP34" i="21"/>
  <c r="AF35" i="21"/>
  <c r="AK65" i="21"/>
  <c r="AF15" i="21"/>
  <c r="AA73" i="21"/>
  <c r="AP73" i="21"/>
  <c r="AF52" i="21"/>
  <c r="N55" i="29"/>
  <c r="O55" i="29" s="1"/>
  <c r="P55" i="29" s="1"/>
  <c r="K55" i="31" s="1"/>
  <c r="AF54" i="21"/>
  <c r="AK60" i="21"/>
  <c r="H61" i="31"/>
  <c r="AK69" i="21"/>
  <c r="AF60" i="21"/>
  <c r="AF48" i="21"/>
  <c r="AP66" i="21"/>
  <c r="W60" i="22"/>
  <c r="N60" i="29"/>
  <c r="O60" i="29" s="1"/>
  <c r="P60" i="29" s="1"/>
  <c r="K60" i="31" s="1"/>
  <c r="AP40" i="21"/>
  <c r="AK48" i="21"/>
  <c r="N51" i="29"/>
  <c r="O51" i="29" s="1"/>
  <c r="P51" i="29" s="1"/>
  <c r="K51" i="31" s="1"/>
  <c r="N68" i="29"/>
  <c r="O68" i="29" s="1"/>
  <c r="P68" i="29" s="1"/>
  <c r="K68" i="31" s="1"/>
  <c r="AK62" i="21"/>
  <c r="H62" i="31"/>
  <c r="AA51" i="21"/>
  <c r="X51" i="22"/>
  <c r="AA51" i="22" s="1"/>
  <c r="AD51" i="22" s="1"/>
  <c r="I51" i="31" s="1"/>
  <c r="AK68" i="21"/>
  <c r="AP70" i="21"/>
  <c r="AA61" i="21"/>
  <c r="AK61" i="21"/>
  <c r="N61" i="29"/>
  <c r="O61" i="29" s="1"/>
  <c r="P61" i="29" s="1"/>
  <c r="K61" i="31" s="1"/>
  <c r="AA65" i="21"/>
  <c r="X66" i="22"/>
  <c r="AA66" i="22" s="1"/>
  <c r="AD66" i="22" s="1"/>
  <c r="I66" i="31" s="1"/>
  <c r="W66" i="22"/>
  <c r="W65" i="22"/>
  <c r="AF69" i="21"/>
  <c r="AP69" i="21"/>
  <c r="AF62" i="21"/>
  <c r="N66" i="29"/>
  <c r="O66" i="29" s="1"/>
  <c r="P66" i="29" s="1"/>
  <c r="K66" i="31" s="1"/>
  <c r="X47" i="22"/>
  <c r="AA47" i="22" s="1"/>
  <c r="AD47" i="22" s="1"/>
  <c r="I47" i="31" s="1"/>
  <c r="N40" i="29"/>
  <c r="O40" i="29" s="1"/>
  <c r="P40" i="29" s="1"/>
  <c r="K40" i="31" s="1"/>
  <c r="AP49" i="21"/>
  <c r="AP52" i="21"/>
  <c r="AF55" i="21"/>
  <c r="W55" i="22"/>
  <c r="X55" i="22"/>
  <c r="AA55" i="22" s="1"/>
  <c r="AD55" i="22" s="1"/>
  <c r="I55" i="31" s="1"/>
  <c r="AA39" i="21"/>
  <c r="AA66" i="21"/>
  <c r="AK66" i="21"/>
  <c r="AF66" i="21"/>
  <c r="X60" i="22"/>
  <c r="AA60" i="22" s="1"/>
  <c r="AD60" i="22" s="1"/>
  <c r="I60" i="31" s="1"/>
  <c r="AA15" i="21"/>
  <c r="AF51" i="21"/>
  <c r="N16" i="29"/>
  <c r="O16" i="29" s="1"/>
  <c r="P16" i="29" s="1"/>
  <c r="K16" i="31" s="1"/>
  <c r="AP47" i="21"/>
  <c r="W49" i="22"/>
  <c r="AK55" i="21"/>
  <c r="AP55" i="21"/>
  <c r="X52" i="22"/>
  <c r="AA52" i="22" s="1"/>
  <c r="AD52" i="22" s="1"/>
  <c r="I52" i="31" s="1"/>
  <c r="AA16" i="21"/>
  <c r="X16" i="22"/>
  <c r="AA16" i="22" s="1"/>
  <c r="AD16" i="22" s="1"/>
  <c r="I16" i="31" s="1"/>
  <c r="AK35" i="21"/>
  <c r="AP35" i="21"/>
  <c r="AA36" i="21"/>
  <c r="AF36" i="21"/>
  <c r="AK36" i="21"/>
  <c r="W35" i="22"/>
  <c r="X36" i="22"/>
  <c r="AA36" i="22" s="1"/>
  <c r="AD36" i="22" s="1"/>
  <c r="I36" i="31" s="1"/>
  <c r="N36" i="29"/>
  <c r="O36" i="29" s="1"/>
  <c r="P36" i="29" s="1"/>
  <c r="K36" i="31" s="1"/>
  <c r="AP56" i="21"/>
  <c r="X40" i="22"/>
  <c r="AA40" i="22" s="1"/>
  <c r="AD40" i="22" s="1"/>
  <c r="I40" i="31" s="1"/>
  <c r="N39" i="29"/>
  <c r="O39" i="29" s="1"/>
  <c r="P39" i="29" s="1"/>
  <c r="K39" i="31" s="1"/>
  <c r="N48" i="29"/>
  <c r="O48" i="29" s="1"/>
  <c r="P48" i="29" s="1"/>
  <c r="K48" i="31" s="1"/>
  <c r="AK34" i="21"/>
  <c r="X17" i="22"/>
  <c r="AA17" i="22" s="1"/>
  <c r="AD17" i="22" s="1"/>
  <c r="I17" i="31" s="1"/>
  <c r="AP3" i="21"/>
  <c r="AA53" i="21"/>
  <c r="N3" i="29"/>
  <c r="O3" i="29" s="1"/>
  <c r="P3" i="29" s="1"/>
  <c r="K3" i="31" s="1"/>
  <c r="AK39" i="21"/>
  <c r="AF40" i="21"/>
  <c r="AK40" i="21"/>
  <c r="AF41" i="21"/>
  <c r="AP41" i="21"/>
  <c r="AA34" i="21"/>
  <c r="AF34" i="21"/>
  <c r="X34" i="22"/>
  <c r="AA34" i="22" s="1"/>
  <c r="AD34" i="22" s="1"/>
  <c r="I34" i="31" s="1"/>
  <c r="N34" i="29"/>
  <c r="O34" i="29" s="1"/>
  <c r="P34" i="29" s="1"/>
  <c r="K34" i="31" s="1"/>
  <c r="AK51" i="21"/>
  <c r="AP51" i="21"/>
  <c r="W51" i="22"/>
  <c r="AP71" i="21"/>
  <c r="AA72" i="21"/>
  <c r="X71" i="22"/>
  <c r="AA71" i="22" s="1"/>
  <c r="AD71" i="22" s="1"/>
  <c r="I71" i="31" s="1"/>
  <c r="N72" i="29"/>
  <c r="O72" i="29" s="1"/>
  <c r="P72" i="29" s="1"/>
  <c r="K72" i="31" s="1"/>
  <c r="AA4" i="21"/>
  <c r="AF4" i="21"/>
  <c r="AA54" i="21"/>
  <c r="AK54" i="21"/>
  <c r="N54" i="29"/>
  <c r="O54" i="29" s="1"/>
  <c r="P54" i="29" s="1"/>
  <c r="K54" i="31" s="1"/>
  <c r="AF65" i="21"/>
  <c r="W69" i="22"/>
  <c r="X69" i="22"/>
  <c r="AA69" i="22" s="1"/>
  <c r="AD69" i="22" s="1"/>
  <c r="I69" i="31" s="1"/>
  <c r="AK56" i="21"/>
  <c r="AP15" i="21"/>
  <c r="AF16" i="21"/>
  <c r="N65" i="29"/>
  <c r="AA60" i="21"/>
  <c r="AP62" i="21"/>
  <c r="W16" i="22"/>
  <c r="Z16" i="22" s="1"/>
  <c r="AC16" i="22" s="1"/>
  <c r="H16" i="31" s="1"/>
  <c r="N15" i="29"/>
  <c r="O15" i="29" s="1"/>
  <c r="P15" i="29" s="1"/>
  <c r="K15" i="31" s="1"/>
  <c r="AF56" i="21"/>
  <c r="AK15" i="21"/>
  <c r="X15" i="22"/>
  <c r="AA15" i="22" s="1"/>
  <c r="AD15" i="22" s="1"/>
  <c r="I15" i="31" s="1"/>
  <c r="N69" i="29"/>
  <c r="O69" i="29" s="1"/>
  <c r="P69" i="29" s="1"/>
  <c r="K69" i="31" s="1"/>
  <c r="W39" i="22"/>
  <c r="X39" i="22"/>
  <c r="AA39" i="22" s="1"/>
  <c r="AD39" i="22" s="1"/>
  <c r="I39" i="31" s="1"/>
  <c r="W40" i="22"/>
  <c r="W48" i="22"/>
  <c r="X48" i="22"/>
  <c r="N47" i="29"/>
  <c r="O47" i="29" s="1"/>
  <c r="P47" i="29" s="1"/>
  <c r="K47" i="31" s="1"/>
  <c r="AP72" i="21"/>
  <c r="X70" i="22"/>
  <c r="AA70" i="22" s="1"/>
  <c r="AD70" i="22" s="1"/>
  <c r="I70" i="31" s="1"/>
  <c r="N71" i="29"/>
  <c r="O71" i="29" s="1"/>
  <c r="P71" i="29" s="1"/>
  <c r="K71" i="31" s="1"/>
  <c r="W52" i="22"/>
  <c r="AP36" i="21"/>
  <c r="AF39" i="21"/>
  <c r="AP39" i="21"/>
  <c r="AA41" i="21"/>
  <c r="AK41" i="21"/>
  <c r="AF47" i="21"/>
  <c r="AK47" i="21"/>
  <c r="AA48" i="21"/>
  <c r="AP48" i="21"/>
  <c r="N41" i="29"/>
  <c r="O41" i="29" s="1"/>
  <c r="P41" i="29" s="1"/>
  <c r="K41" i="31" s="1"/>
  <c r="W34" i="22"/>
  <c r="X35" i="22"/>
  <c r="AA35" i="22" s="1"/>
  <c r="AD35" i="22" s="1"/>
  <c r="I35" i="31" s="1"/>
  <c r="W36" i="22"/>
  <c r="Z36" i="22" s="1"/>
  <c r="AC36" i="22" s="1"/>
  <c r="H36" i="31" s="1"/>
  <c r="N35" i="29"/>
  <c r="O35" i="29" s="1"/>
  <c r="P35" i="29" s="1"/>
  <c r="K35" i="31" s="1"/>
  <c r="AA68" i="21"/>
  <c r="X68" i="22"/>
  <c r="AA68" i="22" s="1"/>
  <c r="AD68" i="22" s="1"/>
  <c r="I68" i="31" s="1"/>
  <c r="AF70" i="21"/>
  <c r="AK70" i="21"/>
  <c r="AA71" i="21"/>
  <c r="AP17" i="21"/>
  <c r="W53" i="22"/>
  <c r="W54" i="22"/>
  <c r="AA3" i="21"/>
  <c r="AP54" i="21"/>
  <c r="N53" i="29"/>
  <c r="O53" i="29" s="1"/>
  <c r="P53" i="29" s="1"/>
  <c r="K53" i="31" s="1"/>
  <c r="AF49" i="21"/>
  <c r="X49" i="22"/>
  <c r="AA52" i="21"/>
  <c r="AK52" i="21"/>
  <c r="AA55" i="21"/>
  <c r="AP68" i="21"/>
  <c r="W68" i="22"/>
  <c r="Z68" i="22" s="1"/>
  <c r="AC68" i="22" s="1"/>
  <c r="H68" i="31" s="1"/>
  <c r="AF71" i="21"/>
  <c r="AK71" i="21"/>
  <c r="X4" i="22"/>
  <c r="AA4" i="22" s="1"/>
  <c r="AD4" i="22" s="1"/>
  <c r="I4" i="31" s="1"/>
  <c r="AK53" i="21"/>
  <c r="AP53" i="21"/>
  <c r="AA49" i="21"/>
  <c r="AA17" i="21"/>
  <c r="AK16" i="21"/>
  <c r="AP16" i="21"/>
  <c r="AA56" i="21"/>
  <c r="AK49" i="21"/>
  <c r="W15" i="22"/>
  <c r="Z15" i="22" s="1"/>
  <c r="AC15" i="22" s="1"/>
  <c r="H15" i="31" s="1"/>
  <c r="W56" i="22"/>
  <c r="X56" i="22"/>
  <c r="AA56" i="22" s="1"/>
  <c r="AD56" i="22" s="1"/>
  <c r="I56" i="31" s="1"/>
  <c r="N56" i="29"/>
  <c r="O56" i="29" s="1"/>
  <c r="P56" i="29" s="1"/>
  <c r="K56" i="31" s="1"/>
  <c r="AA40" i="21"/>
  <c r="AA47" i="21"/>
  <c r="W41" i="22"/>
  <c r="W47" i="22"/>
  <c r="AA35" i="21"/>
  <c r="AK72" i="21"/>
  <c r="W73" i="22"/>
  <c r="Z73" i="22" s="1"/>
  <c r="AC73" i="22" s="1"/>
  <c r="H73" i="31" s="1"/>
  <c r="AF72" i="21"/>
  <c r="AF68" i="21"/>
  <c r="W71" i="22"/>
  <c r="W72" i="22"/>
  <c r="Z72" i="22" s="1"/>
  <c r="AC72" i="22" s="1"/>
  <c r="H72" i="31" s="1"/>
  <c r="X72" i="22"/>
  <c r="AA72" i="22" s="1"/>
  <c r="AD72" i="22" s="1"/>
  <c r="I72" i="31" s="1"/>
  <c r="N70" i="29"/>
  <c r="O70" i="29" s="1"/>
  <c r="P70" i="29" s="1"/>
  <c r="K70" i="31" s="1"/>
  <c r="AF17" i="21"/>
  <c r="AK17" i="21"/>
  <c r="N17" i="29"/>
  <c r="O17" i="29" s="1"/>
  <c r="P17" i="29" s="1"/>
  <c r="K17" i="31" s="1"/>
  <c r="N73" i="29"/>
  <c r="N4" i="29"/>
  <c r="X53" i="22"/>
  <c r="AA53" i="22" s="1"/>
  <c r="AD53" i="22" s="1"/>
  <c r="I53" i="31" s="1"/>
  <c r="AK73" i="21"/>
  <c r="AK3" i="21"/>
  <c r="AF53" i="21"/>
  <c r="W17" i="22"/>
  <c r="X3" i="22"/>
  <c r="AA3" i="22" s="1"/>
  <c r="AD3" i="22" s="1"/>
  <c r="I3" i="31" s="1"/>
  <c r="AP4" i="21"/>
  <c r="AF3" i="21"/>
  <c r="AA70" i="21"/>
  <c r="W70" i="22"/>
  <c r="W3" i="22"/>
  <c r="Z3" i="22" s="1"/>
  <c r="AC3" i="22" s="1"/>
  <c r="H3" i="31" s="1"/>
  <c r="W4" i="22"/>
  <c r="Y54" i="22" l="1"/>
  <c r="AB54" i="22" s="1"/>
  <c r="AE54" i="22" s="1"/>
  <c r="J54" i="31" s="1"/>
  <c r="Y71" i="22"/>
  <c r="AB71" i="22" s="1"/>
  <c r="AE71" i="22" s="1"/>
  <c r="J71" i="31" s="1"/>
  <c r="AR4" i="21"/>
  <c r="AU4" i="21" s="1"/>
  <c r="AX4" i="21" s="1"/>
  <c r="F4" i="31" s="1"/>
  <c r="AR66" i="21"/>
  <c r="AQ70" i="21"/>
  <c r="AT70" i="21" s="1"/>
  <c r="AW70" i="21" s="1"/>
  <c r="E70" i="31" s="1"/>
  <c r="AR49" i="21"/>
  <c r="AU49" i="21" s="1"/>
  <c r="AX49" i="21" s="1"/>
  <c r="F49" i="31" s="1"/>
  <c r="AQ73" i="21"/>
  <c r="AT73" i="21" s="1"/>
  <c r="AW73" i="21" s="1"/>
  <c r="E73" i="31" s="1"/>
  <c r="Q48" i="29"/>
  <c r="R48" i="29" s="1"/>
  <c r="S48" i="29" s="1"/>
  <c r="L48" i="31" s="1"/>
  <c r="Q49" i="29"/>
  <c r="R49" i="29" s="1"/>
  <c r="S49" i="29" s="1"/>
  <c r="L49" i="31" s="1"/>
  <c r="T52" i="29"/>
  <c r="U52" i="29" s="1"/>
  <c r="V52" i="29" s="1"/>
  <c r="M52" i="31" s="1"/>
  <c r="AR65" i="21"/>
  <c r="AU65" i="21" s="1"/>
  <c r="AX65" i="21" s="1"/>
  <c r="F65" i="31" s="1"/>
  <c r="AQ48" i="21"/>
  <c r="AT48" i="21" s="1"/>
  <c r="AW48" i="21" s="1"/>
  <c r="E48" i="31" s="1"/>
  <c r="AQ4" i="21"/>
  <c r="AT4" i="21" s="1"/>
  <c r="AW4" i="21" s="1"/>
  <c r="E4" i="31" s="1"/>
  <c r="AQ69" i="21"/>
  <c r="AT69" i="21" s="1"/>
  <c r="AW69" i="21" s="1"/>
  <c r="E69" i="31" s="1"/>
  <c r="AR73" i="21"/>
  <c r="Q40" i="29"/>
  <c r="R40" i="29" s="1"/>
  <c r="S40" i="29" s="1"/>
  <c r="L40" i="31" s="1"/>
  <c r="AQ35" i="21"/>
  <c r="AT35" i="21" s="1"/>
  <c r="AW35" i="21" s="1"/>
  <c r="E35" i="31" s="1"/>
  <c r="T62" i="29"/>
  <c r="U62" i="29" s="1"/>
  <c r="V62" i="29" s="1"/>
  <c r="M62" i="31" s="1"/>
  <c r="AQ41" i="21"/>
  <c r="AT41" i="21" s="1"/>
  <c r="AW41" i="21" s="1"/>
  <c r="E41" i="31" s="1"/>
  <c r="Z48" i="22"/>
  <c r="AC48" i="22" s="1"/>
  <c r="H48" i="31" s="1"/>
  <c r="Z49" i="22"/>
  <c r="AC49" i="22" s="1"/>
  <c r="H49" i="31" s="1"/>
  <c r="Q62" i="29"/>
  <c r="R62" i="29" s="1"/>
  <c r="S62" i="29" s="1"/>
  <c r="L62" i="31" s="1"/>
  <c r="AR54" i="21"/>
  <c r="AU54" i="21" s="1"/>
  <c r="AX54" i="21" s="1"/>
  <c r="F54" i="31" s="1"/>
  <c r="AQ52" i="21"/>
  <c r="AT52" i="21" s="1"/>
  <c r="AW52" i="21" s="1"/>
  <c r="E52" i="31" s="1"/>
  <c r="AR36" i="21"/>
  <c r="AU36" i="21" s="1"/>
  <c r="AX36" i="21" s="1"/>
  <c r="F36" i="31" s="1"/>
  <c r="AR61" i="21"/>
  <c r="AU61" i="21" s="1"/>
  <c r="AX61" i="21" s="1"/>
  <c r="F61" i="31" s="1"/>
  <c r="Q60" i="29"/>
  <c r="R60" i="29" s="1"/>
  <c r="S60" i="29" s="1"/>
  <c r="L60" i="31" s="1"/>
  <c r="AR41" i="21"/>
  <c r="AQ16" i="21"/>
  <c r="AT16" i="21" s="1"/>
  <c r="AW16" i="21" s="1"/>
  <c r="E16" i="31" s="1"/>
  <c r="AR69" i="21"/>
  <c r="AS69" i="21" s="1"/>
  <c r="AV69" i="21" s="1"/>
  <c r="AR60" i="21"/>
  <c r="AU60" i="21" s="1"/>
  <c r="AX60" i="21" s="1"/>
  <c r="F60" i="31" s="1"/>
  <c r="Z40" i="22"/>
  <c r="AC40" i="22" s="1"/>
  <c r="H40" i="31" s="1"/>
  <c r="AQ61" i="21"/>
  <c r="AT61" i="21" s="1"/>
  <c r="AW61" i="21" s="1"/>
  <c r="E61" i="31" s="1"/>
  <c r="J62" i="31"/>
  <c r="Q34" i="29"/>
  <c r="R34" i="29" s="1"/>
  <c r="S34" i="29" s="1"/>
  <c r="L34" i="31" s="1"/>
  <c r="Q61" i="29"/>
  <c r="R61" i="29" s="1"/>
  <c r="S61" i="29" s="1"/>
  <c r="L61" i="31" s="1"/>
  <c r="AQ34" i="21"/>
  <c r="AT34" i="21" s="1"/>
  <c r="AW34" i="21" s="1"/>
  <c r="E34" i="31" s="1"/>
  <c r="AR40" i="21"/>
  <c r="AU40" i="21" s="1"/>
  <c r="AX40" i="21" s="1"/>
  <c r="F40" i="31" s="1"/>
  <c r="AR34" i="21"/>
  <c r="AU34" i="21" s="1"/>
  <c r="AX34" i="21" s="1"/>
  <c r="F34" i="31" s="1"/>
  <c r="AQ51" i="21"/>
  <c r="AT51" i="21" s="1"/>
  <c r="AW51" i="21" s="1"/>
  <c r="E51" i="31" s="1"/>
  <c r="AQ39" i="21"/>
  <c r="AT39" i="21" s="1"/>
  <c r="AW39" i="21" s="1"/>
  <c r="E39" i="31" s="1"/>
  <c r="AR15" i="21"/>
  <c r="AQ62" i="21"/>
  <c r="AT62" i="21" s="1"/>
  <c r="AW62" i="21" s="1"/>
  <c r="E62" i="31" s="1"/>
  <c r="Z65" i="22"/>
  <c r="AC65" i="22" s="1"/>
  <c r="H65" i="31" s="1"/>
  <c r="Y65" i="22"/>
  <c r="AB65" i="22" s="1"/>
  <c r="AE65" i="22" s="1"/>
  <c r="J65" i="31" s="1"/>
  <c r="T68" i="29"/>
  <c r="U68" i="29" s="1"/>
  <c r="V68" i="29" s="1"/>
  <c r="M68" i="31" s="1"/>
  <c r="AR68" i="21"/>
  <c r="AR70" i="21"/>
  <c r="AQ15" i="21"/>
  <c r="AT15" i="21" s="1"/>
  <c r="AW15" i="21" s="1"/>
  <c r="E15" i="31" s="1"/>
  <c r="T66" i="29"/>
  <c r="U66" i="29" s="1"/>
  <c r="V66" i="29" s="1"/>
  <c r="M66" i="31" s="1"/>
  <c r="AR62" i="21"/>
  <c r="AU62" i="21" s="1"/>
  <c r="AX62" i="21" s="1"/>
  <c r="F62" i="31" s="1"/>
  <c r="AQ54" i="21"/>
  <c r="AT54" i="21" s="1"/>
  <c r="AW54" i="21" s="1"/>
  <c r="E54" i="31" s="1"/>
  <c r="Q17" i="29"/>
  <c r="R17" i="29" s="1"/>
  <c r="S17" i="29" s="1"/>
  <c r="L17" i="31" s="1"/>
  <c r="AQ17" i="21"/>
  <c r="AT17" i="21" s="1"/>
  <c r="AW17" i="21" s="1"/>
  <c r="E17" i="31" s="1"/>
  <c r="AR52" i="21"/>
  <c r="AQ60" i="21"/>
  <c r="AT60" i="21" s="1"/>
  <c r="AW60" i="21" s="1"/>
  <c r="E60" i="31" s="1"/>
  <c r="Z54" i="22"/>
  <c r="AC54" i="22" s="1"/>
  <c r="H54" i="31" s="1"/>
  <c r="Y53" i="22"/>
  <c r="AB53" i="22" s="1"/>
  <c r="AE53" i="22" s="1"/>
  <c r="J53" i="31" s="1"/>
  <c r="Y73" i="22"/>
  <c r="AB73" i="22" s="1"/>
  <c r="AE73" i="22" s="1"/>
  <c r="J73" i="31" s="1"/>
  <c r="T16" i="29"/>
  <c r="U16" i="29" s="1"/>
  <c r="V16" i="29" s="1"/>
  <c r="M16" i="31" s="1"/>
  <c r="AQ53" i="21"/>
  <c r="AT53" i="21" s="1"/>
  <c r="AW53" i="21" s="1"/>
  <c r="E53" i="31" s="1"/>
  <c r="Z34" i="22"/>
  <c r="AC34" i="22" s="1"/>
  <c r="H34" i="31" s="1"/>
  <c r="AQ56" i="21"/>
  <c r="AT56" i="21" s="1"/>
  <c r="AW56" i="21" s="1"/>
  <c r="E56" i="31" s="1"/>
  <c r="Y40" i="22"/>
  <c r="AB40" i="22" s="1"/>
  <c r="AE40" i="22" s="1"/>
  <c r="J40" i="31" s="1"/>
  <c r="AR51" i="21"/>
  <c r="AU51" i="21" s="1"/>
  <c r="AX51" i="21" s="1"/>
  <c r="F51" i="31" s="1"/>
  <c r="AR56" i="21"/>
  <c r="Q35" i="29"/>
  <c r="R35" i="29" s="1"/>
  <c r="S35" i="29" s="1"/>
  <c r="L35" i="31" s="1"/>
  <c r="AQ36" i="21"/>
  <c r="AT36" i="21" s="1"/>
  <c r="AW36" i="21" s="1"/>
  <c r="E36" i="31" s="1"/>
  <c r="AR55" i="21"/>
  <c r="T40" i="29"/>
  <c r="U40" i="29" s="1"/>
  <c r="V40" i="29" s="1"/>
  <c r="M40" i="31" s="1"/>
  <c r="Q39" i="29"/>
  <c r="R39" i="29" s="1"/>
  <c r="S39" i="29" s="1"/>
  <c r="L39" i="31" s="1"/>
  <c r="Q54" i="29"/>
  <c r="R54" i="29" s="1"/>
  <c r="S54" i="29" s="1"/>
  <c r="L54" i="31" s="1"/>
  <c r="AR16" i="21"/>
  <c r="AR71" i="21"/>
  <c r="AU71" i="21" s="1"/>
  <c r="AX71" i="21" s="1"/>
  <c r="F71" i="31" s="1"/>
  <c r="AQ55" i="21"/>
  <c r="AT55" i="21" s="1"/>
  <c r="AW55" i="21" s="1"/>
  <c r="E55" i="31" s="1"/>
  <c r="AR48" i="21"/>
  <c r="Y56" i="22"/>
  <c r="AB56" i="22" s="1"/>
  <c r="AE56" i="22" s="1"/>
  <c r="J56" i="31" s="1"/>
  <c r="Q56" i="29"/>
  <c r="R56" i="29" s="1"/>
  <c r="S56" i="29" s="1"/>
  <c r="L56" i="31" s="1"/>
  <c r="Z56" i="22"/>
  <c r="AC56" i="22" s="1"/>
  <c r="H56" i="31" s="1"/>
  <c r="O73" i="29"/>
  <c r="P73" i="29" s="1"/>
  <c r="K73" i="31" s="1"/>
  <c r="Q73" i="29"/>
  <c r="R73" i="29" s="1"/>
  <c r="S73" i="29" s="1"/>
  <c r="L73" i="31" s="1"/>
  <c r="Y72" i="22"/>
  <c r="AB72" i="22" s="1"/>
  <c r="AE72" i="22" s="1"/>
  <c r="J72" i="31" s="1"/>
  <c r="Q72" i="29"/>
  <c r="R72" i="29" s="1"/>
  <c r="S72" i="29" s="1"/>
  <c r="L72" i="31" s="1"/>
  <c r="T72" i="29"/>
  <c r="U72" i="29" s="1"/>
  <c r="V72" i="29" s="1"/>
  <c r="M72" i="31" s="1"/>
  <c r="T35" i="29"/>
  <c r="U35" i="29" s="1"/>
  <c r="V35" i="29" s="1"/>
  <c r="M35" i="31" s="1"/>
  <c r="AA48" i="22"/>
  <c r="AD48" i="22" s="1"/>
  <c r="I48" i="31" s="1"/>
  <c r="Y48" i="22"/>
  <c r="AB48" i="22" s="1"/>
  <c r="AE48" i="22" s="1"/>
  <c r="J48" i="31" s="1"/>
  <c r="AA49" i="22"/>
  <c r="AD49" i="22" s="1"/>
  <c r="I49" i="31" s="1"/>
  <c r="T49" i="29"/>
  <c r="U49" i="29" s="1"/>
  <c r="V49" i="29" s="1"/>
  <c r="M49" i="31" s="1"/>
  <c r="Y55" i="22"/>
  <c r="AB55" i="22" s="1"/>
  <c r="AE55" i="22" s="1"/>
  <c r="J55" i="31" s="1"/>
  <c r="Z55" i="22"/>
  <c r="AC55" i="22" s="1"/>
  <c r="H55" i="31" s="1"/>
  <c r="Q55" i="29"/>
  <c r="R55" i="29" s="1"/>
  <c r="S55" i="29" s="1"/>
  <c r="L55" i="31" s="1"/>
  <c r="T55" i="29"/>
  <c r="U55" i="29" s="1"/>
  <c r="V55" i="29" s="1"/>
  <c r="M55" i="31" s="1"/>
  <c r="T60" i="29"/>
  <c r="U60" i="29" s="1"/>
  <c r="V60" i="29" s="1"/>
  <c r="M60" i="31" s="1"/>
  <c r="Z60" i="22"/>
  <c r="AC60" i="22" s="1"/>
  <c r="H60" i="31" s="1"/>
  <c r="AR3" i="21"/>
  <c r="AU3" i="21" s="1"/>
  <c r="AX3" i="21" s="1"/>
  <c r="F3" i="31" s="1"/>
  <c r="Z66" i="22"/>
  <c r="AC66" i="22" s="1"/>
  <c r="H66" i="31" s="1"/>
  <c r="Q66" i="29"/>
  <c r="R66" i="29" s="1"/>
  <c r="S66" i="29" s="1"/>
  <c r="L66" i="31" s="1"/>
  <c r="Y66" i="22"/>
  <c r="AB66" i="22" s="1"/>
  <c r="AE66" i="22" s="1"/>
  <c r="J66" i="31" s="1"/>
  <c r="T4" i="29"/>
  <c r="U4" i="29" s="1"/>
  <c r="T73" i="29"/>
  <c r="U73" i="29" s="1"/>
  <c r="V73" i="29" s="1"/>
  <c r="M73" i="31" s="1"/>
  <c r="AR72" i="21"/>
  <c r="AQ40" i="21"/>
  <c r="AT40" i="21" s="1"/>
  <c r="AW40" i="21" s="1"/>
  <c r="E40" i="31" s="1"/>
  <c r="AR53" i="21"/>
  <c r="AQ49" i="21"/>
  <c r="AT49" i="21" s="1"/>
  <c r="AW49" i="21" s="1"/>
  <c r="E49" i="31" s="1"/>
  <c r="AR17" i="21"/>
  <c r="AU17" i="21" s="1"/>
  <c r="AX17" i="21" s="1"/>
  <c r="F17" i="31" s="1"/>
  <c r="AQ71" i="21"/>
  <c r="AT71" i="21" s="1"/>
  <c r="AW71" i="21" s="1"/>
  <c r="E71" i="31" s="1"/>
  <c r="AQ65" i="21"/>
  <c r="AT65" i="21" s="1"/>
  <c r="AW65" i="21" s="1"/>
  <c r="E65" i="31" s="1"/>
  <c r="AR35" i="21"/>
  <c r="Z17" i="22"/>
  <c r="AC17" i="22" s="1"/>
  <c r="H17" i="31" s="1"/>
  <c r="T17" i="29"/>
  <c r="U17" i="29" s="1"/>
  <c r="V17" i="29" s="1"/>
  <c r="M17" i="31" s="1"/>
  <c r="Q71" i="29"/>
  <c r="R71" i="29" s="1"/>
  <c r="S71" i="29" s="1"/>
  <c r="L71" i="31" s="1"/>
  <c r="T71" i="29"/>
  <c r="U71" i="29" s="1"/>
  <c r="V71" i="29" s="1"/>
  <c r="M71" i="31" s="1"/>
  <c r="Z71" i="22"/>
  <c r="AC71" i="22" s="1"/>
  <c r="H71" i="31" s="1"/>
  <c r="T15" i="29"/>
  <c r="U15" i="29" s="1"/>
  <c r="V15" i="29" s="1"/>
  <c r="M15" i="31" s="1"/>
  <c r="Q15" i="29"/>
  <c r="R15" i="29" s="1"/>
  <c r="S15" i="29" s="1"/>
  <c r="L15" i="31" s="1"/>
  <c r="Y15" i="22"/>
  <c r="AB15" i="22" s="1"/>
  <c r="AE15" i="22" s="1"/>
  <c r="J15" i="31" s="1"/>
  <c r="Y3" i="22"/>
  <c r="AB3" i="22" s="1"/>
  <c r="AE3" i="22" s="1"/>
  <c r="J3" i="31" s="1"/>
  <c r="T3" i="29"/>
  <c r="U3" i="29" s="1"/>
  <c r="V3" i="29" s="1"/>
  <c r="M3" i="31" s="1"/>
  <c r="Q3" i="29"/>
  <c r="R3" i="29" s="1"/>
  <c r="S3" i="29" s="1"/>
  <c r="L3" i="31" s="1"/>
  <c r="O4" i="29"/>
  <c r="P4" i="29" s="1"/>
  <c r="K4" i="31" s="1"/>
  <c r="Q4" i="29"/>
  <c r="R4" i="29" s="1"/>
  <c r="S4" i="29" s="1"/>
  <c r="L4" i="31" s="1"/>
  <c r="Y36" i="22"/>
  <c r="AB36" i="22" s="1"/>
  <c r="AE36" i="22" s="1"/>
  <c r="J36" i="31" s="1"/>
  <c r="T56" i="29"/>
  <c r="U56" i="29" s="1"/>
  <c r="V56" i="29" s="1"/>
  <c r="M56" i="31" s="1"/>
  <c r="Z53" i="22"/>
  <c r="AC53" i="22" s="1"/>
  <c r="H53" i="31" s="1"/>
  <c r="Q36" i="29"/>
  <c r="R36" i="29" s="1"/>
  <c r="S36" i="29" s="1"/>
  <c r="L36" i="31" s="1"/>
  <c r="T34" i="29"/>
  <c r="U34" i="29" s="1"/>
  <c r="V34" i="29" s="1"/>
  <c r="M34" i="31" s="1"/>
  <c r="Z35" i="22"/>
  <c r="AC35" i="22" s="1"/>
  <c r="H35" i="31" s="1"/>
  <c r="Y16" i="22"/>
  <c r="AB16" i="22" s="1"/>
  <c r="AE16" i="22" s="1"/>
  <c r="J16" i="31" s="1"/>
  <c r="Y51" i="22"/>
  <c r="AB51" i="22" s="1"/>
  <c r="AE51" i="22" s="1"/>
  <c r="J51" i="31" s="1"/>
  <c r="Z51" i="22"/>
  <c r="AC51" i="22" s="1"/>
  <c r="H51" i="31" s="1"/>
  <c r="T51" i="29"/>
  <c r="U51" i="29" s="1"/>
  <c r="V51" i="29" s="1"/>
  <c r="M51" i="31" s="1"/>
  <c r="Q51" i="29"/>
  <c r="R51" i="29" s="1"/>
  <c r="S51" i="29" s="1"/>
  <c r="L51" i="31" s="1"/>
  <c r="AQ66" i="21"/>
  <c r="AT66" i="21" s="1"/>
  <c r="AW66" i="21" s="1"/>
  <c r="E66" i="31" s="1"/>
  <c r="Y60" i="22"/>
  <c r="AB60" i="22" s="1"/>
  <c r="AE60" i="22" s="1"/>
  <c r="J60" i="31" s="1"/>
  <c r="T53" i="29"/>
  <c r="U53" i="29" s="1"/>
  <c r="V53" i="29" s="1"/>
  <c r="M53" i="31" s="1"/>
  <c r="AQ3" i="21"/>
  <c r="Q53" i="29"/>
  <c r="R53" i="29" s="1"/>
  <c r="S53" i="29" s="1"/>
  <c r="L53" i="31" s="1"/>
  <c r="AQ68" i="21"/>
  <c r="AT68" i="21" s="1"/>
  <c r="AW68" i="21" s="1"/>
  <c r="E68" i="31" s="1"/>
  <c r="Y4" i="22"/>
  <c r="AB4" i="22" s="1"/>
  <c r="AE4" i="22" s="1"/>
  <c r="J4" i="31" s="1"/>
  <c r="T54" i="29"/>
  <c r="U54" i="29" s="1"/>
  <c r="V54" i="29" s="1"/>
  <c r="M54" i="31" s="1"/>
  <c r="T36" i="29"/>
  <c r="U36" i="29" s="1"/>
  <c r="V36" i="29" s="1"/>
  <c r="M36" i="31" s="1"/>
  <c r="AQ72" i="21"/>
  <c r="AT72" i="21" s="1"/>
  <c r="AW72" i="21" s="1"/>
  <c r="E72" i="31" s="1"/>
  <c r="AQ47" i="21"/>
  <c r="AT47" i="21" s="1"/>
  <c r="AW47" i="21" s="1"/>
  <c r="E47" i="31" s="1"/>
  <c r="Y34" i="22"/>
  <c r="AB34" i="22" s="1"/>
  <c r="AE34" i="22" s="1"/>
  <c r="J34" i="31" s="1"/>
  <c r="Q16" i="29"/>
  <c r="R16" i="29" s="1"/>
  <c r="S16" i="29" s="1"/>
  <c r="L16" i="31" s="1"/>
  <c r="Y49" i="22"/>
  <c r="AB49" i="22" s="1"/>
  <c r="AE49" i="22" s="1"/>
  <c r="J49" i="31" s="1"/>
  <c r="AR47" i="21"/>
  <c r="AU47" i="21" s="1"/>
  <c r="AX47" i="21" s="1"/>
  <c r="F47" i="31" s="1"/>
  <c r="AR39" i="21"/>
  <c r="AU39" i="21" s="1"/>
  <c r="AX39" i="21" s="1"/>
  <c r="F39" i="31" s="1"/>
  <c r="Z39" i="22"/>
  <c r="AC39" i="22" s="1"/>
  <c r="H39" i="31" s="1"/>
  <c r="T39" i="29"/>
  <c r="U39" i="29" s="1"/>
  <c r="V39" i="29" s="1"/>
  <c r="M39" i="31" s="1"/>
  <c r="Y39" i="22"/>
  <c r="AB39" i="22" s="1"/>
  <c r="AE39" i="22" s="1"/>
  <c r="J39" i="31" s="1"/>
  <c r="I61" i="31"/>
  <c r="T61" i="29"/>
  <c r="U61" i="29" s="1"/>
  <c r="J61" i="31"/>
  <c r="Y35" i="22"/>
  <c r="AB35" i="22" s="1"/>
  <c r="AE35" i="22" s="1"/>
  <c r="J35" i="31" s="1"/>
  <c r="Q68" i="29"/>
  <c r="R68" i="29" s="1"/>
  <c r="S68" i="29" s="1"/>
  <c r="L68" i="31" s="1"/>
  <c r="Y68" i="22"/>
  <c r="AB68" i="22" s="1"/>
  <c r="AE68" i="22" s="1"/>
  <c r="J68" i="31" s="1"/>
  <c r="Z52" i="22"/>
  <c r="AC52" i="22" s="1"/>
  <c r="H52" i="31" s="1"/>
  <c r="Y52" i="22"/>
  <c r="AB52" i="22" s="1"/>
  <c r="AE52" i="22" s="1"/>
  <c r="J52" i="31" s="1"/>
  <c r="Q52" i="29"/>
  <c r="R52" i="29" s="1"/>
  <c r="S52" i="29" s="1"/>
  <c r="L52" i="31" s="1"/>
  <c r="T48" i="29"/>
  <c r="U48" i="29" s="1"/>
  <c r="V48" i="29" s="1"/>
  <c r="M48" i="31" s="1"/>
  <c r="O65" i="29"/>
  <c r="P65" i="29" s="1"/>
  <c r="K65" i="31" s="1"/>
  <c r="T65" i="29"/>
  <c r="U65" i="29" s="1"/>
  <c r="Q65" i="29"/>
  <c r="R65" i="29" s="1"/>
  <c r="S65" i="29" s="1"/>
  <c r="L65" i="31" s="1"/>
  <c r="Z69" i="22"/>
  <c r="AC69" i="22" s="1"/>
  <c r="H69" i="31" s="1"/>
  <c r="Y69" i="22"/>
  <c r="AB69" i="22" s="1"/>
  <c r="AE69" i="22" s="1"/>
  <c r="J69" i="31" s="1"/>
  <c r="Q69" i="29"/>
  <c r="R69" i="29" s="1"/>
  <c r="S69" i="29" s="1"/>
  <c r="L69" i="31" s="1"/>
  <c r="T69" i="29"/>
  <c r="U69" i="29" s="1"/>
  <c r="V69" i="29" s="1"/>
  <c r="M69" i="31" s="1"/>
  <c r="Z47" i="22"/>
  <c r="AC47" i="22" s="1"/>
  <c r="H47" i="31" s="1"/>
  <c r="Y47" i="22"/>
  <c r="AB47" i="22" s="1"/>
  <c r="AE47" i="22" s="1"/>
  <c r="J47" i="31" s="1"/>
  <c r="Q47" i="29"/>
  <c r="R47" i="29" s="1"/>
  <c r="S47" i="29" s="1"/>
  <c r="L47" i="31" s="1"/>
  <c r="T47" i="29"/>
  <c r="U47" i="29" s="1"/>
  <c r="Z41" i="22"/>
  <c r="AC41" i="22" s="1"/>
  <c r="H41" i="31" s="1"/>
  <c r="T41" i="29"/>
  <c r="U41" i="29" s="1"/>
  <c r="Q41" i="29"/>
  <c r="R41" i="29" s="1"/>
  <c r="S41" i="29" s="1"/>
  <c r="L41" i="31" s="1"/>
  <c r="Y41" i="22"/>
  <c r="AB41" i="22" s="1"/>
  <c r="AE41" i="22" s="1"/>
  <c r="J41" i="31" s="1"/>
  <c r="Y17" i="22"/>
  <c r="AB17" i="22" s="1"/>
  <c r="AE17" i="22" s="1"/>
  <c r="J17" i="31" s="1"/>
  <c r="Z4" i="22"/>
  <c r="AC4" i="22" s="1"/>
  <c r="H4" i="31" s="1"/>
  <c r="T70" i="29"/>
  <c r="U70" i="29" s="1"/>
  <c r="V70" i="29" s="1"/>
  <c r="M70" i="31" s="1"/>
  <c r="Y70" i="22"/>
  <c r="AB70" i="22" s="1"/>
  <c r="AE70" i="22" s="1"/>
  <c r="J70" i="31" s="1"/>
  <c r="Q70" i="29"/>
  <c r="R70" i="29" s="1"/>
  <c r="S70" i="29" s="1"/>
  <c r="L70" i="31" s="1"/>
  <c r="Z70" i="22"/>
  <c r="AC70" i="22" s="1"/>
  <c r="H70" i="31" s="1"/>
  <c r="AS68" i="21" l="1"/>
  <c r="AV68" i="21" s="1"/>
  <c r="AY68" i="21" s="1"/>
  <c r="G68" i="31" s="1"/>
  <c r="AS70" i="21"/>
  <c r="AV70" i="21" s="1"/>
  <c r="O70" i="31" s="1"/>
  <c r="P70" i="31" s="1"/>
  <c r="AS73" i="21"/>
  <c r="AV73" i="21" s="1"/>
  <c r="AY73" i="21" s="1"/>
  <c r="G73" i="31" s="1"/>
  <c r="AS15" i="21"/>
  <c r="AV15" i="21" s="1"/>
  <c r="O15" i="31" s="1"/>
  <c r="P15" i="31" s="1"/>
  <c r="AS72" i="21"/>
  <c r="AV72" i="21" s="1"/>
  <c r="AY72" i="21" s="1"/>
  <c r="G72" i="31" s="1"/>
  <c r="AS66" i="21"/>
  <c r="AV66" i="21" s="1"/>
  <c r="AY66" i="21" s="1"/>
  <c r="G66" i="31" s="1"/>
  <c r="AU66" i="21"/>
  <c r="AX66" i="21" s="1"/>
  <c r="F66" i="31" s="1"/>
  <c r="AS4" i="21"/>
  <c r="AV4" i="21" s="1"/>
  <c r="AY4" i="21" s="1"/>
  <c r="G4" i="31" s="1"/>
  <c r="AS35" i="21"/>
  <c r="AV35" i="21" s="1"/>
  <c r="AY35" i="21" s="1"/>
  <c r="G35" i="31" s="1"/>
  <c r="AU69" i="21"/>
  <c r="AX69" i="21" s="1"/>
  <c r="F69" i="31" s="1"/>
  <c r="AS65" i="21"/>
  <c r="AV65" i="21" s="1"/>
  <c r="AY65" i="21" s="1"/>
  <c r="G65" i="31" s="1"/>
  <c r="V47" i="29"/>
  <c r="M47" i="31" s="1"/>
  <c r="AS49" i="21"/>
  <c r="AV49" i="21" s="1"/>
  <c r="O49" i="31" s="1"/>
  <c r="P49" i="31" s="1"/>
  <c r="AU70" i="21"/>
  <c r="AX70" i="21" s="1"/>
  <c r="F70" i="31" s="1"/>
  <c r="AS48" i="21"/>
  <c r="AV48" i="21" s="1"/>
  <c r="AY48" i="21" s="1"/>
  <c r="G48" i="31" s="1"/>
  <c r="AS41" i="21"/>
  <c r="AV41" i="21" s="1"/>
  <c r="AY41" i="21" s="1"/>
  <c r="G41" i="31" s="1"/>
  <c r="AU41" i="21"/>
  <c r="AX41" i="21" s="1"/>
  <c r="F41" i="31" s="1"/>
  <c r="AS61" i="21"/>
  <c r="AV61" i="21" s="1"/>
  <c r="AY61" i="21" s="1"/>
  <c r="G61" i="31" s="1"/>
  <c r="AU35" i="21"/>
  <c r="AX35" i="21" s="1"/>
  <c r="F35" i="31" s="1"/>
  <c r="AU73" i="21"/>
  <c r="AX73" i="21" s="1"/>
  <c r="F73" i="31" s="1"/>
  <c r="AS36" i="21"/>
  <c r="AV36" i="21" s="1"/>
  <c r="AY36" i="21" s="1"/>
  <c r="G36" i="31" s="1"/>
  <c r="AS54" i="21"/>
  <c r="AV54" i="21" s="1"/>
  <c r="AY54" i="21" s="1"/>
  <c r="G54" i="31" s="1"/>
  <c r="AU15" i="21"/>
  <c r="AX15" i="21" s="1"/>
  <c r="F15" i="31" s="1"/>
  <c r="AS56" i="21"/>
  <c r="AV56" i="21" s="1"/>
  <c r="O56" i="31" s="1"/>
  <c r="P56" i="31" s="1"/>
  <c r="AS52" i="21"/>
  <c r="AV52" i="21" s="1"/>
  <c r="O52" i="31" s="1"/>
  <c r="P52" i="31" s="1"/>
  <c r="AS62" i="21"/>
  <c r="AV62" i="21" s="1"/>
  <c r="O62" i="31" s="1"/>
  <c r="P62" i="31" s="1"/>
  <c r="AS34" i="21"/>
  <c r="AV34" i="21" s="1"/>
  <c r="AY34" i="21" s="1"/>
  <c r="G34" i="31" s="1"/>
  <c r="AS60" i="21"/>
  <c r="AV60" i="21" s="1"/>
  <c r="AY60" i="21" s="1"/>
  <c r="G60" i="31" s="1"/>
  <c r="AS40" i="21"/>
  <c r="AV40" i="21" s="1"/>
  <c r="AY40" i="21" s="1"/>
  <c r="G40" i="31" s="1"/>
  <c r="AU68" i="21"/>
  <c r="AX68" i="21" s="1"/>
  <c r="F68" i="31" s="1"/>
  <c r="AU52" i="21"/>
  <c r="AX52" i="21" s="1"/>
  <c r="F52" i="31" s="1"/>
  <c r="AU72" i="21"/>
  <c r="AX72" i="21" s="1"/>
  <c r="F72" i="31" s="1"/>
  <c r="AS17" i="21"/>
  <c r="AV17" i="21" s="1"/>
  <c r="O17" i="31" s="1"/>
  <c r="P17" i="31" s="1"/>
  <c r="AU56" i="21"/>
  <c r="AX56" i="21" s="1"/>
  <c r="F56" i="31" s="1"/>
  <c r="AS16" i="21"/>
  <c r="AV16" i="21" s="1"/>
  <c r="AU16" i="21"/>
  <c r="AX16" i="21" s="1"/>
  <c r="F16" i="31" s="1"/>
  <c r="V4" i="29"/>
  <c r="M4" i="31" s="1"/>
  <c r="AS39" i="21"/>
  <c r="AV39" i="21" s="1"/>
  <c r="O39" i="31" s="1"/>
  <c r="P39" i="31" s="1"/>
  <c r="AU48" i="21"/>
  <c r="AX48" i="21" s="1"/>
  <c r="F48" i="31" s="1"/>
  <c r="AS71" i="21"/>
  <c r="AV71" i="21" s="1"/>
  <c r="AY71" i="21" s="1"/>
  <c r="G71" i="31" s="1"/>
  <c r="AS51" i="21"/>
  <c r="AV51" i="21" s="1"/>
  <c r="O51" i="31" s="1"/>
  <c r="P51" i="31" s="1"/>
  <c r="AU55" i="21"/>
  <c r="AX55" i="21" s="1"/>
  <c r="F55" i="31" s="1"/>
  <c r="AS55" i="21"/>
  <c r="AV55" i="21" s="1"/>
  <c r="AU53" i="21"/>
  <c r="AX53" i="21" s="1"/>
  <c r="F53" i="31" s="1"/>
  <c r="AS53" i="21"/>
  <c r="AV53" i="21" s="1"/>
  <c r="AY53" i="21" s="1"/>
  <c r="G53" i="31" s="1"/>
  <c r="AS47" i="21"/>
  <c r="AV47" i="21" s="1"/>
  <c r="AY47" i="21" s="1"/>
  <c r="G47" i="31" s="1"/>
  <c r="AT3" i="21"/>
  <c r="AW3" i="21" s="1"/>
  <c r="E3" i="31" s="1"/>
  <c r="AS3" i="21"/>
  <c r="AV3" i="21" s="1"/>
  <c r="V61" i="29"/>
  <c r="M61" i="31" s="1"/>
  <c r="AY69" i="21"/>
  <c r="G69" i="31" s="1"/>
  <c r="O69" i="31"/>
  <c r="P69" i="31" s="1"/>
  <c r="V65" i="29"/>
  <c r="M65" i="31" s="1"/>
  <c r="V41" i="29"/>
  <c r="M41" i="31" s="1"/>
  <c r="AY70" i="21" l="1"/>
  <c r="G70" i="31" s="1"/>
  <c r="O68" i="31"/>
  <c r="P68" i="31" s="1"/>
  <c r="O73" i="31"/>
  <c r="P73" i="31" s="1"/>
  <c r="AY15" i="21"/>
  <c r="G15" i="31" s="1"/>
  <c r="AY49" i="21"/>
  <c r="G49" i="31" s="1"/>
  <c r="O72" i="31"/>
  <c r="P72" i="31" s="1"/>
  <c r="O35" i="31"/>
  <c r="P35" i="31" s="1"/>
  <c r="O4" i="31"/>
  <c r="P4" i="31" s="1"/>
  <c r="AY56" i="21"/>
  <c r="G56" i="31" s="1"/>
  <c r="O66" i="31"/>
  <c r="P66" i="31" s="1"/>
  <c r="O48" i="31"/>
  <c r="P48" i="31" s="1"/>
  <c r="AY62" i="21"/>
  <c r="G62" i="31" s="1"/>
  <c r="O47" i="31"/>
  <c r="P47" i="31" s="1"/>
  <c r="O61" i="31"/>
  <c r="P61" i="31" s="1"/>
  <c r="O41" i="31"/>
  <c r="P41" i="31" s="1"/>
  <c r="O65" i="31"/>
  <c r="P65" i="31" s="1"/>
  <c r="O54" i="31"/>
  <c r="P54" i="31" s="1"/>
  <c r="AY52" i="21"/>
  <c r="G52" i="31" s="1"/>
  <c r="O36" i="31"/>
  <c r="P36" i="31" s="1"/>
  <c r="O34" i="31"/>
  <c r="P34" i="31" s="1"/>
  <c r="O60" i="31"/>
  <c r="P60" i="31" s="1"/>
  <c r="AY17" i="21"/>
  <c r="G17" i="31" s="1"/>
  <c r="O40" i="31"/>
  <c r="P40" i="31" s="1"/>
  <c r="O71" i="31"/>
  <c r="P71" i="31" s="1"/>
  <c r="AY51" i="21"/>
  <c r="G51" i="31" s="1"/>
  <c r="AY39" i="21"/>
  <c r="G39" i="31" s="1"/>
  <c r="AY55" i="21"/>
  <c r="G55" i="31" s="1"/>
  <c r="O55" i="31"/>
  <c r="P55" i="31" s="1"/>
  <c r="O53" i="31"/>
  <c r="P53" i="31" s="1"/>
  <c r="O16" i="31"/>
  <c r="P16" i="31" s="1"/>
  <c r="AY16" i="21"/>
  <c r="G16" i="31" s="1"/>
  <c r="AY3" i="21"/>
  <c r="G3" i="31" s="1"/>
  <c r="O3" i="31"/>
  <c r="P3" i="31" s="1"/>
</calcChain>
</file>

<file path=xl/sharedStrings.xml><?xml version="1.0" encoding="utf-8"?>
<sst xmlns="http://schemas.openxmlformats.org/spreadsheetml/2006/main" count="834" uniqueCount="263">
  <si>
    <t>rollover</t>
  </si>
  <si>
    <t>Make</t>
  </si>
  <si>
    <t>Model</t>
  </si>
  <si>
    <t>Year</t>
  </si>
  <si>
    <t>SSF</t>
  </si>
  <si>
    <t>Dynamic Test (Y or N)</t>
  </si>
  <si>
    <t>TIP UP? (Y or N)</t>
  </si>
  <si>
    <t>P(roll)</t>
  </si>
  <si>
    <t>P(AIS3+)</t>
  </si>
  <si>
    <t>RRS(roll)</t>
  </si>
  <si>
    <t>stars</t>
  </si>
  <si>
    <t>Acura</t>
  </si>
  <si>
    <t>MDX SUV AWD</t>
  </si>
  <si>
    <t>MDX SUV FWD</t>
  </si>
  <si>
    <t>Y</t>
  </si>
  <si>
    <t>N</t>
  </si>
  <si>
    <t>Chevrolet</t>
  </si>
  <si>
    <t>Bolt EUV SUV FWD</t>
  </si>
  <si>
    <t>Bolt EV 5HB FWD</t>
  </si>
  <si>
    <t>Silverado 1500 PU/CC 2WD</t>
  </si>
  <si>
    <t>Silverado 1500 PU/CC 4WD</t>
  </si>
  <si>
    <t>GMC</t>
  </si>
  <si>
    <t>Sierra 1500 PU/CC 2WD</t>
  </si>
  <si>
    <t>Sierra 1500 PU/CC 4WD</t>
  </si>
  <si>
    <t>Traverse SUV AWD</t>
  </si>
  <si>
    <t>Traverse SUV FWD</t>
  </si>
  <si>
    <t>Buick</t>
  </si>
  <si>
    <t>Enclave SUV AWD</t>
  </si>
  <si>
    <t>Enclave SUV FWD</t>
  </si>
  <si>
    <t>Ford</t>
  </si>
  <si>
    <t>Bronco 4 DR SUV 4WD</t>
  </si>
  <si>
    <t>Escape PHEV SUV FWD</t>
  </si>
  <si>
    <t>Lincoln</t>
  </si>
  <si>
    <t>Corsair PHEV SUV AWD</t>
  </si>
  <si>
    <t>Expedition SUV 2WD</t>
  </si>
  <si>
    <t>Expedition SUV 4WD</t>
  </si>
  <si>
    <t>Expedition EL SUV 2WD</t>
  </si>
  <si>
    <t>Expedition EL SUV 4WD</t>
  </si>
  <si>
    <t>Navigator SUV 2WD</t>
  </si>
  <si>
    <t>Navigator SUV 4WD</t>
  </si>
  <si>
    <t>Navigator EL 2WD</t>
  </si>
  <si>
    <t>Navigator EL 4WD</t>
  </si>
  <si>
    <t>F-150 Lightning BEV PU/CC 4WD</t>
  </si>
  <si>
    <t>F-150 Super Crew HEV PU/CC 2WD</t>
  </si>
  <si>
    <t>F-150 Super Crew HEV PU/CC 4WD</t>
  </si>
  <si>
    <t>F-250 Super Cab PU/EC 2WD</t>
  </si>
  <si>
    <t>F-250 Super Cab PU/EC 4WD</t>
  </si>
  <si>
    <t>Maverick PU/CC FWD</t>
  </si>
  <si>
    <t>Maverick PU/CC 4WD</t>
  </si>
  <si>
    <t>Maverick HEV PU/CC FWD</t>
  </si>
  <si>
    <t>Honda</t>
  </si>
  <si>
    <t>Civic 4DR FWD</t>
  </si>
  <si>
    <t>Civic SI 4DR FWD</t>
  </si>
  <si>
    <t>Civic 5HB FWD</t>
  </si>
  <si>
    <t>Hyundai</t>
  </si>
  <si>
    <t>Ioniq 5 SUV RWD</t>
  </si>
  <si>
    <t>Ioniq 5 SUV AWD</t>
  </si>
  <si>
    <t>Tucson SUV FWD early release</t>
  </si>
  <si>
    <t>Tucson SUV AWD early release</t>
  </si>
  <si>
    <t>Tucson HEV SUV FWD early release</t>
  </si>
  <si>
    <t>Tucson HEV SUV AWD early release</t>
  </si>
  <si>
    <t>Tucson SUV FWD later release</t>
  </si>
  <si>
    <t>Tucson SUV AWD later release</t>
  </si>
  <si>
    <t>Tucson HEV SUV FWD later release</t>
  </si>
  <si>
    <t>Tucson HEV SUV AWD later release</t>
  </si>
  <si>
    <t>Jeep</t>
  </si>
  <si>
    <t>Compass SUV FWD</t>
  </si>
  <si>
    <t>Compass SUV AWD</t>
  </si>
  <si>
    <t>Kia</t>
  </si>
  <si>
    <t>Niro Electric SUV FWD</t>
  </si>
  <si>
    <t>Mazda</t>
  </si>
  <si>
    <t>MX-30 5HB FWD</t>
  </si>
  <si>
    <t xml:space="preserve">Mitsubishi </t>
  </si>
  <si>
    <t>Eclipse Cross SUV AWD</t>
  </si>
  <si>
    <t>Eclipse Cross SUV FWD</t>
  </si>
  <si>
    <t>Nissan</t>
  </si>
  <si>
    <t>Altima 4DR FWD</t>
  </si>
  <si>
    <t>Altima 4DR AWD</t>
  </si>
  <si>
    <t>Frontier Crew Cab PU/CC RWD</t>
  </si>
  <si>
    <t>Frontier Crew Cab PU/CC 4WD</t>
  </si>
  <si>
    <t>Frontier King Cab PU/EC RWD</t>
  </si>
  <si>
    <t>Frontier King Cab PU/EC 4WD</t>
  </si>
  <si>
    <t>Pathfinder SUV FWD</t>
  </si>
  <si>
    <t>Pathfinder SUV AWD</t>
  </si>
  <si>
    <t xml:space="preserve">Infiniti </t>
  </si>
  <si>
    <t>QX60 SUV FWD</t>
  </si>
  <si>
    <t>QX60 SUV AWD</t>
  </si>
  <si>
    <t>Rogue AWD (Later Release)</t>
  </si>
  <si>
    <t>Rogue FWD (Later Release)</t>
  </si>
  <si>
    <t>Rogue Sport SUV FWD</t>
  </si>
  <si>
    <t>Rogue Sport SUV AWD</t>
  </si>
  <si>
    <t>Polestar</t>
  </si>
  <si>
    <t>Polestar 2 5HB FWD</t>
  </si>
  <si>
    <t>Polestar 2 5HB AWD</t>
  </si>
  <si>
    <t>Toyota</t>
  </si>
  <si>
    <t>RAV4 Prime SUV AWD</t>
  </si>
  <si>
    <t>Volkswagen</t>
  </si>
  <si>
    <t>Jetta 4DR FWD</t>
  </si>
  <si>
    <t>Jetta GLI 4DR FWD</t>
  </si>
  <si>
    <t>Taos SUV FWD</t>
  </si>
  <si>
    <t>Taos SUV AWD</t>
  </si>
  <si>
    <t>Driver HIII 50M</t>
  </si>
  <si>
    <t>Front Passenger HIII 5F</t>
  </si>
  <si>
    <t>Driver AIS 3+ injury to different body regions</t>
  </si>
  <si>
    <t>Front Passenger AIS 3+ injury to different body regions</t>
  </si>
  <si>
    <t>Driver</t>
  </si>
  <si>
    <t>Passenger</t>
  </si>
  <si>
    <t>Average</t>
  </si>
  <si>
    <t>comb.</t>
  </si>
  <si>
    <t>Test No.</t>
  </si>
  <si>
    <t>NHTSA No.</t>
  </si>
  <si>
    <t>Lab</t>
  </si>
  <si>
    <t>HIC15</t>
  </si>
  <si>
    <t>Nij</t>
  </si>
  <si>
    <t>Neck Tension N</t>
  </si>
  <si>
    <t>Neck Comprsn N</t>
  </si>
  <si>
    <t>Chest Deflection mm</t>
  </si>
  <si>
    <t>3 ms clip gs</t>
  </si>
  <si>
    <t>Left Femur Force N</t>
  </si>
  <si>
    <t>Right Femur Force N</t>
  </si>
  <si>
    <t>P(HIC15)</t>
  </si>
  <si>
    <t>P(Nij)</t>
  </si>
  <si>
    <t>P(Ntension)</t>
  </si>
  <si>
    <t>P(Ncomprsn)</t>
  </si>
  <si>
    <t>P(Neck)</t>
  </si>
  <si>
    <t>P(chest)</t>
  </si>
  <si>
    <t>P(Lfemur)</t>
  </si>
  <si>
    <t>P(Rfemur)</t>
  </si>
  <si>
    <t>P(femur)</t>
  </si>
  <si>
    <t>P(NComprsn)</t>
  </si>
  <si>
    <t>p(AIS 3+)</t>
  </si>
  <si>
    <t>RRS (front)</t>
  </si>
  <si>
    <t>Stars</t>
  </si>
  <si>
    <t>O20225300</t>
  </si>
  <si>
    <t>MGA</t>
  </si>
  <si>
    <t>M20220100</t>
  </si>
  <si>
    <t>Karco</t>
  </si>
  <si>
    <t>M20220103</t>
  </si>
  <si>
    <t>Calspan</t>
  </si>
  <si>
    <t>M20220106</t>
  </si>
  <si>
    <t>TRC</t>
  </si>
  <si>
    <t>M20220107</t>
  </si>
  <si>
    <t>M20220215</t>
  </si>
  <si>
    <t>M20220200</t>
  </si>
  <si>
    <t>M20220203</t>
  </si>
  <si>
    <t>M20220216</t>
  </si>
  <si>
    <t>M20190208</t>
  </si>
  <si>
    <t>M20220209</t>
  </si>
  <si>
    <t>O20225303</t>
  </si>
  <si>
    <t>M20224200</t>
  </si>
  <si>
    <t>M20224206</t>
  </si>
  <si>
    <t>O20224200</t>
  </si>
  <si>
    <t>M20220300</t>
  </si>
  <si>
    <t>M20224209</t>
  </si>
  <si>
    <t>O20225400</t>
  </si>
  <si>
    <t>O20225600</t>
  </si>
  <si>
    <t>O20195200</t>
  </si>
  <si>
    <t>M20225202</t>
  </si>
  <si>
    <t>M20225205</t>
  </si>
  <si>
    <t>O20225200</t>
  </si>
  <si>
    <t>M20215205</t>
  </si>
  <si>
    <t>M20225900</t>
  </si>
  <si>
    <t>M20225806</t>
  </si>
  <si>
    <t>M20225803</t>
  </si>
  <si>
    <t>Driver ES-2re</t>
  </si>
  <si>
    <t>Rear Passenger SID-IIs</t>
  </si>
  <si>
    <t>Driver Es-2re</t>
  </si>
  <si>
    <t>Passenger*</t>
  </si>
  <si>
    <t>Combined</t>
  </si>
  <si>
    <t>Comb.</t>
  </si>
  <si>
    <t>Side MDB</t>
  </si>
  <si>
    <t>HIC36</t>
  </si>
  <si>
    <t>Rib Defl
(mm)</t>
  </si>
  <si>
    <t>Lower Spine (G's)</t>
  </si>
  <si>
    <t>Abd'm Force (N)</t>
  </si>
  <si>
    <t>Pubic Force (N)</t>
  </si>
  <si>
    <t>Abd'm defl (mm)</t>
  </si>
  <si>
    <t>Iliac+acet Force (N)</t>
  </si>
  <si>
    <t>P(head)</t>
  </si>
  <si>
    <t>P(abdm)</t>
  </si>
  <si>
    <t>P(pelvs)</t>
  </si>
  <si>
    <t>P(AIS 3+)</t>
  </si>
  <si>
    <t>RRS (MDB)</t>
  </si>
  <si>
    <t>O20225302</t>
  </si>
  <si>
    <t>M20220102</t>
  </si>
  <si>
    <t>KAR</t>
  </si>
  <si>
    <t>M20220105</t>
  </si>
  <si>
    <t>CAL</t>
  </si>
  <si>
    <t>M20190108</t>
  </si>
  <si>
    <t>M20220109</t>
  </si>
  <si>
    <t>M20220202</t>
  </si>
  <si>
    <t>M20180205</t>
  </si>
  <si>
    <t>M20220218</t>
  </si>
  <si>
    <t>M20220208</t>
  </si>
  <si>
    <t>M20220211</t>
  </si>
  <si>
    <t>O20225305</t>
  </si>
  <si>
    <t>M20224202</t>
  </si>
  <si>
    <t>M20224208</t>
  </si>
  <si>
    <t>O20224202</t>
  </si>
  <si>
    <t>M20220302</t>
  </si>
  <si>
    <t>M20224211</t>
  </si>
  <si>
    <t>O20225402</t>
  </si>
  <si>
    <t>M20205602</t>
  </si>
  <si>
    <t>M20225201</t>
  </si>
  <si>
    <t>M20225204</t>
  </si>
  <si>
    <t>data loss</t>
  </si>
  <si>
    <t>M20225207</t>
  </si>
  <si>
    <t>M20215204</t>
  </si>
  <si>
    <t>M20225209</t>
  </si>
  <si>
    <t>M20225902</t>
  </si>
  <si>
    <t>M20195802</t>
  </si>
  <si>
    <t>M20225805</t>
  </si>
  <si>
    <t>Driver SID-IIs</t>
  </si>
  <si>
    <t>Side pole</t>
  </si>
  <si>
    <t>Overall Side</t>
  </si>
  <si>
    <t xml:space="preserve">RRS </t>
  </si>
  <si>
    <t>Max. Thor. rib defl
(mm)</t>
  </si>
  <si>
    <t>Lower Spine result. (G's)</t>
  </si>
  <si>
    <t>Max. Abd'm rib defl (mm)</t>
  </si>
  <si>
    <t>RRS(pole)</t>
  </si>
  <si>
    <t>P(Overall MDB+pole Driver)</t>
  </si>
  <si>
    <t>RRS(Overall MDB+pole Driver)</t>
  </si>
  <si>
    <t>overall Driver stars</t>
  </si>
  <si>
    <t>P(Overall side)</t>
  </si>
  <si>
    <t>RRS(Overall side)</t>
  </si>
  <si>
    <t>Overall Side stars</t>
  </si>
  <si>
    <t>O20225301</t>
  </si>
  <si>
    <t>M20220101</t>
  </si>
  <si>
    <t>M20220104</t>
  </si>
  <si>
    <t>M20190107</t>
  </si>
  <si>
    <t>M20220108</t>
  </si>
  <si>
    <t>M20220201</t>
  </si>
  <si>
    <t>M20180204</t>
  </si>
  <si>
    <t>M20220207</t>
  </si>
  <si>
    <t>M20220210</t>
  </si>
  <si>
    <t>O20225304</t>
  </si>
  <si>
    <t>M20224201</t>
  </si>
  <si>
    <t>M20224207</t>
  </si>
  <si>
    <t>O20224201</t>
  </si>
  <si>
    <t>M20220301</t>
  </si>
  <si>
    <t>M20224210</t>
  </si>
  <si>
    <t>O20225401</t>
  </si>
  <si>
    <t>M20205601</t>
  </si>
  <si>
    <t>M20225200</t>
  </si>
  <si>
    <t>M20225203</t>
  </si>
  <si>
    <t>M20225206</t>
  </si>
  <si>
    <t>M20215203</t>
  </si>
  <si>
    <t>lost data</t>
  </si>
  <si>
    <t>M20225208</t>
  </si>
  <si>
    <t>M20225901</t>
  </si>
  <si>
    <t>M20195801</t>
  </si>
  <si>
    <t>M20225804</t>
  </si>
  <si>
    <t>Date on Web</t>
  </si>
  <si>
    <t>Front (STARS)</t>
  </si>
  <si>
    <t>Side MDB (STARS)</t>
  </si>
  <si>
    <t>Side Pole (STARS)</t>
  </si>
  <si>
    <t>Overall Driver Star</t>
  </si>
  <si>
    <t>Overall Side Star</t>
  </si>
  <si>
    <t>Rollover (STARS)</t>
  </si>
  <si>
    <t>Pass</t>
  </si>
  <si>
    <t>VSS</t>
  </si>
  <si>
    <t>STARS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</si>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</sst>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8"/>
      <name val="Cambria"/>
      <family val="1"/>
      <scheme val="maj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</cellStyleXfs>
  <cellXfs count="192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4" fillId="0" borderId="1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/>
    <xf numFmtId="0" fontId="4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5" xfId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164" fontId="3" fillId="0" borderId="9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164" fontId="4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/>
    </xf>
    <xf numFmtId="0" fontId="2" fillId="0" borderId="3" xfId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>
      <alignment horizontal="center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1" fontId="4" fillId="0" borderId="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" fontId="5" fillId="0" borderId="1" xfId="0" applyNumberFormat="1" applyFont="1" applyFill="1" applyBorder="1"/>
    <xf numFmtId="1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5" fillId="0" borderId="1" xfId="0" applyNumberFormat="1" applyFont="1" applyFill="1" applyBorder="1"/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3" fontId="3" fillId="0" borderId="0" xfId="0" applyNumberFormat="1" applyFont="1" applyFill="1"/>
    <xf numFmtId="1" fontId="4" fillId="0" borderId="0" xfId="0" applyNumberFormat="1" applyFont="1" applyFill="1"/>
    <xf numFmtId="2" fontId="5" fillId="0" borderId="0" xfId="0" applyNumberFormat="1" applyFont="1" applyFill="1"/>
    <xf numFmtId="0" fontId="2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/>
    <xf numFmtId="0" fontId="4" fillId="0" borderId="1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" fontId="4" fillId="0" borderId="3" xfId="0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5" fillId="0" borderId="0" xfId="0" applyNumberFormat="1" applyFont="1" applyFill="1"/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Protection="1">
      <protection locked="0"/>
    </xf>
    <xf numFmtId="2" fontId="5" fillId="0" borderId="0" xfId="0" applyNumberFormat="1" applyFont="1" applyFill="1" applyAlignment="1">
      <alignment horizontal="center"/>
    </xf>
    <xf numFmtId="0" fontId="4" fillId="0" borderId="1" xfId="0" applyFont="1" applyFill="1" applyBorder="1"/>
    <xf numFmtId="0" fontId="4" fillId="0" borderId="3" xfId="0" applyFont="1" applyFill="1" applyBorder="1"/>
    <xf numFmtId="164" fontId="4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164" fontId="11" fillId="0" borderId="6" xfId="0" applyNumberFormat="1" applyFont="1" applyFill="1" applyBorder="1" applyAlignment="1" applyProtection="1">
      <alignment horizontal="center"/>
      <protection locked="0"/>
    </xf>
    <xf numFmtId="164" fontId="11" fillId="0" borderId="1" xfId="0" applyNumberFormat="1" applyFont="1" applyFill="1" applyBorder="1" applyAlignment="1" applyProtection="1">
      <alignment horizontal="center"/>
      <protection locked="0"/>
    </xf>
    <xf numFmtId="164" fontId="11" fillId="0" borderId="9" xfId="0" applyNumberFormat="1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11" fillId="0" borderId="8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</xf>
    <xf numFmtId="164" fontId="4" fillId="0" borderId="0" xfId="0" applyNumberFormat="1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</cellXfs>
  <cellStyles count="16">
    <cellStyle name="Normal" xfId="0" builtinId="0"/>
    <cellStyle name="Normal 10 2" xfId="8" xr:uid="{00000000-0005-0000-0000-000001000000}"/>
    <cellStyle name="Normal 2" xfId="1" xr:uid="{00000000-0005-0000-0000-000002000000}"/>
    <cellStyle name="Normal 3" xfId="2" xr:uid="{00000000-0005-0000-0000-000003000000}"/>
    <cellStyle name="Normal 3 2" xfId="3" xr:uid="{00000000-0005-0000-0000-000004000000}"/>
    <cellStyle name="Normal 71" xfId="9" xr:uid="{00000000-0005-0000-0000-000005000000}"/>
    <cellStyle name="Normal 74" xfId="15" xr:uid="{00000000-0005-0000-0000-000006000000}"/>
    <cellStyle name="Normal 75" xfId="5" xr:uid="{00000000-0005-0000-0000-000007000000}"/>
    <cellStyle name="Normal 77" xfId="13" xr:uid="{00000000-0005-0000-0000-000008000000}"/>
    <cellStyle name="Normal 78" xfId="4" xr:uid="{00000000-0005-0000-0000-000009000000}"/>
    <cellStyle name="Normal 81" xfId="6" xr:uid="{00000000-0005-0000-0000-00000A000000}"/>
    <cellStyle name="Normal 82" xfId="10" xr:uid="{00000000-0005-0000-0000-00000B000000}"/>
    <cellStyle name="Standard 3 3" xfId="14" xr:uid="{00000000-0005-0000-0000-00000C000000}"/>
    <cellStyle name="쉼표 [0] 2 4" xfId="12" xr:uid="{00000000-0005-0000-0000-00000D000000}"/>
    <cellStyle name="표준 10" xfId="7" xr:uid="{00000000-0005-0000-0000-00000E000000}"/>
    <cellStyle name="표준_Sheet1" xfId="11" xr:uid="{00000000-0005-0000-0000-00000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zoomScale="130" zoomScaleNormal="130" workbookViewId="0">
      <selection activeCell="A11" sqref="A11:XFD14"/>
    </sheetView>
  </sheetViews>
  <sheetFormatPr defaultColWidth="9.140625" defaultRowHeight="13.5" customHeight="1"/>
  <cols>
    <col min="1" max="1" width="15.5703125" style="48" customWidth="1"/>
    <col min="2" max="2" width="34.7109375" style="48" customWidth="1"/>
    <col min="3" max="4" width="4.5703125" style="44" bestFit="1" customWidth="1"/>
    <col min="5" max="5" width="18" style="44" bestFit="1" customWidth="1"/>
    <col min="6" max="6" width="13.140625" style="44" bestFit="1" customWidth="1"/>
    <col min="7" max="7" width="7.5703125" style="49" customWidth="1"/>
    <col min="8" max="8" width="7.42578125" style="49" bestFit="1" customWidth="1"/>
    <col min="9" max="9" width="7.5703125" style="50" bestFit="1" customWidth="1"/>
    <col min="10" max="10" width="7.140625" style="49" bestFit="1" customWidth="1"/>
    <col min="11" max="16384" width="9.140625" style="44"/>
  </cols>
  <sheetData>
    <row r="1" spans="1:10" s="39" customFormat="1" ht="13.5" customHeight="1">
      <c r="A1" s="17"/>
      <c r="B1" s="17"/>
      <c r="C1" s="17"/>
      <c r="D1" s="17"/>
      <c r="E1" s="17"/>
      <c r="F1" s="17"/>
      <c r="G1" s="37"/>
      <c r="H1" s="37"/>
      <c r="I1" s="38"/>
      <c r="J1" s="37" t="s">
        <v>0</v>
      </c>
    </row>
    <row r="2" spans="1:10" s="39" customFormat="1" ht="13.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37" t="s">
        <v>7</v>
      </c>
      <c r="H2" s="37" t="s">
        <v>8</v>
      </c>
      <c r="I2" s="38" t="s">
        <v>9</v>
      </c>
      <c r="J2" s="37" t="s">
        <v>10</v>
      </c>
    </row>
    <row r="3" spans="1:10" ht="13.5" customHeight="1">
      <c r="A3" s="74" t="s">
        <v>11</v>
      </c>
      <c r="B3" s="75" t="s">
        <v>12</v>
      </c>
      <c r="C3" s="40">
        <v>2022</v>
      </c>
      <c r="D3" s="41"/>
      <c r="E3" s="41"/>
      <c r="F3" s="41"/>
      <c r="G3" s="42" t="e">
        <f t="shared" ref="G3:G14" si="0">IF(F3="Y",((1/(1+EXP(2.6968+(1.1686*LN(D3-0.9)))))),((1/(1+EXP(2.8891+(1.1686*(LN(D3-0.9))))))))</f>
        <v>#NUM!</v>
      </c>
      <c r="H3" s="42" t="e">
        <f t="shared" ref="H3:H14" si="1">ROUND(G3,3)</f>
        <v>#NUM!</v>
      </c>
      <c r="I3" s="43" t="e">
        <f t="shared" ref="I3:I14" si="2">ROUND(H3/0.15,2)</f>
        <v>#NUM!</v>
      </c>
      <c r="J3" s="37" t="e">
        <f t="shared" ref="J3:J14" si="3">IF(I3&lt;0.673,5,IF(I3&lt;1.33,4,IF(I3&lt;2,3,IF(I3&lt;2.67,2,1))))</f>
        <v>#NUM!</v>
      </c>
    </row>
    <row r="4" spans="1:10" ht="13.5" customHeight="1">
      <c r="A4" s="74" t="s">
        <v>11</v>
      </c>
      <c r="B4" s="75" t="s">
        <v>13</v>
      </c>
      <c r="C4" s="40">
        <v>2022</v>
      </c>
      <c r="D4" s="45">
        <v>1.27</v>
      </c>
      <c r="E4" s="45" t="s">
        <v>14</v>
      </c>
      <c r="F4" s="45" t="s">
        <v>15</v>
      </c>
      <c r="G4" s="42">
        <f t="shared" si="0"/>
        <v>0.15094392869398887</v>
      </c>
      <c r="H4" s="42">
        <f t="shared" si="1"/>
        <v>0.151</v>
      </c>
      <c r="I4" s="43">
        <f t="shared" si="2"/>
        <v>1.01</v>
      </c>
      <c r="J4" s="37">
        <f t="shared" si="3"/>
        <v>4</v>
      </c>
    </row>
    <row r="5" spans="1:10" ht="13.5" customHeight="1">
      <c r="A5" s="74" t="s">
        <v>16</v>
      </c>
      <c r="B5" s="74" t="s">
        <v>17</v>
      </c>
      <c r="C5" s="40">
        <v>2022</v>
      </c>
      <c r="D5" s="41">
        <v>1.42</v>
      </c>
      <c r="E5" s="41" t="s">
        <v>14</v>
      </c>
      <c r="F5" s="41" t="s">
        <v>15</v>
      </c>
      <c r="G5" s="10">
        <f t="shared" si="0"/>
        <v>0.10669807295458973</v>
      </c>
      <c r="H5" s="10">
        <f t="shared" si="1"/>
        <v>0.107</v>
      </c>
      <c r="I5" s="23">
        <f t="shared" si="2"/>
        <v>0.71</v>
      </c>
      <c r="J5" s="17">
        <f t="shared" si="3"/>
        <v>4</v>
      </c>
    </row>
    <row r="6" spans="1:10" ht="13.5" customHeight="1">
      <c r="A6" s="74" t="s">
        <v>16</v>
      </c>
      <c r="B6" s="74" t="s">
        <v>18</v>
      </c>
      <c r="C6" s="40">
        <v>2022</v>
      </c>
      <c r="D6" s="41">
        <v>1.47</v>
      </c>
      <c r="E6" s="41" t="s">
        <v>15</v>
      </c>
      <c r="F6" s="41" t="s">
        <v>15</v>
      </c>
      <c r="G6" s="10">
        <f t="shared" si="0"/>
        <v>9.6895269126392819E-2</v>
      </c>
      <c r="H6" s="10">
        <f t="shared" si="1"/>
        <v>9.7000000000000003E-2</v>
      </c>
      <c r="I6" s="23">
        <f t="shared" si="2"/>
        <v>0.65</v>
      </c>
      <c r="J6" s="17">
        <f t="shared" si="3"/>
        <v>5</v>
      </c>
    </row>
    <row r="7" spans="1:10" ht="13.5" customHeight="1">
      <c r="A7" s="74" t="s">
        <v>16</v>
      </c>
      <c r="B7" s="14" t="s">
        <v>19</v>
      </c>
      <c r="C7" s="40">
        <v>2022</v>
      </c>
      <c r="D7" s="41">
        <v>1.19</v>
      </c>
      <c r="E7" s="41" t="s">
        <v>14</v>
      </c>
      <c r="F7" s="46" t="s">
        <v>15</v>
      </c>
      <c r="G7" s="10">
        <f t="shared" si="0"/>
        <v>0.19115541116675627</v>
      </c>
      <c r="H7" s="10">
        <f t="shared" si="1"/>
        <v>0.191</v>
      </c>
      <c r="I7" s="23">
        <f t="shared" si="2"/>
        <v>1.27</v>
      </c>
      <c r="J7" s="17">
        <f t="shared" si="3"/>
        <v>4</v>
      </c>
    </row>
    <row r="8" spans="1:10" ht="13.5" customHeight="1">
      <c r="A8" s="74" t="s">
        <v>16</v>
      </c>
      <c r="B8" s="14" t="s">
        <v>20</v>
      </c>
      <c r="C8" s="40">
        <v>2022</v>
      </c>
      <c r="D8" s="41">
        <v>1.18</v>
      </c>
      <c r="E8" s="41" t="s">
        <v>14</v>
      </c>
      <c r="F8" s="46" t="s">
        <v>15</v>
      </c>
      <c r="G8" s="10">
        <f t="shared" si="0"/>
        <v>0.19757624015247355</v>
      </c>
      <c r="H8" s="10">
        <f t="shared" si="1"/>
        <v>0.19800000000000001</v>
      </c>
      <c r="I8" s="23">
        <f t="shared" si="2"/>
        <v>1.32</v>
      </c>
      <c r="J8" s="17">
        <f t="shared" si="3"/>
        <v>4</v>
      </c>
    </row>
    <row r="9" spans="1:10" ht="13.5" customHeight="1">
      <c r="A9" s="45" t="s">
        <v>21</v>
      </c>
      <c r="B9" s="45" t="s">
        <v>22</v>
      </c>
      <c r="C9" s="40">
        <v>2022</v>
      </c>
      <c r="D9" s="41">
        <v>1.19</v>
      </c>
      <c r="E9" s="41" t="s">
        <v>14</v>
      </c>
      <c r="F9" s="46" t="s">
        <v>15</v>
      </c>
      <c r="G9" s="10">
        <f t="shared" si="0"/>
        <v>0.19115541116675627</v>
      </c>
      <c r="H9" s="10">
        <f t="shared" si="1"/>
        <v>0.191</v>
      </c>
      <c r="I9" s="23">
        <f t="shared" si="2"/>
        <v>1.27</v>
      </c>
      <c r="J9" s="17">
        <f t="shared" si="3"/>
        <v>4</v>
      </c>
    </row>
    <row r="10" spans="1:10" ht="13.5" customHeight="1">
      <c r="A10" s="45" t="s">
        <v>21</v>
      </c>
      <c r="B10" s="45" t="s">
        <v>23</v>
      </c>
      <c r="C10" s="40">
        <v>2022</v>
      </c>
      <c r="D10" s="41">
        <v>1.18</v>
      </c>
      <c r="E10" s="41" t="s">
        <v>14</v>
      </c>
      <c r="F10" s="46" t="s">
        <v>15</v>
      </c>
      <c r="G10" s="10">
        <f t="shared" si="0"/>
        <v>0.19757624015247355</v>
      </c>
      <c r="H10" s="10">
        <f t="shared" si="1"/>
        <v>0.19800000000000001</v>
      </c>
      <c r="I10" s="23">
        <f t="shared" si="2"/>
        <v>1.32</v>
      </c>
      <c r="J10" s="17">
        <f t="shared" si="3"/>
        <v>4</v>
      </c>
    </row>
    <row r="11" spans="1:10" ht="13.5" customHeight="1">
      <c r="A11" s="74" t="s">
        <v>16</v>
      </c>
      <c r="B11" s="74" t="s">
        <v>24</v>
      </c>
      <c r="C11" s="40">
        <v>2022</v>
      </c>
      <c r="D11" s="45">
        <v>1.27</v>
      </c>
      <c r="E11" s="45" t="s">
        <v>14</v>
      </c>
      <c r="F11" s="45" t="s">
        <v>15</v>
      </c>
      <c r="G11" s="10">
        <f t="shared" si="0"/>
        <v>0.15094392869398887</v>
      </c>
      <c r="H11" s="10">
        <f t="shared" si="1"/>
        <v>0.151</v>
      </c>
      <c r="I11" s="23">
        <f t="shared" si="2"/>
        <v>1.01</v>
      </c>
      <c r="J11" s="17">
        <f t="shared" si="3"/>
        <v>4</v>
      </c>
    </row>
    <row r="12" spans="1:10" ht="13.5" customHeight="1">
      <c r="A12" s="74" t="s">
        <v>16</v>
      </c>
      <c r="B12" s="74" t="s">
        <v>25</v>
      </c>
      <c r="C12" s="40">
        <v>2022</v>
      </c>
      <c r="D12" s="45">
        <v>1.23</v>
      </c>
      <c r="E12" s="45" t="s">
        <v>14</v>
      </c>
      <c r="F12" s="45" t="s">
        <v>15</v>
      </c>
      <c r="G12" s="10">
        <f t="shared" si="0"/>
        <v>0.16888967495700072</v>
      </c>
      <c r="H12" s="10">
        <f t="shared" si="1"/>
        <v>0.16900000000000001</v>
      </c>
      <c r="I12" s="23">
        <f t="shared" si="2"/>
        <v>1.1299999999999999</v>
      </c>
      <c r="J12" s="17">
        <f t="shared" si="3"/>
        <v>4</v>
      </c>
    </row>
    <row r="13" spans="1:10" ht="13.5" customHeight="1">
      <c r="A13" s="76" t="s">
        <v>26</v>
      </c>
      <c r="B13" s="77" t="s">
        <v>27</v>
      </c>
      <c r="C13" s="40">
        <v>2022</v>
      </c>
      <c r="D13" s="45">
        <v>1.27</v>
      </c>
      <c r="E13" s="45" t="s">
        <v>14</v>
      </c>
      <c r="F13" s="45" t="s">
        <v>15</v>
      </c>
      <c r="G13" s="10">
        <f t="shared" si="0"/>
        <v>0.15094392869398887</v>
      </c>
      <c r="H13" s="10">
        <f t="shared" si="1"/>
        <v>0.151</v>
      </c>
      <c r="I13" s="23">
        <f t="shared" si="2"/>
        <v>1.01</v>
      </c>
      <c r="J13" s="17">
        <f t="shared" si="3"/>
        <v>4</v>
      </c>
    </row>
    <row r="14" spans="1:10" ht="13.5" customHeight="1">
      <c r="A14" s="76" t="s">
        <v>26</v>
      </c>
      <c r="B14" s="77" t="s">
        <v>28</v>
      </c>
      <c r="C14" s="40">
        <v>2022</v>
      </c>
      <c r="D14" s="45">
        <v>1.23</v>
      </c>
      <c r="E14" s="45" t="s">
        <v>14</v>
      </c>
      <c r="F14" s="45" t="s">
        <v>15</v>
      </c>
      <c r="G14" s="10">
        <f t="shared" si="0"/>
        <v>0.16888967495700072</v>
      </c>
      <c r="H14" s="10">
        <f t="shared" si="1"/>
        <v>0.16900000000000001</v>
      </c>
      <c r="I14" s="23">
        <f t="shared" si="2"/>
        <v>1.1299999999999999</v>
      </c>
      <c r="J14" s="17">
        <f t="shared" si="3"/>
        <v>4</v>
      </c>
    </row>
    <row r="15" spans="1:10" ht="13.5" customHeight="1">
      <c r="A15" s="74" t="s">
        <v>29</v>
      </c>
      <c r="B15" s="75" t="s">
        <v>30</v>
      </c>
      <c r="C15" s="40">
        <v>2022</v>
      </c>
      <c r="D15" s="45">
        <v>1.1100000000000001</v>
      </c>
      <c r="E15" s="45" t="s">
        <v>14</v>
      </c>
      <c r="F15" s="45" t="s">
        <v>15</v>
      </c>
      <c r="G15" s="42">
        <f t="shared" ref="G15:G48" si="4">IF(F15="Y",((1/(1+EXP(2.6968+(1.1686*LN(D15-0.9)))))),((1/(1+EXP(2.8891+(1.1686*(LN(D15-0.9))))))))</f>
        <v>0.25629276697008341</v>
      </c>
      <c r="H15" s="42">
        <f t="shared" ref="H15:H48" si="5">ROUND(G15,3)</f>
        <v>0.25600000000000001</v>
      </c>
      <c r="I15" s="43">
        <f t="shared" ref="I15:I48" si="6">ROUND(H15/0.15,2)</f>
        <v>1.71</v>
      </c>
      <c r="J15" s="37">
        <f t="shared" ref="J15:J48" si="7">IF(I15&lt;0.673,5,IF(I15&lt;1.33,4,IF(I15&lt;2,3,IF(I15&lt;2.67,2,1))))</f>
        <v>3</v>
      </c>
    </row>
    <row r="16" spans="1:10" ht="13.5" customHeight="1">
      <c r="A16" s="74" t="s">
        <v>29</v>
      </c>
      <c r="B16" s="75" t="s">
        <v>31</v>
      </c>
      <c r="C16" s="40">
        <v>2022</v>
      </c>
      <c r="D16" s="41">
        <v>1.29</v>
      </c>
      <c r="E16" s="45" t="s">
        <v>14</v>
      </c>
      <c r="F16" s="45" t="s">
        <v>15</v>
      </c>
      <c r="G16" s="42">
        <f t="shared" si="4"/>
        <v>0.14322773155168095</v>
      </c>
      <c r="H16" s="42">
        <f t="shared" si="5"/>
        <v>0.14299999999999999</v>
      </c>
      <c r="I16" s="43">
        <f t="shared" si="6"/>
        <v>0.95</v>
      </c>
      <c r="J16" s="37">
        <f t="shared" si="7"/>
        <v>4</v>
      </c>
    </row>
    <row r="17" spans="1:10" ht="13.5" customHeight="1">
      <c r="A17" s="76" t="s">
        <v>32</v>
      </c>
      <c r="B17" s="41" t="s">
        <v>33</v>
      </c>
      <c r="C17" s="40">
        <v>2022</v>
      </c>
      <c r="D17" s="45"/>
      <c r="E17" s="45"/>
      <c r="F17" s="45"/>
      <c r="G17" s="42" t="e">
        <f t="shared" si="4"/>
        <v>#NUM!</v>
      </c>
      <c r="H17" s="42" t="e">
        <f t="shared" si="5"/>
        <v>#NUM!</v>
      </c>
      <c r="I17" s="43" t="e">
        <f t="shared" si="6"/>
        <v>#NUM!</v>
      </c>
      <c r="J17" s="37" t="e">
        <f t="shared" si="7"/>
        <v>#NUM!</v>
      </c>
    </row>
    <row r="18" spans="1:10" ht="13.5" customHeight="1">
      <c r="A18" s="17" t="s">
        <v>29</v>
      </c>
      <c r="B18" s="78" t="s">
        <v>34</v>
      </c>
      <c r="C18" s="40">
        <v>2022</v>
      </c>
      <c r="D18" s="45">
        <v>1.1599999999999999</v>
      </c>
      <c r="E18" s="45" t="s">
        <v>14</v>
      </c>
      <c r="F18" s="45" t="s">
        <v>15</v>
      </c>
      <c r="G18" s="10">
        <f t="shared" si="4"/>
        <v>0.21166642755867562</v>
      </c>
      <c r="H18" s="10">
        <f t="shared" si="5"/>
        <v>0.21199999999999999</v>
      </c>
      <c r="I18" s="23">
        <f t="shared" si="6"/>
        <v>1.41</v>
      </c>
      <c r="J18" s="17">
        <f t="shared" si="7"/>
        <v>3</v>
      </c>
    </row>
    <row r="19" spans="1:10" ht="13.5" customHeight="1">
      <c r="A19" s="17" t="s">
        <v>29</v>
      </c>
      <c r="B19" s="78" t="s">
        <v>35</v>
      </c>
      <c r="C19" s="40">
        <v>2022</v>
      </c>
      <c r="D19" s="45">
        <v>1.19</v>
      </c>
      <c r="E19" s="45" t="s">
        <v>14</v>
      </c>
      <c r="F19" s="45" t="s">
        <v>15</v>
      </c>
      <c r="G19" s="10">
        <f t="shared" si="4"/>
        <v>0.19115541116675627</v>
      </c>
      <c r="H19" s="10">
        <f t="shared" si="5"/>
        <v>0.191</v>
      </c>
      <c r="I19" s="23">
        <f t="shared" si="6"/>
        <v>1.27</v>
      </c>
      <c r="J19" s="17">
        <f t="shared" si="7"/>
        <v>4</v>
      </c>
    </row>
    <row r="20" spans="1:10" ht="13.5" customHeight="1">
      <c r="A20" s="16" t="s">
        <v>29</v>
      </c>
      <c r="B20" s="79" t="s">
        <v>36</v>
      </c>
      <c r="C20" s="40">
        <v>2022</v>
      </c>
      <c r="D20" s="45">
        <v>1.1599999999999999</v>
      </c>
      <c r="E20" s="45" t="s">
        <v>14</v>
      </c>
      <c r="F20" s="45" t="s">
        <v>15</v>
      </c>
      <c r="G20" s="10">
        <f t="shared" si="4"/>
        <v>0.21166642755867562</v>
      </c>
      <c r="H20" s="10">
        <f t="shared" si="5"/>
        <v>0.21199999999999999</v>
      </c>
      <c r="I20" s="23">
        <f t="shared" si="6"/>
        <v>1.41</v>
      </c>
      <c r="J20" s="17">
        <f t="shared" si="7"/>
        <v>3</v>
      </c>
    </row>
    <row r="21" spans="1:10" ht="13.5" customHeight="1">
      <c r="A21" s="16" t="s">
        <v>29</v>
      </c>
      <c r="B21" s="79" t="s">
        <v>37</v>
      </c>
      <c r="C21" s="40">
        <v>2022</v>
      </c>
      <c r="D21" s="45">
        <v>1.19</v>
      </c>
      <c r="E21" s="45" t="s">
        <v>14</v>
      </c>
      <c r="F21" s="45" t="s">
        <v>15</v>
      </c>
      <c r="G21" s="10">
        <f t="shared" si="4"/>
        <v>0.19115541116675627</v>
      </c>
      <c r="H21" s="10">
        <f t="shared" si="5"/>
        <v>0.191</v>
      </c>
      <c r="I21" s="23">
        <f t="shared" si="6"/>
        <v>1.27</v>
      </c>
      <c r="J21" s="17">
        <f t="shared" si="7"/>
        <v>4</v>
      </c>
    </row>
    <row r="22" spans="1:10" ht="13.5" customHeight="1">
      <c r="A22" s="45" t="s">
        <v>32</v>
      </c>
      <c r="B22" s="45" t="s">
        <v>38</v>
      </c>
      <c r="C22" s="40">
        <v>2022</v>
      </c>
      <c r="D22" s="45">
        <v>1.1599999999999999</v>
      </c>
      <c r="E22" s="45"/>
      <c r="F22" s="45"/>
      <c r="G22" s="10">
        <f>IF(F22="Y",((1/(1+EXP(2.6968+(1.1686*LN(D22-0.9)))))),((1/(1+EXP(2.8891+(1.1686*(LN(D22-0.9))))))))</f>
        <v>0.21166642755867562</v>
      </c>
      <c r="H22" s="10">
        <f>ROUND(G22,3)</f>
        <v>0.21199999999999999</v>
      </c>
      <c r="I22" s="23">
        <f>ROUND(H22/0.15,2)</f>
        <v>1.41</v>
      </c>
      <c r="J22" s="17">
        <f>IF(I22&lt;0.673,5,IF(I22&lt;1.33,4,IF(I22&lt;2,3,IF(I22&lt;2.67,2,1))))</f>
        <v>3</v>
      </c>
    </row>
    <row r="23" spans="1:10" ht="13.5" customHeight="1">
      <c r="A23" s="45" t="s">
        <v>32</v>
      </c>
      <c r="B23" s="45" t="s">
        <v>39</v>
      </c>
      <c r="C23" s="40">
        <v>2022</v>
      </c>
      <c r="D23" s="45">
        <v>1.19</v>
      </c>
      <c r="E23" s="45"/>
      <c r="F23" s="45"/>
      <c r="G23" s="10">
        <f>IF(F23="Y",((1/(1+EXP(2.6968+(1.1686*LN(D23-0.9)))))),((1/(1+EXP(2.8891+(1.1686*(LN(D23-0.9))))))))</f>
        <v>0.19115541116675627</v>
      </c>
      <c r="H23" s="10">
        <f>ROUND(G23,3)</f>
        <v>0.191</v>
      </c>
      <c r="I23" s="23">
        <f>ROUND(H23/0.15,2)</f>
        <v>1.27</v>
      </c>
      <c r="J23" s="17">
        <f>IF(I23&lt;0.673,5,IF(I23&lt;1.33,4,IF(I23&lt;2,3,IF(I23&lt;2.67,2,1))))</f>
        <v>4</v>
      </c>
    </row>
    <row r="24" spans="1:10" ht="13.5" customHeight="1">
      <c r="A24" s="45" t="s">
        <v>32</v>
      </c>
      <c r="B24" s="45" t="s">
        <v>40</v>
      </c>
      <c r="C24" s="40">
        <v>2022</v>
      </c>
      <c r="D24" s="45">
        <v>1.1599999999999999</v>
      </c>
      <c r="E24" s="45"/>
      <c r="F24" s="45"/>
      <c r="G24" s="10">
        <f>IF(F24="Y",((1/(1+EXP(2.6968+(1.1686*LN(D24-0.9)))))),((1/(1+EXP(2.8891+(1.1686*(LN(D24-0.9))))))))</f>
        <v>0.21166642755867562</v>
      </c>
      <c r="H24" s="10">
        <f>ROUND(G24,3)</f>
        <v>0.21199999999999999</v>
      </c>
      <c r="I24" s="23">
        <f>ROUND(H24/0.15,2)</f>
        <v>1.41</v>
      </c>
      <c r="J24" s="17">
        <f>IF(I24&lt;0.673,5,IF(I24&lt;1.33,4,IF(I24&lt;2,3,IF(I24&lt;2.67,2,1))))</f>
        <v>3</v>
      </c>
    </row>
    <row r="25" spans="1:10" ht="13.5" customHeight="1">
      <c r="A25" s="41" t="s">
        <v>32</v>
      </c>
      <c r="B25" s="41" t="s">
        <v>41</v>
      </c>
      <c r="C25" s="40">
        <v>2022</v>
      </c>
      <c r="D25" s="45">
        <v>1.19</v>
      </c>
      <c r="E25" s="45"/>
      <c r="F25" s="45"/>
      <c r="G25" s="10">
        <f>IF(F25="Y",((1/(1+EXP(2.6968+(1.1686*LN(D25-0.9)))))),((1/(1+EXP(2.8891+(1.1686*(LN(D25-0.9))))))))</f>
        <v>0.19115541116675627</v>
      </c>
      <c r="H25" s="10">
        <f>ROUND(G25,3)</f>
        <v>0.191</v>
      </c>
      <c r="I25" s="23">
        <f>ROUND(H25/0.15,2)</f>
        <v>1.27</v>
      </c>
      <c r="J25" s="17">
        <f>IF(I25&lt;0.673,5,IF(I25&lt;1.33,4,IF(I25&lt;2,3,IF(I25&lt;2.67,2,1))))</f>
        <v>4</v>
      </c>
    </row>
    <row r="26" spans="1:10" ht="13.5" customHeight="1">
      <c r="A26" s="74" t="s">
        <v>29</v>
      </c>
      <c r="B26" s="74" t="s">
        <v>42</v>
      </c>
      <c r="C26" s="40">
        <v>2022</v>
      </c>
      <c r="D26" s="45">
        <v>1.34</v>
      </c>
      <c r="E26" s="45" t="s">
        <v>14</v>
      </c>
      <c r="F26" s="45" t="s">
        <v>15</v>
      </c>
      <c r="G26" s="10">
        <f t="shared" si="4"/>
        <v>0.126783553838866</v>
      </c>
      <c r="H26" s="10">
        <f t="shared" si="5"/>
        <v>0.127</v>
      </c>
      <c r="I26" s="23">
        <f t="shared" si="6"/>
        <v>0.85</v>
      </c>
      <c r="J26" s="17">
        <f t="shared" si="7"/>
        <v>4</v>
      </c>
    </row>
    <row r="27" spans="1:10" ht="13.5" customHeight="1">
      <c r="A27" s="74" t="s">
        <v>29</v>
      </c>
      <c r="B27" s="74" t="s">
        <v>43</v>
      </c>
      <c r="C27" s="40">
        <v>2022</v>
      </c>
      <c r="D27" s="45">
        <v>1.21</v>
      </c>
      <c r="E27" s="45" t="s">
        <v>14</v>
      </c>
      <c r="F27" s="45" t="s">
        <v>15</v>
      </c>
      <c r="G27" s="10">
        <f t="shared" si="4"/>
        <v>0.17939444452697093</v>
      </c>
      <c r="H27" s="10">
        <f t="shared" si="5"/>
        <v>0.17899999999999999</v>
      </c>
      <c r="I27" s="23">
        <f t="shared" si="6"/>
        <v>1.19</v>
      </c>
      <c r="J27" s="17">
        <f t="shared" si="7"/>
        <v>4</v>
      </c>
    </row>
    <row r="28" spans="1:10" ht="13.5" customHeight="1">
      <c r="A28" s="74" t="s">
        <v>29</v>
      </c>
      <c r="B28" s="74" t="s">
        <v>44</v>
      </c>
      <c r="C28" s="40">
        <v>2022</v>
      </c>
      <c r="D28" s="45">
        <v>1.2</v>
      </c>
      <c r="E28" s="45" t="s">
        <v>14</v>
      </c>
      <c r="F28" s="45" t="s">
        <v>15</v>
      </c>
      <c r="G28" s="10">
        <f t="shared" si="4"/>
        <v>0.1851047975833634</v>
      </c>
      <c r="H28" s="10">
        <f t="shared" si="5"/>
        <v>0.185</v>
      </c>
      <c r="I28" s="23">
        <f t="shared" si="6"/>
        <v>1.23</v>
      </c>
      <c r="J28" s="17">
        <f t="shared" si="7"/>
        <v>4</v>
      </c>
    </row>
    <row r="29" spans="1:10" ht="13.5" customHeight="1">
      <c r="A29" s="74" t="s">
        <v>29</v>
      </c>
      <c r="B29" s="74" t="s">
        <v>45</v>
      </c>
      <c r="C29" s="40">
        <v>2022</v>
      </c>
      <c r="D29" s="45">
        <v>1.19</v>
      </c>
      <c r="E29" s="45" t="s">
        <v>14</v>
      </c>
      <c r="F29" s="45" t="s">
        <v>15</v>
      </c>
      <c r="G29" s="10">
        <f t="shared" si="4"/>
        <v>0.19115541116675627</v>
      </c>
      <c r="H29" s="10">
        <f t="shared" si="5"/>
        <v>0.191</v>
      </c>
      <c r="I29" s="23">
        <f t="shared" si="6"/>
        <v>1.27</v>
      </c>
      <c r="J29" s="17">
        <f t="shared" si="7"/>
        <v>4</v>
      </c>
    </row>
    <row r="30" spans="1:10" ht="13.5" customHeight="1">
      <c r="A30" s="74" t="s">
        <v>29</v>
      </c>
      <c r="B30" s="74" t="s">
        <v>46</v>
      </c>
      <c r="C30" s="40">
        <v>2022</v>
      </c>
      <c r="D30" s="45">
        <v>1.08</v>
      </c>
      <c r="E30" s="45" t="s">
        <v>14</v>
      </c>
      <c r="F30" s="45" t="s">
        <v>15</v>
      </c>
      <c r="G30" s="10">
        <f t="shared" si="4"/>
        <v>0.29210415096468184</v>
      </c>
      <c r="H30" s="10">
        <f t="shared" si="5"/>
        <v>0.29199999999999998</v>
      </c>
      <c r="I30" s="23">
        <f t="shared" si="6"/>
        <v>1.95</v>
      </c>
      <c r="J30" s="17">
        <f t="shared" si="7"/>
        <v>3</v>
      </c>
    </row>
    <row r="31" spans="1:10" ht="13.5" customHeight="1">
      <c r="A31" s="74" t="s">
        <v>29</v>
      </c>
      <c r="B31" s="74" t="s">
        <v>47</v>
      </c>
      <c r="C31" s="40">
        <v>2022</v>
      </c>
      <c r="D31" s="45">
        <v>1.23</v>
      </c>
      <c r="E31" s="45" t="s">
        <v>14</v>
      </c>
      <c r="F31" s="45" t="s">
        <v>15</v>
      </c>
      <c r="G31" s="10">
        <f t="shared" si="4"/>
        <v>0.16888967495700072</v>
      </c>
      <c r="H31" s="10">
        <f t="shared" si="5"/>
        <v>0.16900000000000001</v>
      </c>
      <c r="I31" s="23">
        <f t="shared" si="6"/>
        <v>1.1299999999999999</v>
      </c>
      <c r="J31" s="17">
        <f t="shared" si="7"/>
        <v>4</v>
      </c>
    </row>
    <row r="32" spans="1:10" ht="13.5" customHeight="1">
      <c r="A32" s="74" t="s">
        <v>29</v>
      </c>
      <c r="B32" s="74" t="s">
        <v>48</v>
      </c>
      <c r="C32" s="40">
        <v>2022</v>
      </c>
      <c r="D32" s="41">
        <v>1.26</v>
      </c>
      <c r="E32" s="41" t="s">
        <v>14</v>
      </c>
      <c r="F32" s="41" t="s">
        <v>15</v>
      </c>
      <c r="G32" s="10">
        <f t="shared" si="4"/>
        <v>0.15509342889208913</v>
      </c>
      <c r="H32" s="10">
        <f t="shared" si="5"/>
        <v>0.155</v>
      </c>
      <c r="I32" s="23">
        <f t="shared" si="6"/>
        <v>1.03</v>
      </c>
      <c r="J32" s="17">
        <f t="shared" si="7"/>
        <v>4</v>
      </c>
    </row>
    <row r="33" spans="1:10" ht="13.5" customHeight="1">
      <c r="A33" s="76" t="s">
        <v>29</v>
      </c>
      <c r="B33" s="76" t="s">
        <v>49</v>
      </c>
      <c r="C33" s="40">
        <v>2022</v>
      </c>
      <c r="D33" s="41">
        <v>1.23</v>
      </c>
      <c r="E33" s="41" t="s">
        <v>14</v>
      </c>
      <c r="F33" s="41" t="s">
        <v>15</v>
      </c>
      <c r="G33" s="10">
        <f t="shared" si="4"/>
        <v>0.16888967495700072</v>
      </c>
      <c r="H33" s="10">
        <f t="shared" si="5"/>
        <v>0.16900000000000001</v>
      </c>
      <c r="I33" s="23">
        <f t="shared" si="6"/>
        <v>1.1299999999999999</v>
      </c>
      <c r="J33" s="17">
        <f t="shared" si="7"/>
        <v>4</v>
      </c>
    </row>
    <row r="34" spans="1:10" ht="13.5" customHeight="1">
      <c r="A34" s="74" t="s">
        <v>50</v>
      </c>
      <c r="B34" s="74" t="s">
        <v>51</v>
      </c>
      <c r="C34" s="40">
        <v>2022</v>
      </c>
      <c r="D34" s="45">
        <v>1.48</v>
      </c>
      <c r="E34" s="45" t="s">
        <v>14</v>
      </c>
      <c r="F34" s="45" t="s">
        <v>15</v>
      </c>
      <c r="G34" s="42">
        <f t="shared" si="4"/>
        <v>9.5131298699074329E-2</v>
      </c>
      <c r="H34" s="42">
        <f t="shared" si="5"/>
        <v>9.5000000000000001E-2</v>
      </c>
      <c r="I34" s="43">
        <f>ROUND(H34/0.15,2)</f>
        <v>0.63</v>
      </c>
      <c r="J34" s="37">
        <f t="shared" si="7"/>
        <v>5</v>
      </c>
    </row>
    <row r="35" spans="1:10" ht="13.5" customHeight="1">
      <c r="A35" s="76" t="s">
        <v>50</v>
      </c>
      <c r="B35" s="76" t="s">
        <v>52</v>
      </c>
      <c r="C35" s="40">
        <v>2022</v>
      </c>
      <c r="D35" s="45">
        <v>1.48</v>
      </c>
      <c r="E35" s="45" t="s">
        <v>14</v>
      </c>
      <c r="F35" s="45" t="s">
        <v>15</v>
      </c>
      <c r="G35" s="42">
        <f t="shared" si="4"/>
        <v>9.5131298699074329E-2</v>
      </c>
      <c r="H35" s="42">
        <f t="shared" si="5"/>
        <v>9.5000000000000001E-2</v>
      </c>
      <c r="I35" s="43">
        <f t="shared" si="6"/>
        <v>0.63</v>
      </c>
      <c r="J35" s="37">
        <f t="shared" si="7"/>
        <v>5</v>
      </c>
    </row>
    <row r="36" spans="1:10" ht="13.5" customHeight="1">
      <c r="A36" s="76" t="s">
        <v>50</v>
      </c>
      <c r="B36" s="76" t="s">
        <v>53</v>
      </c>
      <c r="C36" s="40">
        <v>2022</v>
      </c>
      <c r="D36" s="45">
        <v>1.48</v>
      </c>
      <c r="E36" s="45" t="s">
        <v>14</v>
      </c>
      <c r="F36" s="45" t="s">
        <v>15</v>
      </c>
      <c r="G36" s="42">
        <f t="shared" si="4"/>
        <v>9.5131298699074329E-2</v>
      </c>
      <c r="H36" s="42">
        <f t="shared" si="5"/>
        <v>9.5000000000000001E-2</v>
      </c>
      <c r="I36" s="43">
        <f t="shared" si="6"/>
        <v>0.63</v>
      </c>
      <c r="J36" s="37">
        <f t="shared" si="7"/>
        <v>5</v>
      </c>
    </row>
    <row r="37" spans="1:10" ht="13.5" customHeight="1">
      <c r="A37" s="74" t="s">
        <v>54</v>
      </c>
      <c r="B37" s="74" t="s">
        <v>55</v>
      </c>
      <c r="C37" s="40">
        <v>2022</v>
      </c>
      <c r="D37" s="45"/>
      <c r="E37" s="45"/>
      <c r="F37" s="45"/>
      <c r="G37" s="10" t="e">
        <f t="shared" si="4"/>
        <v>#NUM!</v>
      </c>
      <c r="H37" s="10" t="e">
        <f t="shared" si="5"/>
        <v>#NUM!</v>
      </c>
      <c r="I37" s="23" t="e">
        <f t="shared" si="6"/>
        <v>#NUM!</v>
      </c>
      <c r="J37" s="17" t="e">
        <f t="shared" si="7"/>
        <v>#NUM!</v>
      </c>
    </row>
    <row r="38" spans="1:10" ht="13.5" customHeight="1">
      <c r="A38" s="74" t="s">
        <v>54</v>
      </c>
      <c r="B38" s="74" t="s">
        <v>56</v>
      </c>
      <c r="C38" s="40">
        <v>2022</v>
      </c>
      <c r="D38" s="45">
        <v>1.56</v>
      </c>
      <c r="E38" s="45" t="s">
        <v>14</v>
      </c>
      <c r="F38" s="45" t="s">
        <v>15</v>
      </c>
      <c r="G38" s="10">
        <f t="shared" si="4"/>
        <v>8.2904014591289807E-2</v>
      </c>
      <c r="H38" s="10">
        <f t="shared" si="5"/>
        <v>8.3000000000000004E-2</v>
      </c>
      <c r="I38" s="23">
        <f t="shared" si="6"/>
        <v>0.55000000000000004</v>
      </c>
      <c r="J38" s="17">
        <f t="shared" si="7"/>
        <v>5</v>
      </c>
    </row>
    <row r="39" spans="1:10" ht="13.5" customHeight="1">
      <c r="A39" s="80" t="s">
        <v>54</v>
      </c>
      <c r="B39" s="75" t="s">
        <v>57</v>
      </c>
      <c r="C39" s="40">
        <v>2022</v>
      </c>
      <c r="D39" s="41">
        <v>1.25</v>
      </c>
      <c r="E39" s="41" t="s">
        <v>14</v>
      </c>
      <c r="F39" s="41" t="s">
        <v>15</v>
      </c>
      <c r="G39" s="42">
        <f t="shared" si="4"/>
        <v>0.15945645755950677</v>
      </c>
      <c r="H39" s="42">
        <f t="shared" si="5"/>
        <v>0.159</v>
      </c>
      <c r="I39" s="43">
        <f t="shared" si="6"/>
        <v>1.06</v>
      </c>
      <c r="J39" s="37">
        <f t="shared" si="7"/>
        <v>4</v>
      </c>
    </row>
    <row r="40" spans="1:10" ht="13.5" customHeight="1">
      <c r="A40" s="80" t="s">
        <v>54</v>
      </c>
      <c r="B40" s="75" t="s">
        <v>58</v>
      </c>
      <c r="C40" s="40">
        <v>2022</v>
      </c>
      <c r="D40" s="41">
        <v>1.22</v>
      </c>
      <c r="E40" s="41" t="s">
        <v>14</v>
      </c>
      <c r="F40" s="41" t="s">
        <v>15</v>
      </c>
      <c r="G40" s="42">
        <f t="shared" si="4"/>
        <v>0.17399746725853527</v>
      </c>
      <c r="H40" s="42">
        <f t="shared" si="5"/>
        <v>0.17399999999999999</v>
      </c>
      <c r="I40" s="43">
        <f t="shared" si="6"/>
        <v>1.1599999999999999</v>
      </c>
      <c r="J40" s="37">
        <f t="shared" si="7"/>
        <v>4</v>
      </c>
    </row>
    <row r="41" spans="1:10" ht="13.5" customHeight="1">
      <c r="A41" s="81" t="s">
        <v>54</v>
      </c>
      <c r="B41" s="77" t="s">
        <v>59</v>
      </c>
      <c r="C41" s="40">
        <v>2022</v>
      </c>
      <c r="D41" s="41">
        <v>1.25</v>
      </c>
      <c r="E41" s="41" t="s">
        <v>14</v>
      </c>
      <c r="F41" s="41" t="s">
        <v>15</v>
      </c>
      <c r="G41" s="42">
        <f t="shared" si="4"/>
        <v>0.15945645755950677</v>
      </c>
      <c r="H41" s="42">
        <f t="shared" si="5"/>
        <v>0.159</v>
      </c>
      <c r="I41" s="43">
        <f t="shared" si="6"/>
        <v>1.06</v>
      </c>
      <c r="J41" s="37">
        <f t="shared" si="7"/>
        <v>4</v>
      </c>
    </row>
    <row r="42" spans="1:10" ht="13.5" customHeight="1">
      <c r="A42" s="81" t="s">
        <v>54</v>
      </c>
      <c r="B42" s="77" t="s">
        <v>60</v>
      </c>
      <c r="C42" s="40">
        <v>2022</v>
      </c>
      <c r="D42" s="41">
        <v>1.22</v>
      </c>
      <c r="E42" s="41" t="s">
        <v>14</v>
      </c>
      <c r="F42" s="41" t="s">
        <v>15</v>
      </c>
      <c r="G42" s="42">
        <f t="shared" si="4"/>
        <v>0.17399746725853527</v>
      </c>
      <c r="H42" s="42">
        <f t="shared" si="5"/>
        <v>0.17399999999999999</v>
      </c>
      <c r="I42" s="43">
        <f t="shared" si="6"/>
        <v>1.1599999999999999</v>
      </c>
      <c r="J42" s="37">
        <f t="shared" si="7"/>
        <v>4</v>
      </c>
    </row>
    <row r="43" spans="1:10" ht="13.5" customHeight="1">
      <c r="A43" s="80" t="s">
        <v>54</v>
      </c>
      <c r="B43" s="75" t="s">
        <v>61</v>
      </c>
      <c r="C43" s="40">
        <v>2022</v>
      </c>
      <c r="D43" s="45">
        <v>1.25</v>
      </c>
      <c r="E43" s="41" t="s">
        <v>14</v>
      </c>
      <c r="F43" s="41" t="s">
        <v>15</v>
      </c>
      <c r="G43" s="42">
        <f t="shared" si="4"/>
        <v>0.15945645755950677</v>
      </c>
      <c r="H43" s="42">
        <f t="shared" si="5"/>
        <v>0.159</v>
      </c>
      <c r="I43" s="43">
        <f t="shared" si="6"/>
        <v>1.06</v>
      </c>
      <c r="J43" s="37">
        <f t="shared" si="7"/>
        <v>4</v>
      </c>
    </row>
    <row r="44" spans="1:10" ht="13.5" customHeight="1">
      <c r="A44" s="80" t="s">
        <v>54</v>
      </c>
      <c r="B44" s="75" t="s">
        <v>62</v>
      </c>
      <c r="C44" s="40">
        <v>2022</v>
      </c>
      <c r="D44" s="45">
        <v>1.22</v>
      </c>
      <c r="E44" s="45" t="s">
        <v>14</v>
      </c>
      <c r="F44" s="45" t="s">
        <v>15</v>
      </c>
      <c r="G44" s="42">
        <f t="shared" si="4"/>
        <v>0.17399746725853527</v>
      </c>
      <c r="H44" s="42">
        <f t="shared" si="5"/>
        <v>0.17399999999999999</v>
      </c>
      <c r="I44" s="43">
        <f t="shared" si="6"/>
        <v>1.1599999999999999</v>
      </c>
      <c r="J44" s="37">
        <f t="shared" si="7"/>
        <v>4</v>
      </c>
    </row>
    <row r="45" spans="1:10" ht="13.5" customHeight="1">
      <c r="A45" s="81" t="s">
        <v>54</v>
      </c>
      <c r="B45" s="77" t="s">
        <v>63</v>
      </c>
      <c r="C45" s="40">
        <v>2022</v>
      </c>
      <c r="D45" s="45">
        <v>1.25</v>
      </c>
      <c r="E45" s="41" t="s">
        <v>14</v>
      </c>
      <c r="F45" s="41" t="s">
        <v>15</v>
      </c>
      <c r="G45" s="42">
        <f t="shared" si="4"/>
        <v>0.15945645755950677</v>
      </c>
      <c r="H45" s="42">
        <f t="shared" si="5"/>
        <v>0.159</v>
      </c>
      <c r="I45" s="43">
        <f t="shared" si="6"/>
        <v>1.06</v>
      </c>
      <c r="J45" s="37">
        <f t="shared" si="7"/>
        <v>4</v>
      </c>
    </row>
    <row r="46" spans="1:10" ht="13.5" customHeight="1">
      <c r="A46" s="81" t="s">
        <v>54</v>
      </c>
      <c r="B46" s="77" t="s">
        <v>64</v>
      </c>
      <c r="C46" s="40">
        <v>2022</v>
      </c>
      <c r="D46" s="45">
        <v>1.22</v>
      </c>
      <c r="E46" s="45" t="s">
        <v>14</v>
      </c>
      <c r="F46" s="45" t="s">
        <v>15</v>
      </c>
      <c r="G46" s="42">
        <f t="shared" si="4"/>
        <v>0.17399746725853527</v>
      </c>
      <c r="H46" s="42">
        <f t="shared" si="5"/>
        <v>0.17399999999999999</v>
      </c>
      <c r="I46" s="43">
        <f t="shared" si="6"/>
        <v>1.1599999999999999</v>
      </c>
      <c r="J46" s="37">
        <f t="shared" si="7"/>
        <v>4</v>
      </c>
    </row>
    <row r="47" spans="1:10" ht="13.5" customHeight="1">
      <c r="A47" s="80" t="s">
        <v>65</v>
      </c>
      <c r="B47" s="75" t="s">
        <v>66</v>
      </c>
      <c r="C47" s="40">
        <v>2022</v>
      </c>
      <c r="D47" s="41">
        <v>1.17</v>
      </c>
      <c r="E47" s="41" t="s">
        <v>14</v>
      </c>
      <c r="F47" s="41" t="s">
        <v>15</v>
      </c>
      <c r="G47" s="42">
        <f t="shared" si="4"/>
        <v>0.20440074909401917</v>
      </c>
      <c r="H47" s="42">
        <f t="shared" si="5"/>
        <v>0.20399999999999999</v>
      </c>
      <c r="I47" s="43">
        <f t="shared" si="6"/>
        <v>1.36</v>
      </c>
      <c r="J47" s="37">
        <f t="shared" si="7"/>
        <v>3</v>
      </c>
    </row>
    <row r="48" spans="1:10" ht="13.5" customHeight="1">
      <c r="A48" s="80" t="s">
        <v>65</v>
      </c>
      <c r="B48" s="75" t="s">
        <v>67</v>
      </c>
      <c r="C48" s="40">
        <v>2022</v>
      </c>
      <c r="D48" s="41">
        <v>1.17</v>
      </c>
      <c r="E48" s="41" t="s">
        <v>14</v>
      </c>
      <c r="F48" s="41" t="s">
        <v>15</v>
      </c>
      <c r="G48" s="42">
        <f t="shared" si="4"/>
        <v>0.20440074909401917</v>
      </c>
      <c r="H48" s="42">
        <f t="shared" si="5"/>
        <v>0.20399999999999999</v>
      </c>
      <c r="I48" s="43">
        <f t="shared" si="6"/>
        <v>1.36</v>
      </c>
      <c r="J48" s="37">
        <f t="shared" si="7"/>
        <v>3</v>
      </c>
    </row>
    <row r="49" spans="1:10" ht="13.5" customHeight="1">
      <c r="A49" s="30" t="s">
        <v>68</v>
      </c>
      <c r="B49" s="14" t="s">
        <v>69</v>
      </c>
      <c r="C49" s="40">
        <v>2022</v>
      </c>
      <c r="D49" s="41">
        <v>1.45</v>
      </c>
      <c r="E49" s="41" t="s">
        <v>14</v>
      </c>
      <c r="F49" s="41" t="s">
        <v>15</v>
      </c>
      <c r="G49" s="42">
        <f t="shared" ref="G49:G50" si="8">IF(F49="Y",((1/(1+EXP(2.6968+(1.1686*LN(D49-0.9)))))),((1/(1+EXP(2.8891+(1.1686*(LN(D49-0.9))))))))</f>
        <v>0.10060976640917974</v>
      </c>
      <c r="H49" s="42">
        <f t="shared" ref="H49:H50" si="9">ROUND(G49,3)</f>
        <v>0.10100000000000001</v>
      </c>
      <c r="I49" s="43">
        <f t="shared" ref="I49:I50" si="10">ROUND(H49/0.15,2)</f>
        <v>0.67</v>
      </c>
      <c r="J49" s="37">
        <f t="shared" ref="J49:J50" si="11">IF(I49&lt;0.673,5,IF(I49&lt;1.33,4,IF(I49&lt;2,3,IF(I49&lt;2.67,2,1))))</f>
        <v>5</v>
      </c>
    </row>
    <row r="50" spans="1:10" ht="13.5" customHeight="1">
      <c r="A50" s="14" t="s">
        <v>70</v>
      </c>
      <c r="B50" s="14" t="s">
        <v>71</v>
      </c>
      <c r="C50" s="40">
        <v>2022</v>
      </c>
      <c r="D50" s="45">
        <v>1.38</v>
      </c>
      <c r="E50" s="45" t="s">
        <v>15</v>
      </c>
      <c r="F50" s="45" t="s">
        <v>15</v>
      </c>
      <c r="G50" s="42">
        <f t="shared" si="8"/>
        <v>0.11594702085375087</v>
      </c>
      <c r="H50" s="42">
        <f t="shared" si="9"/>
        <v>0.11600000000000001</v>
      </c>
      <c r="I50" s="43">
        <f t="shared" si="10"/>
        <v>0.77</v>
      </c>
      <c r="J50" s="37">
        <f t="shared" si="11"/>
        <v>4</v>
      </c>
    </row>
    <row r="51" spans="1:10" ht="13.5" customHeight="1">
      <c r="A51" s="74" t="s">
        <v>72</v>
      </c>
      <c r="B51" s="75" t="s">
        <v>73</v>
      </c>
      <c r="C51" s="40">
        <v>2022</v>
      </c>
      <c r="D51" s="45">
        <v>1.2</v>
      </c>
      <c r="E51" s="45" t="s">
        <v>14</v>
      </c>
      <c r="F51" s="45" t="s">
        <v>15</v>
      </c>
      <c r="G51" s="42">
        <f t="shared" ref="G51:G59" si="12">IF(F51="Y",((1/(1+EXP(2.6968+(1.1686*LN(D51-0.9)))))),((1/(1+EXP(2.8891+(1.1686*(LN(D51-0.9))))))))</f>
        <v>0.1851047975833634</v>
      </c>
      <c r="H51" s="42">
        <f t="shared" ref="H51:H59" si="13">ROUND(G51,3)</f>
        <v>0.185</v>
      </c>
      <c r="I51" s="43">
        <f t="shared" ref="I51:I59" si="14">ROUND(H51/0.15,2)</f>
        <v>1.23</v>
      </c>
      <c r="J51" s="37">
        <f t="shared" ref="J51:J59" si="15">IF(I51&lt;0.673,5,IF(I51&lt;1.33,4,IF(I51&lt;2,3,IF(I51&lt;2.67,2,1))))</f>
        <v>4</v>
      </c>
    </row>
    <row r="52" spans="1:10" ht="13.5" customHeight="1">
      <c r="A52" s="74" t="s">
        <v>72</v>
      </c>
      <c r="B52" s="75" t="s">
        <v>74</v>
      </c>
      <c r="C52" s="40">
        <v>2022</v>
      </c>
      <c r="D52" s="45">
        <v>1.2</v>
      </c>
      <c r="E52" s="45" t="s">
        <v>14</v>
      </c>
      <c r="F52" s="45" t="s">
        <v>15</v>
      </c>
      <c r="G52" s="42">
        <f t="shared" si="12"/>
        <v>0.1851047975833634</v>
      </c>
      <c r="H52" s="42">
        <f t="shared" si="13"/>
        <v>0.185</v>
      </c>
      <c r="I52" s="43">
        <f t="shared" si="14"/>
        <v>1.23</v>
      </c>
      <c r="J52" s="37">
        <f t="shared" si="15"/>
        <v>4</v>
      </c>
    </row>
    <row r="53" spans="1:10" ht="13.5" customHeight="1">
      <c r="A53" s="74" t="s">
        <v>75</v>
      </c>
      <c r="B53" s="75" t="s">
        <v>76</v>
      </c>
      <c r="C53" s="40">
        <v>2022</v>
      </c>
      <c r="D53" s="41">
        <v>1.5</v>
      </c>
      <c r="E53" s="45" t="s">
        <v>15</v>
      </c>
      <c r="F53" s="47" t="s">
        <v>15</v>
      </c>
      <c r="G53" s="42">
        <f t="shared" si="12"/>
        <v>9.1775253375741772E-2</v>
      </c>
      <c r="H53" s="42">
        <f t="shared" si="13"/>
        <v>9.1999999999999998E-2</v>
      </c>
      <c r="I53" s="43">
        <f t="shared" si="14"/>
        <v>0.61</v>
      </c>
      <c r="J53" s="37">
        <f t="shared" si="15"/>
        <v>5</v>
      </c>
    </row>
    <row r="54" spans="1:10" ht="13.5" customHeight="1">
      <c r="A54" s="74" t="s">
        <v>75</v>
      </c>
      <c r="B54" s="75" t="s">
        <v>77</v>
      </c>
      <c r="C54" s="40">
        <v>2022</v>
      </c>
      <c r="D54" s="45">
        <v>1.5</v>
      </c>
      <c r="E54" s="45" t="s">
        <v>15</v>
      </c>
      <c r="F54" s="47" t="s">
        <v>15</v>
      </c>
      <c r="G54" s="42">
        <f t="shared" si="12"/>
        <v>9.1775253375741772E-2</v>
      </c>
      <c r="H54" s="42">
        <f t="shared" si="13"/>
        <v>9.1999999999999998E-2</v>
      </c>
      <c r="I54" s="43">
        <f t="shared" si="14"/>
        <v>0.61</v>
      </c>
      <c r="J54" s="37">
        <f t="shared" si="15"/>
        <v>5</v>
      </c>
    </row>
    <row r="55" spans="1:10" ht="13.5" customHeight="1">
      <c r="A55" s="74" t="s">
        <v>75</v>
      </c>
      <c r="B55" s="74" t="s">
        <v>78</v>
      </c>
      <c r="C55" s="40">
        <v>2022</v>
      </c>
      <c r="D55" s="41">
        <v>1.17</v>
      </c>
      <c r="E55" s="45" t="s">
        <v>14</v>
      </c>
      <c r="F55" s="45" t="s">
        <v>15</v>
      </c>
      <c r="G55" s="42">
        <f t="shared" si="12"/>
        <v>0.20440074909401917</v>
      </c>
      <c r="H55" s="42">
        <f t="shared" si="13"/>
        <v>0.20399999999999999</v>
      </c>
      <c r="I55" s="43">
        <f t="shared" si="14"/>
        <v>1.36</v>
      </c>
      <c r="J55" s="37">
        <f t="shared" si="15"/>
        <v>3</v>
      </c>
    </row>
    <row r="56" spans="1:10" ht="13.5" customHeight="1">
      <c r="A56" s="74" t="s">
        <v>75</v>
      </c>
      <c r="B56" s="74" t="s">
        <v>79</v>
      </c>
      <c r="C56" s="40">
        <v>2022</v>
      </c>
      <c r="D56" s="41">
        <v>1.17</v>
      </c>
      <c r="E56" s="41" t="s">
        <v>14</v>
      </c>
      <c r="F56" s="41" t="s">
        <v>15</v>
      </c>
      <c r="G56" s="42">
        <f t="shared" si="12"/>
        <v>0.20440074909401917</v>
      </c>
      <c r="H56" s="42">
        <f t="shared" si="13"/>
        <v>0.20399999999999999</v>
      </c>
      <c r="I56" s="43">
        <f t="shared" si="14"/>
        <v>1.36</v>
      </c>
      <c r="J56" s="37">
        <f t="shared" si="15"/>
        <v>3</v>
      </c>
    </row>
    <row r="57" spans="1:10" ht="13.5" customHeight="1">
      <c r="A57" s="76" t="s">
        <v>75</v>
      </c>
      <c r="B57" s="76" t="s">
        <v>80</v>
      </c>
      <c r="C57" s="40">
        <v>2022</v>
      </c>
      <c r="D57" s="45">
        <v>1.17</v>
      </c>
      <c r="E57" s="45" t="s">
        <v>14</v>
      </c>
      <c r="F57" s="45" t="s">
        <v>15</v>
      </c>
      <c r="G57" s="42">
        <f t="shared" si="12"/>
        <v>0.20440074909401917</v>
      </c>
      <c r="H57" s="42">
        <f t="shared" si="13"/>
        <v>0.20399999999999999</v>
      </c>
      <c r="I57" s="43">
        <f t="shared" si="14"/>
        <v>1.36</v>
      </c>
      <c r="J57" s="37">
        <f t="shared" si="15"/>
        <v>3</v>
      </c>
    </row>
    <row r="58" spans="1:10" ht="13.5" customHeight="1">
      <c r="A58" s="76" t="s">
        <v>75</v>
      </c>
      <c r="B58" s="76" t="s">
        <v>81</v>
      </c>
      <c r="C58" s="40">
        <v>2022</v>
      </c>
      <c r="D58" s="45">
        <v>1.17</v>
      </c>
      <c r="E58" s="45" t="s">
        <v>14</v>
      </c>
      <c r="F58" s="45" t="s">
        <v>15</v>
      </c>
      <c r="G58" s="42">
        <f t="shared" si="12"/>
        <v>0.20440074909401917</v>
      </c>
      <c r="H58" s="42">
        <f t="shared" si="13"/>
        <v>0.20399999999999999</v>
      </c>
      <c r="I58" s="43">
        <f t="shared" si="14"/>
        <v>1.36</v>
      </c>
      <c r="J58" s="37">
        <f t="shared" si="15"/>
        <v>3</v>
      </c>
    </row>
    <row r="59" spans="1:10" ht="13.5" customHeight="1">
      <c r="A59" s="75" t="s">
        <v>75</v>
      </c>
      <c r="B59" s="75" t="s">
        <v>82</v>
      </c>
      <c r="C59" s="40">
        <v>2022</v>
      </c>
      <c r="D59" s="41"/>
      <c r="E59" s="41"/>
      <c r="F59" s="41"/>
      <c r="G59" s="42" t="e">
        <f t="shared" si="12"/>
        <v>#NUM!</v>
      </c>
      <c r="H59" s="42" t="e">
        <f t="shared" si="13"/>
        <v>#NUM!</v>
      </c>
      <c r="I59" s="43" t="e">
        <f t="shared" si="14"/>
        <v>#NUM!</v>
      </c>
      <c r="J59" s="37" t="e">
        <f t="shared" si="15"/>
        <v>#NUM!</v>
      </c>
    </row>
    <row r="60" spans="1:10" ht="13.5" customHeight="1">
      <c r="A60" s="75" t="s">
        <v>75</v>
      </c>
      <c r="B60" s="75" t="s">
        <v>83</v>
      </c>
      <c r="C60" s="40">
        <v>2022</v>
      </c>
      <c r="D60" s="41">
        <v>1.26</v>
      </c>
      <c r="E60" s="41" t="s">
        <v>14</v>
      </c>
      <c r="F60" s="41" t="s">
        <v>15</v>
      </c>
      <c r="G60" s="42">
        <f t="shared" ref="G60:G69" si="16">IF(F60="Y",((1/(1+EXP(2.6968+(1.1686*LN(D60-0.9)))))),((1/(1+EXP(2.8891+(1.1686*(LN(D60-0.9))))))))</f>
        <v>0.15509342889208913</v>
      </c>
      <c r="H60" s="42">
        <f t="shared" ref="H60:H69" si="17">ROUND(G60,3)</f>
        <v>0.155</v>
      </c>
      <c r="I60" s="43">
        <f t="shared" ref="I60:I69" si="18">ROUND(H60/0.15,2)</f>
        <v>1.03</v>
      </c>
      <c r="J60" s="37">
        <f t="shared" ref="J60:J69" si="19">IF(I60&lt;0.673,5,IF(I60&lt;1.33,4,IF(I60&lt;2,3,IF(I60&lt;2.67,2,1))))</f>
        <v>4</v>
      </c>
    </row>
    <row r="61" spans="1:10" ht="13.5" customHeight="1">
      <c r="A61" s="31" t="s">
        <v>84</v>
      </c>
      <c r="B61" s="45" t="s">
        <v>85</v>
      </c>
      <c r="C61" s="40">
        <v>2022</v>
      </c>
      <c r="D61" s="41"/>
      <c r="E61" s="41"/>
      <c r="F61" s="41"/>
      <c r="G61" s="42" t="e">
        <f t="shared" si="16"/>
        <v>#NUM!</v>
      </c>
      <c r="H61" s="42" t="e">
        <f t="shared" si="17"/>
        <v>#NUM!</v>
      </c>
      <c r="I61" s="43" t="e">
        <f t="shared" si="18"/>
        <v>#NUM!</v>
      </c>
      <c r="J61" s="37" t="e">
        <f t="shared" si="19"/>
        <v>#NUM!</v>
      </c>
    </row>
    <row r="62" spans="1:10" ht="13.5" customHeight="1">
      <c r="A62" s="31" t="s">
        <v>84</v>
      </c>
      <c r="B62" s="45" t="s">
        <v>86</v>
      </c>
      <c r="C62" s="40">
        <v>2022</v>
      </c>
      <c r="D62" s="41">
        <v>1.26</v>
      </c>
      <c r="E62" s="45" t="s">
        <v>14</v>
      </c>
      <c r="F62" s="45" t="s">
        <v>15</v>
      </c>
      <c r="G62" s="42">
        <f t="shared" si="16"/>
        <v>0.15509342889208913</v>
      </c>
      <c r="H62" s="42">
        <f t="shared" si="17"/>
        <v>0.155</v>
      </c>
      <c r="I62" s="43">
        <f t="shared" si="18"/>
        <v>1.03</v>
      </c>
      <c r="J62" s="37">
        <f t="shared" si="19"/>
        <v>4</v>
      </c>
    </row>
    <row r="63" spans="1:10" ht="13.5" customHeight="1">
      <c r="A63" s="31" t="s">
        <v>75</v>
      </c>
      <c r="B63" s="45" t="s">
        <v>87</v>
      </c>
      <c r="C63" s="40">
        <v>2022</v>
      </c>
      <c r="D63" s="45">
        <v>1.21</v>
      </c>
      <c r="E63" s="45" t="s">
        <v>14</v>
      </c>
      <c r="F63" s="45" t="s">
        <v>15</v>
      </c>
      <c r="G63" s="42">
        <f t="shared" ref="G63:G64" si="20">IF(F63="Y",((1/(1+EXP(2.6968+(1.1686*LN(D63-0.9)))))),((1/(1+EXP(2.8891+(1.1686*(LN(D63-0.9))))))))</f>
        <v>0.17939444452697093</v>
      </c>
      <c r="H63" s="42">
        <f t="shared" ref="H63:H64" si="21">ROUND(G63,3)</f>
        <v>0.17899999999999999</v>
      </c>
      <c r="I63" s="43">
        <f t="shared" ref="I63:I64" si="22">ROUND(H63/0.15,2)</f>
        <v>1.19</v>
      </c>
      <c r="J63" s="37">
        <f t="shared" ref="J63:J64" si="23">IF(I63&lt;0.673,5,IF(I63&lt;1.33,4,IF(I63&lt;2,3,IF(I63&lt;2.67,2,1))))</f>
        <v>4</v>
      </c>
    </row>
    <row r="64" spans="1:10" ht="13.5" customHeight="1">
      <c r="A64" s="31" t="s">
        <v>75</v>
      </c>
      <c r="B64" s="45" t="s">
        <v>88</v>
      </c>
      <c r="C64" s="40">
        <v>2022</v>
      </c>
      <c r="D64" s="41">
        <v>1.21</v>
      </c>
      <c r="E64" s="45" t="s">
        <v>14</v>
      </c>
      <c r="F64" s="45" t="s">
        <v>15</v>
      </c>
      <c r="G64" s="42">
        <f t="shared" si="20"/>
        <v>0.17939444452697093</v>
      </c>
      <c r="H64" s="42">
        <f t="shared" si="21"/>
        <v>0.17899999999999999</v>
      </c>
      <c r="I64" s="43">
        <f t="shared" si="22"/>
        <v>1.19</v>
      </c>
      <c r="J64" s="37">
        <f t="shared" si="23"/>
        <v>4</v>
      </c>
    </row>
    <row r="65" spans="1:10" ht="13.5" customHeight="1">
      <c r="A65" s="74" t="s">
        <v>75</v>
      </c>
      <c r="B65" s="75" t="s">
        <v>89</v>
      </c>
      <c r="C65" s="40">
        <v>2022</v>
      </c>
      <c r="D65" s="45">
        <v>1.25</v>
      </c>
      <c r="E65" s="45" t="s">
        <v>14</v>
      </c>
      <c r="F65" s="45" t="s">
        <v>15</v>
      </c>
      <c r="G65" s="42">
        <f t="shared" si="16"/>
        <v>0.15945645755950677</v>
      </c>
      <c r="H65" s="42">
        <f t="shared" si="17"/>
        <v>0.159</v>
      </c>
      <c r="I65" s="43">
        <f t="shared" si="18"/>
        <v>1.06</v>
      </c>
      <c r="J65" s="37">
        <f t="shared" si="19"/>
        <v>4</v>
      </c>
    </row>
    <row r="66" spans="1:10" ht="13.5" customHeight="1">
      <c r="A66" s="74" t="s">
        <v>75</v>
      </c>
      <c r="B66" s="75" t="s">
        <v>90</v>
      </c>
      <c r="C66" s="40">
        <v>2022</v>
      </c>
      <c r="D66" s="41">
        <v>1.29</v>
      </c>
      <c r="E66" s="41" t="s">
        <v>14</v>
      </c>
      <c r="F66" s="41" t="s">
        <v>15</v>
      </c>
      <c r="G66" s="42">
        <f t="shared" si="16"/>
        <v>0.14322773155168095</v>
      </c>
      <c r="H66" s="42">
        <f t="shared" si="17"/>
        <v>0.14299999999999999</v>
      </c>
      <c r="I66" s="43">
        <f t="shared" si="18"/>
        <v>0.95</v>
      </c>
      <c r="J66" s="37">
        <f t="shared" si="19"/>
        <v>4</v>
      </c>
    </row>
    <row r="67" spans="1:10" ht="13.5" customHeight="1">
      <c r="A67" s="75" t="s">
        <v>91</v>
      </c>
      <c r="B67" s="75" t="s">
        <v>92</v>
      </c>
      <c r="C67" s="40">
        <v>2022</v>
      </c>
      <c r="D67" s="45">
        <v>1.56</v>
      </c>
      <c r="E67" s="45"/>
      <c r="F67" s="45"/>
      <c r="G67" s="42">
        <f t="shared" si="16"/>
        <v>8.2904014591289807E-2</v>
      </c>
      <c r="H67" s="42">
        <f t="shared" si="17"/>
        <v>8.3000000000000004E-2</v>
      </c>
      <c r="I67" s="43">
        <f t="shared" si="18"/>
        <v>0.55000000000000004</v>
      </c>
      <c r="J67" s="37">
        <f t="shared" si="19"/>
        <v>5</v>
      </c>
    </row>
    <row r="68" spans="1:10" ht="13.5" customHeight="1">
      <c r="A68" s="75" t="s">
        <v>91</v>
      </c>
      <c r="B68" s="75" t="s">
        <v>93</v>
      </c>
      <c r="C68" s="40">
        <v>2022</v>
      </c>
      <c r="D68" s="41">
        <v>1.56</v>
      </c>
      <c r="E68" s="41" t="s">
        <v>15</v>
      </c>
      <c r="F68" s="41" t="s">
        <v>15</v>
      </c>
      <c r="G68" s="42">
        <f t="shared" ref="G68" si="24">IF(F68="Y",((1/(1+EXP(2.6968+(1.1686*LN(D68-0.9)))))),((1/(1+EXP(2.8891+(1.1686*(LN(D68-0.9))))))))</f>
        <v>8.2904014591289807E-2</v>
      </c>
      <c r="H68" s="42">
        <f t="shared" ref="H68" si="25">ROUND(G68,3)</f>
        <v>8.3000000000000004E-2</v>
      </c>
      <c r="I68" s="43">
        <f t="shared" ref="I68" si="26">ROUND(H68/0.15,2)</f>
        <v>0.55000000000000004</v>
      </c>
      <c r="J68" s="37">
        <f t="shared" ref="J68" si="27">IF(I68&lt;0.673,5,IF(I68&lt;1.33,4,IF(I68&lt;2,3,IF(I68&lt;2.67,2,1))))</f>
        <v>5</v>
      </c>
    </row>
    <row r="69" spans="1:10" ht="13.5" customHeight="1">
      <c r="A69" s="75" t="s">
        <v>94</v>
      </c>
      <c r="B69" s="75" t="s">
        <v>95</v>
      </c>
      <c r="C69" s="40">
        <v>2022</v>
      </c>
      <c r="D69" s="45">
        <v>1.32</v>
      </c>
      <c r="E69" s="45" t="s">
        <v>14</v>
      </c>
      <c r="F69" s="45" t="s">
        <v>15</v>
      </c>
      <c r="G69" s="42">
        <f t="shared" si="16"/>
        <v>0.13292518236484185</v>
      </c>
      <c r="H69" s="42">
        <f t="shared" si="17"/>
        <v>0.13300000000000001</v>
      </c>
      <c r="I69" s="43">
        <f t="shared" si="18"/>
        <v>0.89</v>
      </c>
      <c r="J69" s="37">
        <f t="shared" si="19"/>
        <v>4</v>
      </c>
    </row>
    <row r="70" spans="1:10" ht="13.5" customHeight="1">
      <c r="A70" s="14" t="s">
        <v>96</v>
      </c>
      <c r="B70" s="14" t="s">
        <v>97</v>
      </c>
      <c r="C70" s="40">
        <v>2022</v>
      </c>
      <c r="D70" s="45">
        <v>1.33</v>
      </c>
      <c r="E70" s="45" t="s">
        <v>15</v>
      </c>
      <c r="F70" s="47" t="s">
        <v>15</v>
      </c>
      <c r="G70" s="42">
        <f t="shared" ref="G70:G73" si="28">IF(F70="Y",((1/(1+EXP(2.6968+(1.1686*LN(D70-0.9)))))),((1/(1+EXP(2.8891+(1.1686*(LN(D70-0.9))))))))</f>
        <v>0.12978776668212111</v>
      </c>
      <c r="H70" s="42">
        <f t="shared" ref="H70:H73" si="29">ROUND(G70,3)</f>
        <v>0.13</v>
      </c>
      <c r="I70" s="43">
        <f t="shared" ref="I70:I71" si="30">ROUND(H70/0.15,2)</f>
        <v>0.87</v>
      </c>
      <c r="J70" s="37">
        <f t="shared" ref="J70:J73" si="31">IF(I70&lt;0.673,5,IF(I70&lt;1.33,4,IF(I70&lt;2,3,IF(I70&lt;2.67,2,1))))</f>
        <v>4</v>
      </c>
    </row>
    <row r="71" spans="1:10" ht="13.5" customHeight="1">
      <c r="A71" s="45" t="s">
        <v>96</v>
      </c>
      <c r="B71" s="45" t="s">
        <v>98</v>
      </c>
      <c r="C71" s="40">
        <v>2022</v>
      </c>
      <c r="D71" s="45">
        <v>1.33</v>
      </c>
      <c r="E71" s="45" t="s">
        <v>15</v>
      </c>
      <c r="F71" s="47" t="s">
        <v>15</v>
      </c>
      <c r="G71" s="42">
        <f t="shared" si="28"/>
        <v>0.12978776668212111</v>
      </c>
      <c r="H71" s="42">
        <f t="shared" si="29"/>
        <v>0.13</v>
      </c>
      <c r="I71" s="43">
        <f t="shared" si="30"/>
        <v>0.87</v>
      </c>
      <c r="J71" s="37">
        <f t="shared" si="31"/>
        <v>4</v>
      </c>
    </row>
    <row r="72" spans="1:10" ht="13.5" customHeight="1">
      <c r="A72" s="82" t="s">
        <v>96</v>
      </c>
      <c r="B72" s="82" t="s">
        <v>99</v>
      </c>
      <c r="C72" s="40">
        <v>2022</v>
      </c>
      <c r="D72" s="41">
        <v>1.22</v>
      </c>
      <c r="E72" s="45" t="s">
        <v>14</v>
      </c>
      <c r="F72" s="45" t="s">
        <v>15</v>
      </c>
      <c r="G72" s="42">
        <f t="shared" si="28"/>
        <v>0.17399746725853527</v>
      </c>
      <c r="H72" s="42">
        <f t="shared" si="29"/>
        <v>0.17399999999999999</v>
      </c>
      <c r="I72" s="43">
        <f>ROUND(H72/0.15,2)</f>
        <v>1.1599999999999999</v>
      </c>
      <c r="J72" s="37">
        <f t="shared" si="31"/>
        <v>4</v>
      </c>
    </row>
    <row r="73" spans="1:10" ht="13.5" customHeight="1">
      <c r="A73" s="82" t="s">
        <v>96</v>
      </c>
      <c r="B73" s="82" t="s">
        <v>100</v>
      </c>
      <c r="C73" s="40">
        <v>2022</v>
      </c>
      <c r="D73" s="45">
        <v>1.28</v>
      </c>
      <c r="E73" s="41" t="s">
        <v>14</v>
      </c>
      <c r="F73" s="41" t="s">
        <v>15</v>
      </c>
      <c r="G73" s="42">
        <f t="shared" si="28"/>
        <v>0.14699318560666366</v>
      </c>
      <c r="H73" s="42">
        <f t="shared" si="29"/>
        <v>0.14699999999999999</v>
      </c>
      <c r="I73" s="43">
        <f>ROUND(H73/0.15,2)</f>
        <v>0.98</v>
      </c>
      <c r="J73" s="37">
        <f t="shared" si="31"/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14"/>
  <sheetViews>
    <sheetView zoomScale="130" zoomScaleNormal="130" workbookViewId="0">
      <pane xSplit="5" ySplit="2" topLeftCell="F3" activePane="bottomRight" state="frozen"/>
      <selection activeCell="N20" sqref="N20"/>
      <selection pane="topRight" activeCell="N20" sqref="N20"/>
      <selection pane="bottomLeft" activeCell="N20" sqref="N20"/>
      <selection pane="bottomRight" activeCell="A11" sqref="A11:XFD14"/>
    </sheetView>
  </sheetViews>
  <sheetFormatPr defaultRowHeight="13.5" customHeight="1"/>
  <cols>
    <col min="1" max="1" width="8.140625" style="116" customWidth="1"/>
    <col min="2" max="2" width="9.85546875" style="116" bestFit="1" customWidth="1"/>
    <col min="3" max="3" width="11.7109375" style="68" customWidth="1"/>
    <col min="4" max="4" width="31.28515625" style="68" customWidth="1"/>
    <col min="5" max="5" width="7.42578125" style="68" customWidth="1"/>
    <col min="6" max="6" width="4.42578125" style="68" bestFit="1" customWidth="1"/>
    <col min="7" max="9" width="8.5703125" style="54" customWidth="1"/>
    <col min="10" max="10" width="8.42578125" style="54" bestFit="1" customWidth="1"/>
    <col min="11" max="20" width="8.5703125" style="54" customWidth="1"/>
    <col min="21" max="21" width="8.85546875" style="54" customWidth="1"/>
    <col min="22" max="22" width="10.140625" style="54" customWidth="1"/>
    <col min="23" max="23" width="7" style="115" customWidth="1"/>
    <col min="24" max="24" width="5.42578125" style="115" customWidth="1"/>
    <col min="25" max="25" width="9" style="115" customWidth="1"/>
    <col min="26" max="26" width="10" style="115" customWidth="1"/>
    <col min="27" max="27" width="7.42578125" style="115" customWidth="1"/>
    <col min="28" max="28" width="6.85546875" style="115" customWidth="1"/>
    <col min="29" max="29" width="6.85546875" style="44" customWidth="1"/>
    <col min="30" max="30" width="7.85546875" style="44" customWidth="1"/>
    <col min="31" max="31" width="8" style="44" customWidth="1"/>
    <col min="32" max="33" width="7" style="44" customWidth="1"/>
    <col min="34" max="34" width="4.85546875" style="44" customWidth="1"/>
    <col min="35" max="35" width="9" style="44" customWidth="1"/>
    <col min="36" max="36" width="10.140625" style="44" customWidth="1"/>
    <col min="37" max="37" width="6.42578125" style="44" customWidth="1"/>
    <col min="38" max="39" width="6.85546875" style="44" customWidth="1"/>
    <col min="40" max="40" width="7.85546875" style="44" customWidth="1"/>
    <col min="41" max="41" width="8" style="44" customWidth="1"/>
    <col min="42" max="42" width="7" style="44" customWidth="1"/>
    <col min="43" max="43" width="7.5703125" style="44" customWidth="1"/>
    <col min="44" max="44" width="9.5703125" style="44" bestFit="1" customWidth="1"/>
    <col min="45" max="45" width="7.140625" style="44" bestFit="1" customWidth="1"/>
    <col min="46" max="46" width="5.5703125" style="115" bestFit="1" customWidth="1"/>
    <col min="47" max="47" width="9.5703125" style="115" bestFit="1" customWidth="1"/>
    <col min="48" max="48" width="5.85546875" style="115" bestFit="1" customWidth="1"/>
    <col min="49" max="49" width="5.5703125" style="71" bestFit="1" customWidth="1"/>
    <col min="50" max="50" width="9.5703125" style="71" bestFit="1" customWidth="1"/>
    <col min="51" max="51" width="5.85546875" style="72" bestFit="1" customWidth="1"/>
    <col min="52" max="16384" width="9.140625" style="44"/>
  </cols>
  <sheetData>
    <row r="1" spans="1:51" s="39" customFormat="1" ht="13.5" customHeight="1">
      <c r="A1" s="17"/>
      <c r="B1" s="17"/>
      <c r="C1" s="156"/>
      <c r="D1" s="156"/>
      <c r="E1" s="157"/>
      <c r="F1" s="157"/>
      <c r="G1" s="158" t="s">
        <v>101</v>
      </c>
      <c r="H1" s="159"/>
      <c r="I1" s="159"/>
      <c r="J1" s="159"/>
      <c r="K1" s="159"/>
      <c r="L1" s="159"/>
      <c r="M1" s="159"/>
      <c r="N1" s="160"/>
      <c r="O1" s="126" t="s">
        <v>102</v>
      </c>
      <c r="P1" s="161"/>
      <c r="Q1" s="161"/>
      <c r="R1" s="161"/>
      <c r="S1" s="161"/>
      <c r="T1" s="161"/>
      <c r="U1" s="161"/>
      <c r="V1" s="161"/>
      <c r="W1" s="162" t="s">
        <v>103</v>
      </c>
      <c r="X1" s="163"/>
      <c r="Y1" s="163"/>
      <c r="Z1" s="163"/>
      <c r="AA1" s="163"/>
      <c r="AB1" s="163"/>
      <c r="AC1" s="163"/>
      <c r="AD1" s="163"/>
      <c r="AE1" s="163"/>
      <c r="AF1" s="164"/>
      <c r="AG1" s="165" t="s">
        <v>104</v>
      </c>
      <c r="AH1" s="166"/>
      <c r="AI1" s="166"/>
      <c r="AJ1" s="166"/>
      <c r="AK1" s="166"/>
      <c r="AL1" s="166"/>
      <c r="AM1" s="166"/>
      <c r="AN1" s="166"/>
      <c r="AO1" s="166"/>
      <c r="AP1" s="167"/>
      <c r="AQ1" s="168" t="s">
        <v>105</v>
      </c>
      <c r="AR1" s="17" t="s">
        <v>106</v>
      </c>
      <c r="AS1" s="17" t="s">
        <v>107</v>
      </c>
      <c r="AT1" s="5" t="s">
        <v>105</v>
      </c>
      <c r="AU1" s="5" t="s">
        <v>106</v>
      </c>
      <c r="AV1" s="5" t="s">
        <v>108</v>
      </c>
      <c r="AW1" s="24" t="s">
        <v>105</v>
      </c>
      <c r="AX1" s="24" t="s">
        <v>106</v>
      </c>
      <c r="AY1" s="24" t="s">
        <v>108</v>
      </c>
    </row>
    <row r="2" spans="1:51" s="39" customFormat="1" ht="13.5" customHeight="1">
      <c r="A2" s="17" t="s">
        <v>109</v>
      </c>
      <c r="B2" s="17" t="s">
        <v>110</v>
      </c>
      <c r="C2" s="17" t="s">
        <v>1</v>
      </c>
      <c r="D2" s="17" t="s">
        <v>2</v>
      </c>
      <c r="E2" s="34" t="s">
        <v>111</v>
      </c>
      <c r="F2" s="157" t="s">
        <v>3</v>
      </c>
      <c r="G2" s="127" t="s">
        <v>112</v>
      </c>
      <c r="H2" s="11" t="s">
        <v>113</v>
      </c>
      <c r="I2" s="131" t="s">
        <v>114</v>
      </c>
      <c r="J2" s="131" t="s">
        <v>115</v>
      </c>
      <c r="K2" s="131" t="s">
        <v>116</v>
      </c>
      <c r="L2" s="64" t="s">
        <v>117</v>
      </c>
      <c r="M2" s="131" t="s">
        <v>118</v>
      </c>
      <c r="N2" s="169" t="s">
        <v>119</v>
      </c>
      <c r="O2" s="127" t="s">
        <v>112</v>
      </c>
      <c r="P2" s="11" t="s">
        <v>113</v>
      </c>
      <c r="Q2" s="131" t="s">
        <v>114</v>
      </c>
      <c r="R2" s="131" t="s">
        <v>115</v>
      </c>
      <c r="S2" s="131" t="s">
        <v>116</v>
      </c>
      <c r="T2" s="64" t="s">
        <v>117</v>
      </c>
      <c r="U2" s="131" t="s">
        <v>118</v>
      </c>
      <c r="V2" s="170" t="s">
        <v>119</v>
      </c>
      <c r="W2" s="171" t="s">
        <v>120</v>
      </c>
      <c r="X2" s="172" t="s">
        <v>121</v>
      </c>
      <c r="Y2" s="5" t="s">
        <v>122</v>
      </c>
      <c r="Z2" s="5" t="s">
        <v>123</v>
      </c>
      <c r="AA2" s="172" t="s">
        <v>124</v>
      </c>
      <c r="AB2" s="5" t="s">
        <v>125</v>
      </c>
      <c r="AC2" s="17" t="s">
        <v>125</v>
      </c>
      <c r="AD2" s="17" t="s">
        <v>126</v>
      </c>
      <c r="AE2" s="17" t="s">
        <v>127</v>
      </c>
      <c r="AF2" s="108" t="s">
        <v>128</v>
      </c>
      <c r="AG2" s="127" t="s">
        <v>120</v>
      </c>
      <c r="AH2" s="11" t="s">
        <v>121</v>
      </c>
      <c r="AI2" s="11" t="s">
        <v>122</v>
      </c>
      <c r="AJ2" s="11" t="s">
        <v>129</v>
      </c>
      <c r="AK2" s="11" t="s">
        <v>124</v>
      </c>
      <c r="AL2" s="11" t="s">
        <v>125</v>
      </c>
      <c r="AM2" s="11" t="s">
        <v>125</v>
      </c>
      <c r="AN2" s="11" t="s">
        <v>126</v>
      </c>
      <c r="AO2" s="11" t="s">
        <v>127</v>
      </c>
      <c r="AP2" s="173" t="s">
        <v>128</v>
      </c>
      <c r="AQ2" s="168" t="s">
        <v>130</v>
      </c>
      <c r="AR2" s="17" t="s">
        <v>8</v>
      </c>
      <c r="AS2" s="17" t="s">
        <v>8</v>
      </c>
      <c r="AT2" s="7" t="s">
        <v>131</v>
      </c>
      <c r="AU2" s="7" t="s">
        <v>131</v>
      </c>
      <c r="AV2" s="7" t="s">
        <v>131</v>
      </c>
      <c r="AW2" s="9" t="s">
        <v>10</v>
      </c>
      <c r="AX2" s="9" t="s">
        <v>10</v>
      </c>
      <c r="AY2" s="24" t="s">
        <v>132</v>
      </c>
    </row>
    <row r="3" spans="1:51" ht="13.5" customHeight="1">
      <c r="A3" s="41">
        <v>11663</v>
      </c>
      <c r="B3" s="41" t="s">
        <v>133</v>
      </c>
      <c r="C3" s="37" t="str">
        <f>Rollover!A3</f>
        <v>Acura</v>
      </c>
      <c r="D3" s="37" t="str">
        <f>Rollover!B3</f>
        <v>MDX SUV AWD</v>
      </c>
      <c r="E3" s="69" t="s">
        <v>134</v>
      </c>
      <c r="F3" s="174">
        <f>Rollover!C3</f>
        <v>2022</v>
      </c>
      <c r="G3" s="26">
        <v>243.75200000000001</v>
      </c>
      <c r="H3" s="27">
        <v>0.29199999999999998</v>
      </c>
      <c r="I3" s="27">
        <v>1354.183</v>
      </c>
      <c r="J3" s="27">
        <v>261.06200000000001</v>
      </c>
      <c r="K3" s="27">
        <v>23.920999999999999</v>
      </c>
      <c r="L3" s="27">
        <v>46.091000000000001</v>
      </c>
      <c r="M3" s="27">
        <v>2061.1570000000002</v>
      </c>
      <c r="N3" s="28">
        <v>2317.652</v>
      </c>
      <c r="O3" s="26">
        <v>288.27</v>
      </c>
      <c r="P3" s="27">
        <v>0.30299999999999999</v>
      </c>
      <c r="Q3" s="27">
        <v>544.15899999999999</v>
      </c>
      <c r="R3" s="27">
        <v>333.11</v>
      </c>
      <c r="S3" s="27">
        <v>17.196000000000002</v>
      </c>
      <c r="T3" s="27">
        <v>39.555</v>
      </c>
      <c r="U3" s="27">
        <v>1744.402</v>
      </c>
      <c r="V3" s="145">
        <v>2037.548</v>
      </c>
      <c r="W3" s="137">
        <f t="shared" ref="W3:W14" si="0">NORMDIST(LN(G3),7.45231,0.73998,1)</f>
        <v>4.1023352797599074E-3</v>
      </c>
      <c r="X3" s="10">
        <f t="shared" ref="X3:X14" si="1">1/(1+EXP(3.2269-1.9688*H3))</f>
        <v>6.5865207635833936E-2</v>
      </c>
      <c r="Y3" s="10">
        <f t="shared" ref="Y3:Y14" si="2">1/(1+EXP(10.9745-2.375*I3/1000))</f>
        <v>4.2699320449578985E-4</v>
      </c>
      <c r="Z3" s="10">
        <f t="shared" ref="Z3:Z14" si="3">1/(1+EXP(10.9745-2.375*J3/1000))</f>
        <v>3.1848839935804378E-5</v>
      </c>
      <c r="AA3" s="10">
        <f t="shared" ref="AA3:AA14" si="4">MAX(X3,Y3,Z3)</f>
        <v>6.5865207635833936E-2</v>
      </c>
      <c r="AB3" s="10">
        <f t="shared" ref="AB3:AB14" si="5">1/(1+EXP(12.597-0.05861*35-1.568*(K3^0.4612)))</f>
        <v>2.2631890173337867E-2</v>
      </c>
      <c r="AC3" s="10">
        <f t="shared" ref="AC3:AC14" si="6">AB3</f>
        <v>2.2631890173337867E-2</v>
      </c>
      <c r="AD3" s="10">
        <f t="shared" ref="AD3:AD14" si="7">1/(1+EXP(5.7949-0.5196*M3/1000))</f>
        <v>8.8021092436552408E-3</v>
      </c>
      <c r="AE3" s="10">
        <f t="shared" ref="AE3:AE14" si="8">1/(1+EXP(5.7949-0.5196*N3/1000))</f>
        <v>1.0044368256037261E-2</v>
      </c>
      <c r="AF3" s="175">
        <f t="shared" ref="AF3:AF14" si="9">MAX(AD3,AE3)</f>
        <v>1.0044368256037261E-2</v>
      </c>
      <c r="AG3" s="137">
        <f t="shared" ref="AG3:AG14" si="10">NORMDIST(LN(O3),7.45231,0.73998,1)</f>
        <v>7.8279719756118738E-3</v>
      </c>
      <c r="AH3" s="10">
        <f t="shared" ref="AH3:AH14" si="11">1/(1+EXP(3.2269-1.9688*P3))</f>
        <v>6.7210278929979619E-2</v>
      </c>
      <c r="AI3" s="10">
        <f t="shared" ref="AI3:AI14" si="12">1/(1+EXP(10.958-3.77*Q3/1000))</f>
        <v>1.3548412769250599E-4</v>
      </c>
      <c r="AJ3" s="10">
        <f t="shared" ref="AJ3:AJ14" si="13">1/(1+EXP(10.958-3.77*R3/1000))</f>
        <v>6.1146590821757051E-5</v>
      </c>
      <c r="AK3" s="10">
        <f t="shared" ref="AK3:AK14" si="14">MAX(AH3,AI3,AJ3)</f>
        <v>6.7210278929979619E-2</v>
      </c>
      <c r="AL3" s="10">
        <f t="shared" ref="AL3:AL14" si="15">1/(1+EXP(12.597-0.05861*35-1.568*((S3/0.817)^0.4612)))</f>
        <v>1.5457727639254151E-2</v>
      </c>
      <c r="AM3" s="10">
        <f t="shared" ref="AM3:AM14" si="16">AL3</f>
        <v>1.5457727639254151E-2</v>
      </c>
      <c r="AN3" s="10">
        <f t="shared" ref="AN3:AN14" si="17">1/(1+EXP(5.7949-0.7619*U3/1000))</f>
        <v>1.1364400362879621E-2</v>
      </c>
      <c r="AO3" s="10">
        <f t="shared" ref="AO3:AO14" si="18">1/(1+EXP(5.7949-0.7619*V3/1000))</f>
        <v>1.4168109998371752E-2</v>
      </c>
      <c r="AP3" s="175">
        <f t="shared" ref="AP3:AP14" si="19">MAX(AN3,AO3)</f>
        <v>1.4168109998371752E-2</v>
      </c>
      <c r="AQ3" s="66">
        <f t="shared" ref="AQ3:AQ14" si="20">ROUND(1-(1-W3)*(1-AA3)*(1-AC3)*(1-AF3),3)</f>
        <v>0.1</v>
      </c>
      <c r="AR3" s="10">
        <f t="shared" ref="AR3:AR14" si="21">ROUND(1-(1-AG3)*(1-AK3)*(1-AM3)*(1-AP3),3)</f>
        <v>0.10199999999999999</v>
      </c>
      <c r="AS3" s="10">
        <f t="shared" ref="AS3:AS14" si="22">ROUND(AVERAGE(AR3,AQ3),3)</f>
        <v>0.10100000000000001</v>
      </c>
      <c r="AT3" s="23">
        <f t="shared" ref="AT3:AT14" si="23">ROUND(AQ3/0.15,2)</f>
        <v>0.67</v>
      </c>
      <c r="AU3" s="23">
        <f t="shared" ref="AU3:AU14" si="24">ROUND(AR3/0.15,2)</f>
        <v>0.68</v>
      </c>
      <c r="AV3" s="23">
        <f t="shared" ref="AV3:AV14" si="25">ROUND(AS3/0.15,2)</f>
        <v>0.67</v>
      </c>
      <c r="AW3" s="24">
        <f t="shared" ref="AW3:AW14" si="26">IF(AT3&lt;0.67,5,IF(AT3&lt;1,4,IF(AT3&lt;1.33,3,IF(AT3&lt;2.67,2,1))))</f>
        <v>4</v>
      </c>
      <c r="AX3" s="24">
        <f t="shared" ref="AX3:AX14" si="27">IF(AU3&lt;0.67,5,IF(AU3&lt;1,4,IF(AU3&lt;1.33,3,IF(AU3&lt;2.67,2,1))))</f>
        <v>4</v>
      </c>
      <c r="AY3" s="24">
        <f t="shared" ref="AY3:AY14" si="28">IF(AV3&lt;0.67,5,IF(AV3&lt;1,4,IF(AV3&lt;1.33,3,IF(AV3&lt;2.67,2,1))))</f>
        <v>4</v>
      </c>
    </row>
    <row r="4" spans="1:51" ht="13.5" customHeight="1">
      <c r="A4" s="41">
        <v>11663</v>
      </c>
      <c r="B4" s="41" t="s">
        <v>133</v>
      </c>
      <c r="C4" s="37" t="str">
        <f>Rollover!A4</f>
        <v>Acura</v>
      </c>
      <c r="D4" s="37" t="str">
        <f>Rollover!B4</f>
        <v>MDX SUV FWD</v>
      </c>
      <c r="E4" s="69" t="s">
        <v>134</v>
      </c>
      <c r="F4" s="174">
        <f>Rollover!C4</f>
        <v>2022</v>
      </c>
      <c r="G4" s="26">
        <v>243.75200000000001</v>
      </c>
      <c r="H4" s="27">
        <v>0.29199999999999998</v>
      </c>
      <c r="I4" s="27">
        <v>1354.183</v>
      </c>
      <c r="J4" s="27">
        <v>261.06200000000001</v>
      </c>
      <c r="K4" s="27">
        <v>23.920999999999999</v>
      </c>
      <c r="L4" s="27">
        <v>46.091000000000001</v>
      </c>
      <c r="M4" s="27">
        <v>2061.1570000000002</v>
      </c>
      <c r="N4" s="28">
        <v>2317.652</v>
      </c>
      <c r="O4" s="26">
        <v>288.27</v>
      </c>
      <c r="P4" s="27">
        <v>0.30299999999999999</v>
      </c>
      <c r="Q4" s="27">
        <v>544.15899999999999</v>
      </c>
      <c r="R4" s="27">
        <v>333.11</v>
      </c>
      <c r="S4" s="27">
        <v>17.196000000000002</v>
      </c>
      <c r="T4" s="27">
        <v>39.555</v>
      </c>
      <c r="U4" s="27">
        <v>1744.402</v>
      </c>
      <c r="V4" s="145">
        <v>2037.548</v>
      </c>
      <c r="W4" s="137">
        <f t="shared" si="0"/>
        <v>4.1023352797599074E-3</v>
      </c>
      <c r="X4" s="10">
        <f t="shared" si="1"/>
        <v>6.5865207635833936E-2</v>
      </c>
      <c r="Y4" s="10">
        <f t="shared" si="2"/>
        <v>4.2699320449578985E-4</v>
      </c>
      <c r="Z4" s="10">
        <f t="shared" si="3"/>
        <v>3.1848839935804378E-5</v>
      </c>
      <c r="AA4" s="10">
        <f t="shared" si="4"/>
        <v>6.5865207635833936E-2</v>
      </c>
      <c r="AB4" s="10">
        <f t="shared" si="5"/>
        <v>2.2631890173337867E-2</v>
      </c>
      <c r="AC4" s="10">
        <f t="shared" si="6"/>
        <v>2.2631890173337867E-2</v>
      </c>
      <c r="AD4" s="10">
        <f t="shared" si="7"/>
        <v>8.8021092436552408E-3</v>
      </c>
      <c r="AE4" s="10">
        <f t="shared" si="8"/>
        <v>1.0044368256037261E-2</v>
      </c>
      <c r="AF4" s="175">
        <f t="shared" si="9"/>
        <v>1.0044368256037261E-2</v>
      </c>
      <c r="AG4" s="137">
        <f t="shared" si="10"/>
        <v>7.8279719756118738E-3</v>
      </c>
      <c r="AH4" s="10">
        <f t="shared" si="11"/>
        <v>6.7210278929979619E-2</v>
      </c>
      <c r="AI4" s="10">
        <f t="shared" si="12"/>
        <v>1.3548412769250599E-4</v>
      </c>
      <c r="AJ4" s="10">
        <f t="shared" si="13"/>
        <v>6.1146590821757051E-5</v>
      </c>
      <c r="AK4" s="10">
        <f t="shared" si="14"/>
        <v>6.7210278929979619E-2</v>
      </c>
      <c r="AL4" s="10">
        <f t="shared" si="15"/>
        <v>1.5457727639254151E-2</v>
      </c>
      <c r="AM4" s="10">
        <f t="shared" si="16"/>
        <v>1.5457727639254151E-2</v>
      </c>
      <c r="AN4" s="10">
        <f t="shared" si="17"/>
        <v>1.1364400362879621E-2</v>
      </c>
      <c r="AO4" s="10">
        <f t="shared" si="18"/>
        <v>1.4168109998371752E-2</v>
      </c>
      <c r="AP4" s="175">
        <f t="shared" si="19"/>
        <v>1.4168109998371752E-2</v>
      </c>
      <c r="AQ4" s="66">
        <f t="shared" si="20"/>
        <v>0.1</v>
      </c>
      <c r="AR4" s="10">
        <f t="shared" si="21"/>
        <v>0.10199999999999999</v>
      </c>
      <c r="AS4" s="10">
        <f t="shared" si="22"/>
        <v>0.10100000000000001</v>
      </c>
      <c r="AT4" s="23">
        <f t="shared" si="23"/>
        <v>0.67</v>
      </c>
      <c r="AU4" s="23">
        <f t="shared" si="24"/>
        <v>0.68</v>
      </c>
      <c r="AV4" s="23">
        <f t="shared" si="25"/>
        <v>0.67</v>
      </c>
      <c r="AW4" s="24">
        <f t="shared" si="26"/>
        <v>4</v>
      </c>
      <c r="AX4" s="24">
        <f t="shared" si="27"/>
        <v>4</v>
      </c>
      <c r="AY4" s="24">
        <f t="shared" si="28"/>
        <v>4</v>
      </c>
    </row>
    <row r="5" spans="1:51" ht="13.5" customHeight="1">
      <c r="A5" s="41">
        <v>14096</v>
      </c>
      <c r="B5" s="45" t="s">
        <v>135</v>
      </c>
      <c r="C5" s="37" t="str">
        <f>Rollover!A5</f>
        <v>Chevrolet</v>
      </c>
      <c r="D5" s="37" t="str">
        <f>Rollover!B5</f>
        <v>Bolt EUV SUV FWD</v>
      </c>
      <c r="E5" s="69" t="s">
        <v>136</v>
      </c>
      <c r="F5" s="174">
        <f>Rollover!C5</f>
        <v>2022</v>
      </c>
      <c r="G5" s="26">
        <v>161.91999999999999</v>
      </c>
      <c r="H5" s="27">
        <v>0.24399999999999999</v>
      </c>
      <c r="I5" s="27">
        <v>1095.191</v>
      </c>
      <c r="J5" s="27">
        <v>76.228999999999999</v>
      </c>
      <c r="K5" s="27">
        <v>22.968</v>
      </c>
      <c r="L5" s="27">
        <v>35.244999999999997</v>
      </c>
      <c r="M5" s="27">
        <v>464.20299999999997</v>
      </c>
      <c r="N5" s="28">
        <v>822.00300000000004</v>
      </c>
      <c r="O5" s="26">
        <v>300.52800000000002</v>
      </c>
      <c r="P5" s="27">
        <v>0.25900000000000001</v>
      </c>
      <c r="Q5" s="27">
        <v>499.83300000000003</v>
      </c>
      <c r="R5" s="27">
        <v>353.65100000000001</v>
      </c>
      <c r="S5" s="27">
        <v>15.407999999999999</v>
      </c>
      <c r="T5" s="27">
        <v>32.835999999999999</v>
      </c>
      <c r="U5" s="27">
        <v>578.00099999999998</v>
      </c>
      <c r="V5" s="145">
        <v>984.50800000000004</v>
      </c>
      <c r="W5" s="137">
        <f t="shared" si="0"/>
        <v>6.9598037059221969E-4</v>
      </c>
      <c r="X5" s="10">
        <f t="shared" si="1"/>
        <v>6.0283896523332971E-2</v>
      </c>
      <c r="Y5" s="10">
        <f t="shared" si="2"/>
        <v>2.3087080895981108E-4</v>
      </c>
      <c r="Z5" s="10">
        <f t="shared" si="3"/>
        <v>2.053301132947143E-5</v>
      </c>
      <c r="AA5" s="10">
        <f t="shared" si="4"/>
        <v>6.0283896523332971E-2</v>
      </c>
      <c r="AB5" s="10">
        <f t="shared" si="5"/>
        <v>2.0007324850758425E-2</v>
      </c>
      <c r="AC5" s="10">
        <f t="shared" si="6"/>
        <v>2.0007324850758425E-2</v>
      </c>
      <c r="AD5" s="10">
        <f t="shared" si="7"/>
        <v>3.8581567331981846E-3</v>
      </c>
      <c r="AE5" s="10">
        <f t="shared" si="8"/>
        <v>4.642785184304059E-3</v>
      </c>
      <c r="AF5" s="175">
        <f t="shared" si="9"/>
        <v>4.642785184304059E-3</v>
      </c>
      <c r="AG5" s="137">
        <f t="shared" si="10"/>
        <v>9.1236205183262333E-3</v>
      </c>
      <c r="AH5" s="10">
        <f t="shared" si="11"/>
        <v>6.1978762730557614E-2</v>
      </c>
      <c r="AI5" s="10">
        <f t="shared" si="12"/>
        <v>1.1463650827523938E-4</v>
      </c>
      <c r="AJ5" s="10">
        <f t="shared" si="13"/>
        <v>6.6069601608230661E-5</v>
      </c>
      <c r="AK5" s="10">
        <f t="shared" si="14"/>
        <v>6.1978762730557614E-2</v>
      </c>
      <c r="AL5" s="10">
        <f t="shared" si="15"/>
        <v>1.1321684398556606E-2</v>
      </c>
      <c r="AM5" s="10">
        <f t="shared" si="16"/>
        <v>1.1321684398556606E-2</v>
      </c>
      <c r="AN5" s="10">
        <f t="shared" si="17"/>
        <v>4.7044959845307256E-3</v>
      </c>
      <c r="AO5" s="10">
        <f t="shared" si="18"/>
        <v>6.4014841547673047E-3</v>
      </c>
      <c r="AP5" s="175">
        <f t="shared" si="19"/>
        <v>6.4014841547673047E-3</v>
      </c>
      <c r="AQ5" s="66">
        <f t="shared" si="20"/>
        <v>8.4000000000000005E-2</v>
      </c>
      <c r="AR5" s="10">
        <f t="shared" si="21"/>
        <v>8.6999999999999994E-2</v>
      </c>
      <c r="AS5" s="10">
        <f t="shared" si="22"/>
        <v>8.5999999999999993E-2</v>
      </c>
      <c r="AT5" s="23">
        <f t="shared" si="23"/>
        <v>0.56000000000000005</v>
      </c>
      <c r="AU5" s="23">
        <f t="shared" si="24"/>
        <v>0.57999999999999996</v>
      </c>
      <c r="AV5" s="23">
        <f t="shared" si="25"/>
        <v>0.56999999999999995</v>
      </c>
      <c r="AW5" s="24">
        <f t="shared" si="26"/>
        <v>5</v>
      </c>
      <c r="AX5" s="24">
        <f t="shared" si="27"/>
        <v>5</v>
      </c>
      <c r="AY5" s="24">
        <f t="shared" si="28"/>
        <v>5</v>
      </c>
    </row>
    <row r="6" spans="1:51" ht="13.5" customHeight="1">
      <c r="A6" s="45">
        <v>14218</v>
      </c>
      <c r="B6" s="45" t="s">
        <v>137</v>
      </c>
      <c r="C6" s="37" t="str">
        <f>Rollover!A6</f>
        <v>Chevrolet</v>
      </c>
      <c r="D6" s="37" t="str">
        <f>Rollover!B6</f>
        <v>Bolt EV 5HB FWD</v>
      </c>
      <c r="E6" s="69" t="s">
        <v>138</v>
      </c>
      <c r="F6" s="174">
        <f>Rollover!C6</f>
        <v>2022</v>
      </c>
      <c r="G6" s="18">
        <v>132.364</v>
      </c>
      <c r="H6" s="19">
        <v>0.20300000000000001</v>
      </c>
      <c r="I6" s="19">
        <v>1035.4159999999999</v>
      </c>
      <c r="J6" s="19">
        <v>96.091999999999999</v>
      </c>
      <c r="K6" s="19">
        <v>24.652000000000001</v>
      </c>
      <c r="L6" s="19">
        <v>34.125</v>
      </c>
      <c r="M6" s="19">
        <v>743.35</v>
      </c>
      <c r="N6" s="20">
        <v>822.90899999999999</v>
      </c>
      <c r="O6" s="18">
        <v>285.08100000000002</v>
      </c>
      <c r="P6" s="19">
        <v>0.33800000000000002</v>
      </c>
      <c r="Q6" s="19">
        <v>683.55899999999997</v>
      </c>
      <c r="R6" s="19">
        <v>42.088999999999999</v>
      </c>
      <c r="S6" s="19">
        <v>20.247</v>
      </c>
      <c r="T6" s="19">
        <v>35.340000000000003</v>
      </c>
      <c r="U6" s="19">
        <v>198.58699999999999</v>
      </c>
      <c r="V6" s="136">
        <v>461.94900000000001</v>
      </c>
      <c r="W6" s="137">
        <f t="shared" si="0"/>
        <v>2.6151039438047918E-4</v>
      </c>
      <c r="X6" s="10">
        <f t="shared" si="1"/>
        <v>5.5870142688010473E-2</v>
      </c>
      <c r="Y6" s="10">
        <f t="shared" si="2"/>
        <v>2.0032142799773317E-4</v>
      </c>
      <c r="Z6" s="10">
        <f t="shared" si="3"/>
        <v>2.1524838188156231E-5</v>
      </c>
      <c r="AA6" s="10">
        <f t="shared" si="4"/>
        <v>5.5870142688010473E-2</v>
      </c>
      <c r="AB6" s="10">
        <f t="shared" si="5"/>
        <v>2.4826104662527868E-2</v>
      </c>
      <c r="AC6" s="10">
        <f t="shared" si="6"/>
        <v>2.4826104662527868E-2</v>
      </c>
      <c r="AD6" s="10">
        <f t="shared" si="7"/>
        <v>4.4576970526776869E-3</v>
      </c>
      <c r="AE6" s="10">
        <f t="shared" si="8"/>
        <v>4.644961170705811E-3</v>
      </c>
      <c r="AF6" s="175">
        <f t="shared" si="9"/>
        <v>4.644961170705811E-3</v>
      </c>
      <c r="AG6" s="137">
        <f t="shared" si="10"/>
        <v>7.510507108598719E-3</v>
      </c>
      <c r="AH6" s="10">
        <f t="shared" si="11"/>
        <v>7.1661312753782111E-2</v>
      </c>
      <c r="AI6" s="10">
        <f t="shared" si="12"/>
        <v>2.2913213126420651E-4</v>
      </c>
      <c r="AJ6" s="10">
        <f t="shared" si="13"/>
        <v>2.0412871849479154E-5</v>
      </c>
      <c r="AK6" s="10">
        <f t="shared" si="14"/>
        <v>7.1661312753782111E-2</v>
      </c>
      <c r="AL6" s="10">
        <f t="shared" si="15"/>
        <v>2.5233962599209684E-2</v>
      </c>
      <c r="AM6" s="10">
        <f t="shared" si="16"/>
        <v>2.5233962599209684E-2</v>
      </c>
      <c r="AN6" s="10">
        <f t="shared" si="17"/>
        <v>3.5276250441626366E-3</v>
      </c>
      <c r="AO6" s="10">
        <f t="shared" si="18"/>
        <v>4.3080993300945282E-3</v>
      </c>
      <c r="AP6" s="175">
        <f t="shared" si="19"/>
        <v>4.3080993300945282E-3</v>
      </c>
      <c r="AQ6" s="66">
        <f t="shared" si="20"/>
        <v>8.4000000000000005E-2</v>
      </c>
      <c r="AR6" s="10">
        <f t="shared" si="21"/>
        <v>0.106</v>
      </c>
      <c r="AS6" s="10">
        <f t="shared" si="22"/>
        <v>9.5000000000000001E-2</v>
      </c>
      <c r="AT6" s="23">
        <f t="shared" si="23"/>
        <v>0.56000000000000005</v>
      </c>
      <c r="AU6" s="23">
        <f t="shared" si="24"/>
        <v>0.71</v>
      </c>
      <c r="AV6" s="23">
        <f t="shared" si="25"/>
        <v>0.63</v>
      </c>
      <c r="AW6" s="24">
        <f t="shared" si="26"/>
        <v>5</v>
      </c>
      <c r="AX6" s="24">
        <f t="shared" si="27"/>
        <v>4</v>
      </c>
      <c r="AY6" s="24">
        <f t="shared" si="28"/>
        <v>5</v>
      </c>
    </row>
    <row r="7" spans="1:51" ht="13.5" customHeight="1">
      <c r="A7" s="45">
        <v>14085</v>
      </c>
      <c r="B7" s="45" t="s">
        <v>139</v>
      </c>
      <c r="C7" s="37" t="str">
        <f>Rollover!A7</f>
        <v>Chevrolet</v>
      </c>
      <c r="D7" s="37" t="str">
        <f>Rollover!B7</f>
        <v>Silverado 1500 PU/CC 2WD</v>
      </c>
      <c r="E7" s="69" t="s">
        <v>140</v>
      </c>
      <c r="F7" s="174">
        <f>Rollover!C7</f>
        <v>2022</v>
      </c>
      <c r="G7" s="18">
        <v>150.37100000000001</v>
      </c>
      <c r="H7" s="19">
        <v>0.26800000000000002</v>
      </c>
      <c r="I7" s="19">
        <v>1504.886</v>
      </c>
      <c r="J7" s="19">
        <v>174.08</v>
      </c>
      <c r="K7" s="19">
        <v>24.741</v>
      </c>
      <c r="L7" s="19">
        <v>39.588999999999999</v>
      </c>
      <c r="M7" s="19">
        <v>532.67399999999998</v>
      </c>
      <c r="N7" s="20">
        <v>735.02499999999998</v>
      </c>
      <c r="O7" s="18">
        <v>409.61</v>
      </c>
      <c r="P7" s="19">
        <v>0.38300000000000001</v>
      </c>
      <c r="Q7" s="19">
        <v>890.61400000000003</v>
      </c>
      <c r="R7" s="19">
        <v>336.88</v>
      </c>
      <c r="S7" s="19">
        <v>14.14</v>
      </c>
      <c r="T7" s="19">
        <v>43.658999999999999</v>
      </c>
      <c r="U7" s="19">
        <v>331.17</v>
      </c>
      <c r="V7" s="136">
        <v>243.40799999999999</v>
      </c>
      <c r="W7" s="137">
        <f t="shared" si="0"/>
        <v>4.8981702072832956E-4</v>
      </c>
      <c r="X7" s="10">
        <f t="shared" si="1"/>
        <v>6.3016941414929931E-2</v>
      </c>
      <c r="Y7" s="10">
        <f t="shared" si="2"/>
        <v>6.1063779935480829E-4</v>
      </c>
      <c r="Z7" s="10">
        <f t="shared" si="3"/>
        <v>2.5904706048719908E-5</v>
      </c>
      <c r="AA7" s="10">
        <f t="shared" si="4"/>
        <v>6.3016941414929931E-2</v>
      </c>
      <c r="AB7" s="10">
        <f t="shared" si="5"/>
        <v>2.510447689814144E-2</v>
      </c>
      <c r="AC7" s="10">
        <f t="shared" si="6"/>
        <v>2.510447689814144E-2</v>
      </c>
      <c r="AD7" s="10">
        <f t="shared" si="7"/>
        <v>3.9973328285971225E-3</v>
      </c>
      <c r="AE7" s="10">
        <f t="shared" si="8"/>
        <v>4.4385415725745779E-3</v>
      </c>
      <c r="AF7" s="175">
        <f t="shared" si="9"/>
        <v>4.4385415725745779E-3</v>
      </c>
      <c r="AG7" s="137">
        <f t="shared" si="10"/>
        <v>2.6063368396777354E-2</v>
      </c>
      <c r="AH7" s="10">
        <f t="shared" si="11"/>
        <v>7.7783577843529988E-2</v>
      </c>
      <c r="AI7" s="10">
        <f t="shared" si="12"/>
        <v>5.0000855304469221E-4</v>
      </c>
      <c r="AJ7" s="10">
        <f t="shared" si="13"/>
        <v>6.2021812285376719E-5</v>
      </c>
      <c r="AK7" s="10">
        <f t="shared" si="14"/>
        <v>7.7783577843529988E-2</v>
      </c>
      <c r="AL7" s="10">
        <f t="shared" si="15"/>
        <v>8.9634102108921334E-3</v>
      </c>
      <c r="AM7" s="10">
        <f t="shared" si="16"/>
        <v>8.9634102108921334E-3</v>
      </c>
      <c r="AN7" s="10">
        <f t="shared" si="17"/>
        <v>3.9011249015652246E-3</v>
      </c>
      <c r="AO7" s="10">
        <f t="shared" si="18"/>
        <v>3.6497235832415207E-3</v>
      </c>
      <c r="AP7" s="175">
        <f t="shared" si="19"/>
        <v>3.9011249015652246E-3</v>
      </c>
      <c r="AQ7" s="66">
        <f t="shared" si="20"/>
        <v>9.0999999999999998E-2</v>
      </c>
      <c r="AR7" s="10">
        <f t="shared" si="21"/>
        <v>0.113</v>
      </c>
      <c r="AS7" s="10">
        <f t="shared" si="22"/>
        <v>0.10199999999999999</v>
      </c>
      <c r="AT7" s="23">
        <f t="shared" si="23"/>
        <v>0.61</v>
      </c>
      <c r="AU7" s="23">
        <f t="shared" si="24"/>
        <v>0.75</v>
      </c>
      <c r="AV7" s="23">
        <f t="shared" si="25"/>
        <v>0.68</v>
      </c>
      <c r="AW7" s="24">
        <f t="shared" si="26"/>
        <v>5</v>
      </c>
      <c r="AX7" s="24">
        <f t="shared" si="27"/>
        <v>4</v>
      </c>
      <c r="AY7" s="24">
        <f t="shared" si="28"/>
        <v>4</v>
      </c>
    </row>
    <row r="8" spans="1:51" ht="13.5" customHeight="1">
      <c r="A8" s="45">
        <v>14085</v>
      </c>
      <c r="B8" s="45" t="s">
        <v>139</v>
      </c>
      <c r="C8" s="37" t="str">
        <f>Rollover!A8</f>
        <v>Chevrolet</v>
      </c>
      <c r="D8" s="37" t="str">
        <f>Rollover!B8</f>
        <v>Silverado 1500 PU/CC 4WD</v>
      </c>
      <c r="E8" s="69" t="s">
        <v>140</v>
      </c>
      <c r="F8" s="174">
        <f>Rollover!C8</f>
        <v>2022</v>
      </c>
      <c r="G8" s="18">
        <v>150.37100000000001</v>
      </c>
      <c r="H8" s="19">
        <v>0.26800000000000002</v>
      </c>
      <c r="I8" s="19">
        <v>1504.886</v>
      </c>
      <c r="J8" s="19">
        <v>174.08</v>
      </c>
      <c r="K8" s="19">
        <v>24.741</v>
      </c>
      <c r="L8" s="19">
        <v>39.588999999999999</v>
      </c>
      <c r="M8" s="19">
        <v>532.67399999999998</v>
      </c>
      <c r="N8" s="20">
        <v>735.02499999999998</v>
      </c>
      <c r="O8" s="18">
        <v>409.61</v>
      </c>
      <c r="P8" s="19">
        <v>0.38300000000000001</v>
      </c>
      <c r="Q8" s="19">
        <v>890.61400000000003</v>
      </c>
      <c r="R8" s="19">
        <v>336.88</v>
      </c>
      <c r="S8" s="19">
        <v>14.14</v>
      </c>
      <c r="T8" s="19">
        <v>43.658999999999999</v>
      </c>
      <c r="U8" s="19">
        <v>331.17</v>
      </c>
      <c r="V8" s="136">
        <v>243.40799999999999</v>
      </c>
      <c r="W8" s="137">
        <f t="shared" si="0"/>
        <v>4.8981702072832956E-4</v>
      </c>
      <c r="X8" s="10">
        <f t="shared" si="1"/>
        <v>6.3016941414929931E-2</v>
      </c>
      <c r="Y8" s="10">
        <f t="shared" si="2"/>
        <v>6.1063779935480829E-4</v>
      </c>
      <c r="Z8" s="10">
        <f t="shared" si="3"/>
        <v>2.5904706048719908E-5</v>
      </c>
      <c r="AA8" s="10">
        <f t="shared" si="4"/>
        <v>6.3016941414929931E-2</v>
      </c>
      <c r="AB8" s="10">
        <f t="shared" si="5"/>
        <v>2.510447689814144E-2</v>
      </c>
      <c r="AC8" s="10">
        <f t="shared" si="6"/>
        <v>2.510447689814144E-2</v>
      </c>
      <c r="AD8" s="10">
        <f t="shared" si="7"/>
        <v>3.9973328285971225E-3</v>
      </c>
      <c r="AE8" s="10">
        <f t="shared" si="8"/>
        <v>4.4385415725745779E-3</v>
      </c>
      <c r="AF8" s="175">
        <f t="shared" si="9"/>
        <v>4.4385415725745779E-3</v>
      </c>
      <c r="AG8" s="137">
        <f t="shared" si="10"/>
        <v>2.6063368396777354E-2</v>
      </c>
      <c r="AH8" s="10">
        <f t="shared" si="11"/>
        <v>7.7783577843529988E-2</v>
      </c>
      <c r="AI8" s="10">
        <f t="shared" si="12"/>
        <v>5.0000855304469221E-4</v>
      </c>
      <c r="AJ8" s="10">
        <f t="shared" si="13"/>
        <v>6.2021812285376719E-5</v>
      </c>
      <c r="AK8" s="10">
        <f t="shared" si="14"/>
        <v>7.7783577843529988E-2</v>
      </c>
      <c r="AL8" s="10">
        <f t="shared" si="15"/>
        <v>8.9634102108921334E-3</v>
      </c>
      <c r="AM8" s="10">
        <f t="shared" si="16"/>
        <v>8.9634102108921334E-3</v>
      </c>
      <c r="AN8" s="10">
        <f t="shared" si="17"/>
        <v>3.9011249015652246E-3</v>
      </c>
      <c r="AO8" s="10">
        <f t="shared" si="18"/>
        <v>3.6497235832415207E-3</v>
      </c>
      <c r="AP8" s="175">
        <f t="shared" si="19"/>
        <v>3.9011249015652246E-3</v>
      </c>
      <c r="AQ8" s="66">
        <f t="shared" si="20"/>
        <v>9.0999999999999998E-2</v>
      </c>
      <c r="AR8" s="10">
        <f t="shared" si="21"/>
        <v>0.113</v>
      </c>
      <c r="AS8" s="10">
        <f t="shared" si="22"/>
        <v>0.10199999999999999</v>
      </c>
      <c r="AT8" s="23">
        <f t="shared" si="23"/>
        <v>0.61</v>
      </c>
      <c r="AU8" s="23">
        <f t="shared" si="24"/>
        <v>0.75</v>
      </c>
      <c r="AV8" s="23">
        <f t="shared" si="25"/>
        <v>0.68</v>
      </c>
      <c r="AW8" s="24">
        <f t="shared" si="26"/>
        <v>5</v>
      </c>
      <c r="AX8" s="24">
        <f t="shared" si="27"/>
        <v>4</v>
      </c>
      <c r="AY8" s="24">
        <f t="shared" si="28"/>
        <v>4</v>
      </c>
    </row>
    <row r="9" spans="1:51" ht="13.5" customHeight="1">
      <c r="A9" s="45">
        <v>14085</v>
      </c>
      <c r="B9" s="45" t="s">
        <v>139</v>
      </c>
      <c r="C9" s="37" t="str">
        <f>Rollover!A9</f>
        <v>GMC</v>
      </c>
      <c r="D9" s="37" t="str">
        <f>Rollover!B9</f>
        <v>Sierra 1500 PU/CC 2WD</v>
      </c>
      <c r="E9" s="69" t="s">
        <v>140</v>
      </c>
      <c r="F9" s="174">
        <f>Rollover!C9</f>
        <v>2022</v>
      </c>
      <c r="G9" s="18">
        <v>150.37100000000001</v>
      </c>
      <c r="H9" s="19">
        <v>0.26800000000000002</v>
      </c>
      <c r="I9" s="19">
        <v>1504.886</v>
      </c>
      <c r="J9" s="19">
        <v>174.08</v>
      </c>
      <c r="K9" s="19">
        <v>24.741</v>
      </c>
      <c r="L9" s="19">
        <v>39.588999999999999</v>
      </c>
      <c r="M9" s="19">
        <v>532.67399999999998</v>
      </c>
      <c r="N9" s="20">
        <v>735.02499999999998</v>
      </c>
      <c r="O9" s="18">
        <v>409.61</v>
      </c>
      <c r="P9" s="19">
        <v>0.38300000000000001</v>
      </c>
      <c r="Q9" s="19">
        <v>890.61400000000003</v>
      </c>
      <c r="R9" s="19">
        <v>336.88</v>
      </c>
      <c r="S9" s="19">
        <v>14.14</v>
      </c>
      <c r="T9" s="19">
        <v>43.658999999999999</v>
      </c>
      <c r="U9" s="19">
        <v>331.17</v>
      </c>
      <c r="V9" s="136">
        <v>243.40799999999999</v>
      </c>
      <c r="W9" s="137">
        <f t="shared" si="0"/>
        <v>4.8981702072832956E-4</v>
      </c>
      <c r="X9" s="10">
        <f t="shared" si="1"/>
        <v>6.3016941414929931E-2</v>
      </c>
      <c r="Y9" s="10">
        <f t="shared" si="2"/>
        <v>6.1063779935480829E-4</v>
      </c>
      <c r="Z9" s="10">
        <f t="shared" si="3"/>
        <v>2.5904706048719908E-5</v>
      </c>
      <c r="AA9" s="10">
        <f t="shared" si="4"/>
        <v>6.3016941414929931E-2</v>
      </c>
      <c r="AB9" s="10">
        <f t="shared" si="5"/>
        <v>2.510447689814144E-2</v>
      </c>
      <c r="AC9" s="10">
        <f t="shared" si="6"/>
        <v>2.510447689814144E-2</v>
      </c>
      <c r="AD9" s="10">
        <f t="shared" si="7"/>
        <v>3.9973328285971225E-3</v>
      </c>
      <c r="AE9" s="10">
        <f t="shared" si="8"/>
        <v>4.4385415725745779E-3</v>
      </c>
      <c r="AF9" s="175">
        <f t="shared" si="9"/>
        <v>4.4385415725745779E-3</v>
      </c>
      <c r="AG9" s="137">
        <f t="shared" si="10"/>
        <v>2.6063368396777354E-2</v>
      </c>
      <c r="AH9" s="10">
        <f t="shared" si="11"/>
        <v>7.7783577843529988E-2</v>
      </c>
      <c r="AI9" s="10">
        <f t="shared" si="12"/>
        <v>5.0000855304469221E-4</v>
      </c>
      <c r="AJ9" s="10">
        <f t="shared" si="13"/>
        <v>6.2021812285376719E-5</v>
      </c>
      <c r="AK9" s="10">
        <f t="shared" si="14"/>
        <v>7.7783577843529988E-2</v>
      </c>
      <c r="AL9" s="10">
        <f t="shared" si="15"/>
        <v>8.9634102108921334E-3</v>
      </c>
      <c r="AM9" s="10">
        <f t="shared" si="16"/>
        <v>8.9634102108921334E-3</v>
      </c>
      <c r="AN9" s="10">
        <f t="shared" si="17"/>
        <v>3.9011249015652246E-3</v>
      </c>
      <c r="AO9" s="10">
        <f t="shared" si="18"/>
        <v>3.6497235832415207E-3</v>
      </c>
      <c r="AP9" s="175">
        <f t="shared" si="19"/>
        <v>3.9011249015652246E-3</v>
      </c>
      <c r="AQ9" s="66">
        <f t="shared" si="20"/>
        <v>9.0999999999999998E-2</v>
      </c>
      <c r="AR9" s="10">
        <f t="shared" si="21"/>
        <v>0.113</v>
      </c>
      <c r="AS9" s="10">
        <f t="shared" si="22"/>
        <v>0.10199999999999999</v>
      </c>
      <c r="AT9" s="23">
        <f t="shared" si="23"/>
        <v>0.61</v>
      </c>
      <c r="AU9" s="23">
        <f t="shared" si="24"/>
        <v>0.75</v>
      </c>
      <c r="AV9" s="23">
        <f t="shared" si="25"/>
        <v>0.68</v>
      </c>
      <c r="AW9" s="24">
        <f t="shared" si="26"/>
        <v>5</v>
      </c>
      <c r="AX9" s="24">
        <f t="shared" si="27"/>
        <v>4</v>
      </c>
      <c r="AY9" s="24">
        <f t="shared" si="28"/>
        <v>4</v>
      </c>
    </row>
    <row r="10" spans="1:51" ht="13.5" customHeight="1">
      <c r="A10" s="45">
        <v>14085</v>
      </c>
      <c r="B10" s="45" t="s">
        <v>139</v>
      </c>
      <c r="C10" s="37" t="str">
        <f>Rollover!A10</f>
        <v>GMC</v>
      </c>
      <c r="D10" s="37" t="str">
        <f>Rollover!B10</f>
        <v>Sierra 1500 PU/CC 4WD</v>
      </c>
      <c r="E10" s="69" t="s">
        <v>140</v>
      </c>
      <c r="F10" s="174">
        <f>Rollover!C10</f>
        <v>2022</v>
      </c>
      <c r="G10" s="18">
        <v>150.37100000000001</v>
      </c>
      <c r="H10" s="19">
        <v>0.26800000000000002</v>
      </c>
      <c r="I10" s="19">
        <v>1504.886</v>
      </c>
      <c r="J10" s="19">
        <v>174.08</v>
      </c>
      <c r="K10" s="19">
        <v>24.741</v>
      </c>
      <c r="L10" s="19">
        <v>39.588999999999999</v>
      </c>
      <c r="M10" s="19">
        <v>532.67399999999998</v>
      </c>
      <c r="N10" s="20">
        <v>735.02499999999998</v>
      </c>
      <c r="O10" s="18">
        <v>409.61</v>
      </c>
      <c r="P10" s="19">
        <v>0.38300000000000001</v>
      </c>
      <c r="Q10" s="19">
        <v>890.61400000000003</v>
      </c>
      <c r="R10" s="19">
        <v>336.88</v>
      </c>
      <c r="S10" s="19">
        <v>14.14</v>
      </c>
      <c r="T10" s="19">
        <v>43.658999999999999</v>
      </c>
      <c r="U10" s="19">
        <v>331.17</v>
      </c>
      <c r="V10" s="136">
        <v>243.40799999999999</v>
      </c>
      <c r="W10" s="137">
        <f t="shared" si="0"/>
        <v>4.8981702072832956E-4</v>
      </c>
      <c r="X10" s="10">
        <f t="shared" si="1"/>
        <v>6.3016941414929931E-2</v>
      </c>
      <c r="Y10" s="10">
        <f t="shared" si="2"/>
        <v>6.1063779935480829E-4</v>
      </c>
      <c r="Z10" s="10">
        <f t="shared" si="3"/>
        <v>2.5904706048719908E-5</v>
      </c>
      <c r="AA10" s="10">
        <f t="shared" si="4"/>
        <v>6.3016941414929931E-2</v>
      </c>
      <c r="AB10" s="10">
        <f t="shared" si="5"/>
        <v>2.510447689814144E-2</v>
      </c>
      <c r="AC10" s="10">
        <f t="shared" si="6"/>
        <v>2.510447689814144E-2</v>
      </c>
      <c r="AD10" s="10">
        <f t="shared" si="7"/>
        <v>3.9973328285971225E-3</v>
      </c>
      <c r="AE10" s="10">
        <f t="shared" si="8"/>
        <v>4.4385415725745779E-3</v>
      </c>
      <c r="AF10" s="175">
        <f t="shared" si="9"/>
        <v>4.4385415725745779E-3</v>
      </c>
      <c r="AG10" s="137">
        <f t="shared" si="10"/>
        <v>2.6063368396777354E-2</v>
      </c>
      <c r="AH10" s="10">
        <f t="shared" si="11"/>
        <v>7.7783577843529988E-2</v>
      </c>
      <c r="AI10" s="10">
        <f t="shared" si="12"/>
        <v>5.0000855304469221E-4</v>
      </c>
      <c r="AJ10" s="10">
        <f t="shared" si="13"/>
        <v>6.2021812285376719E-5</v>
      </c>
      <c r="AK10" s="10">
        <f t="shared" si="14"/>
        <v>7.7783577843529988E-2</v>
      </c>
      <c r="AL10" s="10">
        <f t="shared" si="15"/>
        <v>8.9634102108921334E-3</v>
      </c>
      <c r="AM10" s="10">
        <f t="shared" si="16"/>
        <v>8.9634102108921334E-3</v>
      </c>
      <c r="AN10" s="10">
        <f t="shared" si="17"/>
        <v>3.9011249015652246E-3</v>
      </c>
      <c r="AO10" s="10">
        <f t="shared" si="18"/>
        <v>3.6497235832415207E-3</v>
      </c>
      <c r="AP10" s="175">
        <f t="shared" si="19"/>
        <v>3.9011249015652246E-3</v>
      </c>
      <c r="AQ10" s="66">
        <f t="shared" si="20"/>
        <v>9.0999999999999998E-2</v>
      </c>
      <c r="AR10" s="10">
        <f t="shared" si="21"/>
        <v>0.113</v>
      </c>
      <c r="AS10" s="10">
        <f t="shared" si="22"/>
        <v>0.10199999999999999</v>
      </c>
      <c r="AT10" s="23">
        <f t="shared" si="23"/>
        <v>0.61</v>
      </c>
      <c r="AU10" s="23">
        <f t="shared" si="24"/>
        <v>0.75</v>
      </c>
      <c r="AV10" s="23">
        <f t="shared" si="25"/>
        <v>0.68</v>
      </c>
      <c r="AW10" s="24">
        <f t="shared" si="26"/>
        <v>5</v>
      </c>
      <c r="AX10" s="24">
        <f t="shared" si="27"/>
        <v>4</v>
      </c>
      <c r="AY10" s="24">
        <f t="shared" si="28"/>
        <v>4</v>
      </c>
    </row>
    <row r="11" spans="1:51" ht="13.5" customHeight="1">
      <c r="A11" s="45">
        <v>14243</v>
      </c>
      <c r="B11" s="45" t="s">
        <v>141</v>
      </c>
      <c r="C11" s="37" t="str">
        <f>Rollover!A11</f>
        <v>Chevrolet</v>
      </c>
      <c r="D11" s="37" t="str">
        <f>Rollover!B11</f>
        <v>Traverse SUV AWD</v>
      </c>
      <c r="E11" s="69" t="s">
        <v>140</v>
      </c>
      <c r="F11" s="174">
        <f>Rollover!C11</f>
        <v>2022</v>
      </c>
      <c r="G11" s="18">
        <v>170.38499999999999</v>
      </c>
      <c r="H11" s="19">
        <v>0.20200000000000001</v>
      </c>
      <c r="I11" s="19">
        <v>961.98599999999999</v>
      </c>
      <c r="J11" s="19">
        <v>370.57100000000003</v>
      </c>
      <c r="K11" s="19">
        <v>19.870999999999999</v>
      </c>
      <c r="L11" s="19">
        <v>39.094000000000001</v>
      </c>
      <c r="M11" s="19">
        <v>308.54399999999998</v>
      </c>
      <c r="N11" s="20">
        <v>213.239</v>
      </c>
      <c r="O11" s="18">
        <v>306.678</v>
      </c>
      <c r="P11" s="19">
        <v>0.34599999999999997</v>
      </c>
      <c r="Q11" s="19">
        <v>426.78100000000001</v>
      </c>
      <c r="R11" s="19">
        <v>492.98</v>
      </c>
      <c r="S11" s="19">
        <v>15.553000000000001</v>
      </c>
      <c r="T11" s="19">
        <v>36.506</v>
      </c>
      <c r="U11" s="19">
        <v>1232.145</v>
      </c>
      <c r="V11" s="136">
        <v>1038.4880000000001</v>
      </c>
      <c r="W11" s="137">
        <f t="shared" si="0"/>
        <v>8.8165323582595505E-4</v>
      </c>
      <c r="X11" s="10">
        <f t="shared" si="1"/>
        <v>5.5766381869094911E-2</v>
      </c>
      <c r="Y11" s="10">
        <f t="shared" si="2"/>
        <v>1.6826818158924213E-4</v>
      </c>
      <c r="Z11" s="10">
        <f t="shared" si="3"/>
        <v>4.1308792605237301E-5</v>
      </c>
      <c r="AA11" s="10">
        <f t="shared" si="4"/>
        <v>5.5766381869094911E-2</v>
      </c>
      <c r="AB11" s="10">
        <f t="shared" si="5"/>
        <v>1.3106819501135738E-2</v>
      </c>
      <c r="AC11" s="10">
        <f t="shared" si="6"/>
        <v>1.3106819501135738E-2</v>
      </c>
      <c r="AD11" s="10">
        <f t="shared" si="7"/>
        <v>3.5594602960376922E-3</v>
      </c>
      <c r="AE11" s="10">
        <f t="shared" si="8"/>
        <v>3.3880700106114193E-3</v>
      </c>
      <c r="AF11" s="175">
        <f t="shared" si="9"/>
        <v>3.5594602960376922E-3</v>
      </c>
      <c r="AG11" s="137">
        <f t="shared" si="10"/>
        <v>9.8191683157712525E-3</v>
      </c>
      <c r="AH11" s="10">
        <f t="shared" si="11"/>
        <v>7.2716218495709778E-2</v>
      </c>
      <c r="AI11" s="10">
        <f t="shared" si="12"/>
        <v>8.7041749462292135E-5</v>
      </c>
      <c r="AJ11" s="10">
        <f t="shared" si="13"/>
        <v>1.1171303979349053E-4</v>
      </c>
      <c r="AK11" s="10">
        <f t="shared" si="14"/>
        <v>7.2716218495709778E-2</v>
      </c>
      <c r="AL11" s="10">
        <f t="shared" si="15"/>
        <v>1.1619941796661334E-2</v>
      </c>
      <c r="AM11" s="10">
        <f t="shared" si="16"/>
        <v>1.1619941796661334E-2</v>
      </c>
      <c r="AN11" s="10">
        <f t="shared" si="17"/>
        <v>7.7204767749097505E-3</v>
      </c>
      <c r="AO11" s="10">
        <f t="shared" si="18"/>
        <v>6.6684569791207798E-3</v>
      </c>
      <c r="AP11" s="175">
        <f t="shared" si="19"/>
        <v>7.7204767749097505E-3</v>
      </c>
      <c r="AQ11" s="66">
        <f t="shared" si="20"/>
        <v>7.1999999999999995E-2</v>
      </c>
      <c r="AR11" s="10">
        <f t="shared" si="21"/>
        <v>9.9000000000000005E-2</v>
      </c>
      <c r="AS11" s="10">
        <f t="shared" si="22"/>
        <v>8.5999999999999993E-2</v>
      </c>
      <c r="AT11" s="23">
        <f t="shared" si="23"/>
        <v>0.48</v>
      </c>
      <c r="AU11" s="23">
        <f t="shared" si="24"/>
        <v>0.66</v>
      </c>
      <c r="AV11" s="23">
        <f t="shared" si="25"/>
        <v>0.56999999999999995</v>
      </c>
      <c r="AW11" s="24">
        <f t="shared" si="26"/>
        <v>5</v>
      </c>
      <c r="AX11" s="24">
        <f t="shared" si="27"/>
        <v>5</v>
      </c>
      <c r="AY11" s="24">
        <f t="shared" si="28"/>
        <v>5</v>
      </c>
    </row>
    <row r="12" spans="1:51" ht="13.5" customHeight="1">
      <c r="A12" s="45">
        <v>14243</v>
      </c>
      <c r="B12" s="45" t="s">
        <v>141</v>
      </c>
      <c r="C12" s="37" t="str">
        <f>Rollover!A12</f>
        <v>Chevrolet</v>
      </c>
      <c r="D12" s="37" t="str">
        <f>Rollover!B12</f>
        <v>Traverse SUV FWD</v>
      </c>
      <c r="E12" s="69" t="s">
        <v>140</v>
      </c>
      <c r="F12" s="174">
        <f>Rollover!C12</f>
        <v>2022</v>
      </c>
      <c r="G12" s="18">
        <v>170.38499999999999</v>
      </c>
      <c r="H12" s="19">
        <v>0.20200000000000001</v>
      </c>
      <c r="I12" s="19">
        <v>961.98599999999999</v>
      </c>
      <c r="J12" s="19">
        <v>370.57100000000003</v>
      </c>
      <c r="K12" s="19">
        <v>19.870999999999999</v>
      </c>
      <c r="L12" s="19">
        <v>39.094000000000001</v>
      </c>
      <c r="M12" s="19">
        <v>308.54399999999998</v>
      </c>
      <c r="N12" s="20">
        <v>213.239</v>
      </c>
      <c r="O12" s="18">
        <v>306.678</v>
      </c>
      <c r="P12" s="19">
        <v>0.34599999999999997</v>
      </c>
      <c r="Q12" s="19">
        <v>426.78100000000001</v>
      </c>
      <c r="R12" s="19">
        <v>492.98</v>
      </c>
      <c r="S12" s="19">
        <v>15.553000000000001</v>
      </c>
      <c r="T12" s="19">
        <v>36.506</v>
      </c>
      <c r="U12" s="19">
        <v>1232.145</v>
      </c>
      <c r="V12" s="136">
        <v>1038.4880000000001</v>
      </c>
      <c r="W12" s="137">
        <f t="shared" si="0"/>
        <v>8.8165323582595505E-4</v>
      </c>
      <c r="X12" s="10">
        <f t="shared" si="1"/>
        <v>5.5766381869094911E-2</v>
      </c>
      <c r="Y12" s="10">
        <f t="shared" si="2"/>
        <v>1.6826818158924213E-4</v>
      </c>
      <c r="Z12" s="10">
        <f t="shared" si="3"/>
        <v>4.1308792605237301E-5</v>
      </c>
      <c r="AA12" s="10">
        <f t="shared" si="4"/>
        <v>5.5766381869094911E-2</v>
      </c>
      <c r="AB12" s="10">
        <f t="shared" si="5"/>
        <v>1.3106819501135738E-2</v>
      </c>
      <c r="AC12" s="10">
        <f t="shared" si="6"/>
        <v>1.3106819501135738E-2</v>
      </c>
      <c r="AD12" s="10">
        <f t="shared" si="7"/>
        <v>3.5594602960376922E-3</v>
      </c>
      <c r="AE12" s="10">
        <f t="shared" si="8"/>
        <v>3.3880700106114193E-3</v>
      </c>
      <c r="AF12" s="175">
        <f t="shared" si="9"/>
        <v>3.5594602960376922E-3</v>
      </c>
      <c r="AG12" s="137">
        <f t="shared" si="10"/>
        <v>9.8191683157712525E-3</v>
      </c>
      <c r="AH12" s="10">
        <f t="shared" si="11"/>
        <v>7.2716218495709778E-2</v>
      </c>
      <c r="AI12" s="10">
        <f t="shared" si="12"/>
        <v>8.7041749462292135E-5</v>
      </c>
      <c r="AJ12" s="10">
        <f t="shared" si="13"/>
        <v>1.1171303979349053E-4</v>
      </c>
      <c r="AK12" s="10">
        <f t="shared" si="14"/>
        <v>7.2716218495709778E-2</v>
      </c>
      <c r="AL12" s="10">
        <f t="shared" si="15"/>
        <v>1.1619941796661334E-2</v>
      </c>
      <c r="AM12" s="10">
        <f t="shared" si="16"/>
        <v>1.1619941796661334E-2</v>
      </c>
      <c r="AN12" s="10">
        <f t="shared" si="17"/>
        <v>7.7204767749097505E-3</v>
      </c>
      <c r="AO12" s="10">
        <f t="shared" si="18"/>
        <v>6.6684569791207798E-3</v>
      </c>
      <c r="AP12" s="175">
        <f t="shared" si="19"/>
        <v>7.7204767749097505E-3</v>
      </c>
      <c r="AQ12" s="66">
        <f t="shared" si="20"/>
        <v>7.1999999999999995E-2</v>
      </c>
      <c r="AR12" s="10">
        <f t="shared" si="21"/>
        <v>9.9000000000000005E-2</v>
      </c>
      <c r="AS12" s="10">
        <f t="shared" si="22"/>
        <v>8.5999999999999993E-2</v>
      </c>
      <c r="AT12" s="23">
        <f t="shared" si="23"/>
        <v>0.48</v>
      </c>
      <c r="AU12" s="23">
        <f t="shared" si="24"/>
        <v>0.66</v>
      </c>
      <c r="AV12" s="23">
        <f t="shared" si="25"/>
        <v>0.56999999999999995</v>
      </c>
      <c r="AW12" s="24">
        <f t="shared" si="26"/>
        <v>5</v>
      </c>
      <c r="AX12" s="24">
        <f t="shared" si="27"/>
        <v>5</v>
      </c>
      <c r="AY12" s="24">
        <f t="shared" si="28"/>
        <v>5</v>
      </c>
    </row>
    <row r="13" spans="1:51" ht="13.5" customHeight="1">
      <c r="A13" s="45">
        <v>14243</v>
      </c>
      <c r="B13" s="45" t="s">
        <v>141</v>
      </c>
      <c r="C13" s="176" t="str">
        <f>Rollover!A13</f>
        <v>Buick</v>
      </c>
      <c r="D13" s="176" t="str">
        <f>Rollover!B13</f>
        <v>Enclave SUV AWD</v>
      </c>
      <c r="E13" s="69" t="s">
        <v>140</v>
      </c>
      <c r="F13" s="174">
        <f>Rollover!C13</f>
        <v>2022</v>
      </c>
      <c r="G13" s="18">
        <v>170.38499999999999</v>
      </c>
      <c r="H13" s="19">
        <v>0.20200000000000001</v>
      </c>
      <c r="I13" s="19">
        <v>961.98599999999999</v>
      </c>
      <c r="J13" s="19">
        <v>370.57100000000003</v>
      </c>
      <c r="K13" s="19">
        <v>19.870999999999999</v>
      </c>
      <c r="L13" s="19">
        <v>39.094000000000001</v>
      </c>
      <c r="M13" s="19">
        <v>308.54399999999998</v>
      </c>
      <c r="N13" s="20">
        <v>213.239</v>
      </c>
      <c r="O13" s="18">
        <v>306.678</v>
      </c>
      <c r="P13" s="19">
        <v>0.34599999999999997</v>
      </c>
      <c r="Q13" s="19">
        <v>426.78100000000001</v>
      </c>
      <c r="R13" s="19">
        <v>492.98</v>
      </c>
      <c r="S13" s="19">
        <v>15.553000000000001</v>
      </c>
      <c r="T13" s="19">
        <v>36.506</v>
      </c>
      <c r="U13" s="19">
        <v>1232.145</v>
      </c>
      <c r="V13" s="136">
        <v>1038.4880000000001</v>
      </c>
      <c r="W13" s="137">
        <f t="shared" si="0"/>
        <v>8.8165323582595505E-4</v>
      </c>
      <c r="X13" s="10">
        <f t="shared" si="1"/>
        <v>5.5766381869094911E-2</v>
      </c>
      <c r="Y13" s="10">
        <f t="shared" si="2"/>
        <v>1.6826818158924213E-4</v>
      </c>
      <c r="Z13" s="10">
        <f t="shared" si="3"/>
        <v>4.1308792605237301E-5</v>
      </c>
      <c r="AA13" s="10">
        <f t="shared" si="4"/>
        <v>5.5766381869094911E-2</v>
      </c>
      <c r="AB13" s="10">
        <f t="shared" si="5"/>
        <v>1.3106819501135738E-2</v>
      </c>
      <c r="AC13" s="10">
        <f t="shared" si="6"/>
        <v>1.3106819501135738E-2</v>
      </c>
      <c r="AD13" s="10">
        <f t="shared" si="7"/>
        <v>3.5594602960376922E-3</v>
      </c>
      <c r="AE13" s="10">
        <f t="shared" si="8"/>
        <v>3.3880700106114193E-3</v>
      </c>
      <c r="AF13" s="175">
        <f t="shared" si="9"/>
        <v>3.5594602960376922E-3</v>
      </c>
      <c r="AG13" s="137">
        <f t="shared" si="10"/>
        <v>9.8191683157712525E-3</v>
      </c>
      <c r="AH13" s="10">
        <f t="shared" si="11"/>
        <v>7.2716218495709778E-2</v>
      </c>
      <c r="AI13" s="10">
        <f t="shared" si="12"/>
        <v>8.7041749462292135E-5</v>
      </c>
      <c r="AJ13" s="10">
        <f t="shared" si="13"/>
        <v>1.1171303979349053E-4</v>
      </c>
      <c r="AK13" s="10">
        <f t="shared" si="14"/>
        <v>7.2716218495709778E-2</v>
      </c>
      <c r="AL13" s="10">
        <f t="shared" si="15"/>
        <v>1.1619941796661334E-2</v>
      </c>
      <c r="AM13" s="10">
        <f t="shared" si="16"/>
        <v>1.1619941796661334E-2</v>
      </c>
      <c r="AN13" s="10">
        <f t="shared" si="17"/>
        <v>7.7204767749097505E-3</v>
      </c>
      <c r="AO13" s="10">
        <f t="shared" si="18"/>
        <v>6.6684569791207798E-3</v>
      </c>
      <c r="AP13" s="175">
        <f t="shared" si="19"/>
        <v>7.7204767749097505E-3</v>
      </c>
      <c r="AQ13" s="66">
        <f t="shared" si="20"/>
        <v>7.1999999999999995E-2</v>
      </c>
      <c r="AR13" s="10">
        <f t="shared" si="21"/>
        <v>9.9000000000000005E-2</v>
      </c>
      <c r="AS13" s="10">
        <f t="shared" si="22"/>
        <v>8.5999999999999993E-2</v>
      </c>
      <c r="AT13" s="23">
        <f t="shared" si="23"/>
        <v>0.48</v>
      </c>
      <c r="AU13" s="23">
        <f t="shared" si="24"/>
        <v>0.66</v>
      </c>
      <c r="AV13" s="23">
        <f t="shared" si="25"/>
        <v>0.56999999999999995</v>
      </c>
      <c r="AW13" s="24">
        <f t="shared" si="26"/>
        <v>5</v>
      </c>
      <c r="AX13" s="24">
        <f t="shared" si="27"/>
        <v>5</v>
      </c>
      <c r="AY13" s="24">
        <f t="shared" si="28"/>
        <v>5</v>
      </c>
    </row>
    <row r="14" spans="1:51" ht="13.5" customHeight="1">
      <c r="A14" s="45">
        <v>14243</v>
      </c>
      <c r="B14" s="45" t="s">
        <v>141</v>
      </c>
      <c r="C14" s="176" t="str">
        <f>Rollover!A14</f>
        <v>Buick</v>
      </c>
      <c r="D14" s="176" t="str">
        <f>Rollover!B14</f>
        <v>Enclave SUV FWD</v>
      </c>
      <c r="E14" s="69" t="s">
        <v>140</v>
      </c>
      <c r="F14" s="174">
        <f>Rollover!C14</f>
        <v>2022</v>
      </c>
      <c r="G14" s="18">
        <v>170.38499999999999</v>
      </c>
      <c r="H14" s="19">
        <v>0.20200000000000001</v>
      </c>
      <c r="I14" s="19">
        <v>961.98599999999999</v>
      </c>
      <c r="J14" s="19">
        <v>370.57100000000003</v>
      </c>
      <c r="K14" s="19">
        <v>19.870999999999999</v>
      </c>
      <c r="L14" s="19">
        <v>39.094000000000001</v>
      </c>
      <c r="M14" s="19">
        <v>308.54399999999998</v>
      </c>
      <c r="N14" s="20">
        <v>213.239</v>
      </c>
      <c r="O14" s="18">
        <v>306.678</v>
      </c>
      <c r="P14" s="19">
        <v>0.34599999999999997</v>
      </c>
      <c r="Q14" s="19">
        <v>426.78100000000001</v>
      </c>
      <c r="R14" s="19">
        <v>492.98</v>
      </c>
      <c r="S14" s="19">
        <v>15.553000000000001</v>
      </c>
      <c r="T14" s="19">
        <v>36.506</v>
      </c>
      <c r="U14" s="19">
        <v>1232.145</v>
      </c>
      <c r="V14" s="136">
        <v>1038.4880000000001</v>
      </c>
      <c r="W14" s="137">
        <f t="shared" si="0"/>
        <v>8.8165323582595505E-4</v>
      </c>
      <c r="X14" s="10">
        <f t="shared" si="1"/>
        <v>5.5766381869094911E-2</v>
      </c>
      <c r="Y14" s="10">
        <f t="shared" si="2"/>
        <v>1.6826818158924213E-4</v>
      </c>
      <c r="Z14" s="10">
        <f t="shared" si="3"/>
        <v>4.1308792605237301E-5</v>
      </c>
      <c r="AA14" s="10">
        <f t="shared" si="4"/>
        <v>5.5766381869094911E-2</v>
      </c>
      <c r="AB14" s="10">
        <f t="shared" si="5"/>
        <v>1.3106819501135738E-2</v>
      </c>
      <c r="AC14" s="10">
        <f t="shared" si="6"/>
        <v>1.3106819501135738E-2</v>
      </c>
      <c r="AD14" s="10">
        <f t="shared" si="7"/>
        <v>3.5594602960376922E-3</v>
      </c>
      <c r="AE14" s="10">
        <f t="shared" si="8"/>
        <v>3.3880700106114193E-3</v>
      </c>
      <c r="AF14" s="175">
        <f t="shared" si="9"/>
        <v>3.5594602960376922E-3</v>
      </c>
      <c r="AG14" s="137">
        <f t="shared" si="10"/>
        <v>9.8191683157712525E-3</v>
      </c>
      <c r="AH14" s="10">
        <f t="shared" si="11"/>
        <v>7.2716218495709778E-2</v>
      </c>
      <c r="AI14" s="10">
        <f t="shared" si="12"/>
        <v>8.7041749462292135E-5</v>
      </c>
      <c r="AJ14" s="10">
        <f t="shared" si="13"/>
        <v>1.1171303979349053E-4</v>
      </c>
      <c r="AK14" s="10">
        <f t="shared" si="14"/>
        <v>7.2716218495709778E-2</v>
      </c>
      <c r="AL14" s="10">
        <f t="shared" si="15"/>
        <v>1.1619941796661334E-2</v>
      </c>
      <c r="AM14" s="10">
        <f t="shared" si="16"/>
        <v>1.1619941796661334E-2</v>
      </c>
      <c r="AN14" s="10">
        <f t="shared" si="17"/>
        <v>7.7204767749097505E-3</v>
      </c>
      <c r="AO14" s="10">
        <f t="shared" si="18"/>
        <v>6.6684569791207798E-3</v>
      </c>
      <c r="AP14" s="175">
        <f t="shared" si="19"/>
        <v>7.7204767749097505E-3</v>
      </c>
      <c r="AQ14" s="66">
        <f t="shared" si="20"/>
        <v>7.1999999999999995E-2</v>
      </c>
      <c r="AR14" s="10">
        <f t="shared" si="21"/>
        <v>9.9000000000000005E-2</v>
      </c>
      <c r="AS14" s="10">
        <f t="shared" si="22"/>
        <v>8.5999999999999993E-2</v>
      </c>
      <c r="AT14" s="23">
        <f t="shared" si="23"/>
        <v>0.48</v>
      </c>
      <c r="AU14" s="23">
        <f t="shared" si="24"/>
        <v>0.66</v>
      </c>
      <c r="AV14" s="23">
        <f t="shared" si="25"/>
        <v>0.56999999999999995</v>
      </c>
      <c r="AW14" s="24">
        <f t="shared" si="26"/>
        <v>5</v>
      </c>
      <c r="AX14" s="24">
        <f t="shared" si="27"/>
        <v>5</v>
      </c>
      <c r="AY14" s="24">
        <f t="shared" si="28"/>
        <v>5</v>
      </c>
    </row>
    <row r="15" spans="1:51" ht="13.5" customHeight="1">
      <c r="A15" s="41">
        <v>14065</v>
      </c>
      <c r="B15" s="41" t="s">
        <v>142</v>
      </c>
      <c r="C15" s="37" t="str">
        <f>Rollover!A15</f>
        <v>Ford</v>
      </c>
      <c r="D15" s="37" t="str">
        <f>Rollover!B15</f>
        <v>Bronco 4 DR SUV 4WD</v>
      </c>
      <c r="E15" s="69" t="s">
        <v>138</v>
      </c>
      <c r="F15" s="174">
        <f>Rollover!C15</f>
        <v>2022</v>
      </c>
      <c r="G15" s="26">
        <v>119.867</v>
      </c>
      <c r="H15" s="27">
        <v>0.28000000000000003</v>
      </c>
      <c r="I15" s="27">
        <v>1621.104</v>
      </c>
      <c r="J15" s="27">
        <v>57.765000000000001</v>
      </c>
      <c r="K15" s="27">
        <v>31.367999999999999</v>
      </c>
      <c r="L15" s="27">
        <v>37.302999999999997</v>
      </c>
      <c r="M15" s="27">
        <v>1832.4269999999999</v>
      </c>
      <c r="N15" s="28">
        <v>589.745</v>
      </c>
      <c r="O15" s="26">
        <v>286.512</v>
      </c>
      <c r="P15" s="27">
        <v>0.28599999999999998</v>
      </c>
      <c r="Q15" s="27">
        <v>703.77599999999995</v>
      </c>
      <c r="R15" s="27">
        <v>433.93200000000002</v>
      </c>
      <c r="S15" s="27">
        <v>11.097</v>
      </c>
      <c r="T15" s="27">
        <v>37.213999999999999</v>
      </c>
      <c r="U15" s="27">
        <v>2048.8029999999999</v>
      </c>
      <c r="V15" s="145">
        <v>625.399</v>
      </c>
      <c r="W15" s="137">
        <f t="shared" ref="W15:W48" si="29">NORMDIST(LN(G15),7.45231,0.73998,1)</f>
        <v>1.5746342918357694E-4</v>
      </c>
      <c r="X15" s="10">
        <f t="shared" ref="X15:X48" si="30">1/(1+EXP(3.2269-1.9688*H15))</f>
        <v>6.4426419898688234E-2</v>
      </c>
      <c r="Y15" s="10">
        <f t="shared" ref="Y15:Y48" si="31">1/(1+EXP(10.9745-2.375*I15/1000))</f>
        <v>8.0458583012554309E-4</v>
      </c>
      <c r="Z15" s="10">
        <f t="shared" ref="Z15:Z48" si="32">1/(1+EXP(10.9745-2.375*J15/1000))</f>
        <v>1.9652072052081702E-5</v>
      </c>
      <c r="AA15" s="10">
        <f t="shared" ref="AA15:AA48" si="33">MAX(X15,Y15,Z15)</f>
        <v>6.4426419898688234E-2</v>
      </c>
      <c r="AB15" s="10">
        <f t="shared" ref="AB15:AB48" si="34">1/(1+EXP(12.597-0.05861*35-1.568*(K15^0.4612)))</f>
        <v>5.4026528921777672E-2</v>
      </c>
      <c r="AC15" s="10">
        <f t="shared" ref="AC15:AC48" si="35">AB15</f>
        <v>5.4026528921777672E-2</v>
      </c>
      <c r="AD15" s="10">
        <f t="shared" ref="AD15:AD48" si="36">1/(1+EXP(5.7949-0.5196*M15/1000))</f>
        <v>7.8234849356201511E-3</v>
      </c>
      <c r="AE15" s="10">
        <f t="shared" ref="AE15:AE48" si="37">1/(1+EXP(5.7949-0.5196*N15/1000))</f>
        <v>4.1171498186234577E-3</v>
      </c>
      <c r="AF15" s="175">
        <f t="shared" ref="AF15:AF48" si="38">MAX(AD15,AE15)</f>
        <v>7.8234849356201511E-3</v>
      </c>
      <c r="AG15" s="137">
        <f t="shared" ref="AG15:AG48" si="39">NORMDIST(LN(O15),7.45231,0.73998,1)</f>
        <v>7.6519689803404003E-3</v>
      </c>
      <c r="AH15" s="10">
        <f t="shared" ref="AH15:AH48" si="40">1/(1+EXP(3.2269-1.9688*P15))</f>
        <v>6.5142118363650386E-2</v>
      </c>
      <c r="AI15" s="10">
        <f t="shared" ref="AI15:AI48" si="41">1/(1+EXP(10.958-3.77*Q15/1000))</f>
        <v>2.4727443011360312E-4</v>
      </c>
      <c r="AJ15" s="10">
        <f t="shared" ref="AJ15:AJ48" si="42">1/(1+EXP(10.958-3.77*R15/1000))</f>
        <v>8.9420036047371611E-5</v>
      </c>
      <c r="AK15" s="10">
        <f t="shared" ref="AK15:AK48" si="43">MAX(AH15,AI15,AJ15)</f>
        <v>6.5142118363650386E-2</v>
      </c>
      <c r="AL15" s="10">
        <f t="shared" ref="AL15:AL48" si="44">1/(1+EXP(12.597-0.05861*35-1.568*((S15/0.817)^0.4612)))</f>
        <v>4.8536701165061607E-3</v>
      </c>
      <c r="AM15" s="10">
        <f t="shared" ref="AM15:AM48" si="45">AL15</f>
        <v>4.8536701165061607E-3</v>
      </c>
      <c r="AN15" s="10">
        <f t="shared" ref="AN15:AN48" si="46">1/(1+EXP(5.7949-0.7619*U15/1000))</f>
        <v>1.4288383145759124E-2</v>
      </c>
      <c r="AO15" s="10">
        <f t="shared" ref="AO15:AO48" si="47">1/(1+EXP(5.7949-0.7619*V15/1000))</f>
        <v>4.8766484893077965E-3</v>
      </c>
      <c r="AP15" s="175">
        <f t="shared" ref="AP15:AP48" si="48">MAX(AN15,AO15)</f>
        <v>1.4288383145759124E-2</v>
      </c>
      <c r="AQ15" s="66">
        <f t="shared" ref="AQ15:AQ48" si="49">ROUND(1-(1-W15)*(1-AA15)*(1-AC15)*(1-AF15),3)</f>
        <v>0.122</v>
      </c>
      <c r="AR15" s="10">
        <f t="shared" ref="AR15:AR48" si="50">ROUND(1-(1-AG15)*(1-AK15)*(1-AM15)*(1-AP15),3)</f>
        <v>0.09</v>
      </c>
      <c r="AS15" s="10">
        <f t="shared" ref="AS15:AS48" si="51">ROUND(AVERAGE(AR15,AQ15),3)</f>
        <v>0.106</v>
      </c>
      <c r="AT15" s="23">
        <f t="shared" ref="AT15:AT48" si="52">ROUND(AQ15/0.15,2)</f>
        <v>0.81</v>
      </c>
      <c r="AU15" s="23">
        <f t="shared" ref="AU15:AU48" si="53">ROUND(AR15/0.15,2)</f>
        <v>0.6</v>
      </c>
      <c r="AV15" s="23">
        <f t="shared" ref="AV15:AV48" si="54">ROUND(AS15/0.15,2)</f>
        <v>0.71</v>
      </c>
      <c r="AW15" s="24">
        <f t="shared" ref="AW15:AW48" si="55">IF(AT15&lt;0.67,5,IF(AT15&lt;1,4,IF(AT15&lt;1.33,3,IF(AT15&lt;2.67,2,1))))</f>
        <v>4</v>
      </c>
      <c r="AX15" s="24">
        <f t="shared" ref="AX15:AX48" si="56">IF(AU15&lt;0.67,5,IF(AU15&lt;1,4,IF(AU15&lt;1.33,3,IF(AU15&lt;2.67,2,1))))</f>
        <v>5</v>
      </c>
      <c r="AY15" s="24">
        <f t="shared" ref="AY15:AY48" si="57">IF(AV15&lt;0.67,5,IF(AV15&lt;1,4,IF(AV15&lt;1.33,3,IF(AV15&lt;2.67,2,1))))</f>
        <v>4</v>
      </c>
    </row>
    <row r="16" spans="1:51" ht="13.5" customHeight="1">
      <c r="A16" s="41">
        <v>14075</v>
      </c>
      <c r="B16" s="41" t="s">
        <v>143</v>
      </c>
      <c r="C16" s="37" t="str">
        <f>Rollover!A16</f>
        <v>Ford</v>
      </c>
      <c r="D16" s="37" t="str">
        <f>Rollover!B16</f>
        <v>Escape PHEV SUV FWD</v>
      </c>
      <c r="E16" s="69" t="s">
        <v>134</v>
      </c>
      <c r="F16" s="174">
        <f>Rollover!C16</f>
        <v>2022</v>
      </c>
      <c r="G16" s="26">
        <v>156.63999999999999</v>
      </c>
      <c r="H16" s="27">
        <v>0.26200000000000001</v>
      </c>
      <c r="I16" s="27">
        <v>641.73099999999999</v>
      </c>
      <c r="J16" s="27">
        <v>188.68799999999999</v>
      </c>
      <c r="K16" s="27">
        <v>29.442</v>
      </c>
      <c r="L16" s="27">
        <v>37.860999999999997</v>
      </c>
      <c r="M16" s="27">
        <v>1218.212</v>
      </c>
      <c r="N16" s="28">
        <v>789.03899999999999</v>
      </c>
      <c r="O16" s="26">
        <v>193.81</v>
      </c>
      <c r="P16" s="27">
        <v>0.39600000000000002</v>
      </c>
      <c r="Q16" s="27">
        <v>898.87199999999996</v>
      </c>
      <c r="R16" s="27">
        <v>218.697</v>
      </c>
      <c r="S16" s="27">
        <v>11.836</v>
      </c>
      <c r="T16" s="27">
        <v>44.459000000000003</v>
      </c>
      <c r="U16" s="27">
        <v>913.49300000000005</v>
      </c>
      <c r="V16" s="145">
        <v>854.52300000000002</v>
      </c>
      <c r="W16" s="137">
        <f t="shared" si="29"/>
        <v>5.9531699575115734E-4</v>
      </c>
      <c r="X16" s="10">
        <f t="shared" si="30"/>
        <v>6.2323035120640552E-2</v>
      </c>
      <c r="Y16" s="10">
        <f t="shared" si="31"/>
        <v>7.8652784069147761E-5</v>
      </c>
      <c r="Z16" s="10">
        <f t="shared" si="32"/>
        <v>2.681919167238517E-5</v>
      </c>
      <c r="AA16" s="10">
        <f t="shared" si="33"/>
        <v>6.2323035120640552E-2</v>
      </c>
      <c r="AB16" s="10">
        <f t="shared" si="34"/>
        <v>4.3771299180892086E-2</v>
      </c>
      <c r="AC16" s="10">
        <f t="shared" si="35"/>
        <v>4.3771299180892086E-2</v>
      </c>
      <c r="AD16" s="10">
        <f t="shared" si="36"/>
        <v>5.6980493049284663E-3</v>
      </c>
      <c r="AE16" s="10">
        <f t="shared" si="37"/>
        <v>4.5643001522353982E-3</v>
      </c>
      <c r="AF16" s="175">
        <f t="shared" si="38"/>
        <v>5.6980493049284663E-3</v>
      </c>
      <c r="AG16" s="137">
        <f t="shared" si="39"/>
        <v>1.5716456932745805E-3</v>
      </c>
      <c r="AH16" s="10">
        <f t="shared" si="40"/>
        <v>7.9639502946007176E-2</v>
      </c>
      <c r="AI16" s="10">
        <f t="shared" si="41"/>
        <v>5.1581184269641419E-4</v>
      </c>
      <c r="AJ16" s="10">
        <f t="shared" si="42"/>
        <v>3.9724118537212579E-5</v>
      </c>
      <c r="AK16" s="10">
        <f t="shared" si="43"/>
        <v>7.9639502946007176E-2</v>
      </c>
      <c r="AL16" s="10">
        <f t="shared" si="44"/>
        <v>5.6775750207933538E-3</v>
      </c>
      <c r="AM16" s="10">
        <f t="shared" si="45"/>
        <v>5.6775750207933538E-3</v>
      </c>
      <c r="AN16" s="10">
        <f t="shared" si="46"/>
        <v>6.066372094573393E-3</v>
      </c>
      <c r="AO16" s="10">
        <f t="shared" si="47"/>
        <v>5.8013930294366087E-3</v>
      </c>
      <c r="AP16" s="175">
        <f t="shared" si="48"/>
        <v>6.066372094573393E-3</v>
      </c>
      <c r="AQ16" s="66">
        <f t="shared" si="49"/>
        <v>0.109</v>
      </c>
      <c r="AR16" s="10">
        <f t="shared" si="50"/>
        <v>9.1999999999999998E-2</v>
      </c>
      <c r="AS16" s="10">
        <f t="shared" si="51"/>
        <v>0.10100000000000001</v>
      </c>
      <c r="AT16" s="23">
        <f t="shared" si="52"/>
        <v>0.73</v>
      </c>
      <c r="AU16" s="23">
        <f t="shared" si="53"/>
        <v>0.61</v>
      </c>
      <c r="AV16" s="23">
        <f t="shared" si="54"/>
        <v>0.67</v>
      </c>
      <c r="AW16" s="24">
        <f t="shared" si="55"/>
        <v>4</v>
      </c>
      <c r="AX16" s="24">
        <f t="shared" si="56"/>
        <v>5</v>
      </c>
      <c r="AY16" s="24">
        <f t="shared" si="57"/>
        <v>4</v>
      </c>
    </row>
    <row r="17" spans="1:51" ht="13.5" customHeight="1">
      <c r="A17" s="45">
        <v>14075</v>
      </c>
      <c r="B17" s="45" t="s">
        <v>143</v>
      </c>
      <c r="C17" s="176" t="str">
        <f>Rollover!A17</f>
        <v>Lincoln</v>
      </c>
      <c r="D17" s="176" t="str">
        <f>Rollover!B17</f>
        <v>Corsair PHEV SUV AWD</v>
      </c>
      <c r="E17" s="69" t="s">
        <v>134</v>
      </c>
      <c r="F17" s="174">
        <f>Rollover!C17</f>
        <v>2022</v>
      </c>
      <c r="G17" s="18">
        <v>156.63999999999999</v>
      </c>
      <c r="H17" s="19">
        <v>0.26200000000000001</v>
      </c>
      <c r="I17" s="19">
        <v>641.73099999999999</v>
      </c>
      <c r="J17" s="19">
        <v>188.68799999999999</v>
      </c>
      <c r="K17" s="19">
        <v>29.442</v>
      </c>
      <c r="L17" s="19">
        <v>37.860999999999997</v>
      </c>
      <c r="M17" s="19">
        <v>1218.212</v>
      </c>
      <c r="N17" s="20">
        <v>789.03899999999999</v>
      </c>
      <c r="O17" s="18">
        <v>193.81</v>
      </c>
      <c r="P17" s="19">
        <v>0.39600000000000002</v>
      </c>
      <c r="Q17" s="19">
        <v>898.87199999999996</v>
      </c>
      <c r="R17" s="19">
        <v>218.697</v>
      </c>
      <c r="S17" s="19">
        <v>11.836</v>
      </c>
      <c r="T17" s="19">
        <v>44.459000000000003</v>
      </c>
      <c r="U17" s="19">
        <v>913.49300000000005</v>
      </c>
      <c r="V17" s="136">
        <v>854.52300000000002</v>
      </c>
      <c r="W17" s="137">
        <f t="shared" si="29"/>
        <v>5.9531699575115734E-4</v>
      </c>
      <c r="X17" s="10">
        <f t="shared" si="30"/>
        <v>6.2323035120640552E-2</v>
      </c>
      <c r="Y17" s="10">
        <f t="shared" si="31"/>
        <v>7.8652784069147761E-5</v>
      </c>
      <c r="Z17" s="10">
        <f t="shared" si="32"/>
        <v>2.681919167238517E-5</v>
      </c>
      <c r="AA17" s="10">
        <f t="shared" si="33"/>
        <v>6.2323035120640552E-2</v>
      </c>
      <c r="AB17" s="10">
        <f t="shared" si="34"/>
        <v>4.3771299180892086E-2</v>
      </c>
      <c r="AC17" s="10">
        <f t="shared" si="35"/>
        <v>4.3771299180892086E-2</v>
      </c>
      <c r="AD17" s="10">
        <f t="shared" si="36"/>
        <v>5.6980493049284663E-3</v>
      </c>
      <c r="AE17" s="10">
        <f t="shared" si="37"/>
        <v>4.5643001522353982E-3</v>
      </c>
      <c r="AF17" s="175">
        <f t="shared" si="38"/>
        <v>5.6980493049284663E-3</v>
      </c>
      <c r="AG17" s="137">
        <f t="shared" si="39"/>
        <v>1.5716456932745805E-3</v>
      </c>
      <c r="AH17" s="10">
        <f t="shared" si="40"/>
        <v>7.9639502946007176E-2</v>
      </c>
      <c r="AI17" s="10">
        <f t="shared" si="41"/>
        <v>5.1581184269641419E-4</v>
      </c>
      <c r="AJ17" s="10">
        <f t="shared" si="42"/>
        <v>3.9724118537212579E-5</v>
      </c>
      <c r="AK17" s="10">
        <f t="shared" si="43"/>
        <v>7.9639502946007176E-2</v>
      </c>
      <c r="AL17" s="10">
        <f t="shared" si="44"/>
        <v>5.6775750207933538E-3</v>
      </c>
      <c r="AM17" s="10">
        <f t="shared" si="45"/>
        <v>5.6775750207933538E-3</v>
      </c>
      <c r="AN17" s="10">
        <f t="shared" si="46"/>
        <v>6.066372094573393E-3</v>
      </c>
      <c r="AO17" s="10">
        <f t="shared" si="47"/>
        <v>5.8013930294366087E-3</v>
      </c>
      <c r="AP17" s="175">
        <f t="shared" si="48"/>
        <v>6.066372094573393E-3</v>
      </c>
      <c r="AQ17" s="66">
        <f t="shared" si="49"/>
        <v>0.109</v>
      </c>
      <c r="AR17" s="10">
        <f t="shared" si="50"/>
        <v>9.1999999999999998E-2</v>
      </c>
      <c r="AS17" s="10">
        <f t="shared" si="51"/>
        <v>0.10100000000000001</v>
      </c>
      <c r="AT17" s="23">
        <f t="shared" si="52"/>
        <v>0.73</v>
      </c>
      <c r="AU17" s="23">
        <f t="shared" si="53"/>
        <v>0.61</v>
      </c>
      <c r="AV17" s="23">
        <f t="shared" si="54"/>
        <v>0.67</v>
      </c>
      <c r="AW17" s="24">
        <f t="shared" si="55"/>
        <v>4</v>
      </c>
      <c r="AX17" s="24">
        <f t="shared" si="56"/>
        <v>5</v>
      </c>
      <c r="AY17" s="24">
        <f t="shared" si="57"/>
        <v>4</v>
      </c>
    </row>
    <row r="18" spans="1:51" ht="13.5" customHeight="1">
      <c r="A18" s="45">
        <v>14087</v>
      </c>
      <c r="B18" s="45" t="s">
        <v>144</v>
      </c>
      <c r="C18" s="37" t="str">
        <f>Rollover!A18</f>
        <v>Ford</v>
      </c>
      <c r="D18" s="37" t="str">
        <f>Rollover!B18</f>
        <v>Expedition SUV 2WD</v>
      </c>
      <c r="E18" s="69" t="s">
        <v>134</v>
      </c>
      <c r="F18" s="174">
        <f>Rollover!C18</f>
        <v>2022</v>
      </c>
      <c r="G18" s="18">
        <v>203.583</v>
      </c>
      <c r="H18" s="19">
        <v>0.23799999999999999</v>
      </c>
      <c r="I18" s="19">
        <v>1202.635</v>
      </c>
      <c r="J18" s="19">
        <v>356.86700000000002</v>
      </c>
      <c r="K18" s="19">
        <v>20.056999999999999</v>
      </c>
      <c r="L18" s="19">
        <v>35.316000000000003</v>
      </c>
      <c r="M18" s="19">
        <v>775.56200000000001</v>
      </c>
      <c r="N18" s="20">
        <v>721.38900000000001</v>
      </c>
      <c r="O18" s="18">
        <v>200.386</v>
      </c>
      <c r="P18" s="19">
        <v>0.28199999999999997</v>
      </c>
      <c r="Q18" s="19">
        <v>1028.162</v>
      </c>
      <c r="R18" s="19">
        <v>384.04199999999997</v>
      </c>
      <c r="S18" s="19">
        <v>9.6110000000000007</v>
      </c>
      <c r="T18" s="19">
        <v>42.811</v>
      </c>
      <c r="U18" s="19">
        <v>233.108</v>
      </c>
      <c r="V18" s="136">
        <v>53.863</v>
      </c>
      <c r="W18" s="137">
        <f t="shared" si="29"/>
        <v>1.9453899592460726E-3</v>
      </c>
      <c r="X18" s="10">
        <f t="shared" si="30"/>
        <v>5.961817008594416E-2</v>
      </c>
      <c r="Y18" s="10">
        <f t="shared" si="31"/>
        <v>2.9796340446625665E-4</v>
      </c>
      <c r="Z18" s="10">
        <f t="shared" si="32"/>
        <v>3.9986012127877309E-5</v>
      </c>
      <c r="AA18" s="10">
        <f t="shared" si="33"/>
        <v>5.961817008594416E-2</v>
      </c>
      <c r="AB18" s="10">
        <f t="shared" si="34"/>
        <v>1.3458074232798186E-2</v>
      </c>
      <c r="AC18" s="10">
        <f t="shared" si="35"/>
        <v>1.3458074232798186E-2</v>
      </c>
      <c r="AD18" s="10">
        <f t="shared" si="36"/>
        <v>4.5325939742540625E-3</v>
      </c>
      <c r="AE18" s="10">
        <f t="shared" si="37"/>
        <v>4.4073425869178987E-3</v>
      </c>
      <c r="AF18" s="175">
        <f t="shared" si="38"/>
        <v>4.5325939742540625E-3</v>
      </c>
      <c r="AG18" s="137">
        <f t="shared" si="39"/>
        <v>1.8171495766099875E-3</v>
      </c>
      <c r="AH18" s="10">
        <f t="shared" si="40"/>
        <v>6.4664168782384332E-2</v>
      </c>
      <c r="AI18" s="10">
        <f t="shared" si="41"/>
        <v>8.3952933223302938E-4</v>
      </c>
      <c r="AJ18" s="10">
        <f t="shared" si="42"/>
        <v>7.4089572888536606E-5</v>
      </c>
      <c r="AK18" s="10">
        <f t="shared" si="43"/>
        <v>6.4664168782384332E-2</v>
      </c>
      <c r="AL18" s="10">
        <f t="shared" si="44"/>
        <v>3.4766533926281419E-3</v>
      </c>
      <c r="AM18" s="10">
        <f t="shared" si="45"/>
        <v>3.4766533926281419E-3</v>
      </c>
      <c r="AN18" s="10">
        <f t="shared" si="46"/>
        <v>3.6212975248191646E-3</v>
      </c>
      <c r="AO18" s="10">
        <f t="shared" si="47"/>
        <v>3.1604929139524831E-3</v>
      </c>
      <c r="AP18" s="175">
        <f t="shared" si="48"/>
        <v>3.6212975248191646E-3</v>
      </c>
      <c r="AQ18" s="66">
        <f t="shared" si="49"/>
        <v>7.8E-2</v>
      </c>
      <c r="AR18" s="10">
        <f t="shared" si="50"/>
        <v>7.2999999999999995E-2</v>
      </c>
      <c r="AS18" s="10">
        <f t="shared" si="51"/>
        <v>7.5999999999999998E-2</v>
      </c>
      <c r="AT18" s="23">
        <f t="shared" si="52"/>
        <v>0.52</v>
      </c>
      <c r="AU18" s="23">
        <f t="shared" si="53"/>
        <v>0.49</v>
      </c>
      <c r="AV18" s="23">
        <f t="shared" si="54"/>
        <v>0.51</v>
      </c>
      <c r="AW18" s="24">
        <f t="shared" si="55"/>
        <v>5</v>
      </c>
      <c r="AX18" s="24">
        <f t="shared" si="56"/>
        <v>5</v>
      </c>
      <c r="AY18" s="24">
        <f t="shared" si="57"/>
        <v>5</v>
      </c>
    </row>
    <row r="19" spans="1:51" ht="13.5" customHeight="1">
      <c r="A19" s="45">
        <v>14087</v>
      </c>
      <c r="B19" s="45" t="s">
        <v>144</v>
      </c>
      <c r="C19" s="37" t="str">
        <f>Rollover!A19</f>
        <v>Ford</v>
      </c>
      <c r="D19" s="37" t="str">
        <f>Rollover!B19</f>
        <v>Expedition SUV 4WD</v>
      </c>
      <c r="E19" s="69" t="s">
        <v>134</v>
      </c>
      <c r="F19" s="174">
        <f>Rollover!C19</f>
        <v>2022</v>
      </c>
      <c r="G19" s="18">
        <v>203.583</v>
      </c>
      <c r="H19" s="19">
        <v>0.23799999999999999</v>
      </c>
      <c r="I19" s="19">
        <v>1202.635</v>
      </c>
      <c r="J19" s="19">
        <v>356.86700000000002</v>
      </c>
      <c r="K19" s="19">
        <v>20.056999999999999</v>
      </c>
      <c r="L19" s="19">
        <v>35.316000000000003</v>
      </c>
      <c r="M19" s="19">
        <v>775.56200000000001</v>
      </c>
      <c r="N19" s="20">
        <v>721.38900000000001</v>
      </c>
      <c r="O19" s="18">
        <v>200.386</v>
      </c>
      <c r="P19" s="19">
        <v>0.28199999999999997</v>
      </c>
      <c r="Q19" s="19">
        <v>1028.162</v>
      </c>
      <c r="R19" s="19">
        <v>384.04199999999997</v>
      </c>
      <c r="S19" s="19">
        <v>9.6110000000000007</v>
      </c>
      <c r="T19" s="19">
        <v>42.811</v>
      </c>
      <c r="U19" s="19">
        <v>233.108</v>
      </c>
      <c r="V19" s="136">
        <v>53.863</v>
      </c>
      <c r="W19" s="137">
        <f t="shared" si="29"/>
        <v>1.9453899592460726E-3</v>
      </c>
      <c r="X19" s="10">
        <f t="shared" si="30"/>
        <v>5.961817008594416E-2</v>
      </c>
      <c r="Y19" s="10">
        <f t="shared" si="31"/>
        <v>2.9796340446625665E-4</v>
      </c>
      <c r="Z19" s="10">
        <f t="shared" si="32"/>
        <v>3.9986012127877309E-5</v>
      </c>
      <c r="AA19" s="10">
        <f t="shared" si="33"/>
        <v>5.961817008594416E-2</v>
      </c>
      <c r="AB19" s="10">
        <f t="shared" si="34"/>
        <v>1.3458074232798186E-2</v>
      </c>
      <c r="AC19" s="10">
        <f t="shared" si="35"/>
        <v>1.3458074232798186E-2</v>
      </c>
      <c r="AD19" s="10">
        <f t="shared" si="36"/>
        <v>4.5325939742540625E-3</v>
      </c>
      <c r="AE19" s="10">
        <f t="shared" si="37"/>
        <v>4.4073425869178987E-3</v>
      </c>
      <c r="AF19" s="175">
        <f t="shared" si="38"/>
        <v>4.5325939742540625E-3</v>
      </c>
      <c r="AG19" s="137">
        <f t="shared" si="39"/>
        <v>1.8171495766099875E-3</v>
      </c>
      <c r="AH19" s="10">
        <f t="shared" si="40"/>
        <v>6.4664168782384332E-2</v>
      </c>
      <c r="AI19" s="10">
        <f t="shared" si="41"/>
        <v>8.3952933223302938E-4</v>
      </c>
      <c r="AJ19" s="10">
        <f t="shared" si="42"/>
        <v>7.4089572888536606E-5</v>
      </c>
      <c r="AK19" s="10">
        <f t="shared" si="43"/>
        <v>6.4664168782384332E-2</v>
      </c>
      <c r="AL19" s="10">
        <f t="shared" si="44"/>
        <v>3.4766533926281419E-3</v>
      </c>
      <c r="AM19" s="10">
        <f t="shared" si="45"/>
        <v>3.4766533926281419E-3</v>
      </c>
      <c r="AN19" s="10">
        <f t="shared" si="46"/>
        <v>3.6212975248191646E-3</v>
      </c>
      <c r="AO19" s="10">
        <f t="shared" si="47"/>
        <v>3.1604929139524831E-3</v>
      </c>
      <c r="AP19" s="175">
        <f t="shared" si="48"/>
        <v>3.6212975248191646E-3</v>
      </c>
      <c r="AQ19" s="66">
        <f t="shared" si="49"/>
        <v>7.8E-2</v>
      </c>
      <c r="AR19" s="10">
        <f t="shared" si="50"/>
        <v>7.2999999999999995E-2</v>
      </c>
      <c r="AS19" s="10">
        <f t="shared" si="51"/>
        <v>7.5999999999999998E-2</v>
      </c>
      <c r="AT19" s="23">
        <f t="shared" si="52"/>
        <v>0.52</v>
      </c>
      <c r="AU19" s="23">
        <f t="shared" si="53"/>
        <v>0.49</v>
      </c>
      <c r="AV19" s="23">
        <f t="shared" si="54"/>
        <v>0.51</v>
      </c>
      <c r="AW19" s="24">
        <f t="shared" si="55"/>
        <v>5</v>
      </c>
      <c r="AX19" s="24">
        <f t="shared" si="56"/>
        <v>5</v>
      </c>
      <c r="AY19" s="24">
        <f t="shared" si="57"/>
        <v>5</v>
      </c>
    </row>
    <row r="20" spans="1:51" ht="13.5" customHeight="1">
      <c r="A20" s="45">
        <v>14087</v>
      </c>
      <c r="B20" s="45" t="s">
        <v>144</v>
      </c>
      <c r="C20" s="176" t="str">
        <f>Rollover!A20</f>
        <v>Ford</v>
      </c>
      <c r="D20" s="176" t="str">
        <f>Rollover!B20</f>
        <v>Expedition EL SUV 2WD</v>
      </c>
      <c r="E20" s="69" t="s">
        <v>134</v>
      </c>
      <c r="F20" s="174">
        <f>Rollover!C20</f>
        <v>2022</v>
      </c>
      <c r="G20" s="18">
        <v>203.583</v>
      </c>
      <c r="H20" s="19">
        <v>0.23799999999999999</v>
      </c>
      <c r="I20" s="19">
        <v>1202.635</v>
      </c>
      <c r="J20" s="19">
        <v>356.86700000000002</v>
      </c>
      <c r="K20" s="19">
        <v>20.056999999999999</v>
      </c>
      <c r="L20" s="19" t="s">
        <v>262</v>
      </c>
      <c r="M20" s="19">
        <v>775.56200000000001</v>
      </c>
      <c r="N20" s="20">
        <v>721.38900000000001</v>
      </c>
      <c r="O20" s="18">
        <v>200.386</v>
      </c>
      <c r="P20" s="19">
        <v>0.28199999999999997</v>
      </c>
      <c r="Q20" s="19">
        <v>1028.162</v>
      </c>
      <c r="R20" s="19">
        <v>384.04199999999997</v>
      </c>
      <c r="S20" s="19">
        <v>9.6110000000000007</v>
      </c>
      <c r="T20" s="19">
        <v>42.811</v>
      </c>
      <c r="U20" s="19">
        <v>233.108</v>
      </c>
      <c r="V20" s="136">
        <v>53.863</v>
      </c>
      <c r="W20" s="137">
        <f t="shared" si="29"/>
        <v>1.9453899592460726E-3</v>
      </c>
      <c r="X20" s="10">
        <f t="shared" si="30"/>
        <v>5.961817008594416E-2</v>
      </c>
      <c r="Y20" s="10">
        <f t="shared" si="31"/>
        <v>2.9796340446625665E-4</v>
      </c>
      <c r="Z20" s="10">
        <f t="shared" si="32"/>
        <v>3.9986012127877309E-5</v>
      </c>
      <c r="AA20" s="10">
        <f t="shared" si="33"/>
        <v>5.961817008594416E-2</v>
      </c>
      <c r="AB20" s="10">
        <f t="shared" si="34"/>
        <v>1.3458074232798186E-2</v>
      </c>
      <c r="AC20" s="10">
        <f t="shared" si="35"/>
        <v>1.3458074232798186E-2</v>
      </c>
      <c r="AD20" s="10">
        <f t="shared" si="36"/>
        <v>4.5325939742540625E-3</v>
      </c>
      <c r="AE20" s="10">
        <f t="shared" si="37"/>
        <v>4.4073425869178987E-3</v>
      </c>
      <c r="AF20" s="175">
        <f t="shared" si="38"/>
        <v>4.5325939742540625E-3</v>
      </c>
      <c r="AG20" s="137">
        <f t="shared" si="39"/>
        <v>1.8171495766099875E-3</v>
      </c>
      <c r="AH20" s="10">
        <f t="shared" si="40"/>
        <v>6.4664168782384332E-2</v>
      </c>
      <c r="AI20" s="10">
        <f t="shared" si="41"/>
        <v>8.3952933223302938E-4</v>
      </c>
      <c r="AJ20" s="10">
        <f t="shared" si="42"/>
        <v>7.4089572888536606E-5</v>
      </c>
      <c r="AK20" s="10">
        <f t="shared" si="43"/>
        <v>6.4664168782384332E-2</v>
      </c>
      <c r="AL20" s="10">
        <f t="shared" si="44"/>
        <v>3.4766533926281419E-3</v>
      </c>
      <c r="AM20" s="10">
        <f t="shared" si="45"/>
        <v>3.4766533926281419E-3</v>
      </c>
      <c r="AN20" s="10">
        <f t="shared" si="46"/>
        <v>3.6212975248191646E-3</v>
      </c>
      <c r="AO20" s="10">
        <f t="shared" si="47"/>
        <v>3.1604929139524831E-3</v>
      </c>
      <c r="AP20" s="175">
        <f t="shared" si="48"/>
        <v>3.6212975248191646E-3</v>
      </c>
      <c r="AQ20" s="66">
        <f t="shared" si="49"/>
        <v>7.8E-2</v>
      </c>
      <c r="AR20" s="10">
        <f t="shared" si="50"/>
        <v>7.2999999999999995E-2</v>
      </c>
      <c r="AS20" s="10">
        <f t="shared" si="51"/>
        <v>7.5999999999999998E-2</v>
      </c>
      <c r="AT20" s="23">
        <f t="shared" si="52"/>
        <v>0.52</v>
      </c>
      <c r="AU20" s="23">
        <f t="shared" si="53"/>
        <v>0.49</v>
      </c>
      <c r="AV20" s="23">
        <f t="shared" si="54"/>
        <v>0.51</v>
      </c>
      <c r="AW20" s="24">
        <f t="shared" si="55"/>
        <v>5</v>
      </c>
      <c r="AX20" s="24">
        <f t="shared" si="56"/>
        <v>5</v>
      </c>
      <c r="AY20" s="24">
        <f t="shared" si="57"/>
        <v>5</v>
      </c>
    </row>
    <row r="21" spans="1:51" ht="13.5" customHeight="1">
      <c r="A21" s="45">
        <v>14087</v>
      </c>
      <c r="B21" s="45" t="s">
        <v>144</v>
      </c>
      <c r="C21" s="176" t="str">
        <f>Rollover!A21</f>
        <v>Ford</v>
      </c>
      <c r="D21" s="176" t="str">
        <f>Rollover!B21</f>
        <v>Expedition EL SUV 4WD</v>
      </c>
      <c r="E21" s="69" t="s">
        <v>134</v>
      </c>
      <c r="F21" s="174">
        <f>Rollover!C21</f>
        <v>2022</v>
      </c>
      <c r="G21" s="18">
        <v>203.583</v>
      </c>
      <c r="H21" s="19">
        <v>0.23799999999999999</v>
      </c>
      <c r="I21" s="19">
        <v>1202.635</v>
      </c>
      <c r="J21" s="19">
        <v>356.86700000000002</v>
      </c>
      <c r="K21" s="19">
        <v>20.056999999999999</v>
      </c>
      <c r="L21" s="19">
        <v>35.316000000000003</v>
      </c>
      <c r="M21" s="19">
        <v>775.56200000000001</v>
      </c>
      <c r="N21" s="20">
        <v>721.38900000000001</v>
      </c>
      <c r="O21" s="18">
        <v>200.386</v>
      </c>
      <c r="P21" s="19">
        <v>0.28199999999999997</v>
      </c>
      <c r="Q21" s="19">
        <v>1028.162</v>
      </c>
      <c r="R21" s="19">
        <v>384.04199999999997</v>
      </c>
      <c r="S21" s="19">
        <v>9.6110000000000007</v>
      </c>
      <c r="T21" s="19">
        <v>42.811</v>
      </c>
      <c r="U21" s="19">
        <v>233.108</v>
      </c>
      <c r="V21" s="136">
        <v>53.863</v>
      </c>
      <c r="W21" s="137">
        <f t="shared" si="29"/>
        <v>1.9453899592460726E-3</v>
      </c>
      <c r="X21" s="10">
        <f t="shared" si="30"/>
        <v>5.961817008594416E-2</v>
      </c>
      <c r="Y21" s="10">
        <f t="shared" si="31"/>
        <v>2.9796340446625665E-4</v>
      </c>
      <c r="Z21" s="10">
        <f t="shared" si="32"/>
        <v>3.9986012127877309E-5</v>
      </c>
      <c r="AA21" s="10">
        <f t="shared" si="33"/>
        <v>5.961817008594416E-2</v>
      </c>
      <c r="AB21" s="10">
        <f t="shared" si="34"/>
        <v>1.3458074232798186E-2</v>
      </c>
      <c r="AC21" s="10">
        <f t="shared" si="35"/>
        <v>1.3458074232798186E-2</v>
      </c>
      <c r="AD21" s="10">
        <f t="shared" si="36"/>
        <v>4.5325939742540625E-3</v>
      </c>
      <c r="AE21" s="10">
        <f t="shared" si="37"/>
        <v>4.4073425869178987E-3</v>
      </c>
      <c r="AF21" s="175">
        <f t="shared" si="38"/>
        <v>4.5325939742540625E-3</v>
      </c>
      <c r="AG21" s="137">
        <f t="shared" si="39"/>
        <v>1.8171495766099875E-3</v>
      </c>
      <c r="AH21" s="10">
        <f t="shared" si="40"/>
        <v>6.4664168782384332E-2</v>
      </c>
      <c r="AI21" s="10">
        <f t="shared" si="41"/>
        <v>8.3952933223302938E-4</v>
      </c>
      <c r="AJ21" s="10">
        <f t="shared" si="42"/>
        <v>7.4089572888536606E-5</v>
      </c>
      <c r="AK21" s="10">
        <f t="shared" si="43"/>
        <v>6.4664168782384332E-2</v>
      </c>
      <c r="AL21" s="10">
        <f t="shared" si="44"/>
        <v>3.4766533926281419E-3</v>
      </c>
      <c r="AM21" s="10">
        <f t="shared" si="45"/>
        <v>3.4766533926281419E-3</v>
      </c>
      <c r="AN21" s="10">
        <f t="shared" si="46"/>
        <v>3.6212975248191646E-3</v>
      </c>
      <c r="AO21" s="10">
        <f t="shared" si="47"/>
        <v>3.1604929139524831E-3</v>
      </c>
      <c r="AP21" s="175">
        <f t="shared" si="48"/>
        <v>3.6212975248191646E-3</v>
      </c>
      <c r="AQ21" s="66">
        <f t="shared" si="49"/>
        <v>7.8E-2</v>
      </c>
      <c r="AR21" s="10">
        <f t="shared" si="50"/>
        <v>7.2999999999999995E-2</v>
      </c>
      <c r="AS21" s="10">
        <f t="shared" si="51"/>
        <v>7.5999999999999998E-2</v>
      </c>
      <c r="AT21" s="23">
        <f t="shared" si="52"/>
        <v>0.52</v>
      </c>
      <c r="AU21" s="23">
        <f t="shared" si="53"/>
        <v>0.49</v>
      </c>
      <c r="AV21" s="23">
        <f t="shared" si="54"/>
        <v>0.51</v>
      </c>
      <c r="AW21" s="24">
        <f t="shared" si="55"/>
        <v>5</v>
      </c>
      <c r="AX21" s="24">
        <f t="shared" si="56"/>
        <v>5</v>
      </c>
      <c r="AY21" s="24">
        <f t="shared" si="57"/>
        <v>5</v>
      </c>
    </row>
    <row r="22" spans="1:51" ht="13.5" customHeight="1">
      <c r="A22" s="45">
        <v>14087</v>
      </c>
      <c r="B22" s="45" t="s">
        <v>144</v>
      </c>
      <c r="C22" s="16" t="str">
        <f>Rollover!A22</f>
        <v>Lincoln</v>
      </c>
      <c r="D22" s="16" t="str">
        <f>Rollover!B22</f>
        <v>Navigator SUV 2WD</v>
      </c>
      <c r="E22" s="69" t="s">
        <v>134</v>
      </c>
      <c r="F22" s="34">
        <f>Rollover!C22</f>
        <v>2022</v>
      </c>
      <c r="G22" s="18">
        <v>203.583</v>
      </c>
      <c r="H22" s="19">
        <v>0.23799999999999999</v>
      </c>
      <c r="I22" s="19">
        <v>1202.635</v>
      </c>
      <c r="J22" s="19">
        <v>356.86700000000002</v>
      </c>
      <c r="K22" s="19">
        <v>20.056999999999999</v>
      </c>
      <c r="L22" s="19">
        <v>35.316000000000003</v>
      </c>
      <c r="M22" s="19">
        <v>775.56200000000001</v>
      </c>
      <c r="N22" s="20">
        <v>721.38900000000001</v>
      </c>
      <c r="O22" s="18">
        <v>200.386</v>
      </c>
      <c r="P22" s="19">
        <v>0.28199999999999997</v>
      </c>
      <c r="Q22" s="19">
        <v>1028.162</v>
      </c>
      <c r="R22" s="19">
        <v>384.04199999999997</v>
      </c>
      <c r="S22" s="19">
        <v>9.6110000000000007</v>
      </c>
      <c r="T22" s="19">
        <v>42.811</v>
      </c>
      <c r="U22" s="19">
        <v>233.108</v>
      </c>
      <c r="V22" s="136">
        <v>53.863</v>
      </c>
      <c r="W22" s="137">
        <f>NORMDIST(LN(G22),7.45231,0.73998,1)</f>
        <v>1.9453899592460726E-3</v>
      </c>
      <c r="X22" s="10">
        <f>1/(1+EXP(3.2269-1.9688*H22))</f>
        <v>5.961817008594416E-2</v>
      </c>
      <c r="Y22" s="10">
        <f t="shared" ref="Y22:Z25" si="58">1/(1+EXP(10.9745-2.375*I22/1000))</f>
        <v>2.9796340446625665E-4</v>
      </c>
      <c r="Z22" s="10">
        <f t="shared" si="58"/>
        <v>3.9986012127877309E-5</v>
      </c>
      <c r="AA22" s="10">
        <f>MAX(X22,Y22,Z22)</f>
        <v>5.961817008594416E-2</v>
      </c>
      <c r="AB22" s="10">
        <f>1/(1+EXP(12.597-0.05861*35-1.568*(K22^0.4612)))</f>
        <v>1.3458074232798186E-2</v>
      </c>
      <c r="AC22" s="10">
        <f>AB22</f>
        <v>1.3458074232798186E-2</v>
      </c>
      <c r="AD22" s="10">
        <f t="shared" ref="AD22:AE25" si="59">1/(1+EXP(5.7949-0.5196*M22/1000))</f>
        <v>4.5325939742540625E-3</v>
      </c>
      <c r="AE22" s="10">
        <f t="shared" si="59"/>
        <v>4.4073425869178987E-3</v>
      </c>
      <c r="AF22" s="175">
        <f>MAX(AD22,AE22)</f>
        <v>4.5325939742540625E-3</v>
      </c>
      <c r="AG22" s="137">
        <f>NORMDIST(LN(O22),7.45231,0.73998,1)</f>
        <v>1.8171495766099875E-3</v>
      </c>
      <c r="AH22" s="10">
        <f>1/(1+EXP(3.2269-1.9688*P22))</f>
        <v>6.4664168782384332E-2</v>
      </c>
      <c r="AI22" s="10">
        <f t="shared" ref="AI22:AJ25" si="60">1/(1+EXP(10.958-3.77*Q22/1000))</f>
        <v>8.3952933223302938E-4</v>
      </c>
      <c r="AJ22" s="10">
        <f t="shared" si="60"/>
        <v>7.4089572888536606E-5</v>
      </c>
      <c r="AK22" s="10">
        <f>MAX(AH22,AI22,AJ22)</f>
        <v>6.4664168782384332E-2</v>
      </c>
      <c r="AL22" s="10">
        <f>1/(1+EXP(12.597-0.05861*35-1.568*((S22/0.817)^0.4612)))</f>
        <v>3.4766533926281419E-3</v>
      </c>
      <c r="AM22" s="10">
        <f>AL22</f>
        <v>3.4766533926281419E-3</v>
      </c>
      <c r="AN22" s="10">
        <f t="shared" ref="AN22:AO25" si="61">1/(1+EXP(5.7949-0.7619*U22/1000))</f>
        <v>3.6212975248191646E-3</v>
      </c>
      <c r="AO22" s="10">
        <f t="shared" si="61"/>
        <v>3.1604929139524831E-3</v>
      </c>
      <c r="AP22" s="175">
        <f>MAX(AN22,AO22)</f>
        <v>3.6212975248191646E-3</v>
      </c>
      <c r="AQ22" s="66">
        <f>ROUND(1-(1-W22)*(1-AA22)*(1-AC22)*(1-AF22),3)</f>
        <v>7.8E-2</v>
      </c>
      <c r="AR22" s="10">
        <f>ROUND(1-(1-AG22)*(1-AK22)*(1-AM22)*(1-AP22),3)</f>
        <v>7.2999999999999995E-2</v>
      </c>
      <c r="AS22" s="10">
        <f>ROUND(AVERAGE(AR22,AQ22),3)</f>
        <v>7.5999999999999998E-2</v>
      </c>
      <c r="AT22" s="23">
        <f t="shared" ref="AT22:AV25" si="62">ROUND(AQ22/0.15,2)</f>
        <v>0.52</v>
      </c>
      <c r="AU22" s="23">
        <f t="shared" si="62"/>
        <v>0.49</v>
      </c>
      <c r="AV22" s="23">
        <f t="shared" si="62"/>
        <v>0.51</v>
      </c>
      <c r="AW22" s="24">
        <f t="shared" ref="AW22:AY25" si="63">IF(AT22&lt;0.67,5,IF(AT22&lt;1,4,IF(AT22&lt;1.33,3,IF(AT22&lt;2.67,2,1))))</f>
        <v>5</v>
      </c>
      <c r="AX22" s="24">
        <f t="shared" si="63"/>
        <v>5</v>
      </c>
      <c r="AY22" s="24">
        <f t="shared" si="63"/>
        <v>5</v>
      </c>
    </row>
    <row r="23" spans="1:51" ht="13.5" customHeight="1">
      <c r="A23" s="45">
        <v>14087</v>
      </c>
      <c r="B23" s="45" t="s">
        <v>144</v>
      </c>
      <c r="C23" s="16" t="str">
        <f>Rollover!A23</f>
        <v>Lincoln</v>
      </c>
      <c r="D23" s="16" t="str">
        <f>Rollover!B23</f>
        <v>Navigator SUV 4WD</v>
      </c>
      <c r="E23" s="69" t="s">
        <v>134</v>
      </c>
      <c r="F23" s="34">
        <f>Rollover!C23</f>
        <v>2022</v>
      </c>
      <c r="G23" s="18">
        <v>203.583</v>
      </c>
      <c r="H23" s="19">
        <v>0.23799999999999999</v>
      </c>
      <c r="I23" s="19">
        <v>1202.635</v>
      </c>
      <c r="J23" s="19">
        <v>356.86700000000002</v>
      </c>
      <c r="K23" s="19">
        <v>20.056999999999999</v>
      </c>
      <c r="L23" s="19">
        <v>35.316000000000003</v>
      </c>
      <c r="M23" s="19">
        <v>775.56200000000001</v>
      </c>
      <c r="N23" s="20">
        <v>721.38900000000001</v>
      </c>
      <c r="O23" s="18">
        <v>200.386</v>
      </c>
      <c r="P23" s="19">
        <v>0.28199999999999997</v>
      </c>
      <c r="Q23" s="19">
        <v>1028.162</v>
      </c>
      <c r="R23" s="19">
        <v>384.04199999999997</v>
      </c>
      <c r="S23" s="19">
        <v>9.6110000000000007</v>
      </c>
      <c r="T23" s="19">
        <v>42.811</v>
      </c>
      <c r="U23" s="19">
        <v>233.108</v>
      </c>
      <c r="V23" s="136">
        <v>53.863</v>
      </c>
      <c r="W23" s="137">
        <f>NORMDIST(LN(G23),7.45231,0.73998,1)</f>
        <v>1.9453899592460726E-3</v>
      </c>
      <c r="X23" s="10">
        <f>1/(1+EXP(3.2269-1.9688*H23))</f>
        <v>5.961817008594416E-2</v>
      </c>
      <c r="Y23" s="10">
        <f t="shared" si="58"/>
        <v>2.9796340446625665E-4</v>
      </c>
      <c r="Z23" s="10">
        <f t="shared" si="58"/>
        <v>3.9986012127877309E-5</v>
      </c>
      <c r="AA23" s="10">
        <f>MAX(X23,Y23,Z23)</f>
        <v>5.961817008594416E-2</v>
      </c>
      <c r="AB23" s="10">
        <f>1/(1+EXP(12.597-0.05861*35-1.568*(K23^0.4612)))</f>
        <v>1.3458074232798186E-2</v>
      </c>
      <c r="AC23" s="10">
        <f>AB23</f>
        <v>1.3458074232798186E-2</v>
      </c>
      <c r="AD23" s="10">
        <f t="shared" si="59"/>
        <v>4.5325939742540625E-3</v>
      </c>
      <c r="AE23" s="10">
        <f t="shared" si="59"/>
        <v>4.4073425869178987E-3</v>
      </c>
      <c r="AF23" s="175">
        <f>MAX(AD23,AE23)</f>
        <v>4.5325939742540625E-3</v>
      </c>
      <c r="AG23" s="137">
        <f>NORMDIST(LN(O23),7.45231,0.73998,1)</f>
        <v>1.8171495766099875E-3</v>
      </c>
      <c r="AH23" s="10">
        <f>1/(1+EXP(3.2269-1.9688*P23))</f>
        <v>6.4664168782384332E-2</v>
      </c>
      <c r="AI23" s="10">
        <f t="shared" si="60"/>
        <v>8.3952933223302938E-4</v>
      </c>
      <c r="AJ23" s="10">
        <f t="shared" si="60"/>
        <v>7.4089572888536606E-5</v>
      </c>
      <c r="AK23" s="10">
        <f>MAX(AH23,AI23,AJ23)</f>
        <v>6.4664168782384332E-2</v>
      </c>
      <c r="AL23" s="10">
        <f>1/(1+EXP(12.597-0.05861*35-1.568*((S23/0.817)^0.4612)))</f>
        <v>3.4766533926281419E-3</v>
      </c>
      <c r="AM23" s="10">
        <f>AL23</f>
        <v>3.4766533926281419E-3</v>
      </c>
      <c r="AN23" s="10">
        <f t="shared" si="61"/>
        <v>3.6212975248191646E-3</v>
      </c>
      <c r="AO23" s="10">
        <f t="shared" si="61"/>
        <v>3.1604929139524831E-3</v>
      </c>
      <c r="AP23" s="175">
        <f>MAX(AN23,AO23)</f>
        <v>3.6212975248191646E-3</v>
      </c>
      <c r="AQ23" s="66">
        <f>ROUND(1-(1-W23)*(1-AA23)*(1-AC23)*(1-AF23),3)</f>
        <v>7.8E-2</v>
      </c>
      <c r="AR23" s="10">
        <f>ROUND(1-(1-AG23)*(1-AK23)*(1-AM23)*(1-AP23),3)</f>
        <v>7.2999999999999995E-2</v>
      </c>
      <c r="AS23" s="10">
        <f>ROUND(AVERAGE(AR23,AQ23),3)</f>
        <v>7.5999999999999998E-2</v>
      </c>
      <c r="AT23" s="23">
        <f t="shared" si="62"/>
        <v>0.52</v>
      </c>
      <c r="AU23" s="23">
        <f t="shared" si="62"/>
        <v>0.49</v>
      </c>
      <c r="AV23" s="23">
        <f t="shared" si="62"/>
        <v>0.51</v>
      </c>
      <c r="AW23" s="24">
        <f t="shared" si="63"/>
        <v>5</v>
      </c>
      <c r="AX23" s="24">
        <f t="shared" si="63"/>
        <v>5</v>
      </c>
      <c r="AY23" s="24">
        <f t="shared" si="63"/>
        <v>5</v>
      </c>
    </row>
    <row r="24" spans="1:51" ht="13.5" customHeight="1">
      <c r="A24" s="45">
        <v>14087</v>
      </c>
      <c r="B24" s="45" t="s">
        <v>144</v>
      </c>
      <c r="C24" s="16" t="str">
        <f>Rollover!A24</f>
        <v>Lincoln</v>
      </c>
      <c r="D24" s="16" t="str">
        <f>Rollover!B24</f>
        <v>Navigator EL 2WD</v>
      </c>
      <c r="E24" s="69" t="s">
        <v>134</v>
      </c>
      <c r="F24" s="34">
        <f>Rollover!C24</f>
        <v>2022</v>
      </c>
      <c r="G24" s="18">
        <v>203.583</v>
      </c>
      <c r="H24" s="19">
        <v>0.23799999999999999</v>
      </c>
      <c r="I24" s="19">
        <v>1202.635</v>
      </c>
      <c r="J24" s="19">
        <v>356.86700000000002</v>
      </c>
      <c r="K24" s="19">
        <v>20.056999999999999</v>
      </c>
      <c r="L24" s="19">
        <v>35.316000000000003</v>
      </c>
      <c r="M24" s="19">
        <v>775.56200000000001</v>
      </c>
      <c r="N24" s="20">
        <v>721.38900000000001</v>
      </c>
      <c r="O24" s="18">
        <v>200.386</v>
      </c>
      <c r="P24" s="19">
        <v>0.28199999999999997</v>
      </c>
      <c r="Q24" s="19">
        <v>1028.162</v>
      </c>
      <c r="R24" s="19">
        <v>384.04199999999997</v>
      </c>
      <c r="S24" s="19">
        <v>9.6110000000000007</v>
      </c>
      <c r="T24" s="19">
        <v>42.811</v>
      </c>
      <c r="U24" s="19">
        <v>233.108</v>
      </c>
      <c r="V24" s="136">
        <v>53.863</v>
      </c>
      <c r="W24" s="137">
        <f>NORMDIST(LN(G24),7.45231,0.73998,1)</f>
        <v>1.9453899592460726E-3</v>
      </c>
      <c r="X24" s="10">
        <f>1/(1+EXP(3.2269-1.9688*H24))</f>
        <v>5.961817008594416E-2</v>
      </c>
      <c r="Y24" s="10">
        <f t="shared" si="58"/>
        <v>2.9796340446625665E-4</v>
      </c>
      <c r="Z24" s="10">
        <f t="shared" si="58"/>
        <v>3.9986012127877309E-5</v>
      </c>
      <c r="AA24" s="10">
        <f>MAX(X24,Y24,Z24)</f>
        <v>5.961817008594416E-2</v>
      </c>
      <c r="AB24" s="10">
        <f>1/(1+EXP(12.597-0.05861*35-1.568*(K24^0.4612)))</f>
        <v>1.3458074232798186E-2</v>
      </c>
      <c r="AC24" s="10">
        <f>AB24</f>
        <v>1.3458074232798186E-2</v>
      </c>
      <c r="AD24" s="10">
        <f t="shared" si="59"/>
        <v>4.5325939742540625E-3</v>
      </c>
      <c r="AE24" s="10">
        <f t="shared" si="59"/>
        <v>4.4073425869178987E-3</v>
      </c>
      <c r="AF24" s="175">
        <f>MAX(AD24,AE24)</f>
        <v>4.5325939742540625E-3</v>
      </c>
      <c r="AG24" s="137">
        <f>NORMDIST(LN(O24),7.45231,0.73998,1)</f>
        <v>1.8171495766099875E-3</v>
      </c>
      <c r="AH24" s="10">
        <f>1/(1+EXP(3.2269-1.9688*P24))</f>
        <v>6.4664168782384332E-2</v>
      </c>
      <c r="AI24" s="10">
        <f t="shared" si="60"/>
        <v>8.3952933223302938E-4</v>
      </c>
      <c r="AJ24" s="10">
        <f t="shared" si="60"/>
        <v>7.4089572888536606E-5</v>
      </c>
      <c r="AK24" s="10">
        <f>MAX(AH24,AI24,AJ24)</f>
        <v>6.4664168782384332E-2</v>
      </c>
      <c r="AL24" s="10">
        <f>1/(1+EXP(12.597-0.05861*35-1.568*((S24/0.817)^0.4612)))</f>
        <v>3.4766533926281419E-3</v>
      </c>
      <c r="AM24" s="10">
        <f>AL24</f>
        <v>3.4766533926281419E-3</v>
      </c>
      <c r="AN24" s="10">
        <f t="shared" si="61"/>
        <v>3.6212975248191646E-3</v>
      </c>
      <c r="AO24" s="10">
        <f t="shared" si="61"/>
        <v>3.1604929139524831E-3</v>
      </c>
      <c r="AP24" s="175">
        <f>MAX(AN24,AO24)</f>
        <v>3.6212975248191646E-3</v>
      </c>
      <c r="AQ24" s="66">
        <f>ROUND(1-(1-W24)*(1-AA24)*(1-AC24)*(1-AF24),3)</f>
        <v>7.8E-2</v>
      </c>
      <c r="AR24" s="10">
        <f>ROUND(1-(1-AG24)*(1-AK24)*(1-AM24)*(1-AP24),3)</f>
        <v>7.2999999999999995E-2</v>
      </c>
      <c r="AS24" s="10">
        <f>ROUND(AVERAGE(AR24,AQ24),3)</f>
        <v>7.5999999999999998E-2</v>
      </c>
      <c r="AT24" s="23">
        <f t="shared" si="62"/>
        <v>0.52</v>
      </c>
      <c r="AU24" s="23">
        <f t="shared" si="62"/>
        <v>0.49</v>
      </c>
      <c r="AV24" s="23">
        <f t="shared" si="62"/>
        <v>0.51</v>
      </c>
      <c r="AW24" s="24">
        <f t="shared" si="63"/>
        <v>5</v>
      </c>
      <c r="AX24" s="24">
        <f t="shared" si="63"/>
        <v>5</v>
      </c>
      <c r="AY24" s="24">
        <f t="shared" si="63"/>
        <v>5</v>
      </c>
    </row>
    <row r="25" spans="1:51" ht="13.5" customHeight="1">
      <c r="A25" s="45">
        <v>14087</v>
      </c>
      <c r="B25" s="45" t="s">
        <v>144</v>
      </c>
      <c r="C25" s="16" t="str">
        <f>Rollover!A25</f>
        <v>Lincoln</v>
      </c>
      <c r="D25" s="16" t="str">
        <f>Rollover!B25</f>
        <v>Navigator EL 4WD</v>
      </c>
      <c r="E25" s="69" t="s">
        <v>134</v>
      </c>
      <c r="F25" s="34">
        <f>Rollover!C25</f>
        <v>2022</v>
      </c>
      <c r="G25" s="18">
        <v>203.583</v>
      </c>
      <c r="H25" s="19">
        <v>0.23799999999999999</v>
      </c>
      <c r="I25" s="19">
        <v>1202.635</v>
      </c>
      <c r="J25" s="19">
        <v>356.86700000000002</v>
      </c>
      <c r="K25" s="19">
        <v>20.056999999999999</v>
      </c>
      <c r="L25" s="19">
        <v>35.316000000000003</v>
      </c>
      <c r="M25" s="19">
        <v>775.56200000000001</v>
      </c>
      <c r="N25" s="20">
        <v>721.38900000000001</v>
      </c>
      <c r="O25" s="18">
        <v>200.386</v>
      </c>
      <c r="P25" s="19">
        <v>0.28199999999999997</v>
      </c>
      <c r="Q25" s="19">
        <v>1028.162</v>
      </c>
      <c r="R25" s="19">
        <v>384.04199999999997</v>
      </c>
      <c r="S25" s="19">
        <v>9.6110000000000007</v>
      </c>
      <c r="T25" s="19">
        <v>42.811</v>
      </c>
      <c r="U25" s="19">
        <v>233.108</v>
      </c>
      <c r="V25" s="136">
        <v>53.863</v>
      </c>
      <c r="W25" s="137">
        <f>NORMDIST(LN(G25),7.45231,0.73998,1)</f>
        <v>1.9453899592460726E-3</v>
      </c>
      <c r="X25" s="10">
        <f>1/(1+EXP(3.2269-1.9688*H25))</f>
        <v>5.961817008594416E-2</v>
      </c>
      <c r="Y25" s="10">
        <f t="shared" si="58"/>
        <v>2.9796340446625665E-4</v>
      </c>
      <c r="Z25" s="10">
        <f t="shared" si="58"/>
        <v>3.9986012127877309E-5</v>
      </c>
      <c r="AA25" s="10">
        <f>MAX(X25,Y25,Z25)</f>
        <v>5.961817008594416E-2</v>
      </c>
      <c r="AB25" s="10">
        <f>1/(1+EXP(12.597-0.05861*35-1.568*(K25^0.4612)))</f>
        <v>1.3458074232798186E-2</v>
      </c>
      <c r="AC25" s="10">
        <f>AB25</f>
        <v>1.3458074232798186E-2</v>
      </c>
      <c r="AD25" s="10">
        <f t="shared" si="59"/>
        <v>4.5325939742540625E-3</v>
      </c>
      <c r="AE25" s="10">
        <f t="shared" si="59"/>
        <v>4.4073425869178987E-3</v>
      </c>
      <c r="AF25" s="175">
        <f>MAX(AD25,AE25)</f>
        <v>4.5325939742540625E-3</v>
      </c>
      <c r="AG25" s="137">
        <f>NORMDIST(LN(O25),7.45231,0.73998,1)</f>
        <v>1.8171495766099875E-3</v>
      </c>
      <c r="AH25" s="10">
        <f>1/(1+EXP(3.2269-1.9688*P25))</f>
        <v>6.4664168782384332E-2</v>
      </c>
      <c r="AI25" s="10">
        <f t="shared" si="60"/>
        <v>8.3952933223302938E-4</v>
      </c>
      <c r="AJ25" s="10">
        <f t="shared" si="60"/>
        <v>7.4089572888536606E-5</v>
      </c>
      <c r="AK25" s="10">
        <f>MAX(AH25,AI25,AJ25)</f>
        <v>6.4664168782384332E-2</v>
      </c>
      <c r="AL25" s="10">
        <f>1/(1+EXP(12.597-0.05861*35-1.568*((S25/0.817)^0.4612)))</f>
        <v>3.4766533926281419E-3</v>
      </c>
      <c r="AM25" s="10">
        <f>AL25</f>
        <v>3.4766533926281419E-3</v>
      </c>
      <c r="AN25" s="10">
        <f t="shared" si="61"/>
        <v>3.6212975248191646E-3</v>
      </c>
      <c r="AO25" s="10">
        <f t="shared" si="61"/>
        <v>3.1604929139524831E-3</v>
      </c>
      <c r="AP25" s="175">
        <f>MAX(AN25,AO25)</f>
        <v>3.6212975248191646E-3</v>
      </c>
      <c r="AQ25" s="66">
        <f>ROUND(1-(1-W25)*(1-AA25)*(1-AC25)*(1-AF25),3)</f>
        <v>7.8E-2</v>
      </c>
      <c r="AR25" s="10">
        <f>ROUND(1-(1-AG25)*(1-AK25)*(1-AM25)*(1-AP25),3)</f>
        <v>7.2999999999999995E-2</v>
      </c>
      <c r="AS25" s="10">
        <f>ROUND(AVERAGE(AR25,AQ25),3)</f>
        <v>7.5999999999999998E-2</v>
      </c>
      <c r="AT25" s="23">
        <f t="shared" si="62"/>
        <v>0.52</v>
      </c>
      <c r="AU25" s="23">
        <f t="shared" si="62"/>
        <v>0.49</v>
      </c>
      <c r="AV25" s="23">
        <f t="shared" si="62"/>
        <v>0.51</v>
      </c>
      <c r="AW25" s="24">
        <f t="shared" si="63"/>
        <v>5</v>
      </c>
      <c r="AX25" s="24">
        <f t="shared" si="63"/>
        <v>5</v>
      </c>
      <c r="AY25" s="24">
        <f t="shared" si="63"/>
        <v>5</v>
      </c>
    </row>
    <row r="26" spans="1:51" ht="13.5" customHeight="1">
      <c r="A26" s="45"/>
      <c r="B26" s="45"/>
      <c r="C26" s="37" t="str">
        <f>Rollover!A26</f>
        <v>Ford</v>
      </c>
      <c r="D26" s="37" t="str">
        <f>Rollover!B26</f>
        <v>F-150 Lightning BEV PU/CC 4WD</v>
      </c>
      <c r="E26" s="69"/>
      <c r="F26" s="174">
        <f>Rollover!C26</f>
        <v>2022</v>
      </c>
      <c r="G26" s="18"/>
      <c r="H26" s="19"/>
      <c r="I26" s="19"/>
      <c r="J26" s="19"/>
      <c r="K26" s="19"/>
      <c r="L26" s="19"/>
      <c r="M26" s="19"/>
      <c r="N26" s="20"/>
      <c r="O26" s="18"/>
      <c r="P26" s="19"/>
      <c r="Q26" s="19"/>
      <c r="R26" s="19"/>
      <c r="S26" s="19"/>
      <c r="T26" s="19"/>
      <c r="U26" s="19"/>
      <c r="V26" s="136"/>
      <c r="W26" s="137" t="e">
        <f t="shared" si="29"/>
        <v>#NUM!</v>
      </c>
      <c r="X26" s="10">
        <f t="shared" si="30"/>
        <v>3.8165882958950202E-2</v>
      </c>
      <c r="Y26" s="10">
        <f t="shared" si="31"/>
        <v>1.713277721572889E-5</v>
      </c>
      <c r="Z26" s="10">
        <f t="shared" si="32"/>
        <v>1.713277721572889E-5</v>
      </c>
      <c r="AA26" s="10">
        <f t="shared" si="33"/>
        <v>3.8165882958950202E-2</v>
      </c>
      <c r="AB26" s="10">
        <f t="shared" si="34"/>
        <v>2.6306978617002889E-5</v>
      </c>
      <c r="AC26" s="10">
        <f t="shared" si="35"/>
        <v>2.6306978617002889E-5</v>
      </c>
      <c r="AD26" s="10">
        <f t="shared" si="36"/>
        <v>3.033802747866758E-3</v>
      </c>
      <c r="AE26" s="10">
        <f t="shared" si="37"/>
        <v>3.033802747866758E-3</v>
      </c>
      <c r="AF26" s="175">
        <f t="shared" si="38"/>
        <v>3.033802747866758E-3</v>
      </c>
      <c r="AG26" s="137" t="e">
        <f t="shared" si="39"/>
        <v>#NUM!</v>
      </c>
      <c r="AH26" s="10">
        <f t="shared" si="40"/>
        <v>3.8165882958950202E-2</v>
      </c>
      <c r="AI26" s="10">
        <f t="shared" si="41"/>
        <v>1.7417808154569238E-5</v>
      </c>
      <c r="AJ26" s="10">
        <f t="shared" si="42"/>
        <v>1.7417808154569238E-5</v>
      </c>
      <c r="AK26" s="10">
        <f t="shared" si="43"/>
        <v>3.8165882958950202E-2</v>
      </c>
      <c r="AL26" s="10">
        <f t="shared" si="44"/>
        <v>2.6306978617002889E-5</v>
      </c>
      <c r="AM26" s="10">
        <f t="shared" si="45"/>
        <v>2.6306978617002889E-5</v>
      </c>
      <c r="AN26" s="10">
        <f t="shared" si="46"/>
        <v>3.033802747866758E-3</v>
      </c>
      <c r="AO26" s="10">
        <f t="shared" si="47"/>
        <v>3.033802747866758E-3</v>
      </c>
      <c r="AP26" s="175">
        <f t="shared" si="48"/>
        <v>3.033802747866758E-3</v>
      </c>
      <c r="AQ26" s="66" t="e">
        <f t="shared" si="49"/>
        <v>#NUM!</v>
      </c>
      <c r="AR26" s="10" t="e">
        <f t="shared" si="50"/>
        <v>#NUM!</v>
      </c>
      <c r="AS26" s="10" t="e">
        <f t="shared" si="51"/>
        <v>#NUM!</v>
      </c>
      <c r="AT26" s="23" t="e">
        <f t="shared" si="52"/>
        <v>#NUM!</v>
      </c>
      <c r="AU26" s="23" t="e">
        <f t="shared" si="53"/>
        <v>#NUM!</v>
      </c>
      <c r="AV26" s="23" t="e">
        <f t="shared" si="54"/>
        <v>#NUM!</v>
      </c>
      <c r="AW26" s="24" t="e">
        <f t="shared" si="55"/>
        <v>#NUM!</v>
      </c>
      <c r="AX26" s="24" t="e">
        <f t="shared" si="56"/>
        <v>#NUM!</v>
      </c>
      <c r="AY26" s="24" t="e">
        <f t="shared" si="57"/>
        <v>#NUM!</v>
      </c>
    </row>
    <row r="27" spans="1:51" ht="13.5" customHeight="1">
      <c r="A27" s="45">
        <v>14353</v>
      </c>
      <c r="B27" s="45" t="s">
        <v>145</v>
      </c>
      <c r="C27" s="37" t="str">
        <f>Rollover!A27</f>
        <v>Ford</v>
      </c>
      <c r="D27" s="37" t="str">
        <f>Rollover!B27</f>
        <v>F-150 Super Crew HEV PU/CC 2WD</v>
      </c>
      <c r="E27" s="69" t="s">
        <v>134</v>
      </c>
      <c r="F27" s="174">
        <f>Rollover!C27</f>
        <v>2022</v>
      </c>
      <c r="G27" s="18">
        <v>367.096</v>
      </c>
      <c r="H27" s="19">
        <v>0.27800000000000002</v>
      </c>
      <c r="I27" s="19">
        <v>974.61699999999996</v>
      </c>
      <c r="J27" s="19">
        <v>816.01599999999996</v>
      </c>
      <c r="K27" s="19">
        <v>20.451000000000001</v>
      </c>
      <c r="L27" s="19">
        <v>42.430999999999997</v>
      </c>
      <c r="M27" s="19">
        <v>644.44100000000003</v>
      </c>
      <c r="N27" s="20">
        <v>544.01199999999994</v>
      </c>
      <c r="O27" s="18">
        <v>314.86399999999998</v>
      </c>
      <c r="P27" s="19">
        <v>0.38100000000000001</v>
      </c>
      <c r="Q27" s="19">
        <v>707.21</v>
      </c>
      <c r="R27" s="19">
        <v>492.76299999999998</v>
      </c>
      <c r="S27" s="19">
        <v>8.5</v>
      </c>
      <c r="T27" s="19">
        <v>46.76</v>
      </c>
      <c r="U27" s="19">
        <v>139.68100000000001</v>
      </c>
      <c r="V27" s="136">
        <v>108.568</v>
      </c>
      <c r="W27" s="137">
        <f t="shared" si="29"/>
        <v>1.8301107384004457E-2</v>
      </c>
      <c r="X27" s="10">
        <f t="shared" si="30"/>
        <v>6.4189485150733513E-2</v>
      </c>
      <c r="Y27" s="10">
        <f t="shared" si="31"/>
        <v>1.7339158371506666E-4</v>
      </c>
      <c r="Z27" s="10">
        <f t="shared" si="32"/>
        <v>1.1897692585831115E-4</v>
      </c>
      <c r="AA27" s="10">
        <f t="shared" si="33"/>
        <v>6.4189485150733513E-2</v>
      </c>
      <c r="AB27" s="10">
        <f t="shared" si="34"/>
        <v>1.4226921075824172E-2</v>
      </c>
      <c r="AC27" s="10">
        <f t="shared" si="35"/>
        <v>1.4226921075824172E-2</v>
      </c>
      <c r="AD27" s="10">
        <f t="shared" si="36"/>
        <v>4.2353352760477921E-3</v>
      </c>
      <c r="AE27" s="10">
        <f t="shared" si="37"/>
        <v>4.0208565507228993E-3</v>
      </c>
      <c r="AF27" s="175">
        <f t="shared" si="38"/>
        <v>4.2353352760477921E-3</v>
      </c>
      <c r="AG27" s="137">
        <f t="shared" si="39"/>
        <v>1.0792623401187166E-2</v>
      </c>
      <c r="AH27" s="10">
        <f t="shared" si="40"/>
        <v>7.7501590004152479E-2</v>
      </c>
      <c r="AI27" s="10">
        <f t="shared" si="41"/>
        <v>2.5049569403370089E-4</v>
      </c>
      <c r="AJ27" s="10">
        <f t="shared" si="42"/>
        <v>1.1162169604281896E-4</v>
      </c>
      <c r="AK27" s="10">
        <f t="shared" si="43"/>
        <v>7.7501590004152479E-2</v>
      </c>
      <c r="AL27" s="10">
        <f t="shared" si="44"/>
        <v>2.6583123463607729E-3</v>
      </c>
      <c r="AM27" s="10">
        <f t="shared" si="45"/>
        <v>2.6583123463607729E-3</v>
      </c>
      <c r="AN27" s="10">
        <f t="shared" si="46"/>
        <v>3.3733260104702044E-3</v>
      </c>
      <c r="AO27" s="10">
        <f t="shared" si="47"/>
        <v>3.2945620220812596E-3</v>
      </c>
      <c r="AP27" s="175">
        <f t="shared" si="48"/>
        <v>3.3733260104702044E-3</v>
      </c>
      <c r="AQ27" s="66">
        <f t="shared" si="49"/>
        <v>9.8000000000000004E-2</v>
      </c>
      <c r="AR27" s="10">
        <f t="shared" si="50"/>
        <v>9.2999999999999999E-2</v>
      </c>
      <c r="AS27" s="10">
        <f t="shared" si="51"/>
        <v>9.6000000000000002E-2</v>
      </c>
      <c r="AT27" s="23">
        <f t="shared" si="52"/>
        <v>0.65</v>
      </c>
      <c r="AU27" s="23">
        <f t="shared" si="53"/>
        <v>0.62</v>
      </c>
      <c r="AV27" s="23">
        <f t="shared" si="54"/>
        <v>0.64</v>
      </c>
      <c r="AW27" s="24">
        <f t="shared" si="55"/>
        <v>5</v>
      </c>
      <c r="AX27" s="24">
        <f t="shared" si="56"/>
        <v>5</v>
      </c>
      <c r="AY27" s="24">
        <f t="shared" si="57"/>
        <v>5</v>
      </c>
    </row>
    <row r="28" spans="1:51" ht="13.5" customHeight="1">
      <c r="A28" s="45">
        <v>14353</v>
      </c>
      <c r="B28" s="45" t="s">
        <v>145</v>
      </c>
      <c r="C28" s="37" t="str">
        <f>Rollover!A28</f>
        <v>Ford</v>
      </c>
      <c r="D28" s="37" t="str">
        <f>Rollover!B28</f>
        <v>F-150 Super Crew HEV PU/CC 4WD</v>
      </c>
      <c r="E28" s="69" t="s">
        <v>134</v>
      </c>
      <c r="F28" s="174">
        <f>Rollover!C28</f>
        <v>2022</v>
      </c>
      <c r="G28" s="18">
        <v>367.096</v>
      </c>
      <c r="H28" s="19">
        <v>0.27800000000000002</v>
      </c>
      <c r="I28" s="19">
        <v>974.61699999999996</v>
      </c>
      <c r="J28" s="19">
        <v>816.01599999999996</v>
      </c>
      <c r="K28" s="19">
        <v>20.451000000000001</v>
      </c>
      <c r="L28" s="19">
        <v>42.430999999999997</v>
      </c>
      <c r="M28" s="19">
        <v>644.44100000000003</v>
      </c>
      <c r="N28" s="20">
        <v>544.01199999999994</v>
      </c>
      <c r="O28" s="18">
        <v>314.86399999999998</v>
      </c>
      <c r="P28" s="19">
        <v>0.38100000000000001</v>
      </c>
      <c r="Q28" s="19">
        <v>707.21</v>
      </c>
      <c r="R28" s="19">
        <v>492.76299999999998</v>
      </c>
      <c r="S28" s="19">
        <v>8.5</v>
      </c>
      <c r="T28" s="19">
        <v>46.76</v>
      </c>
      <c r="U28" s="19">
        <v>139.68100000000001</v>
      </c>
      <c r="V28" s="136">
        <v>108.568</v>
      </c>
      <c r="W28" s="137">
        <f t="shared" si="29"/>
        <v>1.8301107384004457E-2</v>
      </c>
      <c r="X28" s="10">
        <f t="shared" si="30"/>
        <v>6.4189485150733513E-2</v>
      </c>
      <c r="Y28" s="10">
        <f t="shared" si="31"/>
        <v>1.7339158371506666E-4</v>
      </c>
      <c r="Z28" s="10">
        <f t="shared" si="32"/>
        <v>1.1897692585831115E-4</v>
      </c>
      <c r="AA28" s="10">
        <f t="shared" si="33"/>
        <v>6.4189485150733513E-2</v>
      </c>
      <c r="AB28" s="10">
        <f t="shared" si="34"/>
        <v>1.4226921075824172E-2</v>
      </c>
      <c r="AC28" s="10">
        <f t="shared" si="35"/>
        <v>1.4226921075824172E-2</v>
      </c>
      <c r="AD28" s="10">
        <f t="shared" si="36"/>
        <v>4.2353352760477921E-3</v>
      </c>
      <c r="AE28" s="10">
        <f t="shared" si="37"/>
        <v>4.0208565507228993E-3</v>
      </c>
      <c r="AF28" s="175">
        <f t="shared" si="38"/>
        <v>4.2353352760477921E-3</v>
      </c>
      <c r="AG28" s="137">
        <f t="shared" si="39"/>
        <v>1.0792623401187166E-2</v>
      </c>
      <c r="AH28" s="10">
        <f t="shared" si="40"/>
        <v>7.7501590004152479E-2</v>
      </c>
      <c r="AI28" s="10">
        <f t="shared" si="41"/>
        <v>2.5049569403370089E-4</v>
      </c>
      <c r="AJ28" s="10">
        <f t="shared" si="42"/>
        <v>1.1162169604281896E-4</v>
      </c>
      <c r="AK28" s="10">
        <f t="shared" si="43"/>
        <v>7.7501590004152479E-2</v>
      </c>
      <c r="AL28" s="10">
        <f t="shared" si="44"/>
        <v>2.6583123463607729E-3</v>
      </c>
      <c r="AM28" s="10">
        <f t="shared" si="45"/>
        <v>2.6583123463607729E-3</v>
      </c>
      <c r="AN28" s="10">
        <f t="shared" si="46"/>
        <v>3.3733260104702044E-3</v>
      </c>
      <c r="AO28" s="10">
        <f t="shared" si="47"/>
        <v>3.2945620220812596E-3</v>
      </c>
      <c r="AP28" s="175">
        <f t="shared" si="48"/>
        <v>3.3733260104702044E-3</v>
      </c>
      <c r="AQ28" s="66">
        <f t="shared" si="49"/>
        <v>9.8000000000000004E-2</v>
      </c>
      <c r="AR28" s="10">
        <f t="shared" si="50"/>
        <v>9.2999999999999999E-2</v>
      </c>
      <c r="AS28" s="10">
        <f t="shared" si="51"/>
        <v>9.6000000000000002E-2</v>
      </c>
      <c r="AT28" s="23">
        <f t="shared" si="52"/>
        <v>0.65</v>
      </c>
      <c r="AU28" s="23">
        <f t="shared" si="53"/>
        <v>0.62</v>
      </c>
      <c r="AV28" s="23">
        <f t="shared" si="54"/>
        <v>0.64</v>
      </c>
      <c r="AW28" s="24">
        <f t="shared" si="55"/>
        <v>5</v>
      </c>
      <c r="AX28" s="24">
        <f t="shared" si="56"/>
        <v>5</v>
      </c>
      <c r="AY28" s="24">
        <f t="shared" si="57"/>
        <v>5</v>
      </c>
    </row>
    <row r="29" spans="1:51" ht="13.5" customHeight="1">
      <c r="A29" s="177">
        <v>10797</v>
      </c>
      <c r="B29" s="45" t="s">
        <v>146</v>
      </c>
      <c r="C29" s="37" t="str">
        <f>Rollover!A29</f>
        <v>Ford</v>
      </c>
      <c r="D29" s="37" t="str">
        <f>Rollover!B29</f>
        <v>F-250 Super Cab PU/EC 2WD</v>
      </c>
      <c r="E29" s="69" t="s">
        <v>134</v>
      </c>
      <c r="F29" s="174">
        <f>Rollover!C29</f>
        <v>2022</v>
      </c>
      <c r="G29" s="18">
        <v>179.012</v>
      </c>
      <c r="H29" s="19">
        <v>0.28899999999999998</v>
      </c>
      <c r="I29" s="19">
        <v>608.62300000000005</v>
      </c>
      <c r="J29" s="19">
        <v>97.706999999999994</v>
      </c>
      <c r="K29" s="19">
        <v>22.055</v>
      </c>
      <c r="L29" s="19">
        <v>37.112000000000002</v>
      </c>
      <c r="M29" s="19">
        <v>109.068</v>
      </c>
      <c r="N29" s="20">
        <v>452.31900000000002</v>
      </c>
      <c r="O29" s="18">
        <v>327.18299999999999</v>
      </c>
      <c r="P29" s="19">
        <v>0.34599999999999997</v>
      </c>
      <c r="Q29" s="19">
        <v>620.851</v>
      </c>
      <c r="R29" s="19">
        <v>590.00699999999995</v>
      </c>
      <c r="S29" s="19">
        <v>12.250999999999999</v>
      </c>
      <c r="T29" s="19">
        <v>40.622999999999998</v>
      </c>
      <c r="U29" s="19">
        <v>2776.3409999999999</v>
      </c>
      <c r="V29" s="136">
        <v>1811.123</v>
      </c>
      <c r="W29" s="137">
        <f t="shared" si="29"/>
        <v>1.1040992821344175E-3</v>
      </c>
      <c r="X29" s="10">
        <f t="shared" si="30"/>
        <v>6.5502735165145057E-2</v>
      </c>
      <c r="Y29" s="10">
        <f t="shared" si="31"/>
        <v>7.2705531971611689E-5</v>
      </c>
      <c r="Z29" s="10">
        <f t="shared" si="32"/>
        <v>2.1607556147810406E-5</v>
      </c>
      <c r="AA29" s="10">
        <f t="shared" si="33"/>
        <v>6.5502735165145057E-2</v>
      </c>
      <c r="AB29" s="10">
        <f t="shared" si="34"/>
        <v>1.7727131232446153E-2</v>
      </c>
      <c r="AC29" s="10">
        <f t="shared" si="35"/>
        <v>1.7727131232446153E-2</v>
      </c>
      <c r="AD29" s="10">
        <f t="shared" si="36"/>
        <v>3.2101309071416806E-3</v>
      </c>
      <c r="AE29" s="10">
        <f t="shared" si="37"/>
        <v>3.8344973743362591E-3</v>
      </c>
      <c r="AF29" s="175">
        <f t="shared" si="38"/>
        <v>3.8344973743362591E-3</v>
      </c>
      <c r="AG29" s="137">
        <f t="shared" si="39"/>
        <v>1.2360867309917241E-2</v>
      </c>
      <c r="AH29" s="10">
        <f t="shared" si="40"/>
        <v>7.2716218495709778E-2</v>
      </c>
      <c r="AI29" s="10">
        <f t="shared" si="41"/>
        <v>1.8089882783891504E-4</v>
      </c>
      <c r="AJ29" s="10">
        <f t="shared" si="42"/>
        <v>1.6104372166808535E-4</v>
      </c>
      <c r="AK29" s="10">
        <f t="shared" si="43"/>
        <v>7.2716218495709778E-2</v>
      </c>
      <c r="AL29" s="10">
        <f t="shared" si="44"/>
        <v>6.1854937574773996E-3</v>
      </c>
      <c r="AM29" s="10">
        <f t="shared" si="45"/>
        <v>6.1854937574773996E-3</v>
      </c>
      <c r="AN29" s="10">
        <f t="shared" si="46"/>
        <v>2.4611890041461349E-2</v>
      </c>
      <c r="AO29" s="10">
        <f t="shared" si="47"/>
        <v>1.1949960316986899E-2</v>
      </c>
      <c r="AP29" s="175">
        <f t="shared" si="48"/>
        <v>2.4611890041461349E-2</v>
      </c>
      <c r="AQ29" s="66">
        <f t="shared" si="49"/>
        <v>8.6999999999999994E-2</v>
      </c>
      <c r="AR29" s="10">
        <f t="shared" si="50"/>
        <v>0.112</v>
      </c>
      <c r="AS29" s="10">
        <f t="shared" si="51"/>
        <v>0.1</v>
      </c>
      <c r="AT29" s="23">
        <f t="shared" si="52"/>
        <v>0.57999999999999996</v>
      </c>
      <c r="AU29" s="23">
        <f t="shared" si="53"/>
        <v>0.75</v>
      </c>
      <c r="AV29" s="23">
        <f t="shared" si="54"/>
        <v>0.67</v>
      </c>
      <c r="AW29" s="24">
        <f t="shared" si="55"/>
        <v>5</v>
      </c>
      <c r="AX29" s="24">
        <f t="shared" si="56"/>
        <v>4</v>
      </c>
      <c r="AY29" s="24">
        <f t="shared" si="57"/>
        <v>4</v>
      </c>
    </row>
    <row r="30" spans="1:51" ht="13.5" customHeight="1">
      <c r="A30" s="177">
        <v>10797</v>
      </c>
      <c r="B30" s="45" t="s">
        <v>146</v>
      </c>
      <c r="C30" s="37" t="str">
        <f>Rollover!A30</f>
        <v>Ford</v>
      </c>
      <c r="D30" s="37" t="str">
        <f>Rollover!B30</f>
        <v>F-250 Super Cab PU/EC 4WD</v>
      </c>
      <c r="E30" s="69" t="s">
        <v>134</v>
      </c>
      <c r="F30" s="174">
        <f>Rollover!C30</f>
        <v>2022</v>
      </c>
      <c r="G30" s="18">
        <v>179.012</v>
      </c>
      <c r="H30" s="19">
        <v>0.28899999999999998</v>
      </c>
      <c r="I30" s="19">
        <v>608.62300000000005</v>
      </c>
      <c r="J30" s="19">
        <v>97.706999999999994</v>
      </c>
      <c r="K30" s="19">
        <v>22.055</v>
      </c>
      <c r="L30" s="19">
        <v>37.112000000000002</v>
      </c>
      <c r="M30" s="19">
        <v>109.068</v>
      </c>
      <c r="N30" s="20">
        <v>452.31900000000002</v>
      </c>
      <c r="O30" s="18">
        <v>327.18299999999999</v>
      </c>
      <c r="P30" s="19">
        <v>0.34599999999999997</v>
      </c>
      <c r="Q30" s="19">
        <v>620.851</v>
      </c>
      <c r="R30" s="19">
        <v>590.00699999999995</v>
      </c>
      <c r="S30" s="19">
        <v>12.250999999999999</v>
      </c>
      <c r="T30" s="19">
        <v>40.622999999999998</v>
      </c>
      <c r="U30" s="19">
        <v>2776.3409999999999</v>
      </c>
      <c r="V30" s="136">
        <v>1811.123</v>
      </c>
      <c r="W30" s="137">
        <f t="shared" si="29"/>
        <v>1.1040992821344175E-3</v>
      </c>
      <c r="X30" s="10">
        <f t="shared" si="30"/>
        <v>6.5502735165145057E-2</v>
      </c>
      <c r="Y30" s="10">
        <f t="shared" si="31"/>
        <v>7.2705531971611689E-5</v>
      </c>
      <c r="Z30" s="10">
        <f t="shared" si="32"/>
        <v>2.1607556147810406E-5</v>
      </c>
      <c r="AA30" s="10">
        <f t="shared" si="33"/>
        <v>6.5502735165145057E-2</v>
      </c>
      <c r="AB30" s="10">
        <f t="shared" si="34"/>
        <v>1.7727131232446153E-2</v>
      </c>
      <c r="AC30" s="10">
        <f t="shared" si="35"/>
        <v>1.7727131232446153E-2</v>
      </c>
      <c r="AD30" s="10">
        <f t="shared" si="36"/>
        <v>3.2101309071416806E-3</v>
      </c>
      <c r="AE30" s="10">
        <f t="shared" si="37"/>
        <v>3.8344973743362591E-3</v>
      </c>
      <c r="AF30" s="175">
        <f t="shared" si="38"/>
        <v>3.8344973743362591E-3</v>
      </c>
      <c r="AG30" s="137">
        <f t="shared" si="39"/>
        <v>1.2360867309917241E-2</v>
      </c>
      <c r="AH30" s="10">
        <f t="shared" si="40"/>
        <v>7.2716218495709778E-2</v>
      </c>
      <c r="AI30" s="10">
        <f t="shared" si="41"/>
        <v>1.8089882783891504E-4</v>
      </c>
      <c r="AJ30" s="10">
        <f t="shared" si="42"/>
        <v>1.6104372166808535E-4</v>
      </c>
      <c r="AK30" s="10">
        <f t="shared" si="43"/>
        <v>7.2716218495709778E-2</v>
      </c>
      <c r="AL30" s="10">
        <f t="shared" si="44"/>
        <v>6.1854937574773996E-3</v>
      </c>
      <c r="AM30" s="10">
        <f t="shared" si="45"/>
        <v>6.1854937574773996E-3</v>
      </c>
      <c r="AN30" s="10">
        <f t="shared" si="46"/>
        <v>2.4611890041461349E-2</v>
      </c>
      <c r="AO30" s="10">
        <f t="shared" si="47"/>
        <v>1.1949960316986899E-2</v>
      </c>
      <c r="AP30" s="175">
        <f t="shared" si="48"/>
        <v>2.4611890041461349E-2</v>
      </c>
      <c r="AQ30" s="66">
        <f t="shared" si="49"/>
        <v>8.6999999999999994E-2</v>
      </c>
      <c r="AR30" s="10">
        <f t="shared" si="50"/>
        <v>0.112</v>
      </c>
      <c r="AS30" s="10">
        <f t="shared" si="51"/>
        <v>0.1</v>
      </c>
      <c r="AT30" s="23">
        <f t="shared" si="52"/>
        <v>0.57999999999999996</v>
      </c>
      <c r="AU30" s="23">
        <f t="shared" si="53"/>
        <v>0.75</v>
      </c>
      <c r="AV30" s="23">
        <f t="shared" si="54"/>
        <v>0.67</v>
      </c>
      <c r="AW30" s="24">
        <f t="shared" si="55"/>
        <v>5</v>
      </c>
      <c r="AX30" s="24">
        <f t="shared" si="56"/>
        <v>4</v>
      </c>
      <c r="AY30" s="24">
        <f t="shared" si="57"/>
        <v>4</v>
      </c>
    </row>
    <row r="31" spans="1:51" ht="13.5" customHeight="1">
      <c r="A31" s="45">
        <v>14127</v>
      </c>
      <c r="B31" s="45" t="s">
        <v>147</v>
      </c>
      <c r="C31" s="37" t="str">
        <f>Rollover!A31</f>
        <v>Ford</v>
      </c>
      <c r="D31" s="37" t="str">
        <f>Rollover!B31</f>
        <v>Maverick PU/CC FWD</v>
      </c>
      <c r="E31" s="69" t="s">
        <v>138</v>
      </c>
      <c r="F31" s="174">
        <f>Rollover!C31</f>
        <v>2022</v>
      </c>
      <c r="G31" s="18">
        <v>129.458</v>
      </c>
      <c r="H31" s="19">
        <v>0.22</v>
      </c>
      <c r="I31" s="19">
        <v>1041.953</v>
      </c>
      <c r="J31" s="19">
        <v>50.465000000000003</v>
      </c>
      <c r="K31" s="19">
        <v>23.228999999999999</v>
      </c>
      <c r="L31" s="19">
        <v>40.307000000000002</v>
      </c>
      <c r="M31" s="19">
        <v>618.89</v>
      </c>
      <c r="N31" s="20">
        <v>217.59200000000001</v>
      </c>
      <c r="O31" s="18">
        <v>201.548</v>
      </c>
      <c r="P31" s="19">
        <v>0.51</v>
      </c>
      <c r="Q31" s="19">
        <v>820.03200000000004</v>
      </c>
      <c r="R31" s="19">
        <v>209.482</v>
      </c>
      <c r="S31" s="19">
        <v>14.531000000000001</v>
      </c>
      <c r="T31" s="19">
        <v>40.700000000000003</v>
      </c>
      <c r="U31" s="19">
        <v>684.11400000000003</v>
      </c>
      <c r="V31" s="136">
        <v>1053.48</v>
      </c>
      <c r="W31" s="137">
        <f t="shared" si="29"/>
        <v>2.3378336577377007E-4</v>
      </c>
      <c r="X31" s="10">
        <f t="shared" si="30"/>
        <v>5.7662089306329538E-2</v>
      </c>
      <c r="Y31" s="10">
        <f t="shared" si="31"/>
        <v>2.0345512348346096E-4</v>
      </c>
      <c r="Z31" s="10">
        <f t="shared" si="32"/>
        <v>1.931429737870439E-5</v>
      </c>
      <c r="AA31" s="10">
        <f t="shared" si="33"/>
        <v>5.7662089306329538E-2</v>
      </c>
      <c r="AB31" s="10">
        <f t="shared" si="34"/>
        <v>2.0700519213544096E-2</v>
      </c>
      <c r="AC31" s="10">
        <f t="shared" si="35"/>
        <v>2.0700519213544096E-2</v>
      </c>
      <c r="AD31" s="10">
        <f t="shared" si="36"/>
        <v>4.1797107801639236E-3</v>
      </c>
      <c r="AE31" s="10">
        <f t="shared" si="37"/>
        <v>3.3957158324783195E-3</v>
      </c>
      <c r="AF31" s="175">
        <f t="shared" si="38"/>
        <v>4.1797107801639236E-3</v>
      </c>
      <c r="AG31" s="137">
        <f t="shared" si="39"/>
        <v>1.8630766174237653E-3</v>
      </c>
      <c r="AH31" s="10">
        <f t="shared" si="40"/>
        <v>9.7720586054227954E-2</v>
      </c>
      <c r="AI31" s="10">
        <f t="shared" si="41"/>
        <v>3.8323481284932998E-4</v>
      </c>
      <c r="AJ31" s="10">
        <f t="shared" si="42"/>
        <v>3.8367829284028817E-5</v>
      </c>
      <c r="AK31" s="10">
        <f t="shared" si="43"/>
        <v>9.7720586054227954E-2</v>
      </c>
      <c r="AL31" s="10">
        <f t="shared" si="44"/>
        <v>9.6445693241711435E-3</v>
      </c>
      <c r="AM31" s="10">
        <f t="shared" si="45"/>
        <v>9.6445693241711435E-3</v>
      </c>
      <c r="AN31" s="10">
        <f t="shared" si="46"/>
        <v>5.098620803448149E-3</v>
      </c>
      <c r="AO31" s="10">
        <f t="shared" si="47"/>
        <v>6.7445468003218267E-3</v>
      </c>
      <c r="AP31" s="175">
        <f t="shared" si="48"/>
        <v>6.7445468003218267E-3</v>
      </c>
      <c r="AQ31" s="66">
        <f t="shared" si="49"/>
        <v>8.1000000000000003E-2</v>
      </c>
      <c r="AR31" s="10">
        <f t="shared" si="50"/>
        <v>0.114</v>
      </c>
      <c r="AS31" s="10">
        <f t="shared" si="51"/>
        <v>9.8000000000000004E-2</v>
      </c>
      <c r="AT31" s="23">
        <f t="shared" si="52"/>
        <v>0.54</v>
      </c>
      <c r="AU31" s="23">
        <f t="shared" si="53"/>
        <v>0.76</v>
      </c>
      <c r="AV31" s="23">
        <f t="shared" si="54"/>
        <v>0.65</v>
      </c>
      <c r="AW31" s="24">
        <f t="shared" si="55"/>
        <v>5</v>
      </c>
      <c r="AX31" s="24">
        <f t="shared" si="56"/>
        <v>4</v>
      </c>
      <c r="AY31" s="24">
        <f t="shared" si="57"/>
        <v>5</v>
      </c>
    </row>
    <row r="32" spans="1:51" ht="13.5" customHeight="1">
      <c r="A32" s="45">
        <v>14127</v>
      </c>
      <c r="B32" s="45" t="s">
        <v>147</v>
      </c>
      <c r="C32" s="37" t="str">
        <f>Rollover!A32</f>
        <v>Ford</v>
      </c>
      <c r="D32" s="37" t="str">
        <f>Rollover!B32</f>
        <v>Maverick PU/CC 4WD</v>
      </c>
      <c r="E32" s="69" t="s">
        <v>138</v>
      </c>
      <c r="F32" s="174">
        <f>Rollover!C32</f>
        <v>2022</v>
      </c>
      <c r="G32" s="18">
        <v>129.458</v>
      </c>
      <c r="H32" s="19">
        <v>0.22</v>
      </c>
      <c r="I32" s="19">
        <v>1041.953</v>
      </c>
      <c r="J32" s="19">
        <v>50.465000000000003</v>
      </c>
      <c r="K32" s="19">
        <v>23.228999999999999</v>
      </c>
      <c r="L32" s="19">
        <v>40.307000000000002</v>
      </c>
      <c r="M32" s="19">
        <v>618.89</v>
      </c>
      <c r="N32" s="20">
        <v>217.59200000000001</v>
      </c>
      <c r="O32" s="18">
        <v>201.548</v>
      </c>
      <c r="P32" s="19">
        <v>0.51</v>
      </c>
      <c r="Q32" s="19">
        <v>820.03200000000004</v>
      </c>
      <c r="R32" s="19">
        <v>209.482</v>
      </c>
      <c r="S32" s="19">
        <v>14.531000000000001</v>
      </c>
      <c r="T32" s="19">
        <v>40.700000000000003</v>
      </c>
      <c r="U32" s="19">
        <v>684.11400000000003</v>
      </c>
      <c r="V32" s="136">
        <v>1053.48</v>
      </c>
      <c r="W32" s="137">
        <f t="shared" si="29"/>
        <v>2.3378336577377007E-4</v>
      </c>
      <c r="X32" s="10">
        <f t="shared" si="30"/>
        <v>5.7662089306329538E-2</v>
      </c>
      <c r="Y32" s="10">
        <f t="shared" si="31"/>
        <v>2.0345512348346096E-4</v>
      </c>
      <c r="Z32" s="10">
        <f t="shared" si="32"/>
        <v>1.931429737870439E-5</v>
      </c>
      <c r="AA32" s="10">
        <f t="shared" si="33"/>
        <v>5.7662089306329538E-2</v>
      </c>
      <c r="AB32" s="10">
        <f t="shared" si="34"/>
        <v>2.0700519213544096E-2</v>
      </c>
      <c r="AC32" s="10">
        <f t="shared" si="35"/>
        <v>2.0700519213544096E-2</v>
      </c>
      <c r="AD32" s="10">
        <f t="shared" si="36"/>
        <v>4.1797107801639236E-3</v>
      </c>
      <c r="AE32" s="10">
        <f t="shared" si="37"/>
        <v>3.3957158324783195E-3</v>
      </c>
      <c r="AF32" s="175">
        <f t="shared" si="38"/>
        <v>4.1797107801639236E-3</v>
      </c>
      <c r="AG32" s="137">
        <f t="shared" si="39"/>
        <v>1.8630766174237653E-3</v>
      </c>
      <c r="AH32" s="10">
        <f t="shared" si="40"/>
        <v>9.7720586054227954E-2</v>
      </c>
      <c r="AI32" s="10">
        <f t="shared" si="41"/>
        <v>3.8323481284932998E-4</v>
      </c>
      <c r="AJ32" s="10">
        <f t="shared" si="42"/>
        <v>3.8367829284028817E-5</v>
      </c>
      <c r="AK32" s="10">
        <f t="shared" si="43"/>
        <v>9.7720586054227954E-2</v>
      </c>
      <c r="AL32" s="10">
        <f t="shared" si="44"/>
        <v>9.6445693241711435E-3</v>
      </c>
      <c r="AM32" s="10">
        <f t="shared" si="45"/>
        <v>9.6445693241711435E-3</v>
      </c>
      <c r="AN32" s="10">
        <f t="shared" si="46"/>
        <v>5.098620803448149E-3</v>
      </c>
      <c r="AO32" s="10">
        <f t="shared" si="47"/>
        <v>6.7445468003218267E-3</v>
      </c>
      <c r="AP32" s="175">
        <f t="shared" si="48"/>
        <v>6.7445468003218267E-3</v>
      </c>
      <c r="AQ32" s="66">
        <f t="shared" si="49"/>
        <v>8.1000000000000003E-2</v>
      </c>
      <c r="AR32" s="10">
        <f t="shared" si="50"/>
        <v>0.114</v>
      </c>
      <c r="AS32" s="10">
        <f t="shared" si="51"/>
        <v>9.8000000000000004E-2</v>
      </c>
      <c r="AT32" s="23">
        <f t="shared" si="52"/>
        <v>0.54</v>
      </c>
      <c r="AU32" s="23">
        <f t="shared" si="53"/>
        <v>0.76</v>
      </c>
      <c r="AV32" s="23">
        <f t="shared" si="54"/>
        <v>0.65</v>
      </c>
      <c r="AW32" s="24">
        <f t="shared" si="55"/>
        <v>5</v>
      </c>
      <c r="AX32" s="24">
        <f t="shared" si="56"/>
        <v>4</v>
      </c>
      <c r="AY32" s="24">
        <f t="shared" si="57"/>
        <v>5</v>
      </c>
    </row>
    <row r="33" spans="1:51" ht="13.5" customHeight="1">
      <c r="A33" s="45">
        <v>14127</v>
      </c>
      <c r="B33" s="45" t="s">
        <v>147</v>
      </c>
      <c r="C33" s="37" t="str">
        <f>Rollover!A33</f>
        <v>Ford</v>
      </c>
      <c r="D33" s="37" t="str">
        <f>Rollover!B33</f>
        <v>Maverick HEV PU/CC FWD</v>
      </c>
      <c r="E33" s="69" t="s">
        <v>138</v>
      </c>
      <c r="F33" s="174">
        <f>Rollover!C33</f>
        <v>2022</v>
      </c>
      <c r="G33" s="18">
        <v>129.458</v>
      </c>
      <c r="H33" s="19">
        <v>0.22</v>
      </c>
      <c r="I33" s="19">
        <v>1041.953</v>
      </c>
      <c r="J33" s="19">
        <v>50.465000000000003</v>
      </c>
      <c r="K33" s="19">
        <v>23.228999999999999</v>
      </c>
      <c r="L33" s="19">
        <v>40.307000000000002</v>
      </c>
      <c r="M33" s="19">
        <v>618.89</v>
      </c>
      <c r="N33" s="20">
        <v>217.59200000000001</v>
      </c>
      <c r="O33" s="18">
        <v>201.548</v>
      </c>
      <c r="P33" s="19">
        <v>0.51</v>
      </c>
      <c r="Q33" s="19">
        <v>820.03200000000004</v>
      </c>
      <c r="R33" s="19">
        <v>209.482</v>
      </c>
      <c r="S33" s="19">
        <v>14.531000000000001</v>
      </c>
      <c r="T33" s="19">
        <v>40.700000000000003</v>
      </c>
      <c r="U33" s="19">
        <v>684.11400000000003</v>
      </c>
      <c r="V33" s="136">
        <v>1053.48</v>
      </c>
      <c r="W33" s="137">
        <f t="shared" si="29"/>
        <v>2.3378336577377007E-4</v>
      </c>
      <c r="X33" s="10">
        <f t="shared" si="30"/>
        <v>5.7662089306329538E-2</v>
      </c>
      <c r="Y33" s="10">
        <f t="shared" si="31"/>
        <v>2.0345512348346096E-4</v>
      </c>
      <c r="Z33" s="10">
        <f t="shared" si="32"/>
        <v>1.931429737870439E-5</v>
      </c>
      <c r="AA33" s="10">
        <f t="shared" si="33"/>
        <v>5.7662089306329538E-2</v>
      </c>
      <c r="AB33" s="10">
        <f t="shared" si="34"/>
        <v>2.0700519213544096E-2</v>
      </c>
      <c r="AC33" s="10">
        <f t="shared" si="35"/>
        <v>2.0700519213544096E-2</v>
      </c>
      <c r="AD33" s="10">
        <f t="shared" si="36"/>
        <v>4.1797107801639236E-3</v>
      </c>
      <c r="AE33" s="10">
        <f t="shared" si="37"/>
        <v>3.3957158324783195E-3</v>
      </c>
      <c r="AF33" s="175">
        <f t="shared" si="38"/>
        <v>4.1797107801639236E-3</v>
      </c>
      <c r="AG33" s="137">
        <f t="shared" si="39"/>
        <v>1.8630766174237653E-3</v>
      </c>
      <c r="AH33" s="10">
        <f t="shared" si="40"/>
        <v>9.7720586054227954E-2</v>
      </c>
      <c r="AI33" s="10">
        <f t="shared" si="41"/>
        <v>3.8323481284932998E-4</v>
      </c>
      <c r="AJ33" s="10">
        <f t="shared" si="42"/>
        <v>3.8367829284028817E-5</v>
      </c>
      <c r="AK33" s="10">
        <f t="shared" si="43"/>
        <v>9.7720586054227954E-2</v>
      </c>
      <c r="AL33" s="10">
        <f t="shared" si="44"/>
        <v>9.6445693241711435E-3</v>
      </c>
      <c r="AM33" s="10">
        <f t="shared" si="45"/>
        <v>9.6445693241711435E-3</v>
      </c>
      <c r="AN33" s="10">
        <f t="shared" si="46"/>
        <v>5.098620803448149E-3</v>
      </c>
      <c r="AO33" s="10">
        <f t="shared" si="47"/>
        <v>6.7445468003218267E-3</v>
      </c>
      <c r="AP33" s="175">
        <f t="shared" si="48"/>
        <v>6.7445468003218267E-3</v>
      </c>
      <c r="AQ33" s="66">
        <f t="shared" si="49"/>
        <v>8.1000000000000003E-2</v>
      </c>
      <c r="AR33" s="10">
        <f t="shared" si="50"/>
        <v>0.114</v>
      </c>
      <c r="AS33" s="10">
        <f t="shared" si="51"/>
        <v>9.8000000000000004E-2</v>
      </c>
      <c r="AT33" s="23">
        <f t="shared" si="52"/>
        <v>0.54</v>
      </c>
      <c r="AU33" s="23">
        <f t="shared" si="53"/>
        <v>0.76</v>
      </c>
      <c r="AV33" s="23">
        <f t="shared" si="54"/>
        <v>0.65</v>
      </c>
      <c r="AW33" s="24">
        <f t="shared" si="55"/>
        <v>5</v>
      </c>
      <c r="AX33" s="24">
        <f t="shared" si="56"/>
        <v>4</v>
      </c>
      <c r="AY33" s="24">
        <f t="shared" si="57"/>
        <v>5</v>
      </c>
    </row>
    <row r="34" spans="1:51" ht="13.5" customHeight="1">
      <c r="A34" s="45">
        <v>14048</v>
      </c>
      <c r="B34" s="45" t="s">
        <v>148</v>
      </c>
      <c r="C34" s="37" t="str">
        <f>Rollover!A34</f>
        <v>Honda</v>
      </c>
      <c r="D34" s="37" t="str">
        <f>Rollover!B34</f>
        <v>Civic 4DR FWD</v>
      </c>
      <c r="E34" s="69" t="s">
        <v>134</v>
      </c>
      <c r="F34" s="174">
        <f>Rollover!C34</f>
        <v>2022</v>
      </c>
      <c r="G34" s="137">
        <v>325.346</v>
      </c>
      <c r="H34" s="10">
        <v>0.30299999999999999</v>
      </c>
      <c r="I34" s="10">
        <v>1071.037</v>
      </c>
      <c r="J34" s="10">
        <v>103.711</v>
      </c>
      <c r="K34" s="10">
        <v>19.547999999999998</v>
      </c>
      <c r="L34" s="10">
        <v>36.225000000000001</v>
      </c>
      <c r="M34" s="10">
        <v>838.65499999999997</v>
      </c>
      <c r="N34" s="175">
        <v>1653.34</v>
      </c>
      <c r="O34" s="137">
        <v>444.48</v>
      </c>
      <c r="P34" s="10">
        <v>0.249</v>
      </c>
      <c r="Q34" s="10">
        <v>840.15099999999995</v>
      </c>
      <c r="R34" s="10">
        <v>272.31299999999999</v>
      </c>
      <c r="S34" s="10">
        <v>11.391</v>
      </c>
      <c r="T34" s="10">
        <v>41.145000000000003</v>
      </c>
      <c r="U34" s="10">
        <v>1222.229</v>
      </c>
      <c r="V34" s="138">
        <v>730.42200000000003</v>
      </c>
      <c r="W34" s="137">
        <f t="shared" si="29"/>
        <v>1.2119105160907128E-2</v>
      </c>
      <c r="X34" s="10">
        <f t="shared" si="30"/>
        <v>6.7210278929979619E-2</v>
      </c>
      <c r="Y34" s="10">
        <f t="shared" si="31"/>
        <v>2.1800225503727924E-4</v>
      </c>
      <c r="Z34" s="10">
        <f t="shared" si="32"/>
        <v>2.1917869540360902E-5</v>
      </c>
      <c r="AA34" s="10">
        <f t="shared" si="33"/>
        <v>6.7210278929979619E-2</v>
      </c>
      <c r="AB34" s="10">
        <f t="shared" si="34"/>
        <v>1.2514219721766848E-2</v>
      </c>
      <c r="AC34" s="10">
        <f t="shared" si="35"/>
        <v>1.2514219721766848E-2</v>
      </c>
      <c r="AD34" s="10">
        <f t="shared" si="36"/>
        <v>4.68294167724723E-3</v>
      </c>
      <c r="AE34" s="10">
        <f t="shared" si="37"/>
        <v>7.1332852608337804E-3</v>
      </c>
      <c r="AF34" s="175">
        <f t="shared" si="38"/>
        <v>7.1332852608337804E-3</v>
      </c>
      <c r="AG34" s="137">
        <f t="shared" si="39"/>
        <v>3.3499718824108474E-2</v>
      </c>
      <c r="AH34" s="10">
        <f t="shared" si="40"/>
        <v>6.0843976465800663E-2</v>
      </c>
      <c r="AI34" s="10">
        <f t="shared" si="41"/>
        <v>4.1342094928034341E-4</v>
      </c>
      <c r="AJ34" s="10">
        <f t="shared" si="42"/>
        <v>4.8622284007813228E-5</v>
      </c>
      <c r="AK34" s="10">
        <f t="shared" si="43"/>
        <v>6.0843976465800663E-2</v>
      </c>
      <c r="AL34" s="10">
        <f t="shared" si="44"/>
        <v>5.1695276264507248E-3</v>
      </c>
      <c r="AM34" s="10">
        <f t="shared" si="45"/>
        <v>5.1695276264507248E-3</v>
      </c>
      <c r="AN34" s="10">
        <f t="shared" si="46"/>
        <v>7.6628136247878197E-3</v>
      </c>
      <c r="AO34" s="10">
        <f t="shared" si="47"/>
        <v>5.2807548602380227E-3</v>
      </c>
      <c r="AP34" s="175">
        <f t="shared" si="48"/>
        <v>7.6628136247878197E-3</v>
      </c>
      <c r="AQ34" s="66">
        <f t="shared" si="49"/>
        <v>9.7000000000000003E-2</v>
      </c>
      <c r="AR34" s="10">
        <f t="shared" si="50"/>
        <v>0.104</v>
      </c>
      <c r="AS34" s="10">
        <f t="shared" si="51"/>
        <v>0.10100000000000001</v>
      </c>
      <c r="AT34" s="23">
        <f t="shared" si="52"/>
        <v>0.65</v>
      </c>
      <c r="AU34" s="23">
        <f t="shared" si="53"/>
        <v>0.69</v>
      </c>
      <c r="AV34" s="23">
        <f t="shared" si="54"/>
        <v>0.67</v>
      </c>
      <c r="AW34" s="24">
        <f t="shared" si="55"/>
        <v>5</v>
      </c>
      <c r="AX34" s="24">
        <f t="shared" si="56"/>
        <v>4</v>
      </c>
      <c r="AY34" s="24">
        <f t="shared" si="57"/>
        <v>4</v>
      </c>
    </row>
    <row r="35" spans="1:51" ht="13.5" customHeight="1">
      <c r="A35" s="45">
        <v>14048</v>
      </c>
      <c r="B35" s="45" t="s">
        <v>148</v>
      </c>
      <c r="C35" s="176" t="str">
        <f>Rollover!A35</f>
        <v>Honda</v>
      </c>
      <c r="D35" s="176" t="str">
        <f>Rollover!B35</f>
        <v>Civic SI 4DR FWD</v>
      </c>
      <c r="E35" s="69" t="s">
        <v>134</v>
      </c>
      <c r="F35" s="174">
        <f>Rollover!C35</f>
        <v>2022</v>
      </c>
      <c r="G35" s="137">
        <v>325.346</v>
      </c>
      <c r="H35" s="10">
        <v>0.30299999999999999</v>
      </c>
      <c r="I35" s="10">
        <v>1071.037</v>
      </c>
      <c r="J35" s="10">
        <v>103.711</v>
      </c>
      <c r="K35" s="10">
        <v>19.547999999999998</v>
      </c>
      <c r="L35" s="10">
        <v>36.225000000000001</v>
      </c>
      <c r="M35" s="10">
        <v>838.65499999999997</v>
      </c>
      <c r="N35" s="175">
        <v>1653.34</v>
      </c>
      <c r="O35" s="137">
        <v>444.48</v>
      </c>
      <c r="P35" s="10">
        <v>0.249</v>
      </c>
      <c r="Q35" s="10">
        <v>840.15099999999995</v>
      </c>
      <c r="R35" s="10">
        <v>272.31299999999999</v>
      </c>
      <c r="S35" s="10">
        <v>11.391</v>
      </c>
      <c r="T35" s="10">
        <v>41.145000000000003</v>
      </c>
      <c r="U35" s="10">
        <v>1222.229</v>
      </c>
      <c r="V35" s="138">
        <v>730.42200000000003</v>
      </c>
      <c r="W35" s="137">
        <f t="shared" si="29"/>
        <v>1.2119105160907128E-2</v>
      </c>
      <c r="X35" s="10">
        <f t="shared" si="30"/>
        <v>6.7210278929979619E-2</v>
      </c>
      <c r="Y35" s="10">
        <f t="shared" si="31"/>
        <v>2.1800225503727924E-4</v>
      </c>
      <c r="Z35" s="10">
        <f t="shared" si="32"/>
        <v>2.1917869540360902E-5</v>
      </c>
      <c r="AA35" s="10">
        <f t="shared" si="33"/>
        <v>6.7210278929979619E-2</v>
      </c>
      <c r="AB35" s="10">
        <f t="shared" si="34"/>
        <v>1.2514219721766848E-2</v>
      </c>
      <c r="AC35" s="10">
        <f t="shared" si="35"/>
        <v>1.2514219721766848E-2</v>
      </c>
      <c r="AD35" s="10">
        <f t="shared" si="36"/>
        <v>4.68294167724723E-3</v>
      </c>
      <c r="AE35" s="10">
        <f t="shared" si="37"/>
        <v>7.1332852608337804E-3</v>
      </c>
      <c r="AF35" s="175">
        <f t="shared" si="38"/>
        <v>7.1332852608337804E-3</v>
      </c>
      <c r="AG35" s="137">
        <f t="shared" si="39"/>
        <v>3.3499718824108474E-2</v>
      </c>
      <c r="AH35" s="10">
        <f t="shared" si="40"/>
        <v>6.0843976465800663E-2</v>
      </c>
      <c r="AI35" s="10">
        <f t="shared" si="41"/>
        <v>4.1342094928034341E-4</v>
      </c>
      <c r="AJ35" s="10">
        <f t="shared" si="42"/>
        <v>4.8622284007813228E-5</v>
      </c>
      <c r="AK35" s="10">
        <f t="shared" si="43"/>
        <v>6.0843976465800663E-2</v>
      </c>
      <c r="AL35" s="10">
        <f t="shared" si="44"/>
        <v>5.1695276264507248E-3</v>
      </c>
      <c r="AM35" s="10">
        <f t="shared" si="45"/>
        <v>5.1695276264507248E-3</v>
      </c>
      <c r="AN35" s="10">
        <f t="shared" si="46"/>
        <v>7.6628136247878197E-3</v>
      </c>
      <c r="AO35" s="10">
        <f t="shared" si="47"/>
        <v>5.2807548602380227E-3</v>
      </c>
      <c r="AP35" s="175">
        <f t="shared" si="48"/>
        <v>7.6628136247878197E-3</v>
      </c>
      <c r="AQ35" s="66">
        <f t="shared" si="49"/>
        <v>9.7000000000000003E-2</v>
      </c>
      <c r="AR35" s="10">
        <f t="shared" si="50"/>
        <v>0.104</v>
      </c>
      <c r="AS35" s="10">
        <f t="shared" si="51"/>
        <v>0.10100000000000001</v>
      </c>
      <c r="AT35" s="23">
        <f t="shared" si="52"/>
        <v>0.65</v>
      </c>
      <c r="AU35" s="23">
        <f t="shared" si="53"/>
        <v>0.69</v>
      </c>
      <c r="AV35" s="23">
        <f t="shared" si="54"/>
        <v>0.67</v>
      </c>
      <c r="AW35" s="24">
        <f t="shared" si="55"/>
        <v>5</v>
      </c>
      <c r="AX35" s="24">
        <f t="shared" si="56"/>
        <v>4</v>
      </c>
      <c r="AY35" s="24">
        <f t="shared" si="57"/>
        <v>4</v>
      </c>
    </row>
    <row r="36" spans="1:51" ht="13.5" customHeight="1">
      <c r="A36" s="45">
        <v>14048</v>
      </c>
      <c r="B36" s="45" t="s">
        <v>148</v>
      </c>
      <c r="C36" s="176" t="str">
        <f>Rollover!A36</f>
        <v>Honda</v>
      </c>
      <c r="D36" s="176" t="str">
        <f>Rollover!B36</f>
        <v>Civic 5HB FWD</v>
      </c>
      <c r="E36" s="69" t="s">
        <v>134</v>
      </c>
      <c r="F36" s="174">
        <f>Rollover!C36</f>
        <v>2022</v>
      </c>
      <c r="G36" s="137">
        <v>325.346</v>
      </c>
      <c r="H36" s="10">
        <v>0.30299999999999999</v>
      </c>
      <c r="I36" s="10">
        <v>1071.037</v>
      </c>
      <c r="J36" s="10">
        <v>103.711</v>
      </c>
      <c r="K36" s="10">
        <v>19.547999999999998</v>
      </c>
      <c r="L36" s="10">
        <v>36.225000000000001</v>
      </c>
      <c r="M36" s="10">
        <v>838.65499999999997</v>
      </c>
      <c r="N36" s="175">
        <v>1653.34</v>
      </c>
      <c r="O36" s="137">
        <v>444.48</v>
      </c>
      <c r="P36" s="10">
        <v>0.249</v>
      </c>
      <c r="Q36" s="10">
        <v>840.15099999999995</v>
      </c>
      <c r="R36" s="10">
        <v>272.31299999999999</v>
      </c>
      <c r="S36" s="10">
        <v>11.391</v>
      </c>
      <c r="T36" s="10">
        <v>41.145000000000003</v>
      </c>
      <c r="U36" s="10">
        <v>1222.229</v>
      </c>
      <c r="V36" s="138">
        <v>730.42200000000003</v>
      </c>
      <c r="W36" s="137">
        <f t="shared" si="29"/>
        <v>1.2119105160907128E-2</v>
      </c>
      <c r="X36" s="10">
        <f t="shared" si="30"/>
        <v>6.7210278929979619E-2</v>
      </c>
      <c r="Y36" s="10">
        <f t="shared" si="31"/>
        <v>2.1800225503727924E-4</v>
      </c>
      <c r="Z36" s="10">
        <f t="shared" si="32"/>
        <v>2.1917869540360902E-5</v>
      </c>
      <c r="AA36" s="10">
        <f t="shared" si="33"/>
        <v>6.7210278929979619E-2</v>
      </c>
      <c r="AB36" s="10">
        <f t="shared" si="34"/>
        <v>1.2514219721766848E-2</v>
      </c>
      <c r="AC36" s="10">
        <f t="shared" si="35"/>
        <v>1.2514219721766848E-2</v>
      </c>
      <c r="AD36" s="10">
        <f t="shared" si="36"/>
        <v>4.68294167724723E-3</v>
      </c>
      <c r="AE36" s="10">
        <f t="shared" si="37"/>
        <v>7.1332852608337804E-3</v>
      </c>
      <c r="AF36" s="175">
        <f t="shared" si="38"/>
        <v>7.1332852608337804E-3</v>
      </c>
      <c r="AG36" s="137">
        <f t="shared" si="39"/>
        <v>3.3499718824108474E-2</v>
      </c>
      <c r="AH36" s="10">
        <f t="shared" si="40"/>
        <v>6.0843976465800663E-2</v>
      </c>
      <c r="AI36" s="10">
        <f t="shared" si="41"/>
        <v>4.1342094928034341E-4</v>
      </c>
      <c r="AJ36" s="10">
        <f t="shared" si="42"/>
        <v>4.8622284007813228E-5</v>
      </c>
      <c r="AK36" s="10">
        <f t="shared" si="43"/>
        <v>6.0843976465800663E-2</v>
      </c>
      <c r="AL36" s="10">
        <f t="shared" si="44"/>
        <v>5.1695276264507248E-3</v>
      </c>
      <c r="AM36" s="10">
        <f t="shared" si="45"/>
        <v>5.1695276264507248E-3</v>
      </c>
      <c r="AN36" s="10">
        <f t="shared" si="46"/>
        <v>7.6628136247878197E-3</v>
      </c>
      <c r="AO36" s="10">
        <f t="shared" si="47"/>
        <v>5.2807548602380227E-3</v>
      </c>
      <c r="AP36" s="175">
        <f t="shared" si="48"/>
        <v>7.6628136247878197E-3</v>
      </c>
      <c r="AQ36" s="66">
        <f t="shared" si="49"/>
        <v>9.7000000000000003E-2</v>
      </c>
      <c r="AR36" s="10">
        <f t="shared" si="50"/>
        <v>0.104</v>
      </c>
      <c r="AS36" s="10">
        <f t="shared" si="51"/>
        <v>0.10100000000000001</v>
      </c>
      <c r="AT36" s="23">
        <f t="shared" si="52"/>
        <v>0.65</v>
      </c>
      <c r="AU36" s="23">
        <f t="shared" si="53"/>
        <v>0.69</v>
      </c>
      <c r="AV36" s="23">
        <f t="shared" si="54"/>
        <v>0.67</v>
      </c>
      <c r="AW36" s="24">
        <f t="shared" si="55"/>
        <v>5</v>
      </c>
      <c r="AX36" s="24">
        <f t="shared" si="56"/>
        <v>4</v>
      </c>
      <c r="AY36" s="24">
        <f t="shared" si="57"/>
        <v>4</v>
      </c>
    </row>
    <row r="37" spans="1:51" ht="13.5" customHeight="1">
      <c r="A37" s="45">
        <v>14091</v>
      </c>
      <c r="B37" s="45" t="s">
        <v>149</v>
      </c>
      <c r="C37" s="37" t="str">
        <f>Rollover!A37</f>
        <v>Hyundai</v>
      </c>
      <c r="D37" s="37" t="str">
        <f>Rollover!B37</f>
        <v>Ioniq 5 SUV RWD</v>
      </c>
      <c r="E37" s="69" t="s">
        <v>138</v>
      </c>
      <c r="F37" s="174">
        <f>Rollover!C37</f>
        <v>2022</v>
      </c>
      <c r="G37" s="18">
        <v>312.75900000000001</v>
      </c>
      <c r="H37" s="19">
        <v>0.218</v>
      </c>
      <c r="I37" s="19">
        <v>904.3</v>
      </c>
      <c r="J37" s="19">
        <v>467.01799999999997</v>
      </c>
      <c r="K37" s="19">
        <v>26.478999999999999</v>
      </c>
      <c r="L37" s="19">
        <v>45.738999999999997</v>
      </c>
      <c r="M37" s="19">
        <v>2627.9520000000002</v>
      </c>
      <c r="N37" s="20">
        <v>3020.2049999999999</v>
      </c>
      <c r="O37" s="18">
        <v>201.607</v>
      </c>
      <c r="P37" s="19">
        <v>0.51500000000000001</v>
      </c>
      <c r="Q37" s="19">
        <v>460.036</v>
      </c>
      <c r="R37" s="19">
        <v>368.88799999999998</v>
      </c>
      <c r="S37" s="19">
        <v>18.335999999999999</v>
      </c>
      <c r="T37" s="19">
        <v>47.610999999999997</v>
      </c>
      <c r="U37" s="19">
        <v>2788.4290000000001</v>
      </c>
      <c r="V37" s="136">
        <v>2427.826</v>
      </c>
      <c r="W37" s="137">
        <f t="shared" si="29"/>
        <v>1.0537086668308576E-2</v>
      </c>
      <c r="X37" s="10">
        <f t="shared" si="30"/>
        <v>5.7448503543772476E-2</v>
      </c>
      <c r="Y37" s="10">
        <f t="shared" si="31"/>
        <v>1.4672738186091253E-4</v>
      </c>
      <c r="Z37" s="10">
        <f t="shared" si="32"/>
        <v>5.194193004578247E-5</v>
      </c>
      <c r="AA37" s="10">
        <f t="shared" si="33"/>
        <v>5.7448503543772476E-2</v>
      </c>
      <c r="AB37" s="10">
        <f t="shared" si="34"/>
        <v>3.1060828853162078E-2</v>
      </c>
      <c r="AC37" s="10">
        <f t="shared" si="35"/>
        <v>3.1060828853162078E-2</v>
      </c>
      <c r="AD37" s="10">
        <f t="shared" si="36"/>
        <v>1.1781001490668222E-2</v>
      </c>
      <c r="AE37" s="10">
        <f t="shared" si="37"/>
        <v>1.4405974962887669E-2</v>
      </c>
      <c r="AF37" s="175">
        <f t="shared" si="38"/>
        <v>1.4405974962887669E-2</v>
      </c>
      <c r="AG37" s="137">
        <f t="shared" si="39"/>
        <v>1.8654292895869066E-3</v>
      </c>
      <c r="AH37" s="10">
        <f t="shared" si="40"/>
        <v>9.8591987814467569E-2</v>
      </c>
      <c r="AI37" s="10">
        <f t="shared" si="41"/>
        <v>9.8666710152065036E-5</v>
      </c>
      <c r="AJ37" s="10">
        <f t="shared" si="42"/>
        <v>6.9975721053635318E-5</v>
      </c>
      <c r="AK37" s="10">
        <f t="shared" si="43"/>
        <v>9.8591987814467569E-2</v>
      </c>
      <c r="AL37" s="10">
        <f t="shared" si="44"/>
        <v>1.8669441253475961E-2</v>
      </c>
      <c r="AM37" s="10">
        <f t="shared" si="45"/>
        <v>1.8669441253475961E-2</v>
      </c>
      <c r="AN37" s="10">
        <f t="shared" si="46"/>
        <v>2.4833953648702771E-2</v>
      </c>
      <c r="AO37" s="10">
        <f t="shared" si="47"/>
        <v>1.8981260281020162E-2</v>
      </c>
      <c r="AP37" s="175">
        <f t="shared" si="48"/>
        <v>2.4833953648702771E-2</v>
      </c>
      <c r="AQ37" s="66">
        <f t="shared" si="49"/>
        <v>0.109</v>
      </c>
      <c r="AR37" s="10">
        <f t="shared" si="50"/>
        <v>0.13900000000000001</v>
      </c>
      <c r="AS37" s="10">
        <f t="shared" si="51"/>
        <v>0.124</v>
      </c>
      <c r="AT37" s="23">
        <f t="shared" si="52"/>
        <v>0.73</v>
      </c>
      <c r="AU37" s="23">
        <f t="shared" si="53"/>
        <v>0.93</v>
      </c>
      <c r="AV37" s="23">
        <f t="shared" si="54"/>
        <v>0.83</v>
      </c>
      <c r="AW37" s="24">
        <f t="shared" si="55"/>
        <v>4</v>
      </c>
      <c r="AX37" s="24">
        <f t="shared" si="56"/>
        <v>4</v>
      </c>
      <c r="AY37" s="24">
        <f t="shared" si="57"/>
        <v>4</v>
      </c>
    </row>
    <row r="38" spans="1:51" ht="13.5" customHeight="1">
      <c r="A38" s="45">
        <v>14091</v>
      </c>
      <c r="B38" s="45" t="s">
        <v>149</v>
      </c>
      <c r="C38" s="37" t="str">
        <f>Rollover!A38</f>
        <v>Hyundai</v>
      </c>
      <c r="D38" s="37" t="str">
        <f>Rollover!B38</f>
        <v>Ioniq 5 SUV AWD</v>
      </c>
      <c r="E38" s="69" t="s">
        <v>138</v>
      </c>
      <c r="F38" s="174">
        <f>Rollover!C38</f>
        <v>2022</v>
      </c>
      <c r="G38" s="18">
        <v>312.75900000000001</v>
      </c>
      <c r="H38" s="19">
        <v>0.218</v>
      </c>
      <c r="I38" s="19">
        <v>904.3</v>
      </c>
      <c r="J38" s="19">
        <v>467.01799999999997</v>
      </c>
      <c r="K38" s="19">
        <v>26.478999999999999</v>
      </c>
      <c r="L38" s="19">
        <v>45.738999999999997</v>
      </c>
      <c r="M38" s="19">
        <v>2627.9520000000002</v>
      </c>
      <c r="N38" s="20">
        <v>3020.2049999999999</v>
      </c>
      <c r="O38" s="18">
        <v>201.607</v>
      </c>
      <c r="P38" s="19">
        <v>0.51500000000000001</v>
      </c>
      <c r="Q38" s="19">
        <v>460.036</v>
      </c>
      <c r="R38" s="19">
        <v>368.88799999999998</v>
      </c>
      <c r="S38" s="19">
        <v>18.335999999999999</v>
      </c>
      <c r="T38" s="19">
        <v>47.610999999999997</v>
      </c>
      <c r="U38" s="19">
        <v>2788.4290000000001</v>
      </c>
      <c r="V38" s="136">
        <v>2427.826</v>
      </c>
      <c r="W38" s="137">
        <f t="shared" si="29"/>
        <v>1.0537086668308576E-2</v>
      </c>
      <c r="X38" s="10">
        <f t="shared" si="30"/>
        <v>5.7448503543772476E-2</v>
      </c>
      <c r="Y38" s="10">
        <f t="shared" si="31"/>
        <v>1.4672738186091253E-4</v>
      </c>
      <c r="Z38" s="10">
        <f t="shared" si="32"/>
        <v>5.194193004578247E-5</v>
      </c>
      <c r="AA38" s="10">
        <f t="shared" si="33"/>
        <v>5.7448503543772476E-2</v>
      </c>
      <c r="AB38" s="10">
        <f t="shared" si="34"/>
        <v>3.1060828853162078E-2</v>
      </c>
      <c r="AC38" s="10">
        <f t="shared" si="35"/>
        <v>3.1060828853162078E-2</v>
      </c>
      <c r="AD38" s="10">
        <f t="shared" si="36"/>
        <v>1.1781001490668222E-2</v>
      </c>
      <c r="AE38" s="10">
        <f t="shared" si="37"/>
        <v>1.4405974962887669E-2</v>
      </c>
      <c r="AF38" s="175">
        <f t="shared" si="38"/>
        <v>1.4405974962887669E-2</v>
      </c>
      <c r="AG38" s="137">
        <f t="shared" si="39"/>
        <v>1.8654292895869066E-3</v>
      </c>
      <c r="AH38" s="10">
        <f t="shared" si="40"/>
        <v>9.8591987814467569E-2</v>
      </c>
      <c r="AI38" s="10">
        <f t="shared" si="41"/>
        <v>9.8666710152065036E-5</v>
      </c>
      <c r="AJ38" s="10">
        <f t="shared" si="42"/>
        <v>6.9975721053635318E-5</v>
      </c>
      <c r="AK38" s="10">
        <f t="shared" si="43"/>
        <v>9.8591987814467569E-2</v>
      </c>
      <c r="AL38" s="10">
        <f t="shared" si="44"/>
        <v>1.8669441253475961E-2</v>
      </c>
      <c r="AM38" s="10">
        <f t="shared" si="45"/>
        <v>1.8669441253475961E-2</v>
      </c>
      <c r="AN38" s="10">
        <f t="shared" si="46"/>
        <v>2.4833953648702771E-2</v>
      </c>
      <c r="AO38" s="10">
        <f t="shared" si="47"/>
        <v>1.8981260281020162E-2</v>
      </c>
      <c r="AP38" s="175">
        <f t="shared" si="48"/>
        <v>2.4833953648702771E-2</v>
      </c>
      <c r="AQ38" s="66">
        <f t="shared" si="49"/>
        <v>0.109</v>
      </c>
      <c r="AR38" s="10">
        <f t="shared" si="50"/>
        <v>0.13900000000000001</v>
      </c>
      <c r="AS38" s="10">
        <f t="shared" si="51"/>
        <v>0.124</v>
      </c>
      <c r="AT38" s="23">
        <f t="shared" si="52"/>
        <v>0.73</v>
      </c>
      <c r="AU38" s="23">
        <f t="shared" si="53"/>
        <v>0.93</v>
      </c>
      <c r="AV38" s="23">
        <f t="shared" si="54"/>
        <v>0.83</v>
      </c>
      <c r="AW38" s="24">
        <f t="shared" si="55"/>
        <v>4</v>
      </c>
      <c r="AX38" s="24">
        <f t="shared" si="56"/>
        <v>4</v>
      </c>
      <c r="AY38" s="24">
        <f t="shared" si="57"/>
        <v>4</v>
      </c>
    </row>
    <row r="39" spans="1:51" ht="13.5" customHeight="1">
      <c r="A39" s="41">
        <v>11668</v>
      </c>
      <c r="B39" s="41" t="s">
        <v>150</v>
      </c>
      <c r="C39" s="37" t="str">
        <f>Rollover!A39</f>
        <v>Hyundai</v>
      </c>
      <c r="D39" s="37" t="str">
        <f>Rollover!B39</f>
        <v>Tucson SUV FWD early release</v>
      </c>
      <c r="E39" s="69" t="s">
        <v>134</v>
      </c>
      <c r="F39" s="174">
        <f>Rollover!C39</f>
        <v>2022</v>
      </c>
      <c r="G39" s="26">
        <v>267.52699999999999</v>
      </c>
      <c r="H39" s="27">
        <v>0.193</v>
      </c>
      <c r="I39" s="27">
        <v>909.03499999999997</v>
      </c>
      <c r="J39" s="27">
        <v>169.642</v>
      </c>
      <c r="K39" s="27">
        <v>29.463999999999999</v>
      </c>
      <c r="L39" s="27">
        <v>45.265999999999998</v>
      </c>
      <c r="M39" s="27">
        <v>343.78800000000001</v>
      </c>
      <c r="N39" s="28">
        <v>322.36399999999998</v>
      </c>
      <c r="O39" s="26">
        <v>347.56700000000001</v>
      </c>
      <c r="P39" s="27">
        <v>0.45700000000000002</v>
      </c>
      <c r="Q39" s="27">
        <v>603.88300000000004</v>
      </c>
      <c r="R39" s="27">
        <v>185.166</v>
      </c>
      <c r="S39" s="27">
        <v>17.440000000000001</v>
      </c>
      <c r="T39" s="27">
        <v>44.649000000000001</v>
      </c>
      <c r="U39" s="27">
        <v>89.647999999999996</v>
      </c>
      <c r="V39" s="145">
        <v>356.18099999999998</v>
      </c>
      <c r="W39" s="137">
        <f t="shared" si="29"/>
        <v>5.9052458583925931E-3</v>
      </c>
      <c r="X39" s="10">
        <f t="shared" si="30"/>
        <v>5.4840661938768687E-2</v>
      </c>
      <c r="Y39" s="10">
        <f t="shared" si="31"/>
        <v>1.4838648949714293E-4</v>
      </c>
      <c r="Z39" s="10">
        <f t="shared" si="32"/>
        <v>2.5633104856438446E-5</v>
      </c>
      <c r="AA39" s="10">
        <f t="shared" si="33"/>
        <v>5.4840661938768687E-2</v>
      </c>
      <c r="AB39" s="10">
        <f t="shared" si="34"/>
        <v>4.3879032917146649E-2</v>
      </c>
      <c r="AC39" s="10">
        <f t="shared" si="35"/>
        <v>4.3879032917146649E-2</v>
      </c>
      <c r="AD39" s="10">
        <f t="shared" si="36"/>
        <v>3.6250059568330665E-3</v>
      </c>
      <c r="AE39" s="10">
        <f t="shared" si="37"/>
        <v>3.5850203535062832E-3</v>
      </c>
      <c r="AF39" s="175">
        <f t="shared" si="38"/>
        <v>3.6250059568330665E-3</v>
      </c>
      <c r="AG39" s="137">
        <f t="shared" si="39"/>
        <v>1.523031685539155E-2</v>
      </c>
      <c r="AH39" s="10">
        <f t="shared" si="40"/>
        <v>8.8898551642244056E-2</v>
      </c>
      <c r="AI39" s="10">
        <f t="shared" si="41"/>
        <v>1.6969110629316321E-4</v>
      </c>
      <c r="AJ39" s="10">
        <f t="shared" si="42"/>
        <v>3.5007116529496676E-5</v>
      </c>
      <c r="AK39" s="10">
        <f t="shared" si="43"/>
        <v>8.8898551642244056E-2</v>
      </c>
      <c r="AL39" s="10">
        <f t="shared" si="44"/>
        <v>1.610484474409454E-2</v>
      </c>
      <c r="AM39" s="10">
        <f t="shared" si="45"/>
        <v>1.610484474409454E-2</v>
      </c>
      <c r="AN39" s="10">
        <f t="shared" si="46"/>
        <v>3.2475642089999121E-3</v>
      </c>
      <c r="AO39" s="10">
        <f t="shared" si="47"/>
        <v>3.9758786963701026E-3</v>
      </c>
      <c r="AP39" s="175">
        <f t="shared" si="48"/>
        <v>3.9758786963701026E-3</v>
      </c>
      <c r="AQ39" s="66">
        <f t="shared" si="49"/>
        <v>0.105</v>
      </c>
      <c r="AR39" s="10">
        <f t="shared" si="50"/>
        <v>0.121</v>
      </c>
      <c r="AS39" s="10">
        <f t="shared" si="51"/>
        <v>0.113</v>
      </c>
      <c r="AT39" s="23">
        <f t="shared" si="52"/>
        <v>0.7</v>
      </c>
      <c r="AU39" s="23">
        <f t="shared" si="53"/>
        <v>0.81</v>
      </c>
      <c r="AV39" s="23">
        <f t="shared" si="54"/>
        <v>0.75</v>
      </c>
      <c r="AW39" s="24">
        <f t="shared" si="55"/>
        <v>4</v>
      </c>
      <c r="AX39" s="24">
        <f t="shared" si="56"/>
        <v>4</v>
      </c>
      <c r="AY39" s="24">
        <f t="shared" si="57"/>
        <v>4</v>
      </c>
    </row>
    <row r="40" spans="1:51" ht="13.5" customHeight="1">
      <c r="A40" s="41">
        <v>11668</v>
      </c>
      <c r="B40" s="41" t="s">
        <v>150</v>
      </c>
      <c r="C40" s="37" t="str">
        <f>Rollover!A40</f>
        <v>Hyundai</v>
      </c>
      <c r="D40" s="37" t="str">
        <f>Rollover!B40</f>
        <v>Tucson SUV AWD early release</v>
      </c>
      <c r="E40" s="69" t="s">
        <v>134</v>
      </c>
      <c r="F40" s="174">
        <f>Rollover!C40</f>
        <v>2022</v>
      </c>
      <c r="G40" s="26">
        <v>267.52699999999999</v>
      </c>
      <c r="H40" s="27">
        <v>0.193</v>
      </c>
      <c r="I40" s="27">
        <v>909.03499999999997</v>
      </c>
      <c r="J40" s="27">
        <v>169.642</v>
      </c>
      <c r="K40" s="27">
        <v>29.463999999999999</v>
      </c>
      <c r="L40" s="27">
        <v>45.265999999999998</v>
      </c>
      <c r="M40" s="27">
        <v>343.78800000000001</v>
      </c>
      <c r="N40" s="28">
        <v>322.36399999999998</v>
      </c>
      <c r="O40" s="26">
        <v>347.56700000000001</v>
      </c>
      <c r="P40" s="27">
        <v>0.45700000000000002</v>
      </c>
      <c r="Q40" s="27">
        <v>603.88300000000004</v>
      </c>
      <c r="R40" s="27">
        <v>185.166</v>
      </c>
      <c r="S40" s="27">
        <v>17.440000000000001</v>
      </c>
      <c r="T40" s="27">
        <v>44.649000000000001</v>
      </c>
      <c r="U40" s="27">
        <v>89.647999999999996</v>
      </c>
      <c r="V40" s="145">
        <v>356.18099999999998</v>
      </c>
      <c r="W40" s="137">
        <f t="shared" si="29"/>
        <v>5.9052458583925931E-3</v>
      </c>
      <c r="X40" s="10">
        <f t="shared" si="30"/>
        <v>5.4840661938768687E-2</v>
      </c>
      <c r="Y40" s="10">
        <f t="shared" si="31"/>
        <v>1.4838648949714293E-4</v>
      </c>
      <c r="Z40" s="10">
        <f t="shared" si="32"/>
        <v>2.5633104856438446E-5</v>
      </c>
      <c r="AA40" s="10">
        <f t="shared" si="33"/>
        <v>5.4840661938768687E-2</v>
      </c>
      <c r="AB40" s="10">
        <f t="shared" si="34"/>
        <v>4.3879032917146649E-2</v>
      </c>
      <c r="AC40" s="10">
        <f t="shared" si="35"/>
        <v>4.3879032917146649E-2</v>
      </c>
      <c r="AD40" s="10">
        <f t="shared" si="36"/>
        <v>3.6250059568330665E-3</v>
      </c>
      <c r="AE40" s="10">
        <f t="shared" si="37"/>
        <v>3.5850203535062832E-3</v>
      </c>
      <c r="AF40" s="175">
        <f t="shared" si="38"/>
        <v>3.6250059568330665E-3</v>
      </c>
      <c r="AG40" s="137">
        <f t="shared" si="39"/>
        <v>1.523031685539155E-2</v>
      </c>
      <c r="AH40" s="10">
        <f t="shared" si="40"/>
        <v>8.8898551642244056E-2</v>
      </c>
      <c r="AI40" s="10">
        <f t="shared" si="41"/>
        <v>1.6969110629316321E-4</v>
      </c>
      <c r="AJ40" s="10">
        <f t="shared" si="42"/>
        <v>3.5007116529496676E-5</v>
      </c>
      <c r="AK40" s="10">
        <f t="shared" si="43"/>
        <v>8.8898551642244056E-2</v>
      </c>
      <c r="AL40" s="10">
        <f t="shared" si="44"/>
        <v>1.610484474409454E-2</v>
      </c>
      <c r="AM40" s="10">
        <f t="shared" si="45"/>
        <v>1.610484474409454E-2</v>
      </c>
      <c r="AN40" s="10">
        <f t="shared" si="46"/>
        <v>3.2475642089999121E-3</v>
      </c>
      <c r="AO40" s="10">
        <f t="shared" si="47"/>
        <v>3.9758786963701026E-3</v>
      </c>
      <c r="AP40" s="175">
        <f t="shared" si="48"/>
        <v>3.9758786963701026E-3</v>
      </c>
      <c r="AQ40" s="66">
        <f t="shared" si="49"/>
        <v>0.105</v>
      </c>
      <c r="AR40" s="10">
        <f t="shared" si="50"/>
        <v>0.121</v>
      </c>
      <c r="AS40" s="10">
        <f t="shared" si="51"/>
        <v>0.113</v>
      </c>
      <c r="AT40" s="23">
        <f t="shared" si="52"/>
        <v>0.7</v>
      </c>
      <c r="AU40" s="23">
        <f t="shared" si="53"/>
        <v>0.81</v>
      </c>
      <c r="AV40" s="23">
        <f t="shared" si="54"/>
        <v>0.75</v>
      </c>
      <c r="AW40" s="24">
        <f t="shared" si="55"/>
        <v>4</v>
      </c>
      <c r="AX40" s="24">
        <f t="shared" si="56"/>
        <v>4</v>
      </c>
      <c r="AY40" s="24">
        <f t="shared" si="57"/>
        <v>4</v>
      </c>
    </row>
    <row r="41" spans="1:51" ht="13.5" customHeight="1">
      <c r="A41" s="45">
        <v>11668</v>
      </c>
      <c r="B41" s="41" t="s">
        <v>150</v>
      </c>
      <c r="C41" s="176" t="str">
        <f>Rollover!A41</f>
        <v>Hyundai</v>
      </c>
      <c r="D41" s="176" t="str">
        <f>Rollover!B41</f>
        <v>Tucson HEV SUV FWD early release</v>
      </c>
      <c r="E41" s="69" t="s">
        <v>134</v>
      </c>
      <c r="F41" s="174">
        <f>Rollover!C41</f>
        <v>2022</v>
      </c>
      <c r="G41" s="18">
        <v>267.52699999999999</v>
      </c>
      <c r="H41" s="19">
        <v>0.193</v>
      </c>
      <c r="I41" s="19">
        <v>909.03499999999997</v>
      </c>
      <c r="J41" s="19">
        <v>169.642</v>
      </c>
      <c r="K41" s="19">
        <v>29.463999999999999</v>
      </c>
      <c r="L41" s="19">
        <v>45.265999999999998</v>
      </c>
      <c r="M41" s="19">
        <v>343.78800000000001</v>
      </c>
      <c r="N41" s="20">
        <v>322.36399999999998</v>
      </c>
      <c r="O41" s="18">
        <v>347.56700000000001</v>
      </c>
      <c r="P41" s="19">
        <v>0.45700000000000002</v>
      </c>
      <c r="Q41" s="19">
        <v>603.88300000000004</v>
      </c>
      <c r="R41" s="19">
        <v>185.166</v>
      </c>
      <c r="S41" s="19">
        <v>17.440000000000001</v>
      </c>
      <c r="T41" s="19">
        <v>44.649000000000001</v>
      </c>
      <c r="U41" s="19">
        <v>89.647999999999996</v>
      </c>
      <c r="V41" s="136">
        <v>356.18099999999998</v>
      </c>
      <c r="W41" s="137">
        <f t="shared" si="29"/>
        <v>5.9052458583925931E-3</v>
      </c>
      <c r="X41" s="10">
        <f t="shared" si="30"/>
        <v>5.4840661938768687E-2</v>
      </c>
      <c r="Y41" s="10">
        <f t="shared" si="31"/>
        <v>1.4838648949714293E-4</v>
      </c>
      <c r="Z41" s="10">
        <f t="shared" si="32"/>
        <v>2.5633104856438446E-5</v>
      </c>
      <c r="AA41" s="10">
        <f t="shared" si="33"/>
        <v>5.4840661938768687E-2</v>
      </c>
      <c r="AB41" s="10">
        <f t="shared" si="34"/>
        <v>4.3879032917146649E-2</v>
      </c>
      <c r="AC41" s="10">
        <f t="shared" si="35"/>
        <v>4.3879032917146649E-2</v>
      </c>
      <c r="AD41" s="10">
        <f t="shared" si="36"/>
        <v>3.6250059568330665E-3</v>
      </c>
      <c r="AE41" s="10">
        <f t="shared" si="37"/>
        <v>3.5850203535062832E-3</v>
      </c>
      <c r="AF41" s="175">
        <f t="shared" si="38"/>
        <v>3.6250059568330665E-3</v>
      </c>
      <c r="AG41" s="137">
        <f t="shared" si="39"/>
        <v>1.523031685539155E-2</v>
      </c>
      <c r="AH41" s="10">
        <f t="shared" si="40"/>
        <v>8.8898551642244056E-2</v>
      </c>
      <c r="AI41" s="10">
        <f t="shared" si="41"/>
        <v>1.6969110629316321E-4</v>
      </c>
      <c r="AJ41" s="10">
        <f t="shared" si="42"/>
        <v>3.5007116529496676E-5</v>
      </c>
      <c r="AK41" s="10">
        <f t="shared" si="43"/>
        <v>8.8898551642244056E-2</v>
      </c>
      <c r="AL41" s="10">
        <f t="shared" si="44"/>
        <v>1.610484474409454E-2</v>
      </c>
      <c r="AM41" s="10">
        <f t="shared" si="45"/>
        <v>1.610484474409454E-2</v>
      </c>
      <c r="AN41" s="10">
        <f t="shared" si="46"/>
        <v>3.2475642089999121E-3</v>
      </c>
      <c r="AO41" s="10">
        <f t="shared" si="47"/>
        <v>3.9758786963701026E-3</v>
      </c>
      <c r="AP41" s="175">
        <f t="shared" si="48"/>
        <v>3.9758786963701026E-3</v>
      </c>
      <c r="AQ41" s="66">
        <f t="shared" si="49"/>
        <v>0.105</v>
      </c>
      <c r="AR41" s="10">
        <f t="shared" si="50"/>
        <v>0.121</v>
      </c>
      <c r="AS41" s="10">
        <f t="shared" si="51"/>
        <v>0.113</v>
      </c>
      <c r="AT41" s="23">
        <f t="shared" si="52"/>
        <v>0.7</v>
      </c>
      <c r="AU41" s="23">
        <f t="shared" si="53"/>
        <v>0.81</v>
      </c>
      <c r="AV41" s="23">
        <f t="shared" si="54"/>
        <v>0.75</v>
      </c>
      <c r="AW41" s="24">
        <f t="shared" si="55"/>
        <v>4</v>
      </c>
      <c r="AX41" s="24">
        <f t="shared" si="56"/>
        <v>4</v>
      </c>
      <c r="AY41" s="24">
        <f t="shared" si="57"/>
        <v>4</v>
      </c>
    </row>
    <row r="42" spans="1:51" ht="13.5" customHeight="1">
      <c r="A42" s="45">
        <v>11668</v>
      </c>
      <c r="B42" s="41" t="s">
        <v>150</v>
      </c>
      <c r="C42" s="176" t="str">
        <f>Rollover!A42</f>
        <v>Hyundai</v>
      </c>
      <c r="D42" s="176" t="str">
        <f>Rollover!B42</f>
        <v>Tucson HEV SUV AWD early release</v>
      </c>
      <c r="E42" s="69" t="s">
        <v>134</v>
      </c>
      <c r="F42" s="174">
        <f>Rollover!C42</f>
        <v>2022</v>
      </c>
      <c r="G42" s="18">
        <v>267.52699999999999</v>
      </c>
      <c r="H42" s="19">
        <v>0.193</v>
      </c>
      <c r="I42" s="19">
        <v>909.03499999999997</v>
      </c>
      <c r="J42" s="19">
        <v>169.642</v>
      </c>
      <c r="K42" s="19">
        <v>29.463999999999999</v>
      </c>
      <c r="L42" s="19">
        <v>45.265999999999998</v>
      </c>
      <c r="M42" s="19">
        <v>343.78800000000001</v>
      </c>
      <c r="N42" s="20">
        <v>322.36399999999998</v>
      </c>
      <c r="O42" s="18">
        <v>347.56700000000001</v>
      </c>
      <c r="P42" s="19">
        <v>0.45700000000000002</v>
      </c>
      <c r="Q42" s="19">
        <v>603.88300000000004</v>
      </c>
      <c r="R42" s="19">
        <v>185.166</v>
      </c>
      <c r="S42" s="19">
        <v>17.440000000000001</v>
      </c>
      <c r="T42" s="19">
        <v>44.649000000000001</v>
      </c>
      <c r="U42" s="19">
        <v>89.647999999999996</v>
      </c>
      <c r="V42" s="136">
        <v>356.18099999999998</v>
      </c>
      <c r="W42" s="137">
        <f t="shared" si="29"/>
        <v>5.9052458583925931E-3</v>
      </c>
      <c r="X42" s="10">
        <f t="shared" si="30"/>
        <v>5.4840661938768687E-2</v>
      </c>
      <c r="Y42" s="10">
        <f t="shared" si="31"/>
        <v>1.4838648949714293E-4</v>
      </c>
      <c r="Z42" s="10">
        <f t="shared" si="32"/>
        <v>2.5633104856438446E-5</v>
      </c>
      <c r="AA42" s="10">
        <f t="shared" si="33"/>
        <v>5.4840661938768687E-2</v>
      </c>
      <c r="AB42" s="10">
        <f t="shared" si="34"/>
        <v>4.3879032917146649E-2</v>
      </c>
      <c r="AC42" s="10">
        <f t="shared" si="35"/>
        <v>4.3879032917146649E-2</v>
      </c>
      <c r="AD42" s="10">
        <f t="shared" si="36"/>
        <v>3.6250059568330665E-3</v>
      </c>
      <c r="AE42" s="10">
        <f t="shared" si="37"/>
        <v>3.5850203535062832E-3</v>
      </c>
      <c r="AF42" s="175">
        <f t="shared" si="38"/>
        <v>3.6250059568330665E-3</v>
      </c>
      <c r="AG42" s="137">
        <f t="shared" si="39"/>
        <v>1.523031685539155E-2</v>
      </c>
      <c r="AH42" s="10">
        <f t="shared" si="40"/>
        <v>8.8898551642244056E-2</v>
      </c>
      <c r="AI42" s="10">
        <f t="shared" si="41"/>
        <v>1.6969110629316321E-4</v>
      </c>
      <c r="AJ42" s="10">
        <f t="shared" si="42"/>
        <v>3.5007116529496676E-5</v>
      </c>
      <c r="AK42" s="10">
        <f t="shared" si="43"/>
        <v>8.8898551642244056E-2</v>
      </c>
      <c r="AL42" s="10">
        <f t="shared" si="44"/>
        <v>1.610484474409454E-2</v>
      </c>
      <c r="AM42" s="10">
        <f t="shared" si="45"/>
        <v>1.610484474409454E-2</v>
      </c>
      <c r="AN42" s="10">
        <f t="shared" si="46"/>
        <v>3.2475642089999121E-3</v>
      </c>
      <c r="AO42" s="10">
        <f t="shared" si="47"/>
        <v>3.9758786963701026E-3</v>
      </c>
      <c r="AP42" s="175">
        <f t="shared" si="48"/>
        <v>3.9758786963701026E-3</v>
      </c>
      <c r="AQ42" s="66">
        <f t="shared" si="49"/>
        <v>0.105</v>
      </c>
      <c r="AR42" s="10">
        <f t="shared" si="50"/>
        <v>0.121</v>
      </c>
      <c r="AS42" s="10">
        <f t="shared" si="51"/>
        <v>0.113</v>
      </c>
      <c r="AT42" s="23">
        <f t="shared" si="52"/>
        <v>0.7</v>
      </c>
      <c r="AU42" s="23">
        <f t="shared" si="53"/>
        <v>0.81</v>
      </c>
      <c r="AV42" s="23">
        <f t="shared" si="54"/>
        <v>0.75</v>
      </c>
      <c r="AW42" s="24">
        <f t="shared" si="55"/>
        <v>4</v>
      </c>
      <c r="AX42" s="24">
        <f t="shared" si="56"/>
        <v>4</v>
      </c>
      <c r="AY42" s="24">
        <f t="shared" si="57"/>
        <v>4</v>
      </c>
    </row>
    <row r="43" spans="1:51" ht="13.5" customHeight="1">
      <c r="A43" s="45">
        <v>14059</v>
      </c>
      <c r="B43" s="45" t="s">
        <v>151</v>
      </c>
      <c r="C43" s="37" t="str">
        <f>Rollover!A43</f>
        <v>Hyundai</v>
      </c>
      <c r="D43" s="37" t="str">
        <f>Rollover!B43</f>
        <v>Tucson SUV FWD later release</v>
      </c>
      <c r="E43" s="69" t="s">
        <v>134</v>
      </c>
      <c r="F43" s="174">
        <f>Rollover!C43</f>
        <v>2022</v>
      </c>
      <c r="G43" s="18">
        <v>364.44099999999997</v>
      </c>
      <c r="H43" s="19">
        <v>0.23499999999999999</v>
      </c>
      <c r="I43" s="19">
        <v>728.24800000000005</v>
      </c>
      <c r="J43" s="19">
        <v>60.639000000000003</v>
      </c>
      <c r="K43" s="19">
        <v>24.337</v>
      </c>
      <c r="L43" s="19">
        <v>43.637</v>
      </c>
      <c r="M43" s="19">
        <v>121.512</v>
      </c>
      <c r="N43" s="20">
        <v>269.34800000000001</v>
      </c>
      <c r="O43" s="18">
        <v>325.226</v>
      </c>
      <c r="P43" s="19">
        <v>0.34499999999999997</v>
      </c>
      <c r="Q43" s="19">
        <v>554.64200000000005</v>
      </c>
      <c r="R43" s="19">
        <v>261.88299999999998</v>
      </c>
      <c r="S43" s="19">
        <v>10.698</v>
      </c>
      <c r="T43" s="19">
        <v>51.22</v>
      </c>
      <c r="U43" s="19">
        <v>225.60400000000001</v>
      </c>
      <c r="V43" s="136">
        <v>55.561</v>
      </c>
      <c r="W43" s="137">
        <f t="shared" si="29"/>
        <v>1.7865173832312606E-2</v>
      </c>
      <c r="X43" s="10">
        <f t="shared" si="30"/>
        <v>5.9287894628588814E-2</v>
      </c>
      <c r="Y43" s="10">
        <f t="shared" si="31"/>
        <v>9.6592679871459165E-5</v>
      </c>
      <c r="Z43" s="10">
        <f t="shared" si="32"/>
        <v>1.9786668366522114E-5</v>
      </c>
      <c r="AA43" s="10">
        <f t="shared" si="33"/>
        <v>5.9287894628588814E-2</v>
      </c>
      <c r="AB43" s="10">
        <f t="shared" si="34"/>
        <v>2.3860631172100522E-2</v>
      </c>
      <c r="AC43" s="10">
        <f t="shared" si="35"/>
        <v>2.3860631172100522E-2</v>
      </c>
      <c r="AD43" s="10">
        <f t="shared" si="36"/>
        <v>3.2308872707076737E-3</v>
      </c>
      <c r="AE43" s="10">
        <f t="shared" si="37"/>
        <v>3.4879509788548844E-3</v>
      </c>
      <c r="AF43" s="175">
        <f t="shared" si="38"/>
        <v>3.4879509788548844E-3</v>
      </c>
      <c r="AG43" s="137">
        <f t="shared" si="39"/>
        <v>1.2103408921910643E-2</v>
      </c>
      <c r="AH43" s="10">
        <f t="shared" si="40"/>
        <v>7.2583576752864323E-2</v>
      </c>
      <c r="AI43" s="10">
        <f t="shared" si="41"/>
        <v>1.4094502813878686E-4</v>
      </c>
      <c r="AJ43" s="10">
        <f t="shared" si="42"/>
        <v>4.6747590732865224E-5</v>
      </c>
      <c r="AK43" s="10">
        <f t="shared" si="43"/>
        <v>7.2583576752864323E-2</v>
      </c>
      <c r="AL43" s="10">
        <f t="shared" si="44"/>
        <v>4.4490190204293078E-3</v>
      </c>
      <c r="AM43" s="10">
        <f t="shared" si="45"/>
        <v>4.4490190204293078E-3</v>
      </c>
      <c r="AN43" s="10">
        <f t="shared" si="46"/>
        <v>3.6007268989780615E-3</v>
      </c>
      <c r="AO43" s="10">
        <f t="shared" si="47"/>
        <v>3.164571361679172E-3</v>
      </c>
      <c r="AP43" s="175">
        <f t="shared" si="48"/>
        <v>3.6007268989780615E-3</v>
      </c>
      <c r="AQ43" s="66">
        <f t="shared" si="49"/>
        <v>0.10100000000000001</v>
      </c>
      <c r="AR43" s="10">
        <f t="shared" si="50"/>
        <v>9.0999999999999998E-2</v>
      </c>
      <c r="AS43" s="10">
        <f t="shared" si="51"/>
        <v>9.6000000000000002E-2</v>
      </c>
      <c r="AT43" s="23">
        <f t="shared" si="52"/>
        <v>0.67</v>
      </c>
      <c r="AU43" s="23">
        <f t="shared" si="53"/>
        <v>0.61</v>
      </c>
      <c r="AV43" s="23">
        <f t="shared" si="54"/>
        <v>0.64</v>
      </c>
      <c r="AW43" s="24">
        <f t="shared" si="55"/>
        <v>4</v>
      </c>
      <c r="AX43" s="24">
        <f t="shared" si="56"/>
        <v>5</v>
      </c>
      <c r="AY43" s="24">
        <f t="shared" si="57"/>
        <v>5</v>
      </c>
    </row>
    <row r="44" spans="1:51" ht="13.5" customHeight="1">
      <c r="A44" s="45">
        <v>14059</v>
      </c>
      <c r="B44" s="45" t="s">
        <v>151</v>
      </c>
      <c r="C44" s="37" t="str">
        <f>Rollover!A44</f>
        <v>Hyundai</v>
      </c>
      <c r="D44" s="37" t="str">
        <f>Rollover!B44</f>
        <v>Tucson SUV AWD later release</v>
      </c>
      <c r="E44" s="69" t="s">
        <v>134</v>
      </c>
      <c r="F44" s="174">
        <f>Rollover!C44</f>
        <v>2022</v>
      </c>
      <c r="G44" s="18">
        <v>364.44099999999997</v>
      </c>
      <c r="H44" s="19">
        <v>0.23499999999999999</v>
      </c>
      <c r="I44" s="19">
        <v>728.24800000000005</v>
      </c>
      <c r="J44" s="19">
        <v>60.639000000000003</v>
      </c>
      <c r="K44" s="19">
        <v>24.337</v>
      </c>
      <c r="L44" s="19">
        <v>43.637</v>
      </c>
      <c r="M44" s="19">
        <v>121.512</v>
      </c>
      <c r="N44" s="20">
        <v>269.34800000000001</v>
      </c>
      <c r="O44" s="18">
        <v>325.226</v>
      </c>
      <c r="P44" s="19">
        <v>0.34499999999999997</v>
      </c>
      <c r="Q44" s="19">
        <v>554.64200000000005</v>
      </c>
      <c r="R44" s="19">
        <v>261.88299999999998</v>
      </c>
      <c r="S44" s="19">
        <v>10.698</v>
      </c>
      <c r="T44" s="19">
        <v>51.22</v>
      </c>
      <c r="U44" s="19">
        <v>225.60400000000001</v>
      </c>
      <c r="V44" s="136">
        <v>55.561</v>
      </c>
      <c r="W44" s="137">
        <f t="shared" si="29"/>
        <v>1.7865173832312606E-2</v>
      </c>
      <c r="X44" s="10">
        <f t="shared" si="30"/>
        <v>5.9287894628588814E-2</v>
      </c>
      <c r="Y44" s="10">
        <f t="shared" si="31"/>
        <v>9.6592679871459165E-5</v>
      </c>
      <c r="Z44" s="10">
        <f t="shared" si="32"/>
        <v>1.9786668366522114E-5</v>
      </c>
      <c r="AA44" s="10">
        <f t="shared" si="33"/>
        <v>5.9287894628588814E-2</v>
      </c>
      <c r="AB44" s="10">
        <f t="shared" si="34"/>
        <v>2.3860631172100522E-2</v>
      </c>
      <c r="AC44" s="10">
        <f t="shared" si="35"/>
        <v>2.3860631172100522E-2</v>
      </c>
      <c r="AD44" s="10">
        <f t="shared" si="36"/>
        <v>3.2308872707076737E-3</v>
      </c>
      <c r="AE44" s="10">
        <f t="shared" si="37"/>
        <v>3.4879509788548844E-3</v>
      </c>
      <c r="AF44" s="175">
        <f t="shared" si="38"/>
        <v>3.4879509788548844E-3</v>
      </c>
      <c r="AG44" s="137">
        <f t="shared" si="39"/>
        <v>1.2103408921910643E-2</v>
      </c>
      <c r="AH44" s="10">
        <f t="shared" si="40"/>
        <v>7.2583576752864323E-2</v>
      </c>
      <c r="AI44" s="10">
        <f t="shared" si="41"/>
        <v>1.4094502813878686E-4</v>
      </c>
      <c r="AJ44" s="10">
        <f t="shared" si="42"/>
        <v>4.6747590732865224E-5</v>
      </c>
      <c r="AK44" s="10">
        <f t="shared" si="43"/>
        <v>7.2583576752864323E-2</v>
      </c>
      <c r="AL44" s="10">
        <f t="shared" si="44"/>
        <v>4.4490190204293078E-3</v>
      </c>
      <c r="AM44" s="10">
        <f t="shared" si="45"/>
        <v>4.4490190204293078E-3</v>
      </c>
      <c r="AN44" s="10">
        <f t="shared" si="46"/>
        <v>3.6007268989780615E-3</v>
      </c>
      <c r="AO44" s="10">
        <f t="shared" si="47"/>
        <v>3.164571361679172E-3</v>
      </c>
      <c r="AP44" s="175">
        <f t="shared" si="48"/>
        <v>3.6007268989780615E-3</v>
      </c>
      <c r="AQ44" s="66">
        <f t="shared" si="49"/>
        <v>0.10100000000000001</v>
      </c>
      <c r="AR44" s="10">
        <f t="shared" si="50"/>
        <v>9.0999999999999998E-2</v>
      </c>
      <c r="AS44" s="10">
        <f t="shared" si="51"/>
        <v>9.6000000000000002E-2</v>
      </c>
      <c r="AT44" s="23">
        <f t="shared" si="52"/>
        <v>0.67</v>
      </c>
      <c r="AU44" s="23">
        <f t="shared" si="53"/>
        <v>0.61</v>
      </c>
      <c r="AV44" s="23">
        <f t="shared" si="54"/>
        <v>0.64</v>
      </c>
      <c r="AW44" s="24">
        <f t="shared" si="55"/>
        <v>4</v>
      </c>
      <c r="AX44" s="24">
        <f t="shared" si="56"/>
        <v>5</v>
      </c>
      <c r="AY44" s="24">
        <f t="shared" si="57"/>
        <v>5</v>
      </c>
    </row>
    <row r="45" spans="1:51" ht="13.5" customHeight="1">
      <c r="A45" s="45">
        <v>14059</v>
      </c>
      <c r="B45" s="45" t="s">
        <v>151</v>
      </c>
      <c r="C45" s="37" t="str">
        <f>Rollover!A45</f>
        <v>Hyundai</v>
      </c>
      <c r="D45" s="37" t="str">
        <f>Rollover!B45</f>
        <v>Tucson HEV SUV FWD later release</v>
      </c>
      <c r="E45" s="69" t="s">
        <v>134</v>
      </c>
      <c r="F45" s="174">
        <f>Rollover!C45</f>
        <v>2022</v>
      </c>
      <c r="G45" s="18">
        <v>364.44099999999997</v>
      </c>
      <c r="H45" s="19">
        <v>0.23499999999999999</v>
      </c>
      <c r="I45" s="19">
        <v>728.24800000000005</v>
      </c>
      <c r="J45" s="19">
        <v>60.639000000000003</v>
      </c>
      <c r="K45" s="19">
        <v>24.337</v>
      </c>
      <c r="L45" s="19">
        <v>43.637</v>
      </c>
      <c r="M45" s="19">
        <v>121.512</v>
      </c>
      <c r="N45" s="20">
        <v>269.34800000000001</v>
      </c>
      <c r="O45" s="18">
        <v>325.226</v>
      </c>
      <c r="P45" s="19">
        <v>0.34499999999999997</v>
      </c>
      <c r="Q45" s="19">
        <v>554.64200000000005</v>
      </c>
      <c r="R45" s="19">
        <v>261.88299999999998</v>
      </c>
      <c r="S45" s="19">
        <v>10.698</v>
      </c>
      <c r="T45" s="19">
        <v>51.22</v>
      </c>
      <c r="U45" s="19">
        <v>225.60400000000001</v>
      </c>
      <c r="V45" s="136">
        <v>55.561</v>
      </c>
      <c r="W45" s="137">
        <f t="shared" si="29"/>
        <v>1.7865173832312606E-2</v>
      </c>
      <c r="X45" s="10">
        <f t="shared" si="30"/>
        <v>5.9287894628588814E-2</v>
      </c>
      <c r="Y45" s="10">
        <f t="shared" si="31"/>
        <v>9.6592679871459165E-5</v>
      </c>
      <c r="Z45" s="10">
        <f t="shared" si="32"/>
        <v>1.9786668366522114E-5</v>
      </c>
      <c r="AA45" s="10">
        <f t="shared" si="33"/>
        <v>5.9287894628588814E-2</v>
      </c>
      <c r="AB45" s="10">
        <f t="shared" si="34"/>
        <v>2.3860631172100522E-2</v>
      </c>
      <c r="AC45" s="10">
        <f t="shared" si="35"/>
        <v>2.3860631172100522E-2</v>
      </c>
      <c r="AD45" s="10">
        <f t="shared" si="36"/>
        <v>3.2308872707076737E-3</v>
      </c>
      <c r="AE45" s="10">
        <f t="shared" si="37"/>
        <v>3.4879509788548844E-3</v>
      </c>
      <c r="AF45" s="175">
        <f t="shared" si="38"/>
        <v>3.4879509788548844E-3</v>
      </c>
      <c r="AG45" s="137">
        <f t="shared" si="39"/>
        <v>1.2103408921910643E-2</v>
      </c>
      <c r="AH45" s="10">
        <f t="shared" si="40"/>
        <v>7.2583576752864323E-2</v>
      </c>
      <c r="AI45" s="10">
        <f t="shared" si="41"/>
        <v>1.4094502813878686E-4</v>
      </c>
      <c r="AJ45" s="10">
        <f t="shared" si="42"/>
        <v>4.6747590732865224E-5</v>
      </c>
      <c r="AK45" s="10">
        <f t="shared" si="43"/>
        <v>7.2583576752864323E-2</v>
      </c>
      <c r="AL45" s="10">
        <f t="shared" si="44"/>
        <v>4.4490190204293078E-3</v>
      </c>
      <c r="AM45" s="10">
        <f t="shared" si="45"/>
        <v>4.4490190204293078E-3</v>
      </c>
      <c r="AN45" s="10">
        <f t="shared" si="46"/>
        <v>3.6007268989780615E-3</v>
      </c>
      <c r="AO45" s="10">
        <f t="shared" si="47"/>
        <v>3.164571361679172E-3</v>
      </c>
      <c r="AP45" s="175">
        <f t="shared" si="48"/>
        <v>3.6007268989780615E-3</v>
      </c>
      <c r="AQ45" s="66">
        <f t="shared" si="49"/>
        <v>0.10100000000000001</v>
      </c>
      <c r="AR45" s="10">
        <f t="shared" si="50"/>
        <v>9.0999999999999998E-2</v>
      </c>
      <c r="AS45" s="10">
        <f t="shared" si="51"/>
        <v>9.6000000000000002E-2</v>
      </c>
      <c r="AT45" s="23">
        <f t="shared" si="52"/>
        <v>0.67</v>
      </c>
      <c r="AU45" s="23">
        <f t="shared" si="53"/>
        <v>0.61</v>
      </c>
      <c r="AV45" s="23">
        <f t="shared" si="54"/>
        <v>0.64</v>
      </c>
      <c r="AW45" s="24">
        <f t="shared" si="55"/>
        <v>4</v>
      </c>
      <c r="AX45" s="24">
        <f t="shared" si="56"/>
        <v>5</v>
      </c>
      <c r="AY45" s="24">
        <f t="shared" si="57"/>
        <v>5</v>
      </c>
    </row>
    <row r="46" spans="1:51" ht="13.5" customHeight="1">
      <c r="A46" s="45">
        <v>14059</v>
      </c>
      <c r="B46" s="45" t="s">
        <v>151</v>
      </c>
      <c r="C46" s="37" t="str">
        <f>Rollover!A46</f>
        <v>Hyundai</v>
      </c>
      <c r="D46" s="37" t="str">
        <f>Rollover!B46</f>
        <v>Tucson HEV SUV AWD later release</v>
      </c>
      <c r="E46" s="69" t="s">
        <v>134</v>
      </c>
      <c r="F46" s="174">
        <f>Rollover!C46</f>
        <v>2022</v>
      </c>
      <c r="G46" s="18">
        <v>364.44099999999997</v>
      </c>
      <c r="H46" s="19">
        <v>0.23499999999999999</v>
      </c>
      <c r="I46" s="19">
        <v>728.24800000000005</v>
      </c>
      <c r="J46" s="19">
        <v>60.639000000000003</v>
      </c>
      <c r="K46" s="19">
        <v>24.337</v>
      </c>
      <c r="L46" s="19">
        <v>43.637</v>
      </c>
      <c r="M46" s="19">
        <v>121.512</v>
      </c>
      <c r="N46" s="20">
        <v>269.34800000000001</v>
      </c>
      <c r="O46" s="18">
        <v>325.226</v>
      </c>
      <c r="P46" s="19">
        <v>0.34499999999999997</v>
      </c>
      <c r="Q46" s="19">
        <v>554.64200000000005</v>
      </c>
      <c r="R46" s="19">
        <v>261.88299999999998</v>
      </c>
      <c r="S46" s="19">
        <v>10.698</v>
      </c>
      <c r="T46" s="19">
        <v>51.22</v>
      </c>
      <c r="U46" s="19">
        <v>225.60400000000001</v>
      </c>
      <c r="V46" s="136">
        <v>55.561</v>
      </c>
      <c r="W46" s="137">
        <f t="shared" si="29"/>
        <v>1.7865173832312606E-2</v>
      </c>
      <c r="X46" s="10">
        <f t="shared" si="30"/>
        <v>5.9287894628588814E-2</v>
      </c>
      <c r="Y46" s="10">
        <f t="shared" si="31"/>
        <v>9.6592679871459165E-5</v>
      </c>
      <c r="Z46" s="10">
        <f t="shared" si="32"/>
        <v>1.9786668366522114E-5</v>
      </c>
      <c r="AA46" s="10">
        <f t="shared" si="33"/>
        <v>5.9287894628588814E-2</v>
      </c>
      <c r="AB46" s="10">
        <f t="shared" si="34"/>
        <v>2.3860631172100522E-2</v>
      </c>
      <c r="AC46" s="10">
        <f t="shared" si="35"/>
        <v>2.3860631172100522E-2</v>
      </c>
      <c r="AD46" s="10">
        <f t="shared" si="36"/>
        <v>3.2308872707076737E-3</v>
      </c>
      <c r="AE46" s="10">
        <f t="shared" si="37"/>
        <v>3.4879509788548844E-3</v>
      </c>
      <c r="AF46" s="175">
        <f t="shared" si="38"/>
        <v>3.4879509788548844E-3</v>
      </c>
      <c r="AG46" s="137">
        <f t="shared" si="39"/>
        <v>1.2103408921910643E-2</v>
      </c>
      <c r="AH46" s="10">
        <f t="shared" si="40"/>
        <v>7.2583576752864323E-2</v>
      </c>
      <c r="AI46" s="10">
        <f t="shared" si="41"/>
        <v>1.4094502813878686E-4</v>
      </c>
      <c r="AJ46" s="10">
        <f t="shared" si="42"/>
        <v>4.6747590732865224E-5</v>
      </c>
      <c r="AK46" s="10">
        <f t="shared" si="43"/>
        <v>7.2583576752864323E-2</v>
      </c>
      <c r="AL46" s="10">
        <f t="shared" si="44"/>
        <v>4.4490190204293078E-3</v>
      </c>
      <c r="AM46" s="10">
        <f t="shared" si="45"/>
        <v>4.4490190204293078E-3</v>
      </c>
      <c r="AN46" s="10">
        <f t="shared" si="46"/>
        <v>3.6007268989780615E-3</v>
      </c>
      <c r="AO46" s="10">
        <f t="shared" si="47"/>
        <v>3.164571361679172E-3</v>
      </c>
      <c r="AP46" s="175">
        <f t="shared" si="48"/>
        <v>3.6007268989780615E-3</v>
      </c>
      <c r="AQ46" s="66">
        <f t="shared" si="49"/>
        <v>0.10100000000000001</v>
      </c>
      <c r="AR46" s="10">
        <f t="shared" si="50"/>
        <v>9.0999999999999998E-2</v>
      </c>
      <c r="AS46" s="10">
        <f t="shared" si="51"/>
        <v>9.6000000000000002E-2</v>
      </c>
      <c r="AT46" s="23">
        <f t="shared" si="52"/>
        <v>0.67</v>
      </c>
      <c r="AU46" s="23">
        <f t="shared" si="53"/>
        <v>0.61</v>
      </c>
      <c r="AV46" s="23">
        <f t="shared" si="54"/>
        <v>0.64</v>
      </c>
      <c r="AW46" s="24">
        <f t="shared" si="55"/>
        <v>4</v>
      </c>
      <c r="AX46" s="24">
        <f t="shared" si="56"/>
        <v>5</v>
      </c>
      <c r="AY46" s="24">
        <f t="shared" si="57"/>
        <v>5</v>
      </c>
    </row>
    <row r="47" spans="1:51" ht="13.5" customHeight="1">
      <c r="A47" s="45">
        <v>14062</v>
      </c>
      <c r="B47" s="45" t="s">
        <v>152</v>
      </c>
      <c r="C47" s="37" t="str">
        <f>Rollover!A47</f>
        <v>Jeep</v>
      </c>
      <c r="D47" s="37" t="str">
        <f>Rollover!B47</f>
        <v>Compass SUV FWD</v>
      </c>
      <c r="E47" s="69" t="s">
        <v>140</v>
      </c>
      <c r="F47" s="174">
        <f>Rollover!C47</f>
        <v>2022</v>
      </c>
      <c r="G47" s="18">
        <v>284.16000000000003</v>
      </c>
      <c r="H47" s="19">
        <v>0.371</v>
      </c>
      <c r="I47" s="19">
        <v>1351.86</v>
      </c>
      <c r="J47" s="19">
        <v>227.649</v>
      </c>
      <c r="K47" s="19">
        <v>25.561</v>
      </c>
      <c r="L47" s="19">
        <v>39.637</v>
      </c>
      <c r="M47" s="19">
        <v>1512.7639999999999</v>
      </c>
      <c r="N47" s="20">
        <v>1555.1890000000001</v>
      </c>
      <c r="O47" s="18">
        <v>174.84800000000001</v>
      </c>
      <c r="P47" s="19">
        <v>0.40500000000000003</v>
      </c>
      <c r="Q47" s="19">
        <v>722.69799999999998</v>
      </c>
      <c r="R47" s="19">
        <v>470.38299999999998</v>
      </c>
      <c r="S47" s="19">
        <v>16.876999999999999</v>
      </c>
      <c r="T47" s="19">
        <v>40.545000000000002</v>
      </c>
      <c r="U47" s="19">
        <v>314.33499999999998</v>
      </c>
      <c r="V47" s="136">
        <v>913.35400000000004</v>
      </c>
      <c r="W47" s="137">
        <f t="shared" si="29"/>
        <v>7.4203154776239537E-3</v>
      </c>
      <c r="X47" s="10">
        <f t="shared" si="30"/>
        <v>7.6105651318424991E-2</v>
      </c>
      <c r="Y47" s="10">
        <f t="shared" si="31"/>
        <v>4.2464491384335798E-4</v>
      </c>
      <c r="Z47" s="10">
        <f t="shared" si="32"/>
        <v>2.9419199732707394E-5</v>
      </c>
      <c r="AA47" s="10">
        <f t="shared" si="33"/>
        <v>7.6105651318424991E-2</v>
      </c>
      <c r="AB47" s="10">
        <f t="shared" si="34"/>
        <v>2.7788657404714812E-2</v>
      </c>
      <c r="AC47" s="10">
        <f t="shared" si="35"/>
        <v>2.7788657404714812E-2</v>
      </c>
      <c r="AD47" s="10">
        <f t="shared" si="36"/>
        <v>6.6341542739218424E-3</v>
      </c>
      <c r="AE47" s="10">
        <f t="shared" si="37"/>
        <v>6.7810188865920478E-3</v>
      </c>
      <c r="AF47" s="175">
        <f t="shared" si="38"/>
        <v>6.7810188865920478E-3</v>
      </c>
      <c r="AG47" s="137">
        <f t="shared" si="39"/>
        <v>9.9236936744662076E-4</v>
      </c>
      <c r="AH47" s="10">
        <f t="shared" si="40"/>
        <v>8.0947979971873835E-2</v>
      </c>
      <c r="AI47" s="10">
        <f t="shared" si="41"/>
        <v>2.6555352713902446E-4</v>
      </c>
      <c r="AJ47" s="10">
        <f t="shared" si="42"/>
        <v>1.0259117050023624E-4</v>
      </c>
      <c r="AK47" s="10">
        <f t="shared" si="43"/>
        <v>8.0947979971873835E-2</v>
      </c>
      <c r="AL47" s="10">
        <f t="shared" si="44"/>
        <v>1.4643199382292037E-2</v>
      </c>
      <c r="AM47" s="10">
        <f t="shared" si="45"/>
        <v>1.4643199382292037E-2</v>
      </c>
      <c r="AN47" s="10">
        <f t="shared" si="46"/>
        <v>3.85159782296535E-3</v>
      </c>
      <c r="AO47" s="10">
        <f t="shared" si="47"/>
        <v>6.0657335716609827E-3</v>
      </c>
      <c r="AP47" s="175">
        <f t="shared" si="48"/>
        <v>6.0657335716609827E-3</v>
      </c>
      <c r="AQ47" s="66">
        <f t="shared" si="49"/>
        <v>0.114</v>
      </c>
      <c r="AR47" s="10">
        <f t="shared" si="50"/>
        <v>0.10100000000000001</v>
      </c>
      <c r="AS47" s="10">
        <f t="shared" si="51"/>
        <v>0.108</v>
      </c>
      <c r="AT47" s="23">
        <f t="shared" si="52"/>
        <v>0.76</v>
      </c>
      <c r="AU47" s="23">
        <f t="shared" si="53"/>
        <v>0.67</v>
      </c>
      <c r="AV47" s="23">
        <f t="shared" si="54"/>
        <v>0.72</v>
      </c>
      <c r="AW47" s="24">
        <f t="shared" si="55"/>
        <v>4</v>
      </c>
      <c r="AX47" s="24">
        <f t="shared" si="56"/>
        <v>4</v>
      </c>
      <c r="AY47" s="24">
        <f t="shared" si="57"/>
        <v>4</v>
      </c>
    </row>
    <row r="48" spans="1:51" ht="13.5" customHeight="1">
      <c r="A48" s="41">
        <v>14062</v>
      </c>
      <c r="B48" s="45" t="s">
        <v>152</v>
      </c>
      <c r="C48" s="37" t="str">
        <f>Rollover!A48</f>
        <v>Jeep</v>
      </c>
      <c r="D48" s="37" t="str">
        <f>Rollover!B48</f>
        <v>Compass SUV AWD</v>
      </c>
      <c r="E48" s="67" t="s">
        <v>140</v>
      </c>
      <c r="F48" s="174">
        <f>Rollover!C48</f>
        <v>2022</v>
      </c>
      <c r="G48" s="26">
        <v>284.16000000000003</v>
      </c>
      <c r="H48" s="27">
        <v>0.371</v>
      </c>
      <c r="I48" s="27">
        <v>1351.86</v>
      </c>
      <c r="J48" s="27">
        <v>227.649</v>
      </c>
      <c r="K48" s="27">
        <v>25.561</v>
      </c>
      <c r="L48" s="27">
        <v>39.637</v>
      </c>
      <c r="M48" s="27">
        <v>1512.7639999999999</v>
      </c>
      <c r="N48" s="28">
        <v>1555.1890000000001</v>
      </c>
      <c r="O48" s="26">
        <v>174.84800000000001</v>
      </c>
      <c r="P48" s="27">
        <v>0.40500000000000003</v>
      </c>
      <c r="Q48" s="27">
        <v>722.69799999999998</v>
      </c>
      <c r="R48" s="27">
        <v>470.38299999999998</v>
      </c>
      <c r="S48" s="27">
        <v>16.876999999999999</v>
      </c>
      <c r="T48" s="27">
        <v>40.545000000000002</v>
      </c>
      <c r="U48" s="27">
        <v>314.33499999999998</v>
      </c>
      <c r="V48" s="145">
        <v>913.35400000000004</v>
      </c>
      <c r="W48" s="137">
        <f t="shared" si="29"/>
        <v>7.4203154776239537E-3</v>
      </c>
      <c r="X48" s="10">
        <f t="shared" si="30"/>
        <v>7.6105651318424991E-2</v>
      </c>
      <c r="Y48" s="10">
        <f t="shared" si="31"/>
        <v>4.2464491384335798E-4</v>
      </c>
      <c r="Z48" s="10">
        <f t="shared" si="32"/>
        <v>2.9419199732707394E-5</v>
      </c>
      <c r="AA48" s="10">
        <f t="shared" si="33"/>
        <v>7.6105651318424991E-2</v>
      </c>
      <c r="AB48" s="10">
        <f t="shared" si="34"/>
        <v>2.7788657404714812E-2</v>
      </c>
      <c r="AC48" s="10">
        <f t="shared" si="35"/>
        <v>2.7788657404714812E-2</v>
      </c>
      <c r="AD48" s="10">
        <f t="shared" si="36"/>
        <v>6.6341542739218424E-3</v>
      </c>
      <c r="AE48" s="10">
        <f t="shared" si="37"/>
        <v>6.7810188865920478E-3</v>
      </c>
      <c r="AF48" s="175">
        <f t="shared" si="38"/>
        <v>6.7810188865920478E-3</v>
      </c>
      <c r="AG48" s="137">
        <f t="shared" si="39"/>
        <v>9.9236936744662076E-4</v>
      </c>
      <c r="AH48" s="10">
        <f t="shared" si="40"/>
        <v>8.0947979971873835E-2</v>
      </c>
      <c r="AI48" s="10">
        <f t="shared" si="41"/>
        <v>2.6555352713902446E-4</v>
      </c>
      <c r="AJ48" s="10">
        <f t="shared" si="42"/>
        <v>1.0259117050023624E-4</v>
      </c>
      <c r="AK48" s="10">
        <f t="shared" si="43"/>
        <v>8.0947979971873835E-2</v>
      </c>
      <c r="AL48" s="10">
        <f t="shared" si="44"/>
        <v>1.4643199382292037E-2</v>
      </c>
      <c r="AM48" s="10">
        <f t="shared" si="45"/>
        <v>1.4643199382292037E-2</v>
      </c>
      <c r="AN48" s="10">
        <f t="shared" si="46"/>
        <v>3.85159782296535E-3</v>
      </c>
      <c r="AO48" s="10">
        <f t="shared" si="47"/>
        <v>6.0657335716609827E-3</v>
      </c>
      <c r="AP48" s="175">
        <f t="shared" si="48"/>
        <v>6.0657335716609827E-3</v>
      </c>
      <c r="AQ48" s="66">
        <f t="shared" si="49"/>
        <v>0.114</v>
      </c>
      <c r="AR48" s="10">
        <f t="shared" si="50"/>
        <v>0.10100000000000001</v>
      </c>
      <c r="AS48" s="10">
        <f t="shared" si="51"/>
        <v>0.108</v>
      </c>
      <c r="AT48" s="23">
        <f t="shared" si="52"/>
        <v>0.76</v>
      </c>
      <c r="AU48" s="23">
        <f t="shared" si="53"/>
        <v>0.67</v>
      </c>
      <c r="AV48" s="23">
        <f t="shared" si="54"/>
        <v>0.72</v>
      </c>
      <c r="AW48" s="24">
        <f t="shared" si="55"/>
        <v>4</v>
      </c>
      <c r="AX48" s="24">
        <f t="shared" si="56"/>
        <v>4</v>
      </c>
      <c r="AY48" s="24">
        <f t="shared" si="57"/>
        <v>4</v>
      </c>
    </row>
    <row r="49" spans="1:51" ht="13.5" customHeight="1">
      <c r="A49" s="45">
        <v>14056</v>
      </c>
      <c r="B49" s="45" t="s">
        <v>153</v>
      </c>
      <c r="C49" s="37" t="str">
        <f>Rollover!A49</f>
        <v>Kia</v>
      </c>
      <c r="D49" s="37" t="str">
        <f>Rollover!B49</f>
        <v>Niro Electric SUV FWD</v>
      </c>
      <c r="E49" s="69" t="s">
        <v>138</v>
      </c>
      <c r="F49" s="174">
        <f>Rollover!C49</f>
        <v>2022</v>
      </c>
      <c r="G49" s="178">
        <v>179.66499999999999</v>
      </c>
      <c r="H49" s="179">
        <v>0.20899999999999999</v>
      </c>
      <c r="I49" s="179">
        <v>927.024</v>
      </c>
      <c r="J49" s="179">
        <v>219.84899999999999</v>
      </c>
      <c r="K49" s="179">
        <v>31.553000000000001</v>
      </c>
      <c r="L49" s="179">
        <v>38.085999999999999</v>
      </c>
      <c r="M49" s="179">
        <v>625.928</v>
      </c>
      <c r="N49" s="180">
        <v>1192.384</v>
      </c>
      <c r="O49" s="181">
        <v>229.261</v>
      </c>
      <c r="P49" s="182">
        <v>0.41</v>
      </c>
      <c r="Q49" s="182">
        <v>809.42499999999995</v>
      </c>
      <c r="R49" s="182">
        <v>105.453</v>
      </c>
      <c r="S49" s="182">
        <v>16.265999999999998</v>
      </c>
      <c r="T49" s="182">
        <v>45.726999999999997</v>
      </c>
      <c r="U49" s="179">
        <v>1178.143</v>
      </c>
      <c r="V49" s="183">
        <v>96.569000000000003</v>
      </c>
      <c r="W49" s="137">
        <f t="shared" ref="W49:W50" si="64">NORMDIST(LN(G49),7.45231,0.73998,1)</f>
        <v>1.1223799466167307E-3</v>
      </c>
      <c r="X49" s="10">
        <f t="shared" ref="X49:X50" si="65">1/(1+EXP(3.2269-1.9688*H49))</f>
        <v>5.6496531186568832E-2</v>
      </c>
      <c r="Y49" s="10">
        <f t="shared" ref="Y49:Y50" si="66">1/(1+EXP(10.9745-2.375*I49/1000))</f>
        <v>1.5486250883043796E-4</v>
      </c>
      <c r="Z49" s="10">
        <f t="shared" ref="Z49:Z50" si="67">1/(1+EXP(10.9745-2.375*J49/1000))</f>
        <v>2.8879241600394377E-5</v>
      </c>
      <c r="AA49" s="10">
        <f t="shared" ref="AA49:AA50" si="68">MAX(X49,Y49,Z49)</f>
        <v>5.6496531186568832E-2</v>
      </c>
      <c r="AB49" s="10">
        <f t="shared" ref="AB49:AB50" si="69">1/(1+EXP(12.597-0.05861*35-1.568*(K49^0.4612)))</f>
        <v>5.5102849579929725E-2</v>
      </c>
      <c r="AC49" s="10">
        <f t="shared" ref="AC49:AC50" si="70">AB49</f>
        <v>5.5102849579929725E-2</v>
      </c>
      <c r="AD49" s="10">
        <f t="shared" ref="AD49:AD50" si="71">1/(1+EXP(5.7949-0.5196*M49/1000))</f>
        <v>4.1949594967939262E-3</v>
      </c>
      <c r="AE49" s="10">
        <f t="shared" ref="AE49:AE50" si="72">1/(1+EXP(5.7949-0.5196*N49/1000))</f>
        <v>5.6225180853177658E-3</v>
      </c>
      <c r="AF49" s="175">
        <f t="shared" ref="AF49:AF50" si="73">MAX(AD49,AE49)</f>
        <v>5.6225180853177658E-3</v>
      </c>
      <c r="AG49" s="137">
        <f t="shared" ref="AG49:AG50" si="74">NORMDIST(LN(O49),7.45231,0.73998,1)</f>
        <v>3.2018944821605166E-3</v>
      </c>
      <c r="AH49" s="10">
        <f t="shared" ref="AH49:AH50" si="75">1/(1+EXP(3.2269-1.9688*P49))</f>
        <v>8.1683355930183013E-2</v>
      </c>
      <c r="AI49" s="10">
        <f t="shared" ref="AI49:AI50" si="76">1/(1+EXP(10.958-3.77*Q49/1000))</f>
        <v>3.6821776740016891E-4</v>
      </c>
      <c r="AJ49" s="10">
        <f t="shared" ref="AJ49:AJ50" si="77">1/(1+EXP(10.958-3.77*R49/1000))</f>
        <v>2.5920714764987255E-5</v>
      </c>
      <c r="AK49" s="10">
        <f t="shared" ref="AK49:AK50" si="78">MAX(AH49,AI49,AJ49)</f>
        <v>8.1683355930183013E-2</v>
      </c>
      <c r="AL49" s="10">
        <f t="shared" ref="AL49:AL50" si="79">1/(1+EXP(12.597-0.05861*35-1.568*((S49/0.817)^0.4612)))</f>
        <v>1.3178777711553315E-2</v>
      </c>
      <c r="AM49" s="10">
        <f t="shared" ref="AM49:AM50" si="80">AL49</f>
        <v>1.3178777711553315E-2</v>
      </c>
      <c r="AN49" s="10">
        <f t="shared" ref="AN49:AN50" si="81">1/(1+EXP(5.7949-0.7619*U49/1000))</f>
        <v>7.4115771051933921E-3</v>
      </c>
      <c r="AO49" s="10">
        <f t="shared" ref="AO49:AO50" si="82">1/(1+EXP(5.7949-0.7619*V49/1000))</f>
        <v>3.2646781473252133E-3</v>
      </c>
      <c r="AP49" s="175">
        <f t="shared" ref="AP49:AP50" si="83">MAX(AN49,AO49)</f>
        <v>7.4115771051933921E-3</v>
      </c>
      <c r="AQ49" s="66">
        <f t="shared" ref="AQ49:AQ50" si="84">ROUND(1-(1-W49)*(1-AA49)*(1-AC49)*(1-AF49),3)</f>
        <v>0.114</v>
      </c>
      <c r="AR49" s="10">
        <f t="shared" ref="AR49:AR50" si="85">ROUND(1-(1-AG49)*(1-AK49)*(1-AM49)*(1-AP49),3)</f>
        <v>0.10299999999999999</v>
      </c>
      <c r="AS49" s="10">
        <f t="shared" ref="AS49:AS50" si="86">ROUND(AVERAGE(AR49,AQ49),3)</f>
        <v>0.109</v>
      </c>
      <c r="AT49" s="23">
        <f t="shared" ref="AT49:AT50" si="87">ROUND(AQ49/0.15,2)</f>
        <v>0.76</v>
      </c>
      <c r="AU49" s="23">
        <f t="shared" ref="AU49:AU50" si="88">ROUND(AR49/0.15,2)</f>
        <v>0.69</v>
      </c>
      <c r="AV49" s="23">
        <f t="shared" ref="AV49:AV50" si="89">ROUND(AS49/0.15,2)</f>
        <v>0.73</v>
      </c>
      <c r="AW49" s="24">
        <f t="shared" ref="AW49:AW50" si="90">IF(AT49&lt;0.67,5,IF(AT49&lt;1,4,IF(AT49&lt;1.33,3,IF(AT49&lt;2.67,2,1))))</f>
        <v>4</v>
      </c>
      <c r="AX49" s="24">
        <f t="shared" ref="AX49:AX50" si="91">IF(AU49&lt;0.67,5,IF(AU49&lt;1,4,IF(AU49&lt;1.33,3,IF(AU49&lt;2.67,2,1))))</f>
        <v>4</v>
      </c>
      <c r="AY49" s="24">
        <f t="shared" ref="AY49:AY50" si="92">IF(AV49&lt;0.67,5,IF(AV49&lt;1,4,IF(AV49&lt;1.33,3,IF(AV49&lt;2.67,2,1))))</f>
        <v>4</v>
      </c>
    </row>
    <row r="50" spans="1:51" ht="13.5" customHeight="1">
      <c r="A50" s="45">
        <v>14051</v>
      </c>
      <c r="B50" s="45" t="s">
        <v>154</v>
      </c>
      <c r="C50" s="37" t="str">
        <f>Rollover!A50</f>
        <v>Mazda</v>
      </c>
      <c r="D50" s="37" t="str">
        <f>Rollover!B50</f>
        <v>MX-30 5HB FWD</v>
      </c>
      <c r="E50" s="69" t="s">
        <v>134</v>
      </c>
      <c r="F50" s="174">
        <f>Rollover!C50</f>
        <v>2022</v>
      </c>
      <c r="G50" s="18">
        <v>122.843</v>
      </c>
      <c r="H50" s="19">
        <v>0.218</v>
      </c>
      <c r="I50" s="19">
        <v>1059.325</v>
      </c>
      <c r="J50" s="19">
        <v>46.963000000000001</v>
      </c>
      <c r="K50" s="19">
        <v>23.853999999999999</v>
      </c>
      <c r="L50" s="19">
        <v>35.033000000000001</v>
      </c>
      <c r="M50" s="19">
        <v>911.96</v>
      </c>
      <c r="N50" s="20">
        <v>1179.2</v>
      </c>
      <c r="O50" s="18">
        <v>158.255</v>
      </c>
      <c r="P50" s="19">
        <v>0.28799999999999998</v>
      </c>
      <c r="Q50" s="19">
        <v>1119.2380000000001</v>
      </c>
      <c r="R50" s="19">
        <v>274.40899999999999</v>
      </c>
      <c r="S50" s="19">
        <v>10.207000000000001</v>
      </c>
      <c r="T50" s="19">
        <v>42.386000000000003</v>
      </c>
      <c r="U50" s="19">
        <v>739.61</v>
      </c>
      <c r="V50" s="136">
        <v>745.91399999999999</v>
      </c>
      <c r="W50" s="137">
        <f t="shared" si="64"/>
        <v>1.7879077353310805E-4</v>
      </c>
      <c r="X50" s="10">
        <f t="shared" si="65"/>
        <v>5.7448503543772476E-2</v>
      </c>
      <c r="Y50" s="10">
        <f t="shared" si="66"/>
        <v>2.1202313314999096E-4</v>
      </c>
      <c r="Z50" s="10">
        <f t="shared" si="67"/>
        <v>1.9154324803962128E-5</v>
      </c>
      <c r="AA50" s="10">
        <f t="shared" si="68"/>
        <v>5.7448503543772476E-2</v>
      </c>
      <c r="AB50" s="10">
        <f t="shared" si="69"/>
        <v>2.2438820183819475E-2</v>
      </c>
      <c r="AC50" s="10">
        <f t="shared" si="70"/>
        <v>2.2438820183819475E-2</v>
      </c>
      <c r="AD50" s="10">
        <f t="shared" si="71"/>
        <v>4.8638677761054247E-3</v>
      </c>
      <c r="AE50" s="10">
        <f t="shared" si="72"/>
        <v>5.584347532325556E-3</v>
      </c>
      <c r="AF50" s="175">
        <f t="shared" si="73"/>
        <v>5.584347532325556E-3</v>
      </c>
      <c r="AG50" s="137">
        <f t="shared" si="74"/>
        <v>6.2492545734484616E-4</v>
      </c>
      <c r="AH50" s="10">
        <f t="shared" si="75"/>
        <v>6.5382323773201578E-2</v>
      </c>
      <c r="AI50" s="10">
        <f t="shared" si="76"/>
        <v>1.1830534729891373E-3</v>
      </c>
      <c r="AJ50" s="10">
        <f t="shared" si="77"/>
        <v>4.9007996504574076E-5</v>
      </c>
      <c r="AK50" s="10">
        <f t="shared" si="78"/>
        <v>6.5382323773201578E-2</v>
      </c>
      <c r="AL50" s="10">
        <f t="shared" si="79"/>
        <v>3.9871446218945374E-3</v>
      </c>
      <c r="AM50" s="10">
        <f t="shared" si="80"/>
        <v>3.9871446218945374E-3</v>
      </c>
      <c r="AN50" s="10">
        <f t="shared" si="81"/>
        <v>5.3176543506080745E-3</v>
      </c>
      <c r="AO50" s="10">
        <f t="shared" si="82"/>
        <v>5.3431197770488882E-3</v>
      </c>
      <c r="AP50" s="175">
        <f t="shared" si="83"/>
        <v>5.3431197770488882E-3</v>
      </c>
      <c r="AQ50" s="66">
        <f t="shared" si="84"/>
        <v>8.4000000000000005E-2</v>
      </c>
      <c r="AR50" s="10">
        <f t="shared" si="85"/>
        <v>7.4999999999999997E-2</v>
      </c>
      <c r="AS50" s="10">
        <f t="shared" si="86"/>
        <v>0.08</v>
      </c>
      <c r="AT50" s="23">
        <f t="shared" si="87"/>
        <v>0.56000000000000005</v>
      </c>
      <c r="AU50" s="23">
        <f t="shared" si="88"/>
        <v>0.5</v>
      </c>
      <c r="AV50" s="23">
        <f t="shared" si="89"/>
        <v>0.53</v>
      </c>
      <c r="AW50" s="24">
        <f t="shared" si="90"/>
        <v>5</v>
      </c>
      <c r="AX50" s="24">
        <f t="shared" si="91"/>
        <v>5</v>
      </c>
      <c r="AY50" s="24">
        <f t="shared" si="92"/>
        <v>5</v>
      </c>
    </row>
    <row r="51" spans="1:51" ht="13.5" customHeight="1">
      <c r="A51" s="45">
        <v>11591</v>
      </c>
      <c r="B51" s="45" t="s">
        <v>155</v>
      </c>
      <c r="C51" s="37" t="str">
        <f>Rollover!A51</f>
        <v xml:space="preserve">Mitsubishi </v>
      </c>
      <c r="D51" s="37" t="str">
        <f>Rollover!B51</f>
        <v>Eclipse Cross SUV AWD</v>
      </c>
      <c r="E51" s="69" t="s">
        <v>138</v>
      </c>
      <c r="F51" s="174">
        <f>Rollover!C51</f>
        <v>2022</v>
      </c>
      <c r="G51" s="18">
        <v>244.76300000000001</v>
      </c>
      <c r="H51" s="19">
        <v>0.38700000000000001</v>
      </c>
      <c r="I51" s="19">
        <v>1887.3040000000001</v>
      </c>
      <c r="J51" s="19">
        <v>146.84</v>
      </c>
      <c r="K51" s="19">
        <v>25.515999999999998</v>
      </c>
      <c r="L51" s="19">
        <v>38.767000000000003</v>
      </c>
      <c r="M51" s="19">
        <v>818.67</v>
      </c>
      <c r="N51" s="20">
        <v>1442.079</v>
      </c>
      <c r="O51" s="18">
        <v>215.107</v>
      </c>
      <c r="P51" s="19">
        <v>0.39700000000000002</v>
      </c>
      <c r="Q51" s="19">
        <v>810.95399999999995</v>
      </c>
      <c r="R51" s="19">
        <v>242.499</v>
      </c>
      <c r="S51" s="19">
        <v>18.186</v>
      </c>
      <c r="T51" s="19">
        <v>43.472999999999999</v>
      </c>
      <c r="U51" s="19">
        <v>1473.2270000000001</v>
      </c>
      <c r="V51" s="136">
        <v>882.15</v>
      </c>
      <c r="W51" s="137">
        <f t="shared" ref="W51:W59" si="93">NORMDIST(LN(G51),7.45231,0.73998,1)</f>
        <v>4.1706207191667772E-3</v>
      </c>
      <c r="X51" s="10">
        <f t="shared" ref="X51:X59" si="94">1/(1+EXP(3.2269-1.9688*H51))</f>
        <v>7.835037355987394E-2</v>
      </c>
      <c r="Y51" s="10">
        <f t="shared" ref="Y51:Y59" si="95">1/(1+EXP(10.9745-2.375*I51/1000))</f>
        <v>1.5129904801883148E-3</v>
      </c>
      <c r="Z51" s="10">
        <f t="shared" ref="Z51:Z59" si="96">1/(1+EXP(10.9745-2.375*J51/1000))</f>
        <v>2.4281901430972256E-5</v>
      </c>
      <c r="AA51" s="10">
        <f t="shared" ref="AA51:AA59" si="97">MAX(X51,Y51,Z51)</f>
        <v>7.835037355987394E-2</v>
      </c>
      <c r="AB51" s="10">
        <f t="shared" ref="AB51:AB59" si="98">1/(1+EXP(12.597-0.05861*35-1.568*(K51^0.4612)))</f>
        <v>2.7635649065957786E-2</v>
      </c>
      <c r="AC51" s="10">
        <f t="shared" ref="AC51:AC59" si="99">AB51</f>
        <v>2.7635649065957786E-2</v>
      </c>
      <c r="AD51" s="10">
        <f t="shared" ref="AD51:AD59" si="100">1/(1+EXP(5.7949-0.5196*M51/1000))</f>
        <v>4.6347888766228446E-3</v>
      </c>
      <c r="AE51" s="10">
        <f t="shared" ref="AE51:AE59" si="101">1/(1+EXP(5.7949-0.5196*N51/1000))</f>
        <v>6.3964460816202211E-3</v>
      </c>
      <c r="AF51" s="175">
        <f t="shared" ref="AF51:AF59" si="102">MAX(AD51,AE51)</f>
        <v>6.3964460816202211E-3</v>
      </c>
      <c r="AG51" s="137">
        <f t="shared" ref="AG51:AG59" si="103">NORMDIST(LN(O51),7.45231,0.73998,1)</f>
        <v>2.4581008122460833E-3</v>
      </c>
      <c r="AH51" s="10">
        <f t="shared" ref="AH51:AH59" si="104">1/(1+EXP(3.2269-1.9688*P51))</f>
        <v>7.9783929664732134E-2</v>
      </c>
      <c r="AI51" s="10">
        <f t="shared" ref="AI51:AI59" si="105">1/(1+EXP(10.958-3.77*Q51/1000))</f>
        <v>3.7034563703347708E-4</v>
      </c>
      <c r="AJ51" s="10">
        <f t="shared" ref="AJ51:AJ59" si="106">1/(1+EXP(10.958-3.77*R51/1000))</f>
        <v>4.345336672080946E-5</v>
      </c>
      <c r="AK51" s="10">
        <f t="shared" ref="AK51:AK59" si="107">MAX(AH51,AI51,AJ51)</f>
        <v>7.9783929664732134E-2</v>
      </c>
      <c r="AL51" s="10">
        <f t="shared" ref="AL51:AL59" si="108">1/(1+EXP(12.597-0.05861*35-1.568*((S51/0.817)^0.4612)))</f>
        <v>1.8218777225080283E-2</v>
      </c>
      <c r="AM51" s="10">
        <f t="shared" ref="AM51:AM59" si="109">AL51</f>
        <v>1.8218777225080283E-2</v>
      </c>
      <c r="AN51" s="10">
        <f t="shared" ref="AN51:AN59" si="110">1/(1+EXP(5.7949-0.7619*U51/1000))</f>
        <v>9.262750306857602E-3</v>
      </c>
      <c r="AO51" s="10">
        <f t="shared" ref="AO51:AO59" si="111">1/(1+EXP(5.7949-0.7619*V51/1000))</f>
        <v>5.9240697903116292E-3</v>
      </c>
      <c r="AP51" s="175">
        <f t="shared" ref="AP51:AP59" si="112">MAX(AN51,AO51)</f>
        <v>9.262750306857602E-3</v>
      </c>
      <c r="AQ51" s="66">
        <f t="shared" ref="AQ51:AQ59" si="113">ROUND(1-(1-W51)*(1-AA51)*(1-AC51)*(1-AF51),3)</f>
        <v>0.113</v>
      </c>
      <c r="AR51" s="10">
        <f t="shared" ref="AR51:AR59" si="114">ROUND(1-(1-AG51)*(1-AK51)*(1-AM51)*(1-AP51),3)</f>
        <v>0.107</v>
      </c>
      <c r="AS51" s="10">
        <f t="shared" ref="AS51:AS59" si="115">ROUND(AVERAGE(AR51,AQ51),3)</f>
        <v>0.11</v>
      </c>
      <c r="AT51" s="23">
        <f t="shared" ref="AT51:AT59" si="116">ROUND(AQ51/0.15,2)</f>
        <v>0.75</v>
      </c>
      <c r="AU51" s="23">
        <f t="shared" ref="AU51:AU59" si="117">ROUND(AR51/0.15,2)</f>
        <v>0.71</v>
      </c>
      <c r="AV51" s="23">
        <f t="shared" ref="AV51:AV59" si="118">ROUND(AS51/0.15,2)</f>
        <v>0.73</v>
      </c>
      <c r="AW51" s="24">
        <f t="shared" ref="AW51:AW59" si="119">IF(AT51&lt;0.67,5,IF(AT51&lt;1,4,IF(AT51&lt;1.33,3,IF(AT51&lt;2.67,2,1))))</f>
        <v>4</v>
      </c>
      <c r="AX51" s="24">
        <f t="shared" ref="AX51:AX59" si="120">IF(AU51&lt;0.67,5,IF(AU51&lt;1,4,IF(AU51&lt;1.33,3,IF(AU51&lt;2.67,2,1))))</f>
        <v>4</v>
      </c>
      <c r="AY51" s="24">
        <f t="shared" ref="AY51:AY59" si="121">IF(AV51&lt;0.67,5,IF(AV51&lt;1,4,IF(AV51&lt;1.33,3,IF(AV51&lt;2.67,2,1))))</f>
        <v>4</v>
      </c>
    </row>
    <row r="52" spans="1:51" ht="13.5" customHeight="1">
      <c r="A52" s="45">
        <v>11591</v>
      </c>
      <c r="B52" s="45" t="s">
        <v>155</v>
      </c>
      <c r="C52" s="37" t="str">
        <f>Rollover!A52</f>
        <v xml:space="preserve">Mitsubishi </v>
      </c>
      <c r="D52" s="37" t="str">
        <f>Rollover!B52</f>
        <v>Eclipse Cross SUV FWD</v>
      </c>
      <c r="E52" s="69" t="s">
        <v>138</v>
      </c>
      <c r="F52" s="174">
        <f>Rollover!C52</f>
        <v>2022</v>
      </c>
      <c r="G52" s="18">
        <v>244.76300000000001</v>
      </c>
      <c r="H52" s="19">
        <v>0.38700000000000001</v>
      </c>
      <c r="I52" s="19">
        <v>1887.3040000000001</v>
      </c>
      <c r="J52" s="19">
        <v>146.84</v>
      </c>
      <c r="K52" s="19">
        <v>25.515999999999998</v>
      </c>
      <c r="L52" s="19">
        <v>38.767000000000003</v>
      </c>
      <c r="M52" s="19">
        <v>818.67</v>
      </c>
      <c r="N52" s="20">
        <v>1442.079</v>
      </c>
      <c r="O52" s="18">
        <v>215.107</v>
      </c>
      <c r="P52" s="19">
        <v>0.39700000000000002</v>
      </c>
      <c r="Q52" s="19">
        <v>810.95399999999995</v>
      </c>
      <c r="R52" s="19">
        <v>242.499</v>
      </c>
      <c r="S52" s="19">
        <v>18.186</v>
      </c>
      <c r="T52" s="19">
        <v>43.472999999999999</v>
      </c>
      <c r="U52" s="19">
        <v>1473.2270000000001</v>
      </c>
      <c r="V52" s="136">
        <v>882.15</v>
      </c>
      <c r="W52" s="137">
        <f t="shared" si="93"/>
        <v>4.1706207191667772E-3</v>
      </c>
      <c r="X52" s="10">
        <f t="shared" si="94"/>
        <v>7.835037355987394E-2</v>
      </c>
      <c r="Y52" s="10">
        <f t="shared" si="95"/>
        <v>1.5129904801883148E-3</v>
      </c>
      <c r="Z52" s="10">
        <f t="shared" si="96"/>
        <v>2.4281901430972256E-5</v>
      </c>
      <c r="AA52" s="10">
        <f t="shared" si="97"/>
        <v>7.835037355987394E-2</v>
      </c>
      <c r="AB52" s="10">
        <f t="shared" si="98"/>
        <v>2.7635649065957786E-2</v>
      </c>
      <c r="AC52" s="10">
        <f t="shared" si="99"/>
        <v>2.7635649065957786E-2</v>
      </c>
      <c r="AD52" s="10">
        <f t="shared" si="100"/>
        <v>4.6347888766228446E-3</v>
      </c>
      <c r="AE52" s="10">
        <f t="shared" si="101"/>
        <v>6.3964460816202211E-3</v>
      </c>
      <c r="AF52" s="175">
        <f t="shared" si="102"/>
        <v>6.3964460816202211E-3</v>
      </c>
      <c r="AG52" s="137">
        <f t="shared" si="103"/>
        <v>2.4581008122460833E-3</v>
      </c>
      <c r="AH52" s="10">
        <f t="shared" si="104"/>
        <v>7.9783929664732134E-2</v>
      </c>
      <c r="AI52" s="10">
        <f t="shared" si="105"/>
        <v>3.7034563703347708E-4</v>
      </c>
      <c r="AJ52" s="10">
        <f t="shared" si="106"/>
        <v>4.345336672080946E-5</v>
      </c>
      <c r="AK52" s="10">
        <f t="shared" si="107"/>
        <v>7.9783929664732134E-2</v>
      </c>
      <c r="AL52" s="10">
        <f t="shared" si="108"/>
        <v>1.8218777225080283E-2</v>
      </c>
      <c r="AM52" s="10">
        <f t="shared" si="109"/>
        <v>1.8218777225080283E-2</v>
      </c>
      <c r="AN52" s="10">
        <f t="shared" si="110"/>
        <v>9.262750306857602E-3</v>
      </c>
      <c r="AO52" s="10">
        <f t="shared" si="111"/>
        <v>5.9240697903116292E-3</v>
      </c>
      <c r="AP52" s="175">
        <f t="shared" si="112"/>
        <v>9.262750306857602E-3</v>
      </c>
      <c r="AQ52" s="66">
        <f t="shared" si="113"/>
        <v>0.113</v>
      </c>
      <c r="AR52" s="10">
        <f t="shared" si="114"/>
        <v>0.107</v>
      </c>
      <c r="AS52" s="10">
        <f t="shared" si="115"/>
        <v>0.11</v>
      </c>
      <c r="AT52" s="23">
        <f t="shared" si="116"/>
        <v>0.75</v>
      </c>
      <c r="AU52" s="23">
        <f t="shared" si="117"/>
        <v>0.71</v>
      </c>
      <c r="AV52" s="23">
        <f t="shared" si="118"/>
        <v>0.73</v>
      </c>
      <c r="AW52" s="24">
        <f t="shared" si="119"/>
        <v>4</v>
      </c>
      <c r="AX52" s="24">
        <f t="shared" si="120"/>
        <v>4</v>
      </c>
      <c r="AY52" s="24">
        <f t="shared" si="121"/>
        <v>4</v>
      </c>
    </row>
    <row r="53" spans="1:51" ht="13.5" customHeight="1">
      <c r="A53" s="177">
        <v>10770</v>
      </c>
      <c r="B53" s="47" t="s">
        <v>156</v>
      </c>
      <c r="C53" s="37" t="str">
        <f>Rollover!A53</f>
        <v>Nissan</v>
      </c>
      <c r="D53" s="37" t="str">
        <f>Rollover!B53</f>
        <v>Altima 4DR FWD</v>
      </c>
      <c r="E53" s="69" t="s">
        <v>134</v>
      </c>
      <c r="F53" s="174">
        <f>Rollover!C53</f>
        <v>2022</v>
      </c>
      <c r="G53" s="18">
        <v>171.041</v>
      </c>
      <c r="H53" s="19">
        <v>0.29899999999999999</v>
      </c>
      <c r="I53" s="19">
        <v>1524.5609999999999</v>
      </c>
      <c r="J53" s="19">
        <v>345.88400000000001</v>
      </c>
      <c r="K53" s="19">
        <v>23.504000000000001</v>
      </c>
      <c r="L53" s="19">
        <v>39.618000000000002</v>
      </c>
      <c r="M53" s="19">
        <v>508.89600000000002</v>
      </c>
      <c r="N53" s="20">
        <v>1521.748</v>
      </c>
      <c r="O53" s="18">
        <v>239.053</v>
      </c>
      <c r="P53" s="19">
        <v>0.53600000000000003</v>
      </c>
      <c r="Q53" s="19">
        <v>1244.5940000000001</v>
      </c>
      <c r="R53" s="19">
        <v>489.15800000000002</v>
      </c>
      <c r="S53" s="19">
        <v>13.214</v>
      </c>
      <c r="T53" s="19">
        <v>40.308</v>
      </c>
      <c r="U53" s="19">
        <v>1157.279</v>
      </c>
      <c r="V53" s="136">
        <v>1246.1690000000001</v>
      </c>
      <c r="W53" s="137">
        <f t="shared" si="93"/>
        <v>8.9735521247258062E-4</v>
      </c>
      <c r="X53" s="10">
        <f t="shared" si="94"/>
        <v>6.671823813323266E-2</v>
      </c>
      <c r="Y53" s="10">
        <f t="shared" si="95"/>
        <v>6.3983024433325109E-4</v>
      </c>
      <c r="Z53" s="10">
        <f t="shared" si="96"/>
        <v>3.8956517985345749E-5</v>
      </c>
      <c r="AA53" s="10">
        <f t="shared" si="97"/>
        <v>6.671823813323266E-2</v>
      </c>
      <c r="AB53" s="10">
        <f t="shared" si="98"/>
        <v>2.1451562302771402E-2</v>
      </c>
      <c r="AC53" s="10">
        <f t="shared" si="99"/>
        <v>2.1451562302771402E-2</v>
      </c>
      <c r="AD53" s="10">
        <f t="shared" si="100"/>
        <v>3.9484432277575284E-3</v>
      </c>
      <c r="AE53" s="10">
        <f t="shared" si="101"/>
        <v>6.6649885851511924E-3</v>
      </c>
      <c r="AF53" s="175">
        <f t="shared" si="102"/>
        <v>6.6649885851511924E-3</v>
      </c>
      <c r="AG53" s="137">
        <f t="shared" si="103"/>
        <v>3.7944232076844537E-3</v>
      </c>
      <c r="AH53" s="10">
        <f t="shared" si="104"/>
        <v>0.10232783513136225</v>
      </c>
      <c r="AI53" s="10">
        <f t="shared" si="105"/>
        <v>1.8964361651846347E-3</v>
      </c>
      <c r="AJ53" s="10">
        <f t="shared" si="106"/>
        <v>1.1011509057840411E-4</v>
      </c>
      <c r="AK53" s="10">
        <f t="shared" si="107"/>
        <v>0.10232783513136225</v>
      </c>
      <c r="AL53" s="10">
        <f t="shared" si="108"/>
        <v>7.5008558424492586E-3</v>
      </c>
      <c r="AM53" s="10">
        <f t="shared" si="109"/>
        <v>7.5008558424492586E-3</v>
      </c>
      <c r="AN53" s="10">
        <f t="shared" si="110"/>
        <v>7.2955448084947678E-3</v>
      </c>
      <c r="AO53" s="10">
        <f t="shared" si="111"/>
        <v>7.8027643509765753E-3</v>
      </c>
      <c r="AP53" s="175">
        <f t="shared" si="112"/>
        <v>7.8027643509765753E-3</v>
      </c>
      <c r="AQ53" s="66">
        <f t="shared" si="113"/>
        <v>9.4E-2</v>
      </c>
      <c r="AR53" s="10">
        <f t="shared" si="114"/>
        <v>0.11899999999999999</v>
      </c>
      <c r="AS53" s="10">
        <f t="shared" si="115"/>
        <v>0.107</v>
      </c>
      <c r="AT53" s="23">
        <f t="shared" si="116"/>
        <v>0.63</v>
      </c>
      <c r="AU53" s="23">
        <f t="shared" si="117"/>
        <v>0.79</v>
      </c>
      <c r="AV53" s="23">
        <f t="shared" si="118"/>
        <v>0.71</v>
      </c>
      <c r="AW53" s="24">
        <f t="shared" si="119"/>
        <v>5</v>
      </c>
      <c r="AX53" s="24">
        <f t="shared" si="120"/>
        <v>4</v>
      </c>
      <c r="AY53" s="24">
        <f t="shared" si="121"/>
        <v>4</v>
      </c>
    </row>
    <row r="54" spans="1:51" ht="13.5" customHeight="1">
      <c r="A54" s="177">
        <v>10770</v>
      </c>
      <c r="B54" s="47" t="s">
        <v>156</v>
      </c>
      <c r="C54" s="37" t="str">
        <f>Rollover!A54</f>
        <v>Nissan</v>
      </c>
      <c r="D54" s="37" t="str">
        <f>Rollover!B54</f>
        <v>Altima 4DR AWD</v>
      </c>
      <c r="E54" s="69" t="s">
        <v>134</v>
      </c>
      <c r="F54" s="174">
        <f>Rollover!C54</f>
        <v>2022</v>
      </c>
      <c r="G54" s="18">
        <v>171.041</v>
      </c>
      <c r="H54" s="19">
        <v>0.29899999999999999</v>
      </c>
      <c r="I54" s="19">
        <v>1524.5609999999999</v>
      </c>
      <c r="J54" s="19">
        <v>345.88400000000001</v>
      </c>
      <c r="K54" s="19">
        <v>23.504000000000001</v>
      </c>
      <c r="L54" s="19">
        <v>39.618000000000002</v>
      </c>
      <c r="M54" s="19">
        <v>508.89600000000002</v>
      </c>
      <c r="N54" s="20">
        <v>1521.748</v>
      </c>
      <c r="O54" s="18">
        <v>239.053</v>
      </c>
      <c r="P54" s="19">
        <v>0.53600000000000003</v>
      </c>
      <c r="Q54" s="19">
        <v>1244.5940000000001</v>
      </c>
      <c r="R54" s="19">
        <v>489.15800000000002</v>
      </c>
      <c r="S54" s="19">
        <v>13.214</v>
      </c>
      <c r="T54" s="19">
        <v>40.308</v>
      </c>
      <c r="U54" s="19">
        <v>1157.279</v>
      </c>
      <c r="V54" s="136">
        <v>1246.1690000000001</v>
      </c>
      <c r="W54" s="137">
        <f t="shared" si="93"/>
        <v>8.9735521247258062E-4</v>
      </c>
      <c r="X54" s="10">
        <f t="shared" si="94"/>
        <v>6.671823813323266E-2</v>
      </c>
      <c r="Y54" s="10">
        <f t="shared" si="95"/>
        <v>6.3983024433325109E-4</v>
      </c>
      <c r="Z54" s="10">
        <f t="shared" si="96"/>
        <v>3.8956517985345749E-5</v>
      </c>
      <c r="AA54" s="10">
        <f t="shared" si="97"/>
        <v>6.671823813323266E-2</v>
      </c>
      <c r="AB54" s="10">
        <f t="shared" si="98"/>
        <v>2.1451562302771402E-2</v>
      </c>
      <c r="AC54" s="10">
        <f t="shared" si="99"/>
        <v>2.1451562302771402E-2</v>
      </c>
      <c r="AD54" s="10">
        <f t="shared" si="100"/>
        <v>3.9484432277575284E-3</v>
      </c>
      <c r="AE54" s="10">
        <f t="shared" si="101"/>
        <v>6.6649885851511924E-3</v>
      </c>
      <c r="AF54" s="175">
        <f t="shared" si="102"/>
        <v>6.6649885851511924E-3</v>
      </c>
      <c r="AG54" s="137">
        <f t="shared" si="103"/>
        <v>3.7944232076844537E-3</v>
      </c>
      <c r="AH54" s="10">
        <f t="shared" si="104"/>
        <v>0.10232783513136225</v>
      </c>
      <c r="AI54" s="10">
        <f t="shared" si="105"/>
        <v>1.8964361651846347E-3</v>
      </c>
      <c r="AJ54" s="10">
        <f t="shared" si="106"/>
        <v>1.1011509057840411E-4</v>
      </c>
      <c r="AK54" s="10">
        <f t="shared" si="107"/>
        <v>0.10232783513136225</v>
      </c>
      <c r="AL54" s="10">
        <f t="shared" si="108"/>
        <v>7.5008558424492586E-3</v>
      </c>
      <c r="AM54" s="10">
        <f t="shared" si="109"/>
        <v>7.5008558424492586E-3</v>
      </c>
      <c r="AN54" s="10">
        <f t="shared" si="110"/>
        <v>7.2955448084947678E-3</v>
      </c>
      <c r="AO54" s="10">
        <f t="shared" si="111"/>
        <v>7.8027643509765753E-3</v>
      </c>
      <c r="AP54" s="175">
        <f t="shared" si="112"/>
        <v>7.8027643509765753E-3</v>
      </c>
      <c r="AQ54" s="66">
        <f t="shared" si="113"/>
        <v>9.4E-2</v>
      </c>
      <c r="AR54" s="10">
        <f t="shared" si="114"/>
        <v>0.11899999999999999</v>
      </c>
      <c r="AS54" s="10">
        <f t="shared" si="115"/>
        <v>0.107</v>
      </c>
      <c r="AT54" s="23">
        <f t="shared" si="116"/>
        <v>0.63</v>
      </c>
      <c r="AU54" s="23">
        <f t="shared" si="117"/>
        <v>0.79</v>
      </c>
      <c r="AV54" s="23">
        <f t="shared" si="118"/>
        <v>0.71</v>
      </c>
      <c r="AW54" s="24">
        <f t="shared" si="119"/>
        <v>5</v>
      </c>
      <c r="AX54" s="24">
        <f t="shared" si="120"/>
        <v>4</v>
      </c>
      <c r="AY54" s="24">
        <f t="shared" si="121"/>
        <v>4</v>
      </c>
    </row>
    <row r="55" spans="1:51" ht="13.5" customHeight="1">
      <c r="A55" s="41">
        <v>14071</v>
      </c>
      <c r="B55" s="41" t="s">
        <v>157</v>
      </c>
      <c r="C55" s="37" t="str">
        <f>Rollover!A55</f>
        <v>Nissan</v>
      </c>
      <c r="D55" s="37" t="str">
        <f>Rollover!B55</f>
        <v>Frontier Crew Cab PU/CC RWD</v>
      </c>
      <c r="E55" s="69" t="s">
        <v>134</v>
      </c>
      <c r="F55" s="174">
        <f>Rollover!C55</f>
        <v>2022</v>
      </c>
      <c r="G55" s="26">
        <v>371.339</v>
      </c>
      <c r="H55" s="27">
        <v>0.28599999999999998</v>
      </c>
      <c r="I55" s="27">
        <v>1601.489</v>
      </c>
      <c r="J55" s="27">
        <v>657.77200000000005</v>
      </c>
      <c r="K55" s="27">
        <v>33.563000000000002</v>
      </c>
      <c r="L55" s="27">
        <v>42.268999999999998</v>
      </c>
      <c r="M55" s="27">
        <v>2573.1109999999999</v>
      </c>
      <c r="N55" s="28">
        <v>3519.74</v>
      </c>
      <c r="O55" s="26">
        <v>407.26299999999998</v>
      </c>
      <c r="P55" s="27">
        <v>0.32500000000000001</v>
      </c>
      <c r="Q55" s="27">
        <v>1149.2850000000001</v>
      </c>
      <c r="R55" s="27">
        <v>620.93799999999999</v>
      </c>
      <c r="S55" s="27">
        <v>17.488</v>
      </c>
      <c r="T55" s="27">
        <v>46.43</v>
      </c>
      <c r="U55" s="27">
        <v>1705.048</v>
      </c>
      <c r="V55" s="145">
        <v>1156.2909999999999</v>
      </c>
      <c r="W55" s="137">
        <f t="shared" si="93"/>
        <v>1.9009799273522244E-2</v>
      </c>
      <c r="X55" s="10">
        <f t="shared" si="94"/>
        <v>6.5142118363650386E-2</v>
      </c>
      <c r="Y55" s="10">
        <f t="shared" si="95"/>
        <v>7.6799148544210859E-4</v>
      </c>
      <c r="Z55" s="10">
        <f t="shared" si="96"/>
        <v>8.1706809647929016E-5</v>
      </c>
      <c r="AA55" s="10">
        <f t="shared" si="97"/>
        <v>6.5142118363650386E-2</v>
      </c>
      <c r="AB55" s="10">
        <f t="shared" si="98"/>
        <v>6.790635753463993E-2</v>
      </c>
      <c r="AC55" s="10">
        <f t="shared" si="99"/>
        <v>6.790635753463993E-2</v>
      </c>
      <c r="AD55" s="10">
        <f t="shared" si="100"/>
        <v>1.1453826063877721E-2</v>
      </c>
      <c r="AE55" s="10">
        <f t="shared" si="101"/>
        <v>1.8595901442470086E-2</v>
      </c>
      <c r="AF55" s="175">
        <f t="shared" si="102"/>
        <v>1.8595901442470086E-2</v>
      </c>
      <c r="AG55" s="137">
        <f t="shared" si="103"/>
        <v>2.5596933283533095E-2</v>
      </c>
      <c r="AH55" s="10">
        <f t="shared" si="104"/>
        <v>6.9977175742497996E-2</v>
      </c>
      <c r="AI55" s="10">
        <f t="shared" si="105"/>
        <v>1.3247636776356059E-3</v>
      </c>
      <c r="AJ55" s="10">
        <f t="shared" si="106"/>
        <v>1.8095815983828537E-4</v>
      </c>
      <c r="AK55" s="10">
        <f t="shared" si="107"/>
        <v>6.9977175742497996E-2</v>
      </c>
      <c r="AL55" s="10">
        <f t="shared" si="108"/>
        <v>1.6234656509502218E-2</v>
      </c>
      <c r="AM55" s="10">
        <f t="shared" si="109"/>
        <v>1.6234656509502218E-2</v>
      </c>
      <c r="AN55" s="10">
        <f t="shared" si="110"/>
        <v>1.1032413572141355E-2</v>
      </c>
      <c r="AO55" s="10">
        <f t="shared" si="111"/>
        <v>7.2900951215691123E-3</v>
      </c>
      <c r="AP55" s="175">
        <f t="shared" si="112"/>
        <v>1.1032413572141355E-2</v>
      </c>
      <c r="AQ55" s="66">
        <f t="shared" si="113"/>
        <v>0.161</v>
      </c>
      <c r="AR55" s="10">
        <f t="shared" si="114"/>
        <v>0.11799999999999999</v>
      </c>
      <c r="AS55" s="10">
        <f t="shared" si="115"/>
        <v>0.14000000000000001</v>
      </c>
      <c r="AT55" s="23">
        <f t="shared" si="116"/>
        <v>1.07</v>
      </c>
      <c r="AU55" s="23">
        <f t="shared" si="117"/>
        <v>0.79</v>
      </c>
      <c r="AV55" s="23">
        <f t="shared" si="118"/>
        <v>0.93</v>
      </c>
      <c r="AW55" s="24">
        <f t="shared" si="119"/>
        <v>3</v>
      </c>
      <c r="AX55" s="24">
        <f t="shared" si="120"/>
        <v>4</v>
      </c>
      <c r="AY55" s="24">
        <f t="shared" si="121"/>
        <v>4</v>
      </c>
    </row>
    <row r="56" spans="1:51" ht="13.5" customHeight="1">
      <c r="A56" s="45">
        <v>14071</v>
      </c>
      <c r="B56" s="45" t="s">
        <v>157</v>
      </c>
      <c r="C56" s="37" t="str">
        <f>Rollover!A56</f>
        <v>Nissan</v>
      </c>
      <c r="D56" s="37" t="str">
        <f>Rollover!B56</f>
        <v>Frontier Crew Cab PU/CC 4WD</v>
      </c>
      <c r="E56" s="69" t="s">
        <v>134</v>
      </c>
      <c r="F56" s="174">
        <f>Rollover!C56</f>
        <v>2022</v>
      </c>
      <c r="G56" s="18">
        <v>371.339</v>
      </c>
      <c r="H56" s="19">
        <v>0.28599999999999998</v>
      </c>
      <c r="I56" s="19">
        <v>1601.489</v>
      </c>
      <c r="J56" s="19">
        <v>657.77200000000005</v>
      </c>
      <c r="K56" s="19">
        <v>33.563000000000002</v>
      </c>
      <c r="L56" s="19">
        <v>42.268999999999998</v>
      </c>
      <c r="M56" s="19">
        <v>2573.1109999999999</v>
      </c>
      <c r="N56" s="20">
        <v>3519.74</v>
      </c>
      <c r="O56" s="18">
        <v>407.26299999999998</v>
      </c>
      <c r="P56" s="19">
        <v>0.32500000000000001</v>
      </c>
      <c r="Q56" s="19">
        <v>1149.2850000000001</v>
      </c>
      <c r="R56" s="19">
        <v>620.93799999999999</v>
      </c>
      <c r="S56" s="19">
        <v>17.488</v>
      </c>
      <c r="T56" s="19">
        <v>46.43</v>
      </c>
      <c r="U56" s="19">
        <v>1705.048</v>
      </c>
      <c r="V56" s="136">
        <v>1156.2909999999999</v>
      </c>
      <c r="W56" s="137">
        <f t="shared" si="93"/>
        <v>1.9009799273522244E-2</v>
      </c>
      <c r="X56" s="10">
        <f t="shared" si="94"/>
        <v>6.5142118363650386E-2</v>
      </c>
      <c r="Y56" s="10">
        <f t="shared" si="95"/>
        <v>7.6799148544210859E-4</v>
      </c>
      <c r="Z56" s="10">
        <f t="shared" si="96"/>
        <v>8.1706809647929016E-5</v>
      </c>
      <c r="AA56" s="10">
        <f t="shared" si="97"/>
        <v>6.5142118363650386E-2</v>
      </c>
      <c r="AB56" s="10">
        <f t="shared" si="98"/>
        <v>6.790635753463993E-2</v>
      </c>
      <c r="AC56" s="10">
        <f t="shared" si="99"/>
        <v>6.790635753463993E-2</v>
      </c>
      <c r="AD56" s="10">
        <f t="shared" si="100"/>
        <v>1.1453826063877721E-2</v>
      </c>
      <c r="AE56" s="10">
        <f t="shared" si="101"/>
        <v>1.8595901442470086E-2</v>
      </c>
      <c r="AF56" s="175">
        <f t="shared" si="102"/>
        <v>1.8595901442470086E-2</v>
      </c>
      <c r="AG56" s="137">
        <f t="shared" si="103"/>
        <v>2.5596933283533095E-2</v>
      </c>
      <c r="AH56" s="10">
        <f t="shared" si="104"/>
        <v>6.9977175742497996E-2</v>
      </c>
      <c r="AI56" s="10">
        <f t="shared" si="105"/>
        <v>1.3247636776356059E-3</v>
      </c>
      <c r="AJ56" s="10">
        <f t="shared" si="106"/>
        <v>1.8095815983828537E-4</v>
      </c>
      <c r="AK56" s="10">
        <f t="shared" si="107"/>
        <v>6.9977175742497996E-2</v>
      </c>
      <c r="AL56" s="10">
        <f t="shared" si="108"/>
        <v>1.6234656509502218E-2</v>
      </c>
      <c r="AM56" s="10">
        <f t="shared" si="109"/>
        <v>1.6234656509502218E-2</v>
      </c>
      <c r="AN56" s="10">
        <f t="shared" si="110"/>
        <v>1.1032413572141355E-2</v>
      </c>
      <c r="AO56" s="10">
        <f t="shared" si="111"/>
        <v>7.2900951215691123E-3</v>
      </c>
      <c r="AP56" s="175">
        <f t="shared" si="112"/>
        <v>1.1032413572141355E-2</v>
      </c>
      <c r="AQ56" s="66">
        <f t="shared" si="113"/>
        <v>0.161</v>
      </c>
      <c r="AR56" s="10">
        <f t="shared" si="114"/>
        <v>0.11799999999999999</v>
      </c>
      <c r="AS56" s="10">
        <f t="shared" si="115"/>
        <v>0.14000000000000001</v>
      </c>
      <c r="AT56" s="23">
        <f t="shared" si="116"/>
        <v>1.07</v>
      </c>
      <c r="AU56" s="23">
        <f t="shared" si="117"/>
        <v>0.79</v>
      </c>
      <c r="AV56" s="23">
        <f t="shared" si="118"/>
        <v>0.93</v>
      </c>
      <c r="AW56" s="24">
        <f t="shared" si="119"/>
        <v>3</v>
      </c>
      <c r="AX56" s="24">
        <f t="shared" si="120"/>
        <v>4</v>
      </c>
      <c r="AY56" s="24">
        <f t="shared" si="121"/>
        <v>4</v>
      </c>
    </row>
    <row r="57" spans="1:51" ht="13.5" customHeight="1">
      <c r="A57" s="45"/>
      <c r="B57" s="45"/>
      <c r="C57" s="176" t="str">
        <f>Rollover!A57</f>
        <v>Nissan</v>
      </c>
      <c r="D57" s="176" t="str">
        <f>Rollover!B57</f>
        <v>Frontier King Cab PU/EC RWD</v>
      </c>
      <c r="E57" s="69"/>
      <c r="F57" s="174">
        <f>Rollover!C57</f>
        <v>2022</v>
      </c>
      <c r="G57" s="18"/>
      <c r="H57" s="19"/>
      <c r="I57" s="19"/>
      <c r="J57" s="19"/>
      <c r="K57" s="19"/>
      <c r="L57" s="19"/>
      <c r="M57" s="19"/>
      <c r="N57" s="20"/>
      <c r="O57" s="18"/>
      <c r="P57" s="19"/>
      <c r="Q57" s="19"/>
      <c r="R57" s="19"/>
      <c r="S57" s="19"/>
      <c r="T57" s="19"/>
      <c r="U57" s="19"/>
      <c r="V57" s="136"/>
      <c r="W57" s="137" t="e">
        <f t="shared" si="93"/>
        <v>#NUM!</v>
      </c>
      <c r="X57" s="10">
        <f t="shared" si="94"/>
        <v>3.8165882958950202E-2</v>
      </c>
      <c r="Y57" s="10">
        <f t="shared" si="95"/>
        <v>1.713277721572889E-5</v>
      </c>
      <c r="Z57" s="10">
        <f t="shared" si="96"/>
        <v>1.713277721572889E-5</v>
      </c>
      <c r="AA57" s="10">
        <f t="shared" si="97"/>
        <v>3.8165882958950202E-2</v>
      </c>
      <c r="AB57" s="10">
        <f t="shared" si="98"/>
        <v>2.6306978617002889E-5</v>
      </c>
      <c r="AC57" s="10">
        <f t="shared" si="99"/>
        <v>2.6306978617002889E-5</v>
      </c>
      <c r="AD57" s="10">
        <f t="shared" si="100"/>
        <v>3.033802747866758E-3</v>
      </c>
      <c r="AE57" s="10">
        <f t="shared" si="101"/>
        <v>3.033802747866758E-3</v>
      </c>
      <c r="AF57" s="175">
        <f t="shared" si="102"/>
        <v>3.033802747866758E-3</v>
      </c>
      <c r="AG57" s="137" t="e">
        <f t="shared" si="103"/>
        <v>#NUM!</v>
      </c>
      <c r="AH57" s="10">
        <f t="shared" si="104"/>
        <v>3.8165882958950202E-2</v>
      </c>
      <c r="AI57" s="10">
        <f t="shared" si="105"/>
        <v>1.7417808154569238E-5</v>
      </c>
      <c r="AJ57" s="10">
        <f t="shared" si="106"/>
        <v>1.7417808154569238E-5</v>
      </c>
      <c r="AK57" s="10">
        <f t="shared" si="107"/>
        <v>3.8165882958950202E-2</v>
      </c>
      <c r="AL57" s="10">
        <f t="shared" si="108"/>
        <v>2.6306978617002889E-5</v>
      </c>
      <c r="AM57" s="10">
        <f t="shared" si="109"/>
        <v>2.6306978617002889E-5</v>
      </c>
      <c r="AN57" s="10">
        <f t="shared" si="110"/>
        <v>3.033802747866758E-3</v>
      </c>
      <c r="AO57" s="10">
        <f t="shared" si="111"/>
        <v>3.033802747866758E-3</v>
      </c>
      <c r="AP57" s="175">
        <f t="shared" si="112"/>
        <v>3.033802747866758E-3</v>
      </c>
      <c r="AQ57" s="66" t="e">
        <f t="shared" si="113"/>
        <v>#NUM!</v>
      </c>
      <c r="AR57" s="10" t="e">
        <f t="shared" si="114"/>
        <v>#NUM!</v>
      </c>
      <c r="AS57" s="10" t="e">
        <f t="shared" si="115"/>
        <v>#NUM!</v>
      </c>
      <c r="AT57" s="23" t="e">
        <f t="shared" si="116"/>
        <v>#NUM!</v>
      </c>
      <c r="AU57" s="23" t="e">
        <f t="shared" si="117"/>
        <v>#NUM!</v>
      </c>
      <c r="AV57" s="23" t="e">
        <f t="shared" si="118"/>
        <v>#NUM!</v>
      </c>
      <c r="AW57" s="24" t="e">
        <f t="shared" si="119"/>
        <v>#NUM!</v>
      </c>
      <c r="AX57" s="24" t="e">
        <f t="shared" si="120"/>
        <v>#NUM!</v>
      </c>
      <c r="AY57" s="24" t="e">
        <f t="shared" si="121"/>
        <v>#NUM!</v>
      </c>
    </row>
    <row r="58" spans="1:51" ht="13.5" customHeight="1">
      <c r="A58" s="45"/>
      <c r="B58" s="45"/>
      <c r="C58" s="176" t="str">
        <f>Rollover!A58</f>
        <v>Nissan</v>
      </c>
      <c r="D58" s="176" t="str">
        <f>Rollover!B58</f>
        <v>Frontier King Cab PU/EC 4WD</v>
      </c>
      <c r="E58" s="69"/>
      <c r="F58" s="174">
        <f>Rollover!C58</f>
        <v>2022</v>
      </c>
      <c r="G58" s="18"/>
      <c r="H58" s="19"/>
      <c r="I58" s="19"/>
      <c r="J58" s="19"/>
      <c r="K58" s="19"/>
      <c r="L58" s="19"/>
      <c r="M58" s="19"/>
      <c r="N58" s="20"/>
      <c r="O58" s="18"/>
      <c r="P58" s="19"/>
      <c r="Q58" s="19"/>
      <c r="R58" s="19"/>
      <c r="S58" s="19"/>
      <c r="T58" s="19"/>
      <c r="U58" s="19"/>
      <c r="V58" s="136"/>
      <c r="W58" s="137" t="e">
        <f t="shared" si="93"/>
        <v>#NUM!</v>
      </c>
      <c r="X58" s="10">
        <f t="shared" si="94"/>
        <v>3.8165882958950202E-2</v>
      </c>
      <c r="Y58" s="10">
        <f t="shared" si="95"/>
        <v>1.713277721572889E-5</v>
      </c>
      <c r="Z58" s="10">
        <f t="shared" si="96"/>
        <v>1.713277721572889E-5</v>
      </c>
      <c r="AA58" s="10">
        <f t="shared" si="97"/>
        <v>3.8165882958950202E-2</v>
      </c>
      <c r="AB58" s="10">
        <f t="shared" si="98"/>
        <v>2.6306978617002889E-5</v>
      </c>
      <c r="AC58" s="10">
        <f t="shared" si="99"/>
        <v>2.6306978617002889E-5</v>
      </c>
      <c r="AD58" s="10">
        <f t="shared" si="100"/>
        <v>3.033802747866758E-3</v>
      </c>
      <c r="AE58" s="10">
        <f t="shared" si="101"/>
        <v>3.033802747866758E-3</v>
      </c>
      <c r="AF58" s="175">
        <f t="shared" si="102"/>
        <v>3.033802747866758E-3</v>
      </c>
      <c r="AG58" s="137" t="e">
        <f t="shared" si="103"/>
        <v>#NUM!</v>
      </c>
      <c r="AH58" s="10">
        <f t="shared" si="104"/>
        <v>3.8165882958950202E-2</v>
      </c>
      <c r="AI58" s="10">
        <f t="shared" si="105"/>
        <v>1.7417808154569238E-5</v>
      </c>
      <c r="AJ58" s="10">
        <f t="shared" si="106"/>
        <v>1.7417808154569238E-5</v>
      </c>
      <c r="AK58" s="10">
        <f t="shared" si="107"/>
        <v>3.8165882958950202E-2</v>
      </c>
      <c r="AL58" s="10">
        <f t="shared" si="108"/>
        <v>2.6306978617002889E-5</v>
      </c>
      <c r="AM58" s="10">
        <f t="shared" si="109"/>
        <v>2.6306978617002889E-5</v>
      </c>
      <c r="AN58" s="10">
        <f t="shared" si="110"/>
        <v>3.033802747866758E-3</v>
      </c>
      <c r="AO58" s="10">
        <f t="shared" si="111"/>
        <v>3.033802747866758E-3</v>
      </c>
      <c r="AP58" s="175">
        <f t="shared" si="112"/>
        <v>3.033802747866758E-3</v>
      </c>
      <c r="AQ58" s="66" t="e">
        <f t="shared" si="113"/>
        <v>#NUM!</v>
      </c>
      <c r="AR58" s="10" t="e">
        <f t="shared" si="114"/>
        <v>#NUM!</v>
      </c>
      <c r="AS58" s="10" t="e">
        <f t="shared" si="115"/>
        <v>#NUM!</v>
      </c>
      <c r="AT58" s="23" t="e">
        <f t="shared" si="116"/>
        <v>#NUM!</v>
      </c>
      <c r="AU58" s="23" t="e">
        <f t="shared" si="117"/>
        <v>#NUM!</v>
      </c>
      <c r="AV58" s="23" t="e">
        <f t="shared" si="118"/>
        <v>#NUM!</v>
      </c>
      <c r="AW58" s="24" t="e">
        <f t="shared" si="119"/>
        <v>#NUM!</v>
      </c>
      <c r="AX58" s="24" t="e">
        <f t="shared" si="120"/>
        <v>#NUM!</v>
      </c>
      <c r="AY58" s="24" t="e">
        <f t="shared" si="121"/>
        <v>#NUM!</v>
      </c>
    </row>
    <row r="59" spans="1:51" ht="13.5" customHeight="1">
      <c r="A59" s="45">
        <v>14086</v>
      </c>
      <c r="B59" s="45" t="s">
        <v>158</v>
      </c>
      <c r="C59" s="37" t="str">
        <f>Rollover!A59</f>
        <v>Nissan</v>
      </c>
      <c r="D59" s="37" t="str">
        <f>Rollover!B59</f>
        <v>Pathfinder SUV FWD</v>
      </c>
      <c r="E59" s="69" t="s">
        <v>138</v>
      </c>
      <c r="F59" s="174">
        <f>Rollover!C59</f>
        <v>2022</v>
      </c>
      <c r="G59" s="18">
        <v>150.03399999999999</v>
      </c>
      <c r="H59" s="19">
        <v>0.31</v>
      </c>
      <c r="I59" s="19">
        <v>1548.799</v>
      </c>
      <c r="J59" s="19">
        <v>240.298</v>
      </c>
      <c r="K59" s="19">
        <v>27.225999999999999</v>
      </c>
      <c r="L59" s="19">
        <v>37.24</v>
      </c>
      <c r="M59" s="19">
        <v>691.99599999999998</v>
      </c>
      <c r="N59" s="20">
        <v>602.822</v>
      </c>
      <c r="O59" s="18">
        <v>311.68099999999998</v>
      </c>
      <c r="P59" s="19">
        <v>0.45100000000000001</v>
      </c>
      <c r="Q59" s="19">
        <v>959.01499999999999</v>
      </c>
      <c r="R59" s="19">
        <v>411.6</v>
      </c>
      <c r="S59" s="19">
        <v>15.897</v>
      </c>
      <c r="T59" s="19">
        <v>42.055999999999997</v>
      </c>
      <c r="U59" s="19">
        <v>1051.759</v>
      </c>
      <c r="V59" s="136">
        <v>1376.0930000000001</v>
      </c>
      <c r="W59" s="137">
        <f t="shared" si="93"/>
        <v>4.8455655710517734E-4</v>
      </c>
      <c r="X59" s="10">
        <f t="shared" si="94"/>
        <v>6.8079460073053988E-2</v>
      </c>
      <c r="Y59" s="10">
        <f t="shared" si="95"/>
        <v>6.7771729767991445E-4</v>
      </c>
      <c r="Z59" s="10">
        <f t="shared" si="96"/>
        <v>3.0316374865116798E-5</v>
      </c>
      <c r="AA59" s="10">
        <f t="shared" si="97"/>
        <v>6.8079460073053988E-2</v>
      </c>
      <c r="AB59" s="10">
        <f t="shared" si="98"/>
        <v>3.3944345803137307E-2</v>
      </c>
      <c r="AC59" s="10">
        <f t="shared" si="99"/>
        <v>3.3944345803137307E-2</v>
      </c>
      <c r="AD59" s="10">
        <f t="shared" si="100"/>
        <v>4.3408323674078205E-3</v>
      </c>
      <c r="AE59" s="10">
        <f t="shared" si="101"/>
        <v>4.1451039697890648E-3</v>
      </c>
      <c r="AF59" s="175">
        <f t="shared" si="102"/>
        <v>4.3408323674078205E-3</v>
      </c>
      <c r="AG59" s="137">
        <f t="shared" si="103"/>
        <v>1.0407622983467009E-2</v>
      </c>
      <c r="AH59" s="10">
        <f t="shared" si="104"/>
        <v>8.794640178706048E-2</v>
      </c>
      <c r="AI59" s="10">
        <f t="shared" si="105"/>
        <v>6.4700233032784985E-4</v>
      </c>
      <c r="AJ59" s="10">
        <f t="shared" si="106"/>
        <v>8.2200415284344353E-5</v>
      </c>
      <c r="AK59" s="10">
        <f t="shared" si="107"/>
        <v>8.794640178706048E-2</v>
      </c>
      <c r="AL59" s="10">
        <f t="shared" si="108"/>
        <v>1.2352553274731148E-2</v>
      </c>
      <c r="AM59" s="10">
        <f t="shared" si="109"/>
        <v>1.2352553274731148E-2</v>
      </c>
      <c r="AN59" s="10">
        <f t="shared" si="110"/>
        <v>6.7357684741433822E-3</v>
      </c>
      <c r="AO59" s="10">
        <f t="shared" si="111"/>
        <v>8.6076865506258832E-3</v>
      </c>
      <c r="AP59" s="175">
        <f t="shared" si="112"/>
        <v>8.6076865506258832E-3</v>
      </c>
      <c r="AQ59" s="66">
        <f t="shared" si="113"/>
        <v>0.104</v>
      </c>
      <c r="AR59" s="10">
        <f t="shared" si="114"/>
        <v>0.11600000000000001</v>
      </c>
      <c r="AS59" s="10">
        <f t="shared" si="115"/>
        <v>0.11</v>
      </c>
      <c r="AT59" s="23">
        <f t="shared" si="116"/>
        <v>0.69</v>
      </c>
      <c r="AU59" s="23">
        <f t="shared" si="117"/>
        <v>0.77</v>
      </c>
      <c r="AV59" s="23">
        <f t="shared" si="118"/>
        <v>0.73</v>
      </c>
      <c r="AW59" s="24">
        <f t="shared" si="119"/>
        <v>4</v>
      </c>
      <c r="AX59" s="24">
        <f t="shared" si="120"/>
        <v>4</v>
      </c>
      <c r="AY59" s="24">
        <f t="shared" si="121"/>
        <v>4</v>
      </c>
    </row>
    <row r="60" spans="1:51" ht="13.5" customHeight="1">
      <c r="A60" s="45">
        <v>14086</v>
      </c>
      <c r="B60" s="45" t="s">
        <v>158</v>
      </c>
      <c r="C60" s="37" t="str">
        <f>Rollover!A60</f>
        <v>Nissan</v>
      </c>
      <c r="D60" s="37" t="str">
        <f>Rollover!B60</f>
        <v>Pathfinder SUV AWD</v>
      </c>
      <c r="E60" s="69" t="s">
        <v>138</v>
      </c>
      <c r="F60" s="174">
        <f>Rollover!C60</f>
        <v>2022</v>
      </c>
      <c r="G60" s="18">
        <v>150.03399999999999</v>
      </c>
      <c r="H60" s="19">
        <v>0.31</v>
      </c>
      <c r="I60" s="19">
        <v>1548.799</v>
      </c>
      <c r="J60" s="19">
        <v>240.298</v>
      </c>
      <c r="K60" s="19">
        <v>27.225999999999999</v>
      </c>
      <c r="L60" s="19">
        <v>37.24</v>
      </c>
      <c r="M60" s="19">
        <v>691.99599999999998</v>
      </c>
      <c r="N60" s="20">
        <v>602.822</v>
      </c>
      <c r="O60" s="18">
        <v>311.68099999999998</v>
      </c>
      <c r="P60" s="19">
        <v>0.45100000000000001</v>
      </c>
      <c r="Q60" s="19">
        <v>959.01499999999999</v>
      </c>
      <c r="R60" s="19">
        <v>411.6</v>
      </c>
      <c r="S60" s="19">
        <v>15.897</v>
      </c>
      <c r="T60" s="19">
        <v>42.055999999999997</v>
      </c>
      <c r="U60" s="19">
        <v>1051.759</v>
      </c>
      <c r="V60" s="136">
        <v>1376.0930000000001</v>
      </c>
      <c r="W60" s="137">
        <f t="shared" ref="W60:W69" si="122">NORMDIST(LN(G60),7.45231,0.73998,1)</f>
        <v>4.8455655710517734E-4</v>
      </c>
      <c r="X60" s="10">
        <f t="shared" ref="X60:X69" si="123">1/(1+EXP(3.2269-1.9688*H60))</f>
        <v>6.8079460073053988E-2</v>
      </c>
      <c r="Y60" s="10">
        <f t="shared" ref="Y60:Y69" si="124">1/(1+EXP(10.9745-2.375*I60/1000))</f>
        <v>6.7771729767991445E-4</v>
      </c>
      <c r="Z60" s="10">
        <f t="shared" ref="Z60:Z69" si="125">1/(1+EXP(10.9745-2.375*J60/1000))</f>
        <v>3.0316374865116798E-5</v>
      </c>
      <c r="AA60" s="10">
        <f t="shared" ref="AA60:AA69" si="126">MAX(X60,Y60,Z60)</f>
        <v>6.8079460073053988E-2</v>
      </c>
      <c r="AB60" s="10">
        <f t="shared" ref="AB60:AB69" si="127">1/(1+EXP(12.597-0.05861*35-1.568*(K60^0.4612)))</f>
        <v>3.3944345803137307E-2</v>
      </c>
      <c r="AC60" s="10">
        <f t="shared" ref="AC60:AC69" si="128">AB60</f>
        <v>3.3944345803137307E-2</v>
      </c>
      <c r="AD60" s="10">
        <f t="shared" ref="AD60:AD69" si="129">1/(1+EXP(5.7949-0.5196*M60/1000))</f>
        <v>4.3408323674078205E-3</v>
      </c>
      <c r="AE60" s="10">
        <f t="shared" ref="AE60:AE69" si="130">1/(1+EXP(5.7949-0.5196*N60/1000))</f>
        <v>4.1451039697890648E-3</v>
      </c>
      <c r="AF60" s="175">
        <f t="shared" ref="AF60:AF69" si="131">MAX(AD60,AE60)</f>
        <v>4.3408323674078205E-3</v>
      </c>
      <c r="AG60" s="137">
        <f t="shared" ref="AG60:AG69" si="132">NORMDIST(LN(O60),7.45231,0.73998,1)</f>
        <v>1.0407622983467009E-2</v>
      </c>
      <c r="AH60" s="10">
        <f t="shared" ref="AH60:AH69" si="133">1/(1+EXP(3.2269-1.9688*P60))</f>
        <v>8.794640178706048E-2</v>
      </c>
      <c r="AI60" s="10">
        <f t="shared" ref="AI60:AI69" si="134">1/(1+EXP(10.958-3.77*Q60/1000))</f>
        <v>6.4700233032784985E-4</v>
      </c>
      <c r="AJ60" s="10">
        <f t="shared" ref="AJ60:AJ69" si="135">1/(1+EXP(10.958-3.77*R60/1000))</f>
        <v>8.2200415284344353E-5</v>
      </c>
      <c r="AK60" s="10">
        <f t="shared" ref="AK60:AK69" si="136">MAX(AH60,AI60,AJ60)</f>
        <v>8.794640178706048E-2</v>
      </c>
      <c r="AL60" s="10">
        <f t="shared" ref="AL60:AL69" si="137">1/(1+EXP(12.597-0.05861*35-1.568*((S60/0.817)^0.4612)))</f>
        <v>1.2352553274731148E-2</v>
      </c>
      <c r="AM60" s="10">
        <f t="shared" ref="AM60:AM69" si="138">AL60</f>
        <v>1.2352553274731148E-2</v>
      </c>
      <c r="AN60" s="10">
        <f t="shared" ref="AN60:AN69" si="139">1/(1+EXP(5.7949-0.7619*U60/1000))</f>
        <v>6.7357684741433822E-3</v>
      </c>
      <c r="AO60" s="10">
        <f t="shared" ref="AO60:AO69" si="140">1/(1+EXP(5.7949-0.7619*V60/1000))</f>
        <v>8.6076865506258832E-3</v>
      </c>
      <c r="AP60" s="175">
        <f t="shared" ref="AP60:AP69" si="141">MAX(AN60,AO60)</f>
        <v>8.6076865506258832E-3</v>
      </c>
      <c r="AQ60" s="66">
        <f t="shared" ref="AQ60:AQ69" si="142">ROUND(1-(1-W60)*(1-AA60)*(1-AC60)*(1-AF60),3)</f>
        <v>0.104</v>
      </c>
      <c r="AR60" s="10">
        <f t="shared" ref="AR60:AR69" si="143">ROUND(1-(1-AG60)*(1-AK60)*(1-AM60)*(1-AP60),3)</f>
        <v>0.11600000000000001</v>
      </c>
      <c r="AS60" s="10">
        <f t="shared" ref="AS60:AS69" si="144">ROUND(AVERAGE(AR60,AQ60),3)</f>
        <v>0.11</v>
      </c>
      <c r="AT60" s="23">
        <f t="shared" ref="AT60:AT69" si="145">ROUND(AQ60/0.15,2)</f>
        <v>0.69</v>
      </c>
      <c r="AU60" s="23">
        <f t="shared" ref="AU60:AU69" si="146">ROUND(AR60/0.15,2)</f>
        <v>0.77</v>
      </c>
      <c r="AV60" s="23">
        <f t="shared" ref="AV60:AV69" si="147">ROUND(AS60/0.15,2)</f>
        <v>0.73</v>
      </c>
      <c r="AW60" s="24">
        <f t="shared" ref="AW60:AW69" si="148">IF(AT60&lt;0.67,5,IF(AT60&lt;1,4,IF(AT60&lt;1.33,3,IF(AT60&lt;2.67,2,1))))</f>
        <v>4</v>
      </c>
      <c r="AX60" s="24">
        <f t="shared" ref="AX60:AX69" si="149">IF(AU60&lt;0.67,5,IF(AU60&lt;1,4,IF(AU60&lt;1.33,3,IF(AU60&lt;2.67,2,1))))</f>
        <v>4</v>
      </c>
      <c r="AY60" s="24">
        <f t="shared" ref="AY60:AY69" si="150">IF(AV60&lt;0.67,5,IF(AV60&lt;1,4,IF(AV60&lt;1.33,3,IF(AV60&lt;2.67,2,1))))</f>
        <v>4</v>
      </c>
    </row>
    <row r="61" spans="1:51" ht="13.5" customHeight="1">
      <c r="A61" s="45">
        <v>14086</v>
      </c>
      <c r="B61" s="45" t="s">
        <v>158</v>
      </c>
      <c r="C61" s="176" t="str">
        <f>Rollover!A61</f>
        <v xml:space="preserve">Infiniti </v>
      </c>
      <c r="D61" s="176" t="str">
        <f>Rollover!B61</f>
        <v>QX60 SUV FWD</v>
      </c>
      <c r="E61" s="69" t="s">
        <v>138</v>
      </c>
      <c r="F61" s="174">
        <f>Rollover!C61</f>
        <v>2022</v>
      </c>
      <c r="G61" s="18">
        <v>150.03399999999999</v>
      </c>
      <c r="H61" s="19">
        <v>0.31</v>
      </c>
      <c r="I61" s="19">
        <v>1548.799</v>
      </c>
      <c r="J61" s="19">
        <v>240.298</v>
      </c>
      <c r="K61" s="19">
        <v>27.225999999999999</v>
      </c>
      <c r="L61" s="19">
        <v>37.24</v>
      </c>
      <c r="M61" s="19">
        <v>691.99599999999998</v>
      </c>
      <c r="N61" s="20">
        <v>602.822</v>
      </c>
      <c r="O61" s="18">
        <v>311.68099999999998</v>
      </c>
      <c r="P61" s="19">
        <v>0.45100000000000001</v>
      </c>
      <c r="Q61" s="19">
        <v>959.01499999999999</v>
      </c>
      <c r="R61" s="19">
        <v>411.6</v>
      </c>
      <c r="S61" s="19">
        <v>15.897</v>
      </c>
      <c r="T61" s="19">
        <v>42.055999999999997</v>
      </c>
      <c r="U61" s="19">
        <v>1051.759</v>
      </c>
      <c r="V61" s="136">
        <v>1376.0930000000001</v>
      </c>
      <c r="W61" s="137">
        <f t="shared" si="122"/>
        <v>4.8455655710517734E-4</v>
      </c>
      <c r="X61" s="10">
        <f t="shared" si="123"/>
        <v>6.8079460073053988E-2</v>
      </c>
      <c r="Y61" s="10">
        <f t="shared" si="124"/>
        <v>6.7771729767991445E-4</v>
      </c>
      <c r="Z61" s="10">
        <f t="shared" si="125"/>
        <v>3.0316374865116798E-5</v>
      </c>
      <c r="AA61" s="10">
        <f t="shared" si="126"/>
        <v>6.8079460073053988E-2</v>
      </c>
      <c r="AB61" s="10">
        <f t="shared" si="127"/>
        <v>3.3944345803137307E-2</v>
      </c>
      <c r="AC61" s="10">
        <f t="shared" si="128"/>
        <v>3.3944345803137307E-2</v>
      </c>
      <c r="AD61" s="10">
        <f t="shared" si="129"/>
        <v>4.3408323674078205E-3</v>
      </c>
      <c r="AE61" s="10">
        <f t="shared" si="130"/>
        <v>4.1451039697890648E-3</v>
      </c>
      <c r="AF61" s="175">
        <f t="shared" si="131"/>
        <v>4.3408323674078205E-3</v>
      </c>
      <c r="AG61" s="137">
        <f t="shared" si="132"/>
        <v>1.0407622983467009E-2</v>
      </c>
      <c r="AH61" s="10">
        <f t="shared" si="133"/>
        <v>8.794640178706048E-2</v>
      </c>
      <c r="AI61" s="10">
        <f t="shared" si="134"/>
        <v>6.4700233032784985E-4</v>
      </c>
      <c r="AJ61" s="10">
        <f t="shared" si="135"/>
        <v>8.2200415284344353E-5</v>
      </c>
      <c r="AK61" s="10">
        <f t="shared" si="136"/>
        <v>8.794640178706048E-2</v>
      </c>
      <c r="AL61" s="10">
        <f t="shared" si="137"/>
        <v>1.2352553274731148E-2</v>
      </c>
      <c r="AM61" s="10">
        <f t="shared" si="138"/>
        <v>1.2352553274731148E-2</v>
      </c>
      <c r="AN61" s="10">
        <f t="shared" si="139"/>
        <v>6.7357684741433822E-3</v>
      </c>
      <c r="AO61" s="10">
        <f t="shared" si="140"/>
        <v>8.6076865506258832E-3</v>
      </c>
      <c r="AP61" s="175">
        <f t="shared" si="141"/>
        <v>8.6076865506258832E-3</v>
      </c>
      <c r="AQ61" s="66">
        <f t="shared" si="142"/>
        <v>0.104</v>
      </c>
      <c r="AR61" s="10">
        <f t="shared" si="143"/>
        <v>0.11600000000000001</v>
      </c>
      <c r="AS61" s="10">
        <f t="shared" si="144"/>
        <v>0.11</v>
      </c>
      <c r="AT61" s="23">
        <f t="shared" si="145"/>
        <v>0.69</v>
      </c>
      <c r="AU61" s="23">
        <f t="shared" si="146"/>
        <v>0.77</v>
      </c>
      <c r="AV61" s="23">
        <f t="shared" si="147"/>
        <v>0.73</v>
      </c>
      <c r="AW61" s="24">
        <f t="shared" si="148"/>
        <v>4</v>
      </c>
      <c r="AX61" s="24">
        <f t="shared" si="149"/>
        <v>4</v>
      </c>
      <c r="AY61" s="24">
        <f t="shared" si="150"/>
        <v>4</v>
      </c>
    </row>
    <row r="62" spans="1:51" ht="13.5" customHeight="1">
      <c r="A62" s="45">
        <v>14086</v>
      </c>
      <c r="B62" s="45" t="s">
        <v>158</v>
      </c>
      <c r="C62" s="176" t="str">
        <f>Rollover!A62</f>
        <v xml:space="preserve">Infiniti </v>
      </c>
      <c r="D62" s="176" t="str">
        <f>Rollover!B62</f>
        <v>QX60 SUV AWD</v>
      </c>
      <c r="E62" s="69" t="s">
        <v>138</v>
      </c>
      <c r="F62" s="174">
        <f>Rollover!C62</f>
        <v>2022</v>
      </c>
      <c r="G62" s="18">
        <v>150.03399999999999</v>
      </c>
      <c r="H62" s="19">
        <v>0.31</v>
      </c>
      <c r="I62" s="19">
        <v>1548.799</v>
      </c>
      <c r="J62" s="19">
        <v>240.298</v>
      </c>
      <c r="K62" s="19">
        <v>27.225999999999999</v>
      </c>
      <c r="L62" s="19">
        <v>37.24</v>
      </c>
      <c r="M62" s="19">
        <v>691.99599999999998</v>
      </c>
      <c r="N62" s="20">
        <v>602.822</v>
      </c>
      <c r="O62" s="18">
        <v>311.68099999999998</v>
      </c>
      <c r="P62" s="19">
        <v>0.45100000000000001</v>
      </c>
      <c r="Q62" s="19">
        <v>959.01499999999999</v>
      </c>
      <c r="R62" s="19">
        <v>411.6</v>
      </c>
      <c r="S62" s="19">
        <v>15.897</v>
      </c>
      <c r="T62" s="19">
        <v>42.055999999999997</v>
      </c>
      <c r="U62" s="19">
        <v>1051.759</v>
      </c>
      <c r="V62" s="136">
        <v>1376.0930000000001</v>
      </c>
      <c r="W62" s="137">
        <f t="shared" si="122"/>
        <v>4.8455655710517734E-4</v>
      </c>
      <c r="X62" s="10">
        <f t="shared" si="123"/>
        <v>6.8079460073053988E-2</v>
      </c>
      <c r="Y62" s="10">
        <f t="shared" si="124"/>
        <v>6.7771729767991445E-4</v>
      </c>
      <c r="Z62" s="10">
        <f t="shared" si="125"/>
        <v>3.0316374865116798E-5</v>
      </c>
      <c r="AA62" s="10">
        <f t="shared" si="126"/>
        <v>6.8079460073053988E-2</v>
      </c>
      <c r="AB62" s="10">
        <f t="shared" si="127"/>
        <v>3.3944345803137307E-2</v>
      </c>
      <c r="AC62" s="10">
        <f t="shared" si="128"/>
        <v>3.3944345803137307E-2</v>
      </c>
      <c r="AD62" s="10">
        <f t="shared" si="129"/>
        <v>4.3408323674078205E-3</v>
      </c>
      <c r="AE62" s="10">
        <f t="shared" si="130"/>
        <v>4.1451039697890648E-3</v>
      </c>
      <c r="AF62" s="175">
        <f t="shared" si="131"/>
        <v>4.3408323674078205E-3</v>
      </c>
      <c r="AG62" s="137">
        <f t="shared" si="132"/>
        <v>1.0407622983467009E-2</v>
      </c>
      <c r="AH62" s="10">
        <f t="shared" si="133"/>
        <v>8.794640178706048E-2</v>
      </c>
      <c r="AI62" s="10">
        <f t="shared" si="134"/>
        <v>6.4700233032784985E-4</v>
      </c>
      <c r="AJ62" s="10">
        <f t="shared" si="135"/>
        <v>8.2200415284344353E-5</v>
      </c>
      <c r="AK62" s="10">
        <f t="shared" si="136"/>
        <v>8.794640178706048E-2</v>
      </c>
      <c r="AL62" s="10">
        <f t="shared" si="137"/>
        <v>1.2352553274731148E-2</v>
      </c>
      <c r="AM62" s="10">
        <f t="shared" si="138"/>
        <v>1.2352553274731148E-2</v>
      </c>
      <c r="AN62" s="10">
        <f t="shared" si="139"/>
        <v>6.7357684741433822E-3</v>
      </c>
      <c r="AO62" s="10">
        <f t="shared" si="140"/>
        <v>8.6076865506258832E-3</v>
      </c>
      <c r="AP62" s="175">
        <f t="shared" si="141"/>
        <v>8.6076865506258832E-3</v>
      </c>
      <c r="AQ62" s="66">
        <f t="shared" si="142"/>
        <v>0.104</v>
      </c>
      <c r="AR62" s="10">
        <f t="shared" si="143"/>
        <v>0.11600000000000001</v>
      </c>
      <c r="AS62" s="10">
        <f t="shared" si="144"/>
        <v>0.11</v>
      </c>
      <c r="AT62" s="23">
        <f t="shared" si="145"/>
        <v>0.69</v>
      </c>
      <c r="AU62" s="23">
        <f t="shared" si="146"/>
        <v>0.77</v>
      </c>
      <c r="AV62" s="23">
        <f t="shared" si="147"/>
        <v>0.73</v>
      </c>
      <c r="AW62" s="24">
        <f t="shared" si="148"/>
        <v>4</v>
      </c>
      <c r="AX62" s="24">
        <f t="shared" si="149"/>
        <v>4</v>
      </c>
      <c r="AY62" s="24">
        <f t="shared" si="150"/>
        <v>4</v>
      </c>
    </row>
    <row r="63" spans="1:51" ht="13.5" customHeight="1">
      <c r="A63" s="40">
        <v>14081</v>
      </c>
      <c r="B63" s="69" t="s">
        <v>159</v>
      </c>
      <c r="C63" s="37" t="str">
        <f>Rollover!A63</f>
        <v>Nissan</v>
      </c>
      <c r="D63" s="37" t="str">
        <f>Rollover!B63</f>
        <v>Rogue AWD (Later Release)</v>
      </c>
      <c r="E63" s="69" t="s">
        <v>134</v>
      </c>
      <c r="F63" s="174">
        <f>Rollover!C63</f>
        <v>2022</v>
      </c>
      <c r="G63" s="18">
        <v>261.46699999999998</v>
      </c>
      <c r="H63" s="19">
        <v>0.33</v>
      </c>
      <c r="I63" s="19">
        <v>1793.4770000000001</v>
      </c>
      <c r="J63" s="19">
        <v>239.64099999999999</v>
      </c>
      <c r="K63" s="19">
        <v>30.548999999999999</v>
      </c>
      <c r="L63" s="19">
        <v>49.070999999999998</v>
      </c>
      <c r="M63" s="19">
        <v>311.67599999999999</v>
      </c>
      <c r="N63" s="20">
        <v>1041.32</v>
      </c>
      <c r="O63" s="18">
        <v>318.584</v>
      </c>
      <c r="P63" s="19">
        <v>0.373</v>
      </c>
      <c r="Q63" s="19">
        <v>858.29399999999998</v>
      </c>
      <c r="R63" s="19">
        <v>458.87900000000002</v>
      </c>
      <c r="S63" s="19">
        <v>14.691000000000001</v>
      </c>
      <c r="T63" s="19">
        <v>44.387</v>
      </c>
      <c r="U63" s="19">
        <v>2139.0320000000002</v>
      </c>
      <c r="V63" s="136">
        <v>1389.5060000000001</v>
      </c>
      <c r="W63" s="137">
        <f t="shared" ref="W63:W64" si="151">NORMDIST(LN(G63),7.45231,0.73998,1)</f>
        <v>5.4059514546112106E-3</v>
      </c>
      <c r="X63" s="10">
        <f t="shared" ref="X63:X64" si="152">1/(1+EXP(3.2269-1.9688*H63))</f>
        <v>7.0620545191386414E-2</v>
      </c>
      <c r="Y63" s="10">
        <f t="shared" ref="Y63:Y64" si="153">1/(1+EXP(10.9745-2.375*I63/1000))</f>
        <v>1.2111269539074054E-3</v>
      </c>
      <c r="Z63" s="10">
        <f t="shared" ref="Z63:Z64" si="154">1/(1+EXP(10.9745-2.375*J63/1000))</f>
        <v>3.0269108269961157E-5</v>
      </c>
      <c r="AA63" s="10">
        <f t="shared" ref="AA63:AA64" si="155">MAX(X63,Y63,Z63)</f>
        <v>7.0620545191386414E-2</v>
      </c>
      <c r="AB63" s="10">
        <f t="shared" ref="AB63:AB64" si="156">1/(1+EXP(12.597-0.05861*35-1.568*(K63^0.4612)))</f>
        <v>4.9457746091050719E-2</v>
      </c>
      <c r="AC63" s="10">
        <f t="shared" ref="AC63:AC64" si="157">AB63</f>
        <v>4.9457746091050719E-2</v>
      </c>
      <c r="AD63" s="10">
        <f t="shared" ref="AD63:AD64" si="158">1/(1+EXP(5.7949-0.5196*M63/1000))</f>
        <v>3.5652369632612302E-3</v>
      </c>
      <c r="AE63" s="10">
        <f t="shared" ref="AE63:AE64" si="159">1/(1+EXP(5.7949-0.5196*N63/1000))</f>
        <v>5.2002739585628342E-3</v>
      </c>
      <c r="AF63" s="175">
        <f t="shared" ref="AF63:AF64" si="160">MAX(AD63,AE63)</f>
        <v>5.2002739585628342E-3</v>
      </c>
      <c r="AG63" s="137">
        <f t="shared" ref="AG63:AG64" si="161">NORMDIST(LN(O63),7.45231,0.73998,1)</f>
        <v>1.1253071669996666E-2</v>
      </c>
      <c r="AH63" s="10">
        <f t="shared" ref="AH63:AH64" si="162">1/(1+EXP(3.2269-1.9688*P63))</f>
        <v>7.6382980614905518E-2</v>
      </c>
      <c r="AI63" s="10">
        <f t="shared" ref="AI63:AI64" si="163">1/(1+EXP(10.958-3.77*Q63/1000))</f>
        <v>4.4267513206341539E-4</v>
      </c>
      <c r="AJ63" s="10">
        <f t="shared" ref="AJ63:AJ64" si="164">1/(1+EXP(10.958-3.77*R63/1000))</f>
        <v>9.8237316259710763E-5</v>
      </c>
      <c r="AK63" s="10">
        <f t="shared" ref="AK63:AK64" si="165">MAX(AH63,AI63,AJ63)</f>
        <v>7.6382980614905518E-2</v>
      </c>
      <c r="AL63" s="10">
        <f t="shared" ref="AL63:AL64" si="166">1/(1+EXP(12.597-0.05861*35-1.568*((S63/0.817)^0.4612)))</f>
        <v>9.9348217753650672E-3</v>
      </c>
      <c r="AM63" s="10">
        <f t="shared" ref="AM63:AM64" si="167">AL63</f>
        <v>9.9348217753650672E-3</v>
      </c>
      <c r="AN63" s="10">
        <f t="shared" ref="AN63:AN64" si="168">1/(1+EXP(5.7949-0.7619*U63/1000))</f>
        <v>1.5289648327492564E-2</v>
      </c>
      <c r="AO63" s="10">
        <f t="shared" ref="AO63:AO64" si="169">1/(1+EXP(5.7949-0.7619*V63/1000))</f>
        <v>8.6953338399212467E-3</v>
      </c>
      <c r="AP63" s="175">
        <f t="shared" ref="AP63:AP64" si="170">MAX(AN63,AO63)</f>
        <v>1.5289648327492564E-2</v>
      </c>
      <c r="AQ63" s="66">
        <f t="shared" ref="AQ63:AQ64" si="171">ROUND(1-(1-W63)*(1-AA63)*(1-AC63)*(1-AF63),3)</f>
        <v>0.126</v>
      </c>
      <c r="AR63" s="10">
        <f t="shared" ref="AR63:AR64" si="172">ROUND(1-(1-AG63)*(1-AK63)*(1-AM63)*(1-AP63),3)</f>
        <v>0.11</v>
      </c>
      <c r="AS63" s="10">
        <f t="shared" ref="AS63:AS64" si="173">ROUND(AVERAGE(AR63,AQ63),3)</f>
        <v>0.11799999999999999</v>
      </c>
      <c r="AT63" s="23">
        <f t="shared" ref="AT63:AT64" si="174">ROUND(AQ63/0.15,2)</f>
        <v>0.84</v>
      </c>
      <c r="AU63" s="23">
        <f t="shared" ref="AU63:AU64" si="175">ROUND(AR63/0.15,2)</f>
        <v>0.73</v>
      </c>
      <c r="AV63" s="23">
        <f t="shared" ref="AV63:AV64" si="176">ROUND(AS63/0.15,2)</f>
        <v>0.79</v>
      </c>
      <c r="AW63" s="24">
        <f t="shared" ref="AW63:AW64" si="177">IF(AT63&lt;0.67,5,IF(AT63&lt;1,4,IF(AT63&lt;1.33,3,IF(AT63&lt;2.67,2,1))))</f>
        <v>4</v>
      </c>
      <c r="AX63" s="24">
        <f t="shared" ref="AX63:AX64" si="178">IF(AU63&lt;0.67,5,IF(AU63&lt;1,4,IF(AU63&lt;1.33,3,IF(AU63&lt;2.67,2,1))))</f>
        <v>4</v>
      </c>
      <c r="AY63" s="24">
        <f t="shared" ref="AY63:AY64" si="179">IF(AV63&lt;0.67,5,IF(AV63&lt;1,4,IF(AV63&lt;1.33,3,IF(AV63&lt;2.67,2,1))))</f>
        <v>4</v>
      </c>
    </row>
    <row r="64" spans="1:51" ht="13.5" customHeight="1">
      <c r="A64" s="40">
        <v>14081</v>
      </c>
      <c r="B64" s="69" t="s">
        <v>159</v>
      </c>
      <c r="C64" s="176" t="str">
        <f>Rollover!A64</f>
        <v>Nissan</v>
      </c>
      <c r="D64" s="176" t="str">
        <f>Rollover!B64</f>
        <v>Rogue FWD (Later Release)</v>
      </c>
      <c r="E64" s="69" t="s">
        <v>134</v>
      </c>
      <c r="F64" s="174">
        <f>Rollover!C64</f>
        <v>2022</v>
      </c>
      <c r="G64" s="18">
        <v>261.46699999999998</v>
      </c>
      <c r="H64" s="19">
        <v>0.33</v>
      </c>
      <c r="I64" s="19">
        <v>1793.4770000000001</v>
      </c>
      <c r="J64" s="19">
        <v>239.64099999999999</v>
      </c>
      <c r="K64" s="19">
        <v>30.548999999999999</v>
      </c>
      <c r="L64" s="19">
        <v>49.070999999999998</v>
      </c>
      <c r="M64" s="19">
        <v>311.67599999999999</v>
      </c>
      <c r="N64" s="20">
        <v>1041.32</v>
      </c>
      <c r="O64" s="18">
        <v>318.584</v>
      </c>
      <c r="P64" s="19">
        <v>0.373</v>
      </c>
      <c r="Q64" s="19">
        <v>858.29399999999998</v>
      </c>
      <c r="R64" s="19">
        <v>458.87900000000002</v>
      </c>
      <c r="S64" s="19">
        <v>14.691000000000001</v>
      </c>
      <c r="T64" s="19">
        <v>44.387</v>
      </c>
      <c r="U64" s="19">
        <v>2139.0320000000002</v>
      </c>
      <c r="V64" s="136">
        <v>1389.5060000000001</v>
      </c>
      <c r="W64" s="137">
        <f t="shared" si="151"/>
        <v>5.4059514546112106E-3</v>
      </c>
      <c r="X64" s="10">
        <f t="shared" si="152"/>
        <v>7.0620545191386414E-2</v>
      </c>
      <c r="Y64" s="10">
        <f t="shared" si="153"/>
        <v>1.2111269539074054E-3</v>
      </c>
      <c r="Z64" s="10">
        <f t="shared" si="154"/>
        <v>3.0269108269961157E-5</v>
      </c>
      <c r="AA64" s="10">
        <f t="shared" si="155"/>
        <v>7.0620545191386414E-2</v>
      </c>
      <c r="AB64" s="10">
        <f t="shared" si="156"/>
        <v>4.9457746091050719E-2</v>
      </c>
      <c r="AC64" s="10">
        <f t="shared" si="157"/>
        <v>4.9457746091050719E-2</v>
      </c>
      <c r="AD64" s="10">
        <f t="shared" si="158"/>
        <v>3.5652369632612302E-3</v>
      </c>
      <c r="AE64" s="10">
        <f t="shared" si="159"/>
        <v>5.2002739585628342E-3</v>
      </c>
      <c r="AF64" s="175">
        <f t="shared" si="160"/>
        <v>5.2002739585628342E-3</v>
      </c>
      <c r="AG64" s="137">
        <f t="shared" si="161"/>
        <v>1.1253071669996666E-2</v>
      </c>
      <c r="AH64" s="10">
        <f t="shared" si="162"/>
        <v>7.6382980614905518E-2</v>
      </c>
      <c r="AI64" s="10">
        <f t="shared" si="163"/>
        <v>4.4267513206341539E-4</v>
      </c>
      <c r="AJ64" s="10">
        <f t="shared" si="164"/>
        <v>9.8237316259710763E-5</v>
      </c>
      <c r="AK64" s="10">
        <f t="shared" si="165"/>
        <v>7.6382980614905518E-2</v>
      </c>
      <c r="AL64" s="10">
        <f t="shared" si="166"/>
        <v>9.9348217753650672E-3</v>
      </c>
      <c r="AM64" s="10">
        <f t="shared" si="167"/>
        <v>9.9348217753650672E-3</v>
      </c>
      <c r="AN64" s="10">
        <f t="shared" si="168"/>
        <v>1.5289648327492564E-2</v>
      </c>
      <c r="AO64" s="10">
        <f t="shared" si="169"/>
        <v>8.6953338399212467E-3</v>
      </c>
      <c r="AP64" s="175">
        <f t="shared" si="170"/>
        <v>1.5289648327492564E-2</v>
      </c>
      <c r="AQ64" s="66">
        <f t="shared" si="171"/>
        <v>0.126</v>
      </c>
      <c r="AR64" s="10">
        <f t="shared" si="172"/>
        <v>0.11</v>
      </c>
      <c r="AS64" s="10">
        <f t="shared" si="173"/>
        <v>0.11799999999999999</v>
      </c>
      <c r="AT64" s="23">
        <f t="shared" si="174"/>
        <v>0.84</v>
      </c>
      <c r="AU64" s="23">
        <f t="shared" si="175"/>
        <v>0.73</v>
      </c>
      <c r="AV64" s="23">
        <f t="shared" si="176"/>
        <v>0.79</v>
      </c>
      <c r="AW64" s="24">
        <f t="shared" si="177"/>
        <v>4</v>
      </c>
      <c r="AX64" s="24">
        <f t="shared" si="178"/>
        <v>4</v>
      </c>
      <c r="AY64" s="24">
        <f t="shared" si="179"/>
        <v>4</v>
      </c>
    </row>
    <row r="65" spans="1:51" ht="13.5" customHeight="1">
      <c r="A65" s="177">
        <v>11496</v>
      </c>
      <c r="B65" s="45" t="s">
        <v>160</v>
      </c>
      <c r="C65" s="184" t="str">
        <f>Rollover!A65</f>
        <v>Nissan</v>
      </c>
      <c r="D65" s="37" t="str">
        <f>Rollover!B65</f>
        <v>Rogue Sport SUV FWD</v>
      </c>
      <c r="E65" s="69" t="s">
        <v>138</v>
      </c>
      <c r="F65" s="174">
        <f>Rollover!C65</f>
        <v>2022</v>
      </c>
      <c r="G65" s="18">
        <v>398.79899999999998</v>
      </c>
      <c r="H65" s="19">
        <v>0.33700000000000002</v>
      </c>
      <c r="I65" s="19">
        <v>1552.7539999999999</v>
      </c>
      <c r="J65" s="19">
        <v>471.71199999999999</v>
      </c>
      <c r="K65" s="19">
        <v>23.443999999999999</v>
      </c>
      <c r="L65" s="19">
        <v>42.69</v>
      </c>
      <c r="M65" s="19">
        <v>1182.4090000000001</v>
      </c>
      <c r="N65" s="20">
        <v>1238.298</v>
      </c>
      <c r="O65" s="18">
        <v>131.98400000000001</v>
      </c>
      <c r="P65" s="19">
        <v>0.35299999999999998</v>
      </c>
      <c r="Q65" s="19">
        <v>839.64</v>
      </c>
      <c r="R65" s="19">
        <v>152.44900000000001</v>
      </c>
      <c r="S65" s="19">
        <v>12.686</v>
      </c>
      <c r="T65" s="19">
        <v>36.25</v>
      </c>
      <c r="U65" s="19">
        <v>1454.876</v>
      </c>
      <c r="V65" s="136">
        <v>2534.701</v>
      </c>
      <c r="W65" s="137">
        <f t="shared" si="122"/>
        <v>2.3951243172320748E-2</v>
      </c>
      <c r="X65" s="10">
        <f t="shared" si="123"/>
        <v>7.1530446829232944E-2</v>
      </c>
      <c r="Y65" s="10">
        <f t="shared" si="124"/>
        <v>6.8410879709755084E-4</v>
      </c>
      <c r="Z65" s="10">
        <f t="shared" si="125"/>
        <v>5.252420087249734E-5</v>
      </c>
      <c r="AA65" s="10">
        <f t="shared" si="126"/>
        <v>7.1530446829232944E-2</v>
      </c>
      <c r="AB65" s="10">
        <f t="shared" si="127"/>
        <v>2.1285867173192946E-2</v>
      </c>
      <c r="AC65" s="10">
        <f t="shared" si="128"/>
        <v>2.1285867173192946E-2</v>
      </c>
      <c r="AD65" s="10">
        <f t="shared" si="129"/>
        <v>5.5936144930588431E-3</v>
      </c>
      <c r="AE65" s="10">
        <f t="shared" si="130"/>
        <v>5.7574852814080181E-3</v>
      </c>
      <c r="AF65" s="175">
        <f t="shared" si="131"/>
        <v>5.7574852814080181E-3</v>
      </c>
      <c r="AG65" s="137">
        <f t="shared" si="132"/>
        <v>2.577542401376222E-4</v>
      </c>
      <c r="AH65" s="10">
        <f t="shared" si="133"/>
        <v>7.3650981779484356E-2</v>
      </c>
      <c r="AI65" s="10">
        <f t="shared" si="134"/>
        <v>4.1262560121005674E-4</v>
      </c>
      <c r="AJ65" s="10">
        <f t="shared" si="135"/>
        <v>3.0945028075361137E-5</v>
      </c>
      <c r="AK65" s="10">
        <f t="shared" si="136"/>
        <v>7.3650981779484356E-2</v>
      </c>
      <c r="AL65" s="10">
        <f t="shared" si="137"/>
        <v>6.755172316460889E-3</v>
      </c>
      <c r="AM65" s="10">
        <f t="shared" si="138"/>
        <v>6.755172316460889E-3</v>
      </c>
      <c r="AN65" s="10">
        <f t="shared" si="139"/>
        <v>9.1353180189580989E-3</v>
      </c>
      <c r="AO65" s="10">
        <f t="shared" si="140"/>
        <v>2.0558434003348478E-2</v>
      </c>
      <c r="AP65" s="175">
        <f t="shared" si="141"/>
        <v>2.0558434003348478E-2</v>
      </c>
      <c r="AQ65" s="66">
        <f t="shared" si="142"/>
        <v>0.11799999999999999</v>
      </c>
      <c r="AR65" s="10">
        <f t="shared" si="143"/>
        <v>9.9000000000000005E-2</v>
      </c>
      <c r="AS65" s="10">
        <f t="shared" si="144"/>
        <v>0.109</v>
      </c>
      <c r="AT65" s="23">
        <f t="shared" si="145"/>
        <v>0.79</v>
      </c>
      <c r="AU65" s="23">
        <f t="shared" si="146"/>
        <v>0.66</v>
      </c>
      <c r="AV65" s="23">
        <f t="shared" si="147"/>
        <v>0.73</v>
      </c>
      <c r="AW65" s="24">
        <f t="shared" si="148"/>
        <v>4</v>
      </c>
      <c r="AX65" s="24">
        <f t="shared" si="149"/>
        <v>5</v>
      </c>
      <c r="AY65" s="24">
        <f t="shared" si="150"/>
        <v>4</v>
      </c>
    </row>
    <row r="66" spans="1:51" ht="13.5" customHeight="1">
      <c r="A66" s="177">
        <v>11496</v>
      </c>
      <c r="B66" s="45" t="s">
        <v>160</v>
      </c>
      <c r="C66" s="184" t="str">
        <f>Rollover!A66</f>
        <v>Nissan</v>
      </c>
      <c r="D66" s="37" t="str">
        <f>Rollover!B66</f>
        <v>Rogue Sport SUV AWD</v>
      </c>
      <c r="E66" s="69" t="s">
        <v>138</v>
      </c>
      <c r="F66" s="174">
        <f>Rollover!C66</f>
        <v>2022</v>
      </c>
      <c r="G66" s="18">
        <v>398.79899999999998</v>
      </c>
      <c r="H66" s="19">
        <v>0.33700000000000002</v>
      </c>
      <c r="I66" s="19">
        <v>1552.7539999999999</v>
      </c>
      <c r="J66" s="19">
        <v>471.71199999999999</v>
      </c>
      <c r="K66" s="19">
        <v>23.443999999999999</v>
      </c>
      <c r="L66" s="19">
        <v>42.69</v>
      </c>
      <c r="M66" s="19">
        <v>1182.4090000000001</v>
      </c>
      <c r="N66" s="20">
        <v>1238.298</v>
      </c>
      <c r="O66" s="18">
        <v>131.98400000000001</v>
      </c>
      <c r="P66" s="19">
        <v>0.35299999999999998</v>
      </c>
      <c r="Q66" s="19">
        <v>839.64</v>
      </c>
      <c r="R66" s="19">
        <v>152.44900000000001</v>
      </c>
      <c r="S66" s="19">
        <v>12.686</v>
      </c>
      <c r="T66" s="19">
        <v>36.25</v>
      </c>
      <c r="U66" s="19">
        <v>1454.876</v>
      </c>
      <c r="V66" s="136">
        <v>2534.701</v>
      </c>
      <c r="W66" s="137">
        <f t="shared" si="122"/>
        <v>2.3951243172320748E-2</v>
      </c>
      <c r="X66" s="10">
        <f t="shared" si="123"/>
        <v>7.1530446829232944E-2</v>
      </c>
      <c r="Y66" s="10">
        <f t="shared" si="124"/>
        <v>6.8410879709755084E-4</v>
      </c>
      <c r="Z66" s="10">
        <f t="shared" si="125"/>
        <v>5.252420087249734E-5</v>
      </c>
      <c r="AA66" s="10">
        <f t="shared" si="126"/>
        <v>7.1530446829232944E-2</v>
      </c>
      <c r="AB66" s="10">
        <f t="shared" si="127"/>
        <v>2.1285867173192946E-2</v>
      </c>
      <c r="AC66" s="10">
        <f t="shared" si="128"/>
        <v>2.1285867173192946E-2</v>
      </c>
      <c r="AD66" s="10">
        <f t="shared" si="129"/>
        <v>5.5936144930588431E-3</v>
      </c>
      <c r="AE66" s="10">
        <f t="shared" si="130"/>
        <v>5.7574852814080181E-3</v>
      </c>
      <c r="AF66" s="175">
        <f t="shared" si="131"/>
        <v>5.7574852814080181E-3</v>
      </c>
      <c r="AG66" s="137">
        <f t="shared" si="132"/>
        <v>2.577542401376222E-4</v>
      </c>
      <c r="AH66" s="10">
        <f t="shared" si="133"/>
        <v>7.3650981779484356E-2</v>
      </c>
      <c r="AI66" s="10">
        <f t="shared" si="134"/>
        <v>4.1262560121005674E-4</v>
      </c>
      <c r="AJ66" s="10">
        <f t="shared" si="135"/>
        <v>3.0945028075361137E-5</v>
      </c>
      <c r="AK66" s="10">
        <f t="shared" si="136"/>
        <v>7.3650981779484356E-2</v>
      </c>
      <c r="AL66" s="10">
        <f t="shared" si="137"/>
        <v>6.755172316460889E-3</v>
      </c>
      <c r="AM66" s="10">
        <f t="shared" si="138"/>
        <v>6.755172316460889E-3</v>
      </c>
      <c r="AN66" s="10">
        <f t="shared" si="139"/>
        <v>9.1353180189580989E-3</v>
      </c>
      <c r="AO66" s="10">
        <f t="shared" si="140"/>
        <v>2.0558434003348478E-2</v>
      </c>
      <c r="AP66" s="175">
        <f t="shared" si="141"/>
        <v>2.0558434003348478E-2</v>
      </c>
      <c r="AQ66" s="66">
        <f t="shared" si="142"/>
        <v>0.11799999999999999</v>
      </c>
      <c r="AR66" s="10">
        <f t="shared" si="143"/>
        <v>9.9000000000000005E-2</v>
      </c>
      <c r="AS66" s="10">
        <f t="shared" si="144"/>
        <v>0.109</v>
      </c>
      <c r="AT66" s="23">
        <f t="shared" si="145"/>
        <v>0.79</v>
      </c>
      <c r="AU66" s="23">
        <f t="shared" si="146"/>
        <v>0.66</v>
      </c>
      <c r="AV66" s="23">
        <f t="shared" si="147"/>
        <v>0.73</v>
      </c>
      <c r="AW66" s="24">
        <f t="shared" si="148"/>
        <v>4</v>
      </c>
      <c r="AX66" s="24">
        <f t="shared" si="149"/>
        <v>5</v>
      </c>
      <c r="AY66" s="24">
        <f t="shared" si="150"/>
        <v>4</v>
      </c>
    </row>
    <row r="67" spans="1:51" ht="13.5" customHeight="1">
      <c r="A67" s="45">
        <v>14214</v>
      </c>
      <c r="B67" s="45" t="s">
        <v>161</v>
      </c>
      <c r="C67" s="37" t="str">
        <f>Rollover!A67</f>
        <v>Polestar</v>
      </c>
      <c r="D67" s="37" t="str">
        <f>Rollover!B67</f>
        <v>Polestar 2 5HB FWD</v>
      </c>
      <c r="E67" s="69" t="s">
        <v>134</v>
      </c>
      <c r="F67" s="174">
        <f>Rollover!C67</f>
        <v>2022</v>
      </c>
      <c r="G67" s="18">
        <v>256.49</v>
      </c>
      <c r="H67" s="19">
        <v>0.20799999999999999</v>
      </c>
      <c r="I67" s="19">
        <v>710.91399999999999</v>
      </c>
      <c r="J67" s="19">
        <v>131.67699999999999</v>
      </c>
      <c r="K67" s="19">
        <v>19.57</v>
      </c>
      <c r="L67" s="19">
        <v>39.093000000000004</v>
      </c>
      <c r="M67" s="19">
        <v>1703.0309999999999</v>
      </c>
      <c r="N67" s="20">
        <v>2162.3069999999998</v>
      </c>
      <c r="O67" s="18">
        <v>331.58</v>
      </c>
      <c r="P67" s="19">
        <v>0.27600000000000002</v>
      </c>
      <c r="Q67" s="19">
        <v>826.48</v>
      </c>
      <c r="R67" s="19">
        <v>220.858</v>
      </c>
      <c r="S67" s="19">
        <v>9.0459999999999994</v>
      </c>
      <c r="T67" s="19">
        <v>44.488999999999997</v>
      </c>
      <c r="U67" s="19">
        <v>1200.98</v>
      </c>
      <c r="V67" s="136">
        <v>1350.2139999999999</v>
      </c>
      <c r="W67" s="137">
        <f t="shared" si="122"/>
        <v>5.0164743921741776E-3</v>
      </c>
      <c r="X67" s="10">
        <f t="shared" si="123"/>
        <v>5.6391676535836294E-2</v>
      </c>
      <c r="Y67" s="10">
        <f t="shared" si="124"/>
        <v>9.2697231450569306E-5</v>
      </c>
      <c r="Z67" s="10">
        <f t="shared" si="125"/>
        <v>2.3423036634597119E-5</v>
      </c>
      <c r="AA67" s="10">
        <f t="shared" si="126"/>
        <v>5.6391676535836294E-2</v>
      </c>
      <c r="AB67" s="10">
        <f t="shared" si="127"/>
        <v>1.2553892616368474E-2</v>
      </c>
      <c r="AC67" s="10">
        <f t="shared" si="128"/>
        <v>1.2553892616368474E-2</v>
      </c>
      <c r="AD67" s="10">
        <f t="shared" si="129"/>
        <v>7.3184955395975771E-3</v>
      </c>
      <c r="AE67" s="10">
        <f t="shared" si="130"/>
        <v>9.2726948349310442E-3</v>
      </c>
      <c r="AF67" s="175">
        <f t="shared" si="131"/>
        <v>9.2726948349310442E-3</v>
      </c>
      <c r="AG67" s="137">
        <f t="shared" si="132"/>
        <v>1.2950829555102723E-2</v>
      </c>
      <c r="AH67" s="10">
        <f t="shared" si="133"/>
        <v>6.3953362191218263E-2</v>
      </c>
      <c r="AI67" s="10">
        <f t="shared" si="134"/>
        <v>3.9266130444915121E-4</v>
      </c>
      <c r="AJ67" s="10">
        <f t="shared" si="135"/>
        <v>4.0049058619365332E-5</v>
      </c>
      <c r="AK67" s="10">
        <f t="shared" si="136"/>
        <v>6.3953362191218263E-2</v>
      </c>
      <c r="AL67" s="10">
        <f t="shared" si="137"/>
        <v>3.0399260068812634E-3</v>
      </c>
      <c r="AM67" s="10">
        <f t="shared" si="138"/>
        <v>3.0399260068812634E-3</v>
      </c>
      <c r="AN67" s="10">
        <f t="shared" si="139"/>
        <v>7.5406824149238999E-3</v>
      </c>
      <c r="AO67" s="10">
        <f t="shared" si="140"/>
        <v>8.4410478214277038E-3</v>
      </c>
      <c r="AP67" s="175">
        <f t="shared" si="141"/>
        <v>8.4410478214277038E-3</v>
      </c>
      <c r="AQ67" s="66">
        <f t="shared" si="142"/>
        <v>8.2000000000000003E-2</v>
      </c>
      <c r="AR67" s="10">
        <f t="shared" si="143"/>
        <v>8.6999999999999994E-2</v>
      </c>
      <c r="AS67" s="10">
        <f t="shared" si="144"/>
        <v>8.5000000000000006E-2</v>
      </c>
      <c r="AT67" s="23">
        <f t="shared" si="145"/>
        <v>0.55000000000000004</v>
      </c>
      <c r="AU67" s="23">
        <f t="shared" si="146"/>
        <v>0.57999999999999996</v>
      </c>
      <c r="AV67" s="23">
        <f t="shared" si="147"/>
        <v>0.56999999999999995</v>
      </c>
      <c r="AW67" s="24">
        <f t="shared" si="148"/>
        <v>5</v>
      </c>
      <c r="AX67" s="24">
        <f t="shared" si="149"/>
        <v>5</v>
      </c>
      <c r="AY67" s="24">
        <f t="shared" si="150"/>
        <v>5</v>
      </c>
    </row>
    <row r="68" spans="1:51" ht="13.5" customHeight="1">
      <c r="A68" s="45">
        <v>14214</v>
      </c>
      <c r="B68" s="45" t="s">
        <v>161</v>
      </c>
      <c r="C68" s="37" t="str">
        <f>Rollover!A68</f>
        <v>Polestar</v>
      </c>
      <c r="D68" s="37" t="str">
        <f>Rollover!B68</f>
        <v>Polestar 2 5HB AWD</v>
      </c>
      <c r="E68" s="69" t="s">
        <v>134</v>
      </c>
      <c r="F68" s="174">
        <f>Rollover!C68</f>
        <v>2022</v>
      </c>
      <c r="G68" s="18">
        <v>256.49</v>
      </c>
      <c r="H68" s="19">
        <v>0.20799999999999999</v>
      </c>
      <c r="I68" s="19">
        <v>710.91399999999999</v>
      </c>
      <c r="J68" s="19">
        <v>131.67699999999999</v>
      </c>
      <c r="K68" s="19">
        <v>19.57</v>
      </c>
      <c r="L68" s="19">
        <v>39.093000000000004</v>
      </c>
      <c r="M68" s="19">
        <v>1703.0309999999999</v>
      </c>
      <c r="N68" s="20">
        <v>2162.3069999999998</v>
      </c>
      <c r="O68" s="18">
        <v>331.58</v>
      </c>
      <c r="P68" s="19">
        <v>0.27600000000000002</v>
      </c>
      <c r="Q68" s="19">
        <v>826.48</v>
      </c>
      <c r="R68" s="19">
        <v>220.858</v>
      </c>
      <c r="S68" s="19">
        <v>9.0459999999999994</v>
      </c>
      <c r="T68" s="19">
        <v>44.488999999999997</v>
      </c>
      <c r="U68" s="19">
        <v>1200.98</v>
      </c>
      <c r="V68" s="136">
        <v>1350.2139999999999</v>
      </c>
      <c r="W68" s="137">
        <f t="shared" ref="W68" si="180">NORMDIST(LN(G68),7.45231,0.73998,1)</f>
        <v>5.0164743921741776E-3</v>
      </c>
      <c r="X68" s="10">
        <f t="shared" ref="X68" si="181">1/(1+EXP(3.2269-1.9688*H68))</f>
        <v>5.6391676535836294E-2</v>
      </c>
      <c r="Y68" s="10">
        <f t="shared" ref="Y68" si="182">1/(1+EXP(10.9745-2.375*I68/1000))</f>
        <v>9.2697231450569306E-5</v>
      </c>
      <c r="Z68" s="10">
        <f t="shared" ref="Z68" si="183">1/(1+EXP(10.9745-2.375*J68/1000))</f>
        <v>2.3423036634597119E-5</v>
      </c>
      <c r="AA68" s="10">
        <f t="shared" ref="AA68" si="184">MAX(X68,Y68,Z68)</f>
        <v>5.6391676535836294E-2</v>
      </c>
      <c r="AB68" s="10">
        <f t="shared" ref="AB68" si="185">1/(1+EXP(12.597-0.05861*35-1.568*(K68^0.4612)))</f>
        <v>1.2553892616368474E-2</v>
      </c>
      <c r="AC68" s="10">
        <f t="shared" ref="AC68" si="186">AB68</f>
        <v>1.2553892616368474E-2</v>
      </c>
      <c r="AD68" s="10">
        <f t="shared" ref="AD68" si="187">1/(1+EXP(5.7949-0.5196*M68/1000))</f>
        <v>7.3184955395975771E-3</v>
      </c>
      <c r="AE68" s="10">
        <f t="shared" ref="AE68" si="188">1/(1+EXP(5.7949-0.5196*N68/1000))</f>
        <v>9.2726948349310442E-3</v>
      </c>
      <c r="AF68" s="175">
        <f t="shared" ref="AF68" si="189">MAX(AD68,AE68)</f>
        <v>9.2726948349310442E-3</v>
      </c>
      <c r="AG68" s="137">
        <f t="shared" ref="AG68" si="190">NORMDIST(LN(O68),7.45231,0.73998,1)</f>
        <v>1.2950829555102723E-2</v>
      </c>
      <c r="AH68" s="10">
        <f t="shared" ref="AH68" si="191">1/(1+EXP(3.2269-1.9688*P68))</f>
        <v>6.3953362191218263E-2</v>
      </c>
      <c r="AI68" s="10">
        <f t="shared" ref="AI68" si="192">1/(1+EXP(10.958-3.77*Q68/1000))</f>
        <v>3.9266130444915121E-4</v>
      </c>
      <c r="AJ68" s="10">
        <f t="shared" ref="AJ68" si="193">1/(1+EXP(10.958-3.77*R68/1000))</f>
        <v>4.0049058619365332E-5</v>
      </c>
      <c r="AK68" s="10">
        <f t="shared" ref="AK68" si="194">MAX(AH68,AI68,AJ68)</f>
        <v>6.3953362191218263E-2</v>
      </c>
      <c r="AL68" s="10">
        <f t="shared" ref="AL68" si="195">1/(1+EXP(12.597-0.05861*35-1.568*((S68/0.817)^0.4612)))</f>
        <v>3.0399260068812634E-3</v>
      </c>
      <c r="AM68" s="10">
        <f t="shared" ref="AM68" si="196">AL68</f>
        <v>3.0399260068812634E-3</v>
      </c>
      <c r="AN68" s="10">
        <f t="shared" ref="AN68" si="197">1/(1+EXP(5.7949-0.7619*U68/1000))</f>
        <v>7.5406824149238999E-3</v>
      </c>
      <c r="AO68" s="10">
        <f t="shared" ref="AO68" si="198">1/(1+EXP(5.7949-0.7619*V68/1000))</f>
        <v>8.4410478214277038E-3</v>
      </c>
      <c r="AP68" s="175">
        <f t="shared" ref="AP68" si="199">MAX(AN68,AO68)</f>
        <v>8.4410478214277038E-3</v>
      </c>
      <c r="AQ68" s="66">
        <f t="shared" ref="AQ68" si="200">ROUND(1-(1-W68)*(1-AA68)*(1-AC68)*(1-AF68),3)</f>
        <v>8.2000000000000003E-2</v>
      </c>
      <c r="AR68" s="10">
        <f t="shared" ref="AR68" si="201">ROUND(1-(1-AG68)*(1-AK68)*(1-AM68)*(1-AP68),3)</f>
        <v>8.6999999999999994E-2</v>
      </c>
      <c r="AS68" s="10">
        <f t="shared" ref="AS68" si="202">ROUND(AVERAGE(AR68,AQ68),3)</f>
        <v>8.5000000000000006E-2</v>
      </c>
      <c r="AT68" s="23">
        <f t="shared" ref="AT68" si="203">ROUND(AQ68/0.15,2)</f>
        <v>0.55000000000000004</v>
      </c>
      <c r="AU68" s="23">
        <f t="shared" ref="AU68" si="204">ROUND(AR68/0.15,2)</f>
        <v>0.57999999999999996</v>
      </c>
      <c r="AV68" s="23">
        <f t="shared" ref="AV68" si="205">ROUND(AS68/0.15,2)</f>
        <v>0.56999999999999995</v>
      </c>
      <c r="AW68" s="24">
        <f t="shared" ref="AW68" si="206">IF(AT68&lt;0.67,5,IF(AT68&lt;1,4,IF(AT68&lt;1.33,3,IF(AT68&lt;2.67,2,1))))</f>
        <v>5</v>
      </c>
      <c r="AX68" s="24">
        <f t="shared" ref="AX68" si="207">IF(AU68&lt;0.67,5,IF(AU68&lt;1,4,IF(AU68&lt;1.33,3,IF(AU68&lt;2.67,2,1))))</f>
        <v>5</v>
      </c>
      <c r="AY68" s="24">
        <f t="shared" ref="AY68" si="208">IF(AV68&lt;0.67,5,IF(AV68&lt;1,4,IF(AV68&lt;1.33,3,IF(AV68&lt;2.67,2,1))))</f>
        <v>5</v>
      </c>
    </row>
    <row r="69" spans="1:51" ht="13.5" customHeight="1">
      <c r="A69" s="45"/>
      <c r="B69" s="45"/>
      <c r="C69" s="37" t="str">
        <f>Rollover!A69</f>
        <v>Toyota</v>
      </c>
      <c r="D69" s="37" t="str">
        <f>Rollover!B69</f>
        <v>RAV4 Prime SUV AWD</v>
      </c>
      <c r="E69" s="69"/>
      <c r="F69" s="174">
        <f>Rollover!C69</f>
        <v>2022</v>
      </c>
      <c r="G69" s="18"/>
      <c r="H69" s="19"/>
      <c r="I69" s="19"/>
      <c r="J69" s="19"/>
      <c r="K69" s="19"/>
      <c r="L69" s="19"/>
      <c r="M69" s="19"/>
      <c r="N69" s="20"/>
      <c r="O69" s="18"/>
      <c r="P69" s="19"/>
      <c r="Q69" s="19"/>
      <c r="R69" s="19"/>
      <c r="S69" s="19"/>
      <c r="T69" s="19"/>
      <c r="U69" s="19"/>
      <c r="V69" s="136"/>
      <c r="W69" s="137" t="e">
        <f t="shared" si="122"/>
        <v>#NUM!</v>
      </c>
      <c r="X69" s="10">
        <f t="shared" si="123"/>
        <v>3.8165882958950202E-2</v>
      </c>
      <c r="Y69" s="10">
        <f t="shared" si="124"/>
        <v>1.713277721572889E-5</v>
      </c>
      <c r="Z69" s="10">
        <f t="shared" si="125"/>
        <v>1.713277721572889E-5</v>
      </c>
      <c r="AA69" s="10">
        <f t="shared" si="126"/>
        <v>3.8165882958950202E-2</v>
      </c>
      <c r="AB69" s="10">
        <f t="shared" si="127"/>
        <v>2.6306978617002889E-5</v>
      </c>
      <c r="AC69" s="10">
        <f t="shared" si="128"/>
        <v>2.6306978617002889E-5</v>
      </c>
      <c r="AD69" s="10">
        <f t="shared" si="129"/>
        <v>3.033802747866758E-3</v>
      </c>
      <c r="AE69" s="10">
        <f t="shared" si="130"/>
        <v>3.033802747866758E-3</v>
      </c>
      <c r="AF69" s="175">
        <f t="shared" si="131"/>
        <v>3.033802747866758E-3</v>
      </c>
      <c r="AG69" s="137" t="e">
        <f t="shared" si="132"/>
        <v>#NUM!</v>
      </c>
      <c r="AH69" s="10">
        <f t="shared" si="133"/>
        <v>3.8165882958950202E-2</v>
      </c>
      <c r="AI69" s="10">
        <f t="shared" si="134"/>
        <v>1.7417808154569238E-5</v>
      </c>
      <c r="AJ69" s="10">
        <f t="shared" si="135"/>
        <v>1.7417808154569238E-5</v>
      </c>
      <c r="AK69" s="10">
        <f t="shared" si="136"/>
        <v>3.8165882958950202E-2</v>
      </c>
      <c r="AL69" s="10">
        <f t="shared" si="137"/>
        <v>2.6306978617002889E-5</v>
      </c>
      <c r="AM69" s="10">
        <f t="shared" si="138"/>
        <v>2.6306978617002889E-5</v>
      </c>
      <c r="AN69" s="10">
        <f t="shared" si="139"/>
        <v>3.033802747866758E-3</v>
      </c>
      <c r="AO69" s="10">
        <f t="shared" si="140"/>
        <v>3.033802747866758E-3</v>
      </c>
      <c r="AP69" s="175">
        <f t="shared" si="141"/>
        <v>3.033802747866758E-3</v>
      </c>
      <c r="AQ69" s="66" t="e">
        <f t="shared" si="142"/>
        <v>#NUM!</v>
      </c>
      <c r="AR69" s="10" t="e">
        <f t="shared" si="143"/>
        <v>#NUM!</v>
      </c>
      <c r="AS69" s="10" t="e">
        <f t="shared" si="144"/>
        <v>#NUM!</v>
      </c>
      <c r="AT69" s="23" t="e">
        <f t="shared" si="145"/>
        <v>#NUM!</v>
      </c>
      <c r="AU69" s="23" t="e">
        <f t="shared" si="146"/>
        <v>#NUM!</v>
      </c>
      <c r="AV69" s="23" t="e">
        <f t="shared" si="147"/>
        <v>#NUM!</v>
      </c>
      <c r="AW69" s="24" t="e">
        <f t="shared" si="148"/>
        <v>#NUM!</v>
      </c>
      <c r="AX69" s="24" t="e">
        <f t="shared" si="149"/>
        <v>#NUM!</v>
      </c>
      <c r="AY69" s="24" t="e">
        <f t="shared" si="150"/>
        <v>#NUM!</v>
      </c>
    </row>
    <row r="70" spans="1:51" ht="13.5" customHeight="1">
      <c r="A70" s="41">
        <v>14084</v>
      </c>
      <c r="B70" s="41" t="s">
        <v>162</v>
      </c>
      <c r="C70" s="37" t="str">
        <f>Rollover!A70</f>
        <v>Volkswagen</v>
      </c>
      <c r="D70" s="37" t="str">
        <f>Rollover!B70</f>
        <v>Jetta 4DR FWD</v>
      </c>
      <c r="E70" s="69" t="s">
        <v>138</v>
      </c>
      <c r="F70" s="174">
        <f>Rollover!C70</f>
        <v>2022</v>
      </c>
      <c r="G70" s="18">
        <v>277.79300000000001</v>
      </c>
      <c r="H70" s="19">
        <v>0.29799999999999999</v>
      </c>
      <c r="I70" s="19">
        <v>1208.7180000000001</v>
      </c>
      <c r="J70" s="19">
        <v>253.67599999999999</v>
      </c>
      <c r="K70" s="19">
        <v>31.189</v>
      </c>
      <c r="L70" s="19">
        <v>46.527000000000001</v>
      </c>
      <c r="M70" s="19">
        <v>526.82799999999997</v>
      </c>
      <c r="N70" s="20">
        <v>449.30500000000001</v>
      </c>
      <c r="O70" s="18">
        <v>231.76900000000001</v>
      </c>
      <c r="P70" s="19">
        <v>0.41799999999999998</v>
      </c>
      <c r="Q70" s="19">
        <v>589.48400000000004</v>
      </c>
      <c r="R70" s="19">
        <v>603.65700000000004</v>
      </c>
      <c r="S70" s="19">
        <v>17.715</v>
      </c>
      <c r="T70" s="19">
        <v>53.201999999999998</v>
      </c>
      <c r="U70" s="19">
        <v>1914.144</v>
      </c>
      <c r="V70" s="136">
        <v>664.49400000000003</v>
      </c>
      <c r="W70" s="137">
        <f t="shared" ref="W70:W73" si="209">NORMDIST(LN(G70),7.45231,0.73998,1)</f>
        <v>6.8150094358959265E-3</v>
      </c>
      <c r="X70" s="10">
        <f t="shared" ref="X70:X73" si="210">1/(1+EXP(3.2269-1.9688*H70))</f>
        <v>6.6595751557450455E-2</v>
      </c>
      <c r="Y70" s="10">
        <f t="shared" ref="Y70:Y73" si="211">1/(1+EXP(10.9745-2.375*I70/1000))</f>
        <v>3.0229805392693854E-4</v>
      </c>
      <c r="Z70" s="10">
        <f t="shared" ref="Z70:Z73" si="212">1/(1+EXP(10.9745-2.375*J70/1000))</f>
        <v>3.1295044503192971E-5</v>
      </c>
      <c r="AA70" s="10">
        <f t="shared" ref="AA70:AA73" si="213">MAX(X70,Y70,Z70)</f>
        <v>6.6595751557450455E-2</v>
      </c>
      <c r="AB70" s="10">
        <f t="shared" ref="AB70:AB73" si="214">1/(1+EXP(12.597-0.05861*35-1.568*(K70^0.4612)))</f>
        <v>5.3000836910669612E-2</v>
      </c>
      <c r="AC70" s="10">
        <f t="shared" ref="AC70:AC73" si="215">AB70</f>
        <v>5.3000836910669612E-2</v>
      </c>
      <c r="AD70" s="10">
        <f t="shared" ref="AD70:AD73" si="216">1/(1+EXP(5.7949-0.5196*M70/1000))</f>
        <v>3.9852573432588257E-3</v>
      </c>
      <c r="AE70" s="10">
        <f t="shared" ref="AE70:AE73" si="217">1/(1+EXP(5.7949-0.5196*N70/1000))</f>
        <v>3.8285199386140409E-3</v>
      </c>
      <c r="AF70" s="175">
        <f t="shared" ref="AF70:AF73" si="218">MAX(AD70,AE70)</f>
        <v>3.9852573432588257E-3</v>
      </c>
      <c r="AG70" s="137">
        <f t="shared" ref="AG70:AG73" si="219">NORMDIST(LN(O70),7.45231,0.73998,1)</f>
        <v>3.3474341779956883E-3</v>
      </c>
      <c r="AH70" s="10">
        <f t="shared" ref="AH70:AH73" si="220">1/(1+EXP(3.2269-1.9688*P70))</f>
        <v>8.2872623188547781E-2</v>
      </c>
      <c r="AI70" s="10">
        <f t="shared" ref="AI70:AI73" si="221">1/(1+EXP(10.958-3.77*Q70/1000))</f>
        <v>1.6072655397149404E-4</v>
      </c>
      <c r="AJ70" s="10">
        <f t="shared" ref="AJ70:AJ73" si="222">1/(1+EXP(10.958-3.77*R70/1000))</f>
        <v>1.6954661215455433E-4</v>
      </c>
      <c r="AK70" s="10">
        <f t="shared" ref="AK70:AK73" si="223">MAX(AH70,AI70,AJ70)</f>
        <v>8.2872623188547781E-2</v>
      </c>
      <c r="AL70" s="10">
        <f t="shared" ref="AL70:AL73" si="224">1/(1+EXP(12.597-0.05861*35-1.568*((S70/0.817)^0.4612)))</f>
        <v>1.6859936347127784E-2</v>
      </c>
      <c r="AM70" s="10">
        <f t="shared" ref="AM70:AM73" si="225">AL70</f>
        <v>1.6859936347127784E-2</v>
      </c>
      <c r="AN70" s="10">
        <f t="shared" ref="AN70:AN73" si="226">1/(1+EXP(5.7949-0.7619*U70/1000))</f>
        <v>1.2913126687943217E-2</v>
      </c>
      <c r="AO70" s="10">
        <f t="shared" ref="AO70:AO73" si="227">1/(1+EXP(5.7949-0.7619*V70/1000))</f>
        <v>5.0233510312699845E-3</v>
      </c>
      <c r="AP70" s="175">
        <f t="shared" ref="AP70:AP73" si="228">MAX(AN70,AO70)</f>
        <v>1.2913126687943217E-2</v>
      </c>
      <c r="AQ70" s="66">
        <f t="shared" ref="AQ70:AQ73" si="229">ROUND(1-(1-W70)*(1-AA70)*(1-AC70)*(1-AF70),3)</f>
        <v>0.126</v>
      </c>
      <c r="AR70" s="10">
        <f t="shared" ref="AR70:AR73" si="230">ROUND(1-(1-AG70)*(1-AK70)*(1-AM70)*(1-AP70),3)</f>
        <v>0.113</v>
      </c>
      <c r="AS70" s="10">
        <f t="shared" ref="AS70:AS73" si="231">ROUND(AVERAGE(AR70,AQ70),3)</f>
        <v>0.12</v>
      </c>
      <c r="AT70" s="23">
        <f t="shared" ref="AT70:AT73" si="232">ROUND(AQ70/0.15,2)</f>
        <v>0.84</v>
      </c>
      <c r="AU70" s="23">
        <f t="shared" ref="AU70:AU73" si="233">ROUND(AR70/0.15,2)</f>
        <v>0.75</v>
      </c>
      <c r="AV70" s="23">
        <f t="shared" ref="AV70:AV73" si="234">ROUND(AS70/0.15,2)</f>
        <v>0.8</v>
      </c>
      <c r="AW70" s="24">
        <f t="shared" ref="AW70:AW73" si="235">IF(AT70&lt;0.67,5,IF(AT70&lt;1,4,IF(AT70&lt;1.33,3,IF(AT70&lt;2.67,2,1))))</f>
        <v>4</v>
      </c>
      <c r="AX70" s="24">
        <f t="shared" ref="AX70:AX73" si="236">IF(AU70&lt;0.67,5,IF(AU70&lt;1,4,IF(AU70&lt;1.33,3,IF(AU70&lt;2.67,2,1))))</f>
        <v>4</v>
      </c>
      <c r="AY70" s="24">
        <f t="shared" ref="AY70:AY73" si="237">IF(AV70&lt;0.67,5,IF(AV70&lt;1,4,IF(AV70&lt;1.33,3,IF(AV70&lt;2.67,2,1))))</f>
        <v>4</v>
      </c>
    </row>
    <row r="71" spans="1:51" ht="13.5" customHeight="1">
      <c r="A71" s="41">
        <v>14084</v>
      </c>
      <c r="B71" s="41" t="s">
        <v>162</v>
      </c>
      <c r="C71" s="176" t="str">
        <f>Rollover!A71</f>
        <v>Volkswagen</v>
      </c>
      <c r="D71" s="176" t="str">
        <f>Rollover!B71</f>
        <v>Jetta GLI 4DR FWD</v>
      </c>
      <c r="E71" s="69" t="s">
        <v>138</v>
      </c>
      <c r="F71" s="174">
        <f>Rollover!C71</f>
        <v>2022</v>
      </c>
      <c r="G71" s="18">
        <v>277.79300000000001</v>
      </c>
      <c r="H71" s="19">
        <v>0.29799999999999999</v>
      </c>
      <c r="I71" s="19">
        <v>1208.7180000000001</v>
      </c>
      <c r="J71" s="19">
        <v>253.67599999999999</v>
      </c>
      <c r="K71" s="19">
        <v>31.189</v>
      </c>
      <c r="L71" s="19">
        <v>46.527000000000001</v>
      </c>
      <c r="M71" s="19">
        <v>526.82799999999997</v>
      </c>
      <c r="N71" s="20">
        <v>449.30500000000001</v>
      </c>
      <c r="O71" s="18">
        <v>231.76900000000001</v>
      </c>
      <c r="P71" s="19">
        <v>0.41799999999999998</v>
      </c>
      <c r="Q71" s="19">
        <v>589.48400000000004</v>
      </c>
      <c r="R71" s="19">
        <v>603.65700000000004</v>
      </c>
      <c r="S71" s="19">
        <v>17.715</v>
      </c>
      <c r="T71" s="19">
        <v>53.201999999999998</v>
      </c>
      <c r="U71" s="19">
        <v>1914.144</v>
      </c>
      <c r="V71" s="136">
        <v>664.49400000000003</v>
      </c>
      <c r="W71" s="137">
        <f t="shared" si="209"/>
        <v>6.8150094358959265E-3</v>
      </c>
      <c r="X71" s="10">
        <f t="shared" si="210"/>
        <v>6.6595751557450455E-2</v>
      </c>
      <c r="Y71" s="10">
        <f t="shared" si="211"/>
        <v>3.0229805392693854E-4</v>
      </c>
      <c r="Z71" s="10">
        <f t="shared" si="212"/>
        <v>3.1295044503192971E-5</v>
      </c>
      <c r="AA71" s="10">
        <f t="shared" si="213"/>
        <v>6.6595751557450455E-2</v>
      </c>
      <c r="AB71" s="10">
        <f t="shared" si="214"/>
        <v>5.3000836910669612E-2</v>
      </c>
      <c r="AC71" s="10">
        <f t="shared" si="215"/>
        <v>5.3000836910669612E-2</v>
      </c>
      <c r="AD71" s="10">
        <f t="shared" si="216"/>
        <v>3.9852573432588257E-3</v>
      </c>
      <c r="AE71" s="10">
        <f t="shared" si="217"/>
        <v>3.8285199386140409E-3</v>
      </c>
      <c r="AF71" s="175">
        <f t="shared" si="218"/>
        <v>3.9852573432588257E-3</v>
      </c>
      <c r="AG71" s="137">
        <f t="shared" si="219"/>
        <v>3.3474341779956883E-3</v>
      </c>
      <c r="AH71" s="10">
        <f t="shared" si="220"/>
        <v>8.2872623188547781E-2</v>
      </c>
      <c r="AI71" s="10">
        <f t="shared" si="221"/>
        <v>1.6072655397149404E-4</v>
      </c>
      <c r="AJ71" s="10">
        <f t="shared" si="222"/>
        <v>1.6954661215455433E-4</v>
      </c>
      <c r="AK71" s="10">
        <f t="shared" si="223"/>
        <v>8.2872623188547781E-2</v>
      </c>
      <c r="AL71" s="10">
        <f t="shared" si="224"/>
        <v>1.6859936347127784E-2</v>
      </c>
      <c r="AM71" s="10">
        <f t="shared" si="225"/>
        <v>1.6859936347127784E-2</v>
      </c>
      <c r="AN71" s="10">
        <f t="shared" si="226"/>
        <v>1.2913126687943217E-2</v>
      </c>
      <c r="AO71" s="10">
        <f t="shared" si="227"/>
        <v>5.0233510312699845E-3</v>
      </c>
      <c r="AP71" s="175">
        <f t="shared" si="228"/>
        <v>1.2913126687943217E-2</v>
      </c>
      <c r="AQ71" s="66">
        <f t="shared" si="229"/>
        <v>0.126</v>
      </c>
      <c r="AR71" s="10">
        <f t="shared" si="230"/>
        <v>0.113</v>
      </c>
      <c r="AS71" s="10">
        <f t="shared" si="231"/>
        <v>0.12</v>
      </c>
      <c r="AT71" s="23">
        <f t="shared" si="232"/>
        <v>0.84</v>
      </c>
      <c r="AU71" s="23">
        <f t="shared" si="233"/>
        <v>0.75</v>
      </c>
      <c r="AV71" s="23">
        <f t="shared" si="234"/>
        <v>0.8</v>
      </c>
      <c r="AW71" s="24">
        <f t="shared" si="235"/>
        <v>4</v>
      </c>
      <c r="AX71" s="24">
        <f t="shared" si="236"/>
        <v>4</v>
      </c>
      <c r="AY71" s="24">
        <f t="shared" si="237"/>
        <v>4</v>
      </c>
    </row>
    <row r="72" spans="1:51" ht="13.5" customHeight="1">
      <c r="A72" s="41">
        <v>14080</v>
      </c>
      <c r="B72" s="41" t="s">
        <v>163</v>
      </c>
      <c r="C72" s="37" t="str">
        <f>Rollover!A72</f>
        <v>Volkswagen</v>
      </c>
      <c r="D72" s="37" t="str">
        <f>Rollover!B72</f>
        <v>Taos SUV FWD</v>
      </c>
      <c r="E72" s="69" t="s">
        <v>136</v>
      </c>
      <c r="F72" s="174">
        <f>Rollover!C72</f>
        <v>2022</v>
      </c>
      <c r="G72" s="18">
        <v>284.51400000000001</v>
      </c>
      <c r="H72" s="19">
        <v>0.316</v>
      </c>
      <c r="I72" s="19">
        <v>1838.5650000000001</v>
      </c>
      <c r="J72" s="19">
        <v>125.533</v>
      </c>
      <c r="K72" s="19">
        <v>30.853000000000002</v>
      </c>
      <c r="L72" s="19">
        <v>41.908999999999999</v>
      </c>
      <c r="M72" s="19">
        <v>458.37299999999999</v>
      </c>
      <c r="N72" s="20">
        <v>329.13299999999998</v>
      </c>
      <c r="O72" s="18">
        <v>224.17099999999999</v>
      </c>
      <c r="P72" s="19">
        <v>0.45200000000000001</v>
      </c>
      <c r="Q72" s="19">
        <v>601.19600000000003</v>
      </c>
      <c r="R72" s="19">
        <v>919.54200000000003</v>
      </c>
      <c r="S72" s="19">
        <v>19.393999999999998</v>
      </c>
      <c r="T72" s="19">
        <v>42.505000000000003</v>
      </c>
      <c r="U72" s="19">
        <v>2860.0909999999999</v>
      </c>
      <c r="V72" s="136">
        <v>1920.4179999999999</v>
      </c>
      <c r="W72" s="137">
        <f t="shared" si="209"/>
        <v>7.4549029211895251E-3</v>
      </c>
      <c r="X72" s="10">
        <f t="shared" si="210"/>
        <v>6.8832753689576961E-2</v>
      </c>
      <c r="Y72" s="10">
        <f t="shared" si="211"/>
        <v>1.3478333960830404E-3</v>
      </c>
      <c r="Z72" s="10">
        <f t="shared" si="212"/>
        <v>2.3083737123490121E-5</v>
      </c>
      <c r="AA72" s="10">
        <f t="shared" si="213"/>
        <v>6.8832753689576961E-2</v>
      </c>
      <c r="AB72" s="10">
        <f t="shared" si="214"/>
        <v>5.111674202198864E-2</v>
      </c>
      <c r="AC72" s="10">
        <f t="shared" si="215"/>
        <v>5.111674202198864E-2</v>
      </c>
      <c r="AD72" s="10">
        <f t="shared" si="216"/>
        <v>3.8465319146237858E-3</v>
      </c>
      <c r="AE72" s="10">
        <f t="shared" si="217"/>
        <v>3.5976062458476423E-3</v>
      </c>
      <c r="AF72" s="175">
        <f t="shared" si="218"/>
        <v>3.8465319146237858E-3</v>
      </c>
      <c r="AG72" s="137">
        <f t="shared" si="219"/>
        <v>2.9194190368977725E-3</v>
      </c>
      <c r="AH72" s="10">
        <f t="shared" si="220"/>
        <v>8.8104451008852031E-2</v>
      </c>
      <c r="AI72" s="10">
        <f t="shared" si="221"/>
        <v>1.6798110162565108E-4</v>
      </c>
      <c r="AJ72" s="10">
        <f t="shared" si="222"/>
        <v>5.5759124115695483E-4</v>
      </c>
      <c r="AK72" s="10">
        <f t="shared" si="223"/>
        <v>8.8104451008852031E-2</v>
      </c>
      <c r="AL72" s="10">
        <f t="shared" si="224"/>
        <v>2.2107856398340054E-2</v>
      </c>
      <c r="AM72" s="10">
        <f t="shared" si="225"/>
        <v>2.2107856398340054E-2</v>
      </c>
      <c r="AN72" s="10">
        <f t="shared" si="226"/>
        <v>2.6191068313961167E-2</v>
      </c>
      <c r="AO72" s="10">
        <f t="shared" si="227"/>
        <v>1.2974198501599919E-2</v>
      </c>
      <c r="AP72" s="175">
        <f t="shared" si="228"/>
        <v>2.6191068313961167E-2</v>
      </c>
      <c r="AQ72" s="66">
        <f t="shared" si="229"/>
        <v>0.126</v>
      </c>
      <c r="AR72" s="10">
        <f t="shared" si="230"/>
        <v>0.13400000000000001</v>
      </c>
      <c r="AS72" s="10">
        <f t="shared" si="231"/>
        <v>0.13</v>
      </c>
      <c r="AT72" s="23">
        <f t="shared" si="232"/>
        <v>0.84</v>
      </c>
      <c r="AU72" s="23">
        <f t="shared" si="233"/>
        <v>0.89</v>
      </c>
      <c r="AV72" s="23">
        <f t="shared" si="234"/>
        <v>0.87</v>
      </c>
      <c r="AW72" s="24">
        <f t="shared" si="235"/>
        <v>4</v>
      </c>
      <c r="AX72" s="24">
        <f t="shared" si="236"/>
        <v>4</v>
      </c>
      <c r="AY72" s="24">
        <f t="shared" si="237"/>
        <v>4</v>
      </c>
    </row>
    <row r="73" spans="1:51" ht="13.5" customHeight="1">
      <c r="A73" s="45">
        <v>14080</v>
      </c>
      <c r="B73" s="45" t="s">
        <v>163</v>
      </c>
      <c r="C73" s="37" t="str">
        <f>Rollover!A73</f>
        <v>Volkswagen</v>
      </c>
      <c r="D73" s="37" t="str">
        <f>Rollover!B73</f>
        <v>Taos SUV AWD</v>
      </c>
      <c r="E73" s="69" t="s">
        <v>136</v>
      </c>
      <c r="F73" s="174">
        <f>Rollover!C73</f>
        <v>2022</v>
      </c>
      <c r="G73" s="18">
        <v>284.51400000000001</v>
      </c>
      <c r="H73" s="19">
        <v>0.316</v>
      </c>
      <c r="I73" s="19">
        <v>1838.5650000000001</v>
      </c>
      <c r="J73" s="19">
        <v>125.533</v>
      </c>
      <c r="K73" s="19">
        <v>30.853000000000002</v>
      </c>
      <c r="L73" s="19">
        <v>41.908999999999999</v>
      </c>
      <c r="M73" s="19">
        <v>458.37299999999999</v>
      </c>
      <c r="N73" s="20">
        <v>329.13299999999998</v>
      </c>
      <c r="O73" s="18">
        <v>224.17099999999999</v>
      </c>
      <c r="P73" s="19">
        <v>0.45200000000000001</v>
      </c>
      <c r="Q73" s="19">
        <v>601.19600000000003</v>
      </c>
      <c r="R73" s="19">
        <v>919.54200000000003</v>
      </c>
      <c r="S73" s="19">
        <v>19.393999999999998</v>
      </c>
      <c r="T73" s="19">
        <v>42.505000000000003</v>
      </c>
      <c r="U73" s="19">
        <v>2860.0909999999999</v>
      </c>
      <c r="V73" s="136">
        <v>1920.4179999999999</v>
      </c>
      <c r="W73" s="137">
        <f t="shared" si="209"/>
        <v>7.4549029211895251E-3</v>
      </c>
      <c r="X73" s="10">
        <f t="shared" si="210"/>
        <v>6.8832753689576961E-2</v>
      </c>
      <c r="Y73" s="10">
        <f t="shared" si="211"/>
        <v>1.3478333960830404E-3</v>
      </c>
      <c r="Z73" s="10">
        <f t="shared" si="212"/>
        <v>2.3083737123490121E-5</v>
      </c>
      <c r="AA73" s="10">
        <f t="shared" si="213"/>
        <v>6.8832753689576961E-2</v>
      </c>
      <c r="AB73" s="10">
        <f t="shared" si="214"/>
        <v>5.111674202198864E-2</v>
      </c>
      <c r="AC73" s="10">
        <f t="shared" si="215"/>
        <v>5.111674202198864E-2</v>
      </c>
      <c r="AD73" s="10">
        <f t="shared" si="216"/>
        <v>3.8465319146237858E-3</v>
      </c>
      <c r="AE73" s="10">
        <f t="shared" si="217"/>
        <v>3.5976062458476423E-3</v>
      </c>
      <c r="AF73" s="175">
        <f t="shared" si="218"/>
        <v>3.8465319146237858E-3</v>
      </c>
      <c r="AG73" s="137">
        <f t="shared" si="219"/>
        <v>2.9194190368977725E-3</v>
      </c>
      <c r="AH73" s="10">
        <f t="shared" si="220"/>
        <v>8.8104451008852031E-2</v>
      </c>
      <c r="AI73" s="10">
        <f t="shared" si="221"/>
        <v>1.6798110162565108E-4</v>
      </c>
      <c r="AJ73" s="10">
        <f t="shared" si="222"/>
        <v>5.5759124115695483E-4</v>
      </c>
      <c r="AK73" s="10">
        <f t="shared" si="223"/>
        <v>8.8104451008852031E-2</v>
      </c>
      <c r="AL73" s="10">
        <f t="shared" si="224"/>
        <v>2.2107856398340054E-2</v>
      </c>
      <c r="AM73" s="10">
        <f t="shared" si="225"/>
        <v>2.2107856398340054E-2</v>
      </c>
      <c r="AN73" s="10">
        <f t="shared" si="226"/>
        <v>2.6191068313961167E-2</v>
      </c>
      <c r="AO73" s="10">
        <f t="shared" si="227"/>
        <v>1.2974198501599919E-2</v>
      </c>
      <c r="AP73" s="175">
        <f t="shared" si="228"/>
        <v>2.6191068313961167E-2</v>
      </c>
      <c r="AQ73" s="66">
        <f t="shared" si="229"/>
        <v>0.126</v>
      </c>
      <c r="AR73" s="10">
        <f t="shared" si="230"/>
        <v>0.13400000000000001</v>
      </c>
      <c r="AS73" s="10">
        <f t="shared" si="231"/>
        <v>0.13</v>
      </c>
      <c r="AT73" s="23">
        <f t="shared" si="232"/>
        <v>0.84</v>
      </c>
      <c r="AU73" s="23">
        <f t="shared" si="233"/>
        <v>0.89</v>
      </c>
      <c r="AV73" s="23">
        <f t="shared" si="234"/>
        <v>0.87</v>
      </c>
      <c r="AW73" s="24">
        <f t="shared" si="235"/>
        <v>4</v>
      </c>
      <c r="AX73" s="24">
        <f t="shared" si="236"/>
        <v>4</v>
      </c>
      <c r="AY73" s="24">
        <f t="shared" si="237"/>
        <v>4</v>
      </c>
    </row>
    <row r="74" spans="1:51" ht="13.5" customHeight="1">
      <c r="G74" s="53"/>
      <c r="H74" s="53"/>
      <c r="I74" s="53"/>
      <c r="J74" s="53"/>
      <c r="K74" s="53"/>
      <c r="L74" s="53"/>
      <c r="M74" s="53"/>
    </row>
    <row r="75" spans="1:51" ht="13.5" customHeight="1">
      <c r="A75" s="111"/>
      <c r="B75" s="111"/>
      <c r="C75" s="111"/>
    </row>
    <row r="76" spans="1:51" ht="13.5" customHeight="1">
      <c r="A76" s="111"/>
      <c r="B76" s="111"/>
      <c r="C76" s="111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</row>
    <row r="77" spans="1:51" ht="13.5" customHeight="1">
      <c r="A77" s="111"/>
      <c r="B77" s="111"/>
      <c r="C77" s="111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</row>
    <row r="78" spans="1:51" ht="13.5" customHeight="1">
      <c r="A78" s="111"/>
      <c r="B78" s="111"/>
      <c r="C78" s="111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</row>
    <row r="79" spans="1:51" ht="13.5" customHeight="1">
      <c r="A79" s="111"/>
      <c r="B79" s="111"/>
      <c r="C79" s="111"/>
      <c r="D79" s="111"/>
      <c r="E79" s="111"/>
      <c r="F79" s="111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</row>
    <row r="80" spans="1:51" ht="13.5" customHeight="1">
      <c r="A80" s="111"/>
      <c r="B80" s="111"/>
      <c r="C80" s="111"/>
      <c r="D80" s="111"/>
      <c r="E80" s="111"/>
      <c r="F80" s="111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</row>
    <row r="81" spans="1:26" ht="13.5" customHeight="1">
      <c r="A81" s="111"/>
      <c r="B81" s="111"/>
      <c r="C81" s="111"/>
      <c r="D81" s="111"/>
      <c r="E81" s="111"/>
      <c r="F81" s="111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</row>
    <row r="82" spans="1:26" ht="13.5" customHeight="1">
      <c r="A82" s="111"/>
      <c r="B82" s="111"/>
      <c r="C82" s="111"/>
      <c r="D82" s="111"/>
      <c r="E82" s="111"/>
      <c r="F82" s="111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</row>
    <row r="83" spans="1:26" ht="13.5" customHeight="1">
      <c r="A83" s="111"/>
      <c r="B83" s="111"/>
      <c r="C83" s="111"/>
      <c r="D83" s="111"/>
      <c r="E83" s="111"/>
      <c r="F83" s="111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</row>
    <row r="84" spans="1:26" ht="13.5" customHeight="1">
      <c r="A84" s="111"/>
      <c r="B84" s="111"/>
      <c r="C84" s="111"/>
      <c r="D84" s="111"/>
      <c r="E84" s="111"/>
      <c r="F84" s="111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</row>
    <row r="85" spans="1:26" ht="13.5" customHeight="1">
      <c r="A85" s="186"/>
      <c r="B85" s="186"/>
      <c r="C85" s="111"/>
      <c r="D85" s="111"/>
      <c r="E85" s="111"/>
      <c r="F85" s="111"/>
      <c r="G85" s="185"/>
      <c r="H85" s="185"/>
      <c r="I85" s="185"/>
      <c r="J85" s="185"/>
      <c r="K85" s="185"/>
      <c r="L85" s="73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44"/>
      <c r="X85" s="44"/>
      <c r="Y85" s="44"/>
      <c r="Z85" s="44"/>
    </row>
    <row r="86" spans="1:26" ht="13.5" customHeight="1">
      <c r="L86" s="73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44"/>
      <c r="X86" s="44"/>
      <c r="Y86" s="44"/>
      <c r="Z86" s="44"/>
    </row>
    <row r="87" spans="1:26" ht="13.5" customHeight="1">
      <c r="L87" s="73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44"/>
      <c r="X87" s="44"/>
      <c r="Y87" s="44"/>
      <c r="Z87" s="44"/>
    </row>
    <row r="88" spans="1:26" ht="13.5" customHeight="1">
      <c r="C88" s="116"/>
      <c r="D88" s="116"/>
      <c r="E88" s="116"/>
      <c r="F88" s="116"/>
      <c r="G88" s="53"/>
      <c r="H88" s="53"/>
      <c r="K88" s="53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44"/>
      <c r="X88" s="44"/>
      <c r="Y88" s="44"/>
      <c r="Z88" s="44"/>
    </row>
    <row r="89" spans="1:26" ht="13.5" customHeight="1">
      <c r="C89" s="116"/>
      <c r="D89" s="116"/>
      <c r="E89" s="116"/>
      <c r="F89" s="116"/>
      <c r="G89" s="53"/>
      <c r="H89" s="53"/>
      <c r="K89" s="187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44"/>
      <c r="X89" s="44"/>
      <c r="Y89" s="44"/>
      <c r="Z89" s="44"/>
    </row>
    <row r="90" spans="1:26" ht="13.5" customHeight="1">
      <c r="C90" s="116"/>
      <c r="D90" s="116"/>
      <c r="E90" s="116"/>
      <c r="F90" s="116"/>
      <c r="G90" s="53"/>
      <c r="H90" s="53"/>
      <c r="K90" s="53"/>
      <c r="L90" s="73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44"/>
      <c r="X90" s="44"/>
      <c r="Y90" s="44"/>
      <c r="Z90" s="44"/>
    </row>
    <row r="91" spans="1:26" ht="13.5" customHeight="1">
      <c r="C91" s="116"/>
      <c r="D91" s="116"/>
      <c r="E91" s="116"/>
      <c r="F91" s="116"/>
      <c r="G91" s="53"/>
      <c r="H91" s="53"/>
      <c r="K91" s="53"/>
      <c r="L91" s="73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44"/>
      <c r="X91" s="44"/>
      <c r="Y91" s="44"/>
      <c r="Z91" s="44"/>
    </row>
    <row r="92" spans="1:26" ht="13.5" customHeight="1">
      <c r="C92" s="116"/>
      <c r="D92" s="116"/>
      <c r="E92" s="116"/>
      <c r="F92" s="116"/>
      <c r="G92" s="53"/>
      <c r="H92" s="53"/>
      <c r="K92" s="187"/>
      <c r="L92" s="73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44"/>
      <c r="X92" s="44"/>
      <c r="Y92" s="44"/>
      <c r="Z92" s="44"/>
    </row>
    <row r="93" spans="1:26" ht="13.5" customHeight="1">
      <c r="C93" s="116"/>
      <c r="D93" s="116"/>
      <c r="E93" s="116"/>
      <c r="F93" s="116"/>
      <c r="G93" s="53"/>
      <c r="H93" s="53"/>
      <c r="K93" s="53"/>
      <c r="L93" s="73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44"/>
      <c r="X93" s="44"/>
      <c r="Y93" s="44"/>
      <c r="Z93" s="44"/>
    </row>
    <row r="94" spans="1:26" ht="13.5" customHeight="1">
      <c r="C94" s="116"/>
      <c r="D94" s="116"/>
      <c r="E94" s="116"/>
      <c r="F94" s="116"/>
      <c r="G94" s="53"/>
      <c r="H94" s="53"/>
      <c r="K94" s="53"/>
    </row>
    <row r="95" spans="1:26" ht="13.5" customHeight="1">
      <c r="C95" s="116"/>
      <c r="D95" s="116"/>
      <c r="E95" s="116"/>
      <c r="F95" s="116"/>
      <c r="G95" s="53"/>
      <c r="H95" s="53"/>
      <c r="K95" s="53"/>
    </row>
    <row r="96" spans="1:26" ht="13.5" customHeight="1">
      <c r="C96" s="116"/>
      <c r="D96" s="116"/>
      <c r="E96" s="116"/>
      <c r="F96" s="116"/>
      <c r="G96" s="53"/>
      <c r="H96" s="53"/>
      <c r="K96" s="187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</row>
    <row r="97" spans="1:31" ht="13.5" customHeight="1">
      <c r="C97" s="116"/>
      <c r="D97" s="116"/>
      <c r="E97" s="116"/>
      <c r="F97" s="116"/>
      <c r="G97" s="53"/>
      <c r="H97" s="53"/>
      <c r="K97" s="53"/>
    </row>
    <row r="98" spans="1:31" ht="13.5" customHeight="1">
      <c r="G98" s="53"/>
      <c r="H98" s="53"/>
      <c r="K98" s="53"/>
    </row>
    <row r="99" spans="1:31" ht="13.5" customHeight="1">
      <c r="G99" s="53"/>
      <c r="H99" s="53"/>
      <c r="K99" s="53"/>
    </row>
    <row r="100" spans="1:31" ht="13.5" customHeight="1">
      <c r="C100" s="116"/>
      <c r="D100" s="116"/>
      <c r="E100" s="116"/>
      <c r="F100" s="116"/>
      <c r="G100" s="53"/>
      <c r="H100" s="53"/>
      <c r="K100" s="53"/>
    </row>
    <row r="101" spans="1:31" ht="13.5" customHeight="1">
      <c r="A101" s="111"/>
      <c r="B101" s="111"/>
      <c r="C101" s="116"/>
      <c r="D101" s="116"/>
      <c r="E101" s="116"/>
      <c r="F101" s="116"/>
      <c r="G101" s="53"/>
      <c r="H101" s="53"/>
      <c r="K101" s="53"/>
    </row>
    <row r="102" spans="1:31" ht="13.5" customHeight="1">
      <c r="A102" s="111"/>
      <c r="B102" s="111"/>
      <c r="C102" s="116"/>
      <c r="D102" s="116"/>
      <c r="E102" s="116"/>
      <c r="F102" s="116"/>
      <c r="G102" s="53"/>
      <c r="H102" s="53"/>
      <c r="K102" s="53"/>
    </row>
    <row r="103" spans="1:31" ht="13.5" customHeight="1">
      <c r="A103" s="111"/>
      <c r="B103" s="111"/>
      <c r="C103" s="116"/>
      <c r="D103" s="116"/>
      <c r="E103" s="116"/>
      <c r="F103" s="116"/>
      <c r="G103" s="53"/>
      <c r="H103" s="53"/>
      <c r="K103" s="53"/>
      <c r="N103" s="53"/>
      <c r="O103" s="53"/>
      <c r="P103" s="53"/>
      <c r="Q103" s="53"/>
      <c r="R103" s="53"/>
      <c r="S103" s="53"/>
      <c r="T103" s="53"/>
      <c r="U103" s="53"/>
      <c r="V103" s="53"/>
      <c r="W103" s="188"/>
      <c r="X103" s="189"/>
      <c r="Y103" s="188"/>
      <c r="Z103" s="188"/>
      <c r="AA103" s="116"/>
      <c r="AB103" s="116"/>
      <c r="AC103" s="116"/>
      <c r="AD103" s="116"/>
      <c r="AE103" s="116"/>
    </row>
    <row r="104" spans="1:31" ht="13.5" customHeight="1">
      <c r="C104" s="116"/>
      <c r="D104" s="116"/>
      <c r="E104" s="116"/>
      <c r="F104" s="116"/>
      <c r="H104" s="141"/>
      <c r="I104" s="141"/>
      <c r="J104" s="141"/>
      <c r="K104" s="141"/>
      <c r="L104" s="141"/>
      <c r="M104" s="141"/>
      <c r="N104" s="53"/>
      <c r="O104" s="53"/>
      <c r="P104" s="53"/>
      <c r="Q104" s="53"/>
      <c r="R104" s="53"/>
      <c r="S104" s="53"/>
      <c r="T104" s="53"/>
      <c r="U104" s="53"/>
      <c r="V104" s="53"/>
      <c r="W104" s="188"/>
      <c r="X104" s="189"/>
      <c r="Y104" s="188"/>
      <c r="Z104" s="188"/>
      <c r="AA104" s="48"/>
      <c r="AB104" s="48"/>
      <c r="AC104" s="48"/>
      <c r="AD104" s="48"/>
      <c r="AE104" s="48"/>
    </row>
    <row r="105" spans="1:31" ht="13.5" customHeight="1">
      <c r="C105" s="116"/>
      <c r="D105" s="116"/>
      <c r="E105" s="116"/>
      <c r="F105" s="116"/>
      <c r="H105" s="141"/>
      <c r="I105" s="141"/>
      <c r="J105" s="141"/>
      <c r="K105" s="141"/>
      <c r="L105" s="141"/>
      <c r="M105" s="141"/>
      <c r="N105" s="53"/>
      <c r="O105" s="53"/>
      <c r="P105" s="53"/>
      <c r="Q105" s="53"/>
      <c r="R105" s="53"/>
      <c r="S105" s="53"/>
      <c r="T105" s="53"/>
      <c r="U105" s="53"/>
      <c r="V105" s="53"/>
      <c r="W105" s="188"/>
      <c r="X105" s="189"/>
      <c r="Y105" s="188"/>
      <c r="Z105" s="188"/>
      <c r="AA105" s="155"/>
      <c r="AB105" s="188"/>
      <c r="AC105" s="188"/>
      <c r="AD105" s="155"/>
      <c r="AE105" s="155"/>
    </row>
    <row r="106" spans="1:31" ht="13.5" customHeight="1">
      <c r="A106" s="190"/>
      <c r="B106" s="190"/>
      <c r="C106" s="118"/>
      <c r="D106" s="118"/>
      <c r="E106" s="118"/>
      <c r="F106" s="118"/>
      <c r="G106" s="191"/>
      <c r="H106" s="141"/>
      <c r="I106" s="141"/>
      <c r="J106" s="141"/>
      <c r="K106" s="141"/>
      <c r="L106" s="141"/>
      <c r="M106" s="141"/>
      <c r="N106" s="53"/>
      <c r="O106" s="53"/>
      <c r="P106" s="53"/>
      <c r="Q106" s="53"/>
      <c r="R106" s="53"/>
      <c r="S106" s="53"/>
      <c r="T106" s="53"/>
      <c r="U106" s="53"/>
      <c r="V106" s="53"/>
      <c r="W106" s="188"/>
      <c r="X106" s="189"/>
      <c r="Y106" s="188"/>
      <c r="Z106" s="188"/>
      <c r="AA106" s="155"/>
      <c r="AB106" s="188"/>
      <c r="AC106" s="188"/>
      <c r="AD106" s="155"/>
      <c r="AE106" s="155"/>
    </row>
    <row r="107" spans="1:31" ht="13.5" customHeight="1">
      <c r="A107" s="111"/>
      <c r="B107" s="111"/>
      <c r="C107" s="111"/>
      <c r="D107" s="111"/>
      <c r="E107" s="111"/>
      <c r="F107" s="111"/>
      <c r="G107" s="185"/>
      <c r="H107" s="141"/>
      <c r="I107" s="141"/>
      <c r="J107" s="141"/>
      <c r="K107" s="141"/>
      <c r="L107" s="141"/>
      <c r="M107" s="141"/>
      <c r="N107" s="53"/>
      <c r="O107" s="53"/>
      <c r="P107" s="53"/>
      <c r="Q107" s="53"/>
      <c r="R107" s="53"/>
      <c r="S107" s="53"/>
      <c r="T107" s="53"/>
      <c r="U107" s="53"/>
      <c r="V107" s="53"/>
      <c r="W107" s="188"/>
      <c r="X107" s="189"/>
      <c r="Y107" s="188"/>
      <c r="Z107" s="188"/>
      <c r="AA107" s="155"/>
      <c r="AB107" s="188"/>
      <c r="AC107" s="188"/>
      <c r="AD107" s="155"/>
      <c r="AE107" s="155"/>
    </row>
    <row r="108" spans="1:31" ht="13.5" customHeight="1">
      <c r="C108" s="116"/>
      <c r="D108" s="116"/>
      <c r="E108" s="116"/>
      <c r="F108" s="116"/>
      <c r="H108" s="141"/>
      <c r="I108" s="141"/>
      <c r="J108" s="141"/>
      <c r="K108" s="141"/>
      <c r="L108" s="141"/>
      <c r="M108" s="141"/>
      <c r="N108" s="53"/>
      <c r="O108" s="53"/>
      <c r="P108" s="53"/>
      <c r="Q108" s="53"/>
      <c r="R108" s="53"/>
      <c r="S108" s="53"/>
      <c r="T108" s="53"/>
      <c r="U108" s="53"/>
      <c r="V108" s="53"/>
      <c r="W108" s="188"/>
      <c r="X108" s="189"/>
      <c r="Y108" s="188"/>
      <c r="Z108" s="188"/>
      <c r="AA108" s="155"/>
      <c r="AB108" s="188"/>
      <c r="AC108" s="188"/>
      <c r="AD108" s="155"/>
      <c r="AE108" s="155"/>
    </row>
    <row r="109" spans="1:31" ht="13.5" customHeight="1">
      <c r="A109" s="111"/>
      <c r="B109" s="111"/>
      <c r="C109" s="116"/>
      <c r="D109" s="116"/>
      <c r="E109" s="116"/>
      <c r="F109" s="116"/>
      <c r="H109" s="141"/>
      <c r="I109" s="141"/>
      <c r="J109" s="141"/>
      <c r="K109" s="141"/>
      <c r="L109" s="141"/>
      <c r="M109" s="141"/>
      <c r="N109" s="53"/>
      <c r="O109" s="53"/>
      <c r="P109" s="53"/>
      <c r="Q109" s="53"/>
      <c r="R109" s="53"/>
      <c r="S109" s="53"/>
      <c r="T109" s="53"/>
      <c r="U109" s="53"/>
      <c r="V109" s="53"/>
      <c r="W109" s="188"/>
      <c r="X109" s="189"/>
      <c r="Y109" s="188"/>
      <c r="Z109" s="188"/>
      <c r="AA109" s="155"/>
      <c r="AB109" s="188"/>
      <c r="AC109" s="188"/>
      <c r="AD109" s="155"/>
      <c r="AE109" s="155"/>
    </row>
    <row r="110" spans="1:31" ht="13.5" customHeight="1">
      <c r="C110" s="116"/>
      <c r="D110" s="116"/>
      <c r="E110" s="116"/>
      <c r="F110" s="116"/>
      <c r="H110" s="141"/>
      <c r="I110" s="141"/>
      <c r="J110" s="141"/>
      <c r="K110" s="141"/>
      <c r="L110" s="141"/>
      <c r="M110" s="141"/>
      <c r="N110" s="53"/>
      <c r="O110" s="53"/>
      <c r="P110" s="53"/>
      <c r="Q110" s="53"/>
      <c r="R110" s="53"/>
      <c r="S110" s="53"/>
      <c r="T110" s="53"/>
      <c r="U110" s="53"/>
      <c r="V110" s="53"/>
      <c r="W110" s="188"/>
      <c r="X110" s="189"/>
      <c r="Y110" s="188"/>
      <c r="Z110" s="188"/>
      <c r="AA110" s="155"/>
      <c r="AB110" s="188"/>
      <c r="AC110" s="188"/>
      <c r="AD110" s="155"/>
      <c r="AE110" s="155"/>
    </row>
    <row r="111" spans="1:31" ht="13.5" customHeight="1">
      <c r="C111" s="116"/>
      <c r="D111" s="116"/>
      <c r="E111" s="116"/>
      <c r="F111" s="116"/>
      <c r="H111" s="141"/>
      <c r="I111" s="141"/>
      <c r="J111" s="141"/>
      <c r="K111" s="141"/>
      <c r="L111" s="141"/>
      <c r="M111" s="141"/>
      <c r="N111" s="53"/>
      <c r="O111" s="53"/>
      <c r="P111" s="53"/>
      <c r="Q111" s="53"/>
      <c r="R111" s="53"/>
      <c r="S111" s="53"/>
      <c r="T111" s="53"/>
      <c r="U111" s="53"/>
      <c r="V111" s="53"/>
      <c r="W111" s="188"/>
      <c r="X111" s="189"/>
      <c r="Y111" s="188"/>
      <c r="Z111" s="188"/>
      <c r="AA111" s="155"/>
      <c r="AB111" s="188"/>
      <c r="AC111" s="188"/>
      <c r="AD111" s="155"/>
      <c r="AE111" s="155"/>
    </row>
    <row r="112" spans="1:31" ht="13.5" customHeight="1">
      <c r="A112" s="111"/>
      <c r="B112" s="111"/>
      <c r="C112" s="111"/>
      <c r="D112" s="111"/>
      <c r="E112" s="111"/>
      <c r="F112" s="111"/>
      <c r="G112" s="185"/>
      <c r="H112" s="141"/>
      <c r="I112" s="141"/>
      <c r="J112" s="141"/>
      <c r="K112" s="141"/>
      <c r="L112" s="141"/>
      <c r="M112" s="141"/>
      <c r="N112" s="53"/>
      <c r="O112" s="53"/>
      <c r="P112" s="53"/>
      <c r="Q112" s="53"/>
      <c r="R112" s="53"/>
      <c r="S112" s="53"/>
      <c r="T112" s="53"/>
      <c r="U112" s="53"/>
      <c r="V112" s="53"/>
      <c r="W112" s="188"/>
      <c r="X112" s="189"/>
      <c r="Y112" s="188"/>
      <c r="Z112" s="188"/>
      <c r="AA112" s="155"/>
      <c r="AB112" s="188"/>
      <c r="AC112" s="188"/>
      <c r="AD112" s="155"/>
      <c r="AE112" s="155"/>
    </row>
    <row r="113" spans="8:31" ht="13.5" customHeight="1">
      <c r="H113" s="141"/>
      <c r="I113" s="141"/>
      <c r="J113" s="141"/>
      <c r="K113" s="141"/>
      <c r="L113" s="141"/>
      <c r="M113" s="141"/>
      <c r="N113" s="53"/>
      <c r="O113" s="53"/>
      <c r="P113" s="53"/>
      <c r="Q113" s="53"/>
      <c r="R113" s="53"/>
      <c r="S113" s="53"/>
      <c r="T113" s="53"/>
      <c r="U113" s="53"/>
      <c r="V113" s="53"/>
      <c r="W113" s="188"/>
      <c r="X113" s="189"/>
      <c r="Y113" s="188"/>
      <c r="Z113" s="188"/>
      <c r="AA113" s="155"/>
      <c r="AB113" s="188"/>
      <c r="AC113" s="188"/>
      <c r="AD113" s="155"/>
      <c r="AE113" s="155"/>
    </row>
    <row r="114" spans="8:31" ht="13.5" customHeight="1">
      <c r="H114" s="141"/>
      <c r="I114" s="141"/>
      <c r="J114" s="141"/>
      <c r="K114" s="141"/>
      <c r="L114" s="141"/>
      <c r="M114" s="141"/>
      <c r="N114" s="53"/>
      <c r="O114" s="53"/>
      <c r="P114" s="53"/>
      <c r="Q114" s="53"/>
      <c r="R114" s="53"/>
      <c r="S114" s="53"/>
      <c r="T114" s="53"/>
      <c r="U114" s="53"/>
      <c r="V114" s="53"/>
      <c r="W114" s="188"/>
      <c r="X114" s="189"/>
      <c r="Y114" s="188"/>
      <c r="Z114" s="188"/>
      <c r="AA114" s="155"/>
      <c r="AB114" s="188"/>
      <c r="AC114" s="188"/>
      <c r="AD114" s="155"/>
      <c r="AE114" s="155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233"/>
  <sheetViews>
    <sheetView zoomScale="115" zoomScaleNormal="115" workbookViewId="0">
      <pane xSplit="6" ySplit="2" topLeftCell="G3" activePane="bottomRight" state="frozen"/>
      <selection activeCell="N20" sqref="N20"/>
      <selection pane="topRight" activeCell="N20" sqref="N20"/>
      <selection pane="bottomLeft" activeCell="N20" sqref="N20"/>
      <selection pane="bottomRight" activeCell="A11" sqref="A11:XFD14"/>
    </sheetView>
  </sheetViews>
  <sheetFormatPr defaultRowHeight="12.75"/>
  <cols>
    <col min="1" max="1" width="7.42578125" style="154" customWidth="1"/>
    <col min="2" max="2" width="9" style="154" bestFit="1" customWidth="1"/>
    <col min="3" max="3" width="13.5703125" style="44" bestFit="1" customWidth="1"/>
    <col min="4" max="4" width="28" style="44" bestFit="1" customWidth="1"/>
    <col min="5" max="5" width="6.5703125" style="44" bestFit="1" customWidth="1"/>
    <col min="6" max="6" width="5.5703125" style="44" customWidth="1"/>
    <col min="7" max="16" width="8.5703125" style="141" customWidth="1"/>
    <col min="17" max="20" width="9.140625" style="44" customWidth="1"/>
    <col min="21" max="21" width="10.5703125" style="44" customWidth="1"/>
    <col min="22" max="22" width="8.140625" style="44" customWidth="1"/>
    <col min="23" max="23" width="8" style="155" customWidth="1"/>
    <col min="24" max="24" width="10.140625" style="155" customWidth="1"/>
    <col min="25" max="25" width="9.140625" style="155" customWidth="1"/>
    <col min="26" max="26" width="8" style="155" customWidth="1"/>
    <col min="27" max="27" width="9.5703125" style="155" customWidth="1"/>
    <col min="28" max="28" width="6.140625" style="155" customWidth="1"/>
    <col min="29" max="29" width="5.5703125" style="2" customWidth="1"/>
    <col min="30" max="30" width="9" style="2" customWidth="1"/>
    <col min="31" max="31" width="8" style="1" customWidth="1"/>
    <col min="32" max="16384" width="9.140625" style="44"/>
  </cols>
  <sheetData>
    <row r="1" spans="1:49" s="39" customFormat="1">
      <c r="A1" s="14"/>
      <c r="B1" s="14"/>
      <c r="C1" s="17"/>
      <c r="D1" s="17"/>
      <c r="E1" s="34"/>
      <c r="F1" s="34"/>
      <c r="G1" s="55" t="s">
        <v>164</v>
      </c>
      <c r="H1" s="56"/>
      <c r="I1" s="56"/>
      <c r="J1" s="56"/>
      <c r="K1" s="57"/>
      <c r="L1" s="58" t="s">
        <v>165</v>
      </c>
      <c r="M1" s="59"/>
      <c r="N1" s="59"/>
      <c r="O1" s="59"/>
      <c r="P1" s="60"/>
      <c r="Q1" s="61" t="s">
        <v>166</v>
      </c>
      <c r="R1" s="62"/>
      <c r="S1" s="62"/>
      <c r="T1" s="62"/>
      <c r="U1" s="35" t="s">
        <v>165</v>
      </c>
      <c r="V1" s="36"/>
      <c r="W1" s="5" t="s">
        <v>105</v>
      </c>
      <c r="X1" s="5" t="s">
        <v>167</v>
      </c>
      <c r="Y1" s="5" t="s">
        <v>168</v>
      </c>
      <c r="Z1" s="5" t="s">
        <v>105</v>
      </c>
      <c r="AA1" s="5" t="s">
        <v>106</v>
      </c>
      <c r="AB1" s="5" t="s">
        <v>169</v>
      </c>
      <c r="AC1" s="24" t="s">
        <v>105</v>
      </c>
      <c r="AD1" s="24" t="s">
        <v>106</v>
      </c>
      <c r="AE1" s="24" t="s">
        <v>170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33.75">
      <c r="A2" s="14" t="s">
        <v>109</v>
      </c>
      <c r="B2" s="14" t="s">
        <v>110</v>
      </c>
      <c r="C2" s="17" t="s">
        <v>1</v>
      </c>
      <c r="D2" s="17" t="s">
        <v>2</v>
      </c>
      <c r="E2" s="34" t="s">
        <v>111</v>
      </c>
      <c r="F2" s="34" t="s">
        <v>3</v>
      </c>
      <c r="G2" s="63" t="s">
        <v>171</v>
      </c>
      <c r="H2" s="64" t="s">
        <v>172</v>
      </c>
      <c r="I2" s="64" t="s">
        <v>173</v>
      </c>
      <c r="J2" s="64" t="s">
        <v>174</v>
      </c>
      <c r="K2" s="65" t="s">
        <v>175</v>
      </c>
      <c r="L2" s="63" t="s">
        <v>171</v>
      </c>
      <c r="M2" s="64" t="s">
        <v>172</v>
      </c>
      <c r="N2" s="64" t="s">
        <v>173</v>
      </c>
      <c r="O2" s="64" t="s">
        <v>176</v>
      </c>
      <c r="P2" s="65" t="s">
        <v>177</v>
      </c>
      <c r="Q2" s="6" t="s">
        <v>178</v>
      </c>
      <c r="R2" s="24" t="s">
        <v>125</v>
      </c>
      <c r="S2" s="24" t="s">
        <v>179</v>
      </c>
      <c r="T2" s="24" t="s">
        <v>180</v>
      </c>
      <c r="U2" s="24" t="s">
        <v>178</v>
      </c>
      <c r="V2" s="24" t="s">
        <v>180</v>
      </c>
      <c r="W2" s="5" t="s">
        <v>181</v>
      </c>
      <c r="X2" s="5" t="s">
        <v>181</v>
      </c>
      <c r="Y2" s="5" t="s">
        <v>181</v>
      </c>
      <c r="Z2" s="7" t="s">
        <v>182</v>
      </c>
      <c r="AA2" s="7" t="s">
        <v>182</v>
      </c>
      <c r="AB2" s="7" t="s">
        <v>182</v>
      </c>
      <c r="AC2" s="9" t="s">
        <v>10</v>
      </c>
      <c r="AD2" s="9" t="s">
        <v>10</v>
      </c>
      <c r="AE2" s="24" t="s">
        <v>10</v>
      </c>
      <c r="AF2" s="32"/>
      <c r="AG2" s="32"/>
      <c r="AH2" s="32"/>
      <c r="AI2" s="32"/>
      <c r="AJ2" s="21"/>
      <c r="AK2" s="21"/>
      <c r="AL2" s="21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1:49">
      <c r="A3" s="45">
        <v>11661</v>
      </c>
      <c r="B3" s="45" t="s">
        <v>183</v>
      </c>
      <c r="C3" s="16" t="str">
        <f>Rollover!A3</f>
        <v>Acura</v>
      </c>
      <c r="D3" s="16" t="str">
        <f>Rollover!B3</f>
        <v>MDX SUV AWD</v>
      </c>
      <c r="E3" s="16" t="s">
        <v>134</v>
      </c>
      <c r="F3" s="17">
        <f>Rollover!C3</f>
        <v>2022</v>
      </c>
      <c r="G3" s="18">
        <v>106.59699999999999</v>
      </c>
      <c r="H3" s="19">
        <v>14.831</v>
      </c>
      <c r="I3" s="19">
        <v>14.744</v>
      </c>
      <c r="J3" s="19">
        <v>466.76799999999997</v>
      </c>
      <c r="K3" s="20">
        <v>1005.9930000000001</v>
      </c>
      <c r="L3" s="18">
        <v>142.44800000000001</v>
      </c>
      <c r="M3" s="19">
        <v>8.0890000000000004</v>
      </c>
      <c r="N3" s="19">
        <v>40.819000000000003</v>
      </c>
      <c r="O3" s="19">
        <v>18.484999999999999</v>
      </c>
      <c r="P3" s="20">
        <v>746.63499999999999</v>
      </c>
      <c r="Q3" s="66">
        <f t="shared" ref="Q3:Q14" si="0">NORMDIST(LN(G3),7.45231,0.73998,1)</f>
        <v>8.4530954894727707E-5</v>
      </c>
      <c r="R3" s="10">
        <f t="shared" ref="R3:R14" si="1">1/(1+EXP(5.3895-0.0919*H3))</f>
        <v>1.7523542828259398E-2</v>
      </c>
      <c r="S3" s="10">
        <f t="shared" ref="S3:S14" si="2">1/(1+EXP(6.04044-0.002133*J3))</f>
        <v>6.4013537580985443E-3</v>
      </c>
      <c r="T3" s="10">
        <f t="shared" ref="T3:T14" si="3">1/(1+EXP(7.5969-0.0011*K3))</f>
        <v>1.5157807432252381E-3</v>
      </c>
      <c r="U3" s="10">
        <f t="shared" ref="U3:U14" si="4">NORMDIST(LN(L3),7.45231,0.73998,1)</f>
        <v>3.7657816696650136E-4</v>
      </c>
      <c r="V3" s="10">
        <f t="shared" ref="V3:V14" si="5">1/(1+EXP(6.3055-0.00094*P3))</f>
        <v>3.6708182980086891E-3</v>
      </c>
      <c r="W3" s="10">
        <f t="shared" ref="W3:W14" si="6">ROUND(1-(1-Q3)*(1-R3)*(1-S3)*(1-T3),3)</f>
        <v>2.5000000000000001E-2</v>
      </c>
      <c r="X3" s="10">
        <f t="shared" ref="X3:X14" si="7">IF(L3="N/A",L3,ROUND(1-(1-U3)*(1-V3),3))</f>
        <v>4.0000000000000001E-3</v>
      </c>
      <c r="Y3" s="10">
        <f t="shared" ref="Y3:Y14" si="8">ROUND(AVERAGE(W3:X3),3)</f>
        <v>1.4999999999999999E-2</v>
      </c>
      <c r="Z3" s="23">
        <f t="shared" ref="Z3:Z14" si="9">ROUND(W3/0.15,2)</f>
        <v>0.17</v>
      </c>
      <c r="AA3" s="23">
        <f t="shared" ref="AA3:AA14" si="10">IF(L3="N/A", L3, ROUND(X3/0.15,2))</f>
        <v>0.03</v>
      </c>
      <c r="AB3" s="23">
        <f t="shared" ref="AB3:AB14" si="11">ROUND(Y3/0.15,2)</f>
        <v>0.1</v>
      </c>
      <c r="AC3" s="24">
        <f t="shared" ref="AC3:AC14" si="12">IF(Z3&lt;0.67,5,IF(Z3&lt;1,4,IF(Z3&lt;1.33,3,IF(Z3&lt;2.67,2,1))))</f>
        <v>5</v>
      </c>
      <c r="AD3" s="24">
        <f t="shared" ref="AD3:AD14" si="13">IF(L3="N/A",L3,IF(AA3&lt;0.67,5,IF(AA3&lt;1,4,IF(AA3&lt;1.33,3,IF(AA3&lt;2.67,2,1)))))</f>
        <v>5</v>
      </c>
      <c r="AE3" s="24">
        <f t="shared" ref="AE3:AE14" si="14">IF(AB3&lt;0.67,5,IF(AB3&lt;1,4,IF(AB3&lt;1.33,3,IF(AB3&lt;2.67,2,1))))</f>
        <v>5</v>
      </c>
      <c r="AF3" s="22"/>
      <c r="AG3" s="22"/>
      <c r="AH3" s="22"/>
      <c r="AI3" s="22"/>
      <c r="AJ3" s="21"/>
      <c r="AK3" s="21"/>
      <c r="AL3" s="21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</row>
    <row r="4" spans="1:49" s="39" customFormat="1">
      <c r="A4" s="45">
        <v>11661</v>
      </c>
      <c r="B4" s="45" t="s">
        <v>183</v>
      </c>
      <c r="C4" s="17" t="str">
        <f>Rollover!A4</f>
        <v>Acura</v>
      </c>
      <c r="D4" s="17" t="str">
        <f>Rollover!B4</f>
        <v>MDX SUV FWD</v>
      </c>
      <c r="E4" s="16" t="s">
        <v>134</v>
      </c>
      <c r="F4" s="17">
        <f>Rollover!C4</f>
        <v>2022</v>
      </c>
      <c r="G4" s="18">
        <v>106.59699999999999</v>
      </c>
      <c r="H4" s="19">
        <v>14.831</v>
      </c>
      <c r="I4" s="19">
        <v>14.744</v>
      </c>
      <c r="J4" s="19">
        <v>466.76799999999997</v>
      </c>
      <c r="K4" s="20">
        <v>1005.9930000000001</v>
      </c>
      <c r="L4" s="18">
        <v>142.44800000000001</v>
      </c>
      <c r="M4" s="19">
        <v>8.0890000000000004</v>
      </c>
      <c r="N4" s="19">
        <v>40.819000000000003</v>
      </c>
      <c r="O4" s="19">
        <v>18.484999999999999</v>
      </c>
      <c r="P4" s="20">
        <v>746.63499999999999</v>
      </c>
      <c r="Q4" s="66">
        <f t="shared" si="0"/>
        <v>8.4530954894727707E-5</v>
      </c>
      <c r="R4" s="10">
        <f t="shared" si="1"/>
        <v>1.7523542828259398E-2</v>
      </c>
      <c r="S4" s="10">
        <f t="shared" si="2"/>
        <v>6.4013537580985443E-3</v>
      </c>
      <c r="T4" s="10">
        <f t="shared" si="3"/>
        <v>1.5157807432252381E-3</v>
      </c>
      <c r="U4" s="10">
        <f t="shared" si="4"/>
        <v>3.7657816696650136E-4</v>
      </c>
      <c r="V4" s="10">
        <f t="shared" si="5"/>
        <v>3.6708182980086891E-3</v>
      </c>
      <c r="W4" s="10">
        <f t="shared" si="6"/>
        <v>2.5000000000000001E-2</v>
      </c>
      <c r="X4" s="10">
        <f t="shared" si="7"/>
        <v>4.0000000000000001E-3</v>
      </c>
      <c r="Y4" s="10">
        <f t="shared" si="8"/>
        <v>1.4999999999999999E-2</v>
      </c>
      <c r="Z4" s="23">
        <f t="shared" si="9"/>
        <v>0.17</v>
      </c>
      <c r="AA4" s="23">
        <f t="shared" si="10"/>
        <v>0.03</v>
      </c>
      <c r="AB4" s="23">
        <f t="shared" si="11"/>
        <v>0.1</v>
      </c>
      <c r="AC4" s="24">
        <f t="shared" si="12"/>
        <v>5</v>
      </c>
      <c r="AD4" s="24">
        <f t="shared" si="13"/>
        <v>5</v>
      </c>
      <c r="AE4" s="24">
        <f t="shared" si="14"/>
        <v>5</v>
      </c>
      <c r="AF4" s="3"/>
      <c r="AG4" s="3"/>
      <c r="AH4" s="3"/>
      <c r="AI4" s="3"/>
      <c r="AJ4" s="29"/>
      <c r="AK4" s="29"/>
      <c r="AL4" s="2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>
      <c r="A5" s="45">
        <v>14097</v>
      </c>
      <c r="B5" s="45" t="s">
        <v>184</v>
      </c>
      <c r="C5" s="17" t="str">
        <f>Rollover!A5</f>
        <v>Chevrolet</v>
      </c>
      <c r="D5" s="17" t="str">
        <f>Rollover!B5</f>
        <v>Bolt EUV SUV FWD</v>
      </c>
      <c r="E5" s="16" t="s">
        <v>185</v>
      </c>
      <c r="F5" s="17">
        <f>Rollover!C5</f>
        <v>2022</v>
      </c>
      <c r="G5" s="18">
        <v>74.981999999999999</v>
      </c>
      <c r="H5" s="19">
        <v>26.219000000000001</v>
      </c>
      <c r="I5" s="19">
        <v>30.986000000000001</v>
      </c>
      <c r="J5" s="19">
        <v>704.096</v>
      </c>
      <c r="K5" s="20">
        <v>1714.796</v>
      </c>
      <c r="L5" s="18">
        <v>221.45699999999999</v>
      </c>
      <c r="M5" s="19">
        <v>23.904</v>
      </c>
      <c r="N5" s="19">
        <v>30.731000000000002</v>
      </c>
      <c r="O5" s="19">
        <v>25.948</v>
      </c>
      <c r="P5" s="20">
        <v>1895.425</v>
      </c>
      <c r="Q5" s="66">
        <f t="shared" si="0"/>
        <v>1.1342218421347257E-5</v>
      </c>
      <c r="R5" s="10">
        <f t="shared" si="1"/>
        <v>4.8338829362830633E-2</v>
      </c>
      <c r="S5" s="10">
        <f t="shared" si="2"/>
        <v>1.0575293070916442E-2</v>
      </c>
      <c r="T5" s="10">
        <f t="shared" si="3"/>
        <v>3.2996808187753385E-3</v>
      </c>
      <c r="U5" s="10">
        <f t="shared" si="4"/>
        <v>2.7757567755209707E-3</v>
      </c>
      <c r="V5" s="10">
        <f t="shared" si="5"/>
        <v>1.0731308263118829E-2</v>
      </c>
      <c r="W5" s="10">
        <f t="shared" si="6"/>
        <v>6.2E-2</v>
      </c>
      <c r="X5" s="10">
        <f t="shared" si="7"/>
        <v>1.2999999999999999E-2</v>
      </c>
      <c r="Y5" s="10">
        <f t="shared" si="8"/>
        <v>3.7999999999999999E-2</v>
      </c>
      <c r="Z5" s="23">
        <f t="shared" si="9"/>
        <v>0.41</v>
      </c>
      <c r="AA5" s="23">
        <f t="shared" si="10"/>
        <v>0.09</v>
      </c>
      <c r="AB5" s="23">
        <f t="shared" si="11"/>
        <v>0.25</v>
      </c>
      <c r="AC5" s="24">
        <f t="shared" si="12"/>
        <v>5</v>
      </c>
      <c r="AD5" s="24">
        <f t="shared" si="13"/>
        <v>5</v>
      </c>
      <c r="AE5" s="24">
        <f t="shared" si="14"/>
        <v>5</v>
      </c>
      <c r="AF5" s="22"/>
      <c r="AG5" s="22"/>
      <c r="AH5" s="22"/>
      <c r="AI5" s="22"/>
      <c r="AJ5" s="21"/>
      <c r="AK5" s="21"/>
      <c r="AL5" s="21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</row>
    <row r="6" spans="1:49">
      <c r="A6" s="45">
        <v>14211</v>
      </c>
      <c r="B6" s="45" t="s">
        <v>186</v>
      </c>
      <c r="C6" s="17" t="str">
        <f>Rollover!A6</f>
        <v>Chevrolet</v>
      </c>
      <c r="D6" s="17" t="str">
        <f>Rollover!B6</f>
        <v>Bolt EV 5HB FWD</v>
      </c>
      <c r="E6" s="16" t="s">
        <v>187</v>
      </c>
      <c r="F6" s="17">
        <f>Rollover!C6</f>
        <v>2022</v>
      </c>
      <c r="G6" s="18">
        <v>76.28</v>
      </c>
      <c r="H6" s="19">
        <v>23.370999999999999</v>
      </c>
      <c r="I6" s="19">
        <v>28.23</v>
      </c>
      <c r="J6" s="19">
        <v>806.69500000000005</v>
      </c>
      <c r="K6" s="20">
        <v>1350.0239999999999</v>
      </c>
      <c r="L6" s="18">
        <v>157.477</v>
      </c>
      <c r="M6" s="19">
        <v>19.407</v>
      </c>
      <c r="N6" s="19">
        <v>65.802000000000007</v>
      </c>
      <c r="O6" s="19">
        <v>18.895</v>
      </c>
      <c r="P6" s="20">
        <v>3957.1289999999999</v>
      </c>
      <c r="Q6" s="66">
        <f t="shared" si="0"/>
        <v>1.2572669351881448E-5</v>
      </c>
      <c r="R6" s="10">
        <f t="shared" si="1"/>
        <v>3.7626099495585708E-2</v>
      </c>
      <c r="S6" s="10">
        <f t="shared" si="2"/>
        <v>1.3128433066923061E-2</v>
      </c>
      <c r="T6" s="10">
        <f t="shared" si="3"/>
        <v>2.2114927439711636E-3</v>
      </c>
      <c r="U6" s="10">
        <f t="shared" si="4"/>
        <v>6.1053426285871031E-4</v>
      </c>
      <c r="V6" s="10">
        <f t="shared" si="5"/>
        <v>7.0058000534813328E-2</v>
      </c>
      <c r="W6" s="10">
        <f t="shared" si="6"/>
        <v>5.1999999999999998E-2</v>
      </c>
      <c r="X6" s="10">
        <f t="shared" si="7"/>
        <v>7.0999999999999994E-2</v>
      </c>
      <c r="Y6" s="10">
        <f t="shared" si="8"/>
        <v>6.2E-2</v>
      </c>
      <c r="Z6" s="23">
        <f t="shared" si="9"/>
        <v>0.35</v>
      </c>
      <c r="AA6" s="23">
        <f t="shared" si="10"/>
        <v>0.47</v>
      </c>
      <c r="AB6" s="23">
        <f t="shared" si="11"/>
        <v>0.41</v>
      </c>
      <c r="AC6" s="24">
        <f t="shared" si="12"/>
        <v>5</v>
      </c>
      <c r="AD6" s="24">
        <f t="shared" si="13"/>
        <v>5</v>
      </c>
      <c r="AE6" s="24">
        <f t="shared" si="14"/>
        <v>5</v>
      </c>
      <c r="AF6" s="22"/>
      <c r="AG6" s="22"/>
      <c r="AH6" s="22"/>
      <c r="AI6" s="22"/>
      <c r="AJ6" s="21"/>
      <c r="AK6" s="21"/>
      <c r="AL6" s="21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</row>
    <row r="7" spans="1:49">
      <c r="A7" s="41">
        <v>10700</v>
      </c>
      <c r="B7" s="67" t="s">
        <v>188</v>
      </c>
      <c r="C7" s="17" t="str">
        <f>Rollover!A7</f>
        <v>Chevrolet</v>
      </c>
      <c r="D7" s="17" t="str">
        <f>Rollover!B7</f>
        <v>Silverado 1500 PU/CC 2WD</v>
      </c>
      <c r="E7" s="16" t="s">
        <v>134</v>
      </c>
      <c r="F7" s="17">
        <f>Rollover!C7</f>
        <v>2022</v>
      </c>
      <c r="G7" s="26">
        <v>74.131</v>
      </c>
      <c r="H7" s="27">
        <v>17.524000000000001</v>
      </c>
      <c r="I7" s="27">
        <v>20.529</v>
      </c>
      <c r="J7" s="27">
        <v>486.45</v>
      </c>
      <c r="K7" s="28">
        <v>839.65099999999995</v>
      </c>
      <c r="L7" s="26">
        <v>72.497</v>
      </c>
      <c r="M7" s="27">
        <v>24.978999999999999</v>
      </c>
      <c r="N7" s="27">
        <v>29.516999999999999</v>
      </c>
      <c r="O7" s="27">
        <v>27.436</v>
      </c>
      <c r="P7" s="28">
        <v>1197.683</v>
      </c>
      <c r="Q7" s="66">
        <f t="shared" si="0"/>
        <v>1.0588299614271538E-5</v>
      </c>
      <c r="R7" s="10">
        <f t="shared" si="1"/>
        <v>2.2334295156714225E-2</v>
      </c>
      <c r="S7" s="10">
        <f t="shared" si="2"/>
        <v>6.6739826170842806E-3</v>
      </c>
      <c r="T7" s="10">
        <f t="shared" si="3"/>
        <v>1.2626440026564376E-3</v>
      </c>
      <c r="U7" s="10">
        <f t="shared" si="4"/>
        <v>9.2514642528775539E-6</v>
      </c>
      <c r="V7" s="10">
        <f t="shared" si="5"/>
        <v>5.598301611875663E-3</v>
      </c>
      <c r="W7" s="10">
        <f t="shared" si="6"/>
        <v>0.03</v>
      </c>
      <c r="X7" s="10">
        <f t="shared" si="7"/>
        <v>6.0000000000000001E-3</v>
      </c>
      <c r="Y7" s="10">
        <f t="shared" si="8"/>
        <v>1.7999999999999999E-2</v>
      </c>
      <c r="Z7" s="23">
        <f t="shared" si="9"/>
        <v>0.2</v>
      </c>
      <c r="AA7" s="23">
        <f t="shared" si="10"/>
        <v>0.04</v>
      </c>
      <c r="AB7" s="23">
        <f t="shared" si="11"/>
        <v>0.12</v>
      </c>
      <c r="AC7" s="24">
        <f t="shared" si="12"/>
        <v>5</v>
      </c>
      <c r="AD7" s="24">
        <f t="shared" si="13"/>
        <v>5</v>
      </c>
      <c r="AE7" s="24">
        <f t="shared" si="14"/>
        <v>5</v>
      </c>
      <c r="AF7" s="22"/>
      <c r="AG7" s="22"/>
      <c r="AH7" s="22"/>
      <c r="AI7" s="22"/>
      <c r="AJ7" s="21"/>
      <c r="AK7" s="21"/>
      <c r="AL7" s="21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</row>
    <row r="8" spans="1:49">
      <c r="A8" s="41">
        <v>10700</v>
      </c>
      <c r="B8" s="67" t="s">
        <v>188</v>
      </c>
      <c r="C8" s="17" t="str">
        <f>Rollover!A8</f>
        <v>Chevrolet</v>
      </c>
      <c r="D8" s="17" t="str">
        <f>Rollover!B8</f>
        <v>Silverado 1500 PU/CC 4WD</v>
      </c>
      <c r="E8" s="16" t="s">
        <v>134</v>
      </c>
      <c r="F8" s="17">
        <f>Rollover!C8</f>
        <v>2022</v>
      </c>
      <c r="G8" s="26">
        <v>74.131</v>
      </c>
      <c r="H8" s="27">
        <v>17.524000000000001</v>
      </c>
      <c r="I8" s="27">
        <v>20.529</v>
      </c>
      <c r="J8" s="27">
        <v>486.45</v>
      </c>
      <c r="K8" s="28">
        <v>839.65099999999995</v>
      </c>
      <c r="L8" s="26">
        <v>72.497</v>
      </c>
      <c r="M8" s="27">
        <v>24.978999999999999</v>
      </c>
      <c r="N8" s="27">
        <v>29.516999999999999</v>
      </c>
      <c r="O8" s="27">
        <v>27.436</v>
      </c>
      <c r="P8" s="28">
        <v>1197.683</v>
      </c>
      <c r="Q8" s="66">
        <f t="shared" si="0"/>
        <v>1.0588299614271538E-5</v>
      </c>
      <c r="R8" s="10">
        <f t="shared" si="1"/>
        <v>2.2334295156714225E-2</v>
      </c>
      <c r="S8" s="10">
        <f t="shared" si="2"/>
        <v>6.6739826170842806E-3</v>
      </c>
      <c r="T8" s="10">
        <f t="shared" si="3"/>
        <v>1.2626440026564376E-3</v>
      </c>
      <c r="U8" s="10">
        <f t="shared" si="4"/>
        <v>9.2514642528775539E-6</v>
      </c>
      <c r="V8" s="10">
        <f t="shared" si="5"/>
        <v>5.598301611875663E-3</v>
      </c>
      <c r="W8" s="10">
        <f t="shared" si="6"/>
        <v>0.03</v>
      </c>
      <c r="X8" s="10">
        <f t="shared" si="7"/>
        <v>6.0000000000000001E-3</v>
      </c>
      <c r="Y8" s="10">
        <f t="shared" si="8"/>
        <v>1.7999999999999999E-2</v>
      </c>
      <c r="Z8" s="23">
        <f t="shared" si="9"/>
        <v>0.2</v>
      </c>
      <c r="AA8" s="23">
        <f t="shared" si="10"/>
        <v>0.04</v>
      </c>
      <c r="AB8" s="23">
        <f t="shared" si="11"/>
        <v>0.12</v>
      </c>
      <c r="AC8" s="24">
        <f t="shared" si="12"/>
        <v>5</v>
      </c>
      <c r="AD8" s="24">
        <f t="shared" si="13"/>
        <v>5</v>
      </c>
      <c r="AE8" s="24">
        <f t="shared" si="14"/>
        <v>5</v>
      </c>
      <c r="AF8" s="22"/>
      <c r="AG8" s="22"/>
      <c r="AH8" s="22"/>
      <c r="AI8" s="22"/>
      <c r="AJ8" s="21"/>
      <c r="AK8" s="21"/>
      <c r="AL8" s="21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>
      <c r="A9" s="41">
        <v>10700</v>
      </c>
      <c r="B9" s="67" t="s">
        <v>188</v>
      </c>
      <c r="C9" s="17" t="str">
        <f>Rollover!A9</f>
        <v>GMC</v>
      </c>
      <c r="D9" s="17" t="str">
        <f>Rollover!B9</f>
        <v>Sierra 1500 PU/CC 2WD</v>
      </c>
      <c r="E9" s="16" t="s">
        <v>134</v>
      </c>
      <c r="F9" s="17">
        <f>Rollover!C9</f>
        <v>2022</v>
      </c>
      <c r="G9" s="26">
        <v>74.131</v>
      </c>
      <c r="H9" s="27">
        <v>17.524000000000001</v>
      </c>
      <c r="I9" s="27">
        <v>20.529</v>
      </c>
      <c r="J9" s="27">
        <v>486.45</v>
      </c>
      <c r="K9" s="28">
        <v>839.65099999999995</v>
      </c>
      <c r="L9" s="26">
        <v>72.497</v>
      </c>
      <c r="M9" s="27">
        <v>24.978999999999999</v>
      </c>
      <c r="N9" s="27">
        <v>29.516999999999999</v>
      </c>
      <c r="O9" s="27">
        <v>27.436</v>
      </c>
      <c r="P9" s="28">
        <v>1197.683</v>
      </c>
      <c r="Q9" s="66">
        <f t="shared" si="0"/>
        <v>1.0588299614271538E-5</v>
      </c>
      <c r="R9" s="10">
        <f t="shared" si="1"/>
        <v>2.2334295156714225E-2</v>
      </c>
      <c r="S9" s="10">
        <f t="shared" si="2"/>
        <v>6.6739826170842806E-3</v>
      </c>
      <c r="T9" s="10">
        <f t="shared" si="3"/>
        <v>1.2626440026564376E-3</v>
      </c>
      <c r="U9" s="10">
        <f t="shared" si="4"/>
        <v>9.2514642528775539E-6</v>
      </c>
      <c r="V9" s="10">
        <f t="shared" si="5"/>
        <v>5.598301611875663E-3</v>
      </c>
      <c r="W9" s="10">
        <f t="shared" si="6"/>
        <v>0.03</v>
      </c>
      <c r="X9" s="10">
        <f t="shared" si="7"/>
        <v>6.0000000000000001E-3</v>
      </c>
      <c r="Y9" s="10">
        <f t="shared" si="8"/>
        <v>1.7999999999999999E-2</v>
      </c>
      <c r="Z9" s="23">
        <f t="shared" si="9"/>
        <v>0.2</v>
      </c>
      <c r="AA9" s="23">
        <f t="shared" si="10"/>
        <v>0.04</v>
      </c>
      <c r="AB9" s="23">
        <f t="shared" si="11"/>
        <v>0.12</v>
      </c>
      <c r="AC9" s="24">
        <f t="shared" si="12"/>
        <v>5</v>
      </c>
      <c r="AD9" s="24">
        <f t="shared" si="13"/>
        <v>5</v>
      </c>
      <c r="AE9" s="24">
        <f t="shared" si="14"/>
        <v>5</v>
      </c>
      <c r="AF9" s="22"/>
      <c r="AG9" s="22"/>
      <c r="AH9" s="22"/>
      <c r="AI9" s="22"/>
      <c r="AJ9" s="21"/>
      <c r="AK9" s="21"/>
      <c r="AL9" s="21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>
      <c r="A10" s="41">
        <v>10700</v>
      </c>
      <c r="B10" s="67" t="s">
        <v>188</v>
      </c>
      <c r="C10" s="17" t="str">
        <f>Rollover!A10</f>
        <v>GMC</v>
      </c>
      <c r="D10" s="17" t="str">
        <f>Rollover!B10</f>
        <v>Sierra 1500 PU/CC 4WD</v>
      </c>
      <c r="E10" s="16" t="s">
        <v>134</v>
      </c>
      <c r="F10" s="17">
        <f>Rollover!C10</f>
        <v>2022</v>
      </c>
      <c r="G10" s="26">
        <v>74.131</v>
      </c>
      <c r="H10" s="27">
        <v>17.524000000000001</v>
      </c>
      <c r="I10" s="27">
        <v>20.529</v>
      </c>
      <c r="J10" s="27">
        <v>486.45</v>
      </c>
      <c r="K10" s="28">
        <v>839.65099999999995</v>
      </c>
      <c r="L10" s="26">
        <v>72.497</v>
      </c>
      <c r="M10" s="27">
        <v>24.978999999999999</v>
      </c>
      <c r="N10" s="27">
        <v>29.516999999999999</v>
      </c>
      <c r="O10" s="27">
        <v>27.436</v>
      </c>
      <c r="P10" s="28">
        <v>1197.683</v>
      </c>
      <c r="Q10" s="66">
        <f t="shared" si="0"/>
        <v>1.0588299614271538E-5</v>
      </c>
      <c r="R10" s="10">
        <f t="shared" si="1"/>
        <v>2.2334295156714225E-2</v>
      </c>
      <c r="S10" s="10">
        <f t="shared" si="2"/>
        <v>6.6739826170842806E-3</v>
      </c>
      <c r="T10" s="10">
        <f t="shared" si="3"/>
        <v>1.2626440026564376E-3</v>
      </c>
      <c r="U10" s="10">
        <f t="shared" si="4"/>
        <v>9.2514642528775539E-6</v>
      </c>
      <c r="V10" s="10">
        <f t="shared" si="5"/>
        <v>5.598301611875663E-3</v>
      </c>
      <c r="W10" s="10">
        <f t="shared" si="6"/>
        <v>0.03</v>
      </c>
      <c r="X10" s="10">
        <f t="shared" si="7"/>
        <v>6.0000000000000001E-3</v>
      </c>
      <c r="Y10" s="10">
        <f t="shared" si="8"/>
        <v>1.7999999999999999E-2</v>
      </c>
      <c r="Z10" s="23">
        <f t="shared" si="9"/>
        <v>0.2</v>
      </c>
      <c r="AA10" s="23">
        <f t="shared" si="10"/>
        <v>0.04</v>
      </c>
      <c r="AB10" s="23">
        <f t="shared" si="11"/>
        <v>0.12</v>
      </c>
      <c r="AC10" s="24">
        <f t="shared" si="12"/>
        <v>5</v>
      </c>
      <c r="AD10" s="24">
        <f t="shared" si="13"/>
        <v>5</v>
      </c>
      <c r="AE10" s="24">
        <f t="shared" si="14"/>
        <v>5</v>
      </c>
      <c r="AF10" s="22"/>
      <c r="AG10" s="22"/>
      <c r="AH10" s="22"/>
      <c r="AI10" s="22"/>
      <c r="AJ10" s="21"/>
      <c r="AK10" s="21"/>
      <c r="AL10" s="21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>
      <c r="A11" s="45">
        <v>14259</v>
      </c>
      <c r="B11" s="45" t="s">
        <v>189</v>
      </c>
      <c r="C11" s="17" t="str">
        <f>Rollover!A11</f>
        <v>Chevrolet</v>
      </c>
      <c r="D11" s="17" t="str">
        <f>Rollover!B11</f>
        <v>Traverse SUV AWD</v>
      </c>
      <c r="E11" s="16" t="s">
        <v>140</v>
      </c>
      <c r="F11" s="17">
        <f>Rollover!C11</f>
        <v>2022</v>
      </c>
      <c r="G11" s="18">
        <v>134.768</v>
      </c>
      <c r="H11" s="19">
        <v>23.940999999999999</v>
      </c>
      <c r="I11" s="19">
        <v>25.225000000000001</v>
      </c>
      <c r="J11" s="19">
        <v>802.21799999999996</v>
      </c>
      <c r="K11" s="20">
        <v>1006.177</v>
      </c>
      <c r="L11" s="18">
        <v>228.642</v>
      </c>
      <c r="M11" s="19">
        <v>10.397</v>
      </c>
      <c r="N11" s="19">
        <v>52.581000000000003</v>
      </c>
      <c r="O11" s="19">
        <v>28.780999999999999</v>
      </c>
      <c r="P11" s="20">
        <v>4346.0379999999996</v>
      </c>
      <c r="Q11" s="66">
        <f t="shared" si="0"/>
        <v>2.8620977776357934E-4</v>
      </c>
      <c r="R11" s="10">
        <f t="shared" si="1"/>
        <v>3.9569534277940251E-2</v>
      </c>
      <c r="S11" s="10">
        <f t="shared" si="2"/>
        <v>1.3005283273544825E-2</v>
      </c>
      <c r="T11" s="10">
        <f t="shared" si="3"/>
        <v>1.516087103123782E-3</v>
      </c>
      <c r="U11" s="10">
        <f t="shared" si="4"/>
        <v>3.1666236128345265E-3</v>
      </c>
      <c r="V11" s="10">
        <f t="shared" si="5"/>
        <v>9.7948986255163642E-2</v>
      </c>
      <c r="W11" s="10">
        <f t="shared" si="6"/>
        <v>5.3999999999999999E-2</v>
      </c>
      <c r="X11" s="10">
        <f t="shared" si="7"/>
        <v>0.10100000000000001</v>
      </c>
      <c r="Y11" s="10">
        <f t="shared" si="8"/>
        <v>7.8E-2</v>
      </c>
      <c r="Z11" s="23">
        <f t="shared" si="9"/>
        <v>0.36</v>
      </c>
      <c r="AA11" s="23">
        <f t="shared" si="10"/>
        <v>0.67</v>
      </c>
      <c r="AB11" s="23">
        <f t="shared" si="11"/>
        <v>0.52</v>
      </c>
      <c r="AC11" s="24">
        <f t="shared" si="12"/>
        <v>5</v>
      </c>
      <c r="AD11" s="24">
        <f t="shared" si="13"/>
        <v>4</v>
      </c>
      <c r="AE11" s="24">
        <f t="shared" si="14"/>
        <v>5</v>
      </c>
      <c r="AF11" s="22"/>
      <c r="AG11" s="22"/>
      <c r="AH11" s="22"/>
      <c r="AI11" s="22"/>
      <c r="AJ11" s="21"/>
      <c r="AK11" s="21"/>
      <c r="AL11" s="21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ht="13.5" customHeight="1">
      <c r="A12" s="45">
        <v>14259</v>
      </c>
      <c r="B12" s="45" t="s">
        <v>189</v>
      </c>
      <c r="C12" s="17" t="str">
        <f>Rollover!A12</f>
        <v>Chevrolet</v>
      </c>
      <c r="D12" s="17" t="str">
        <f>Rollover!B12</f>
        <v>Traverse SUV FWD</v>
      </c>
      <c r="E12" s="16" t="s">
        <v>140</v>
      </c>
      <c r="F12" s="17">
        <f>Rollover!C12</f>
        <v>2022</v>
      </c>
      <c r="G12" s="18">
        <v>134.768</v>
      </c>
      <c r="H12" s="19">
        <v>23.940999999999999</v>
      </c>
      <c r="I12" s="19">
        <v>25.225000000000001</v>
      </c>
      <c r="J12" s="19">
        <v>802.21799999999996</v>
      </c>
      <c r="K12" s="20">
        <v>1006.177</v>
      </c>
      <c r="L12" s="18">
        <v>228.642</v>
      </c>
      <c r="M12" s="19">
        <v>10.397</v>
      </c>
      <c r="N12" s="19">
        <v>52.581000000000003</v>
      </c>
      <c r="O12" s="19">
        <v>28.780999999999999</v>
      </c>
      <c r="P12" s="20">
        <v>4346.0379999999996</v>
      </c>
      <c r="Q12" s="66">
        <f t="shared" si="0"/>
        <v>2.8620977776357934E-4</v>
      </c>
      <c r="R12" s="10">
        <f t="shared" si="1"/>
        <v>3.9569534277940251E-2</v>
      </c>
      <c r="S12" s="10">
        <f t="shared" si="2"/>
        <v>1.3005283273544825E-2</v>
      </c>
      <c r="T12" s="10">
        <f t="shared" si="3"/>
        <v>1.516087103123782E-3</v>
      </c>
      <c r="U12" s="10">
        <f t="shared" si="4"/>
        <v>3.1666236128345265E-3</v>
      </c>
      <c r="V12" s="10">
        <f t="shared" si="5"/>
        <v>9.7948986255163642E-2</v>
      </c>
      <c r="W12" s="10">
        <f t="shared" si="6"/>
        <v>5.3999999999999999E-2</v>
      </c>
      <c r="X12" s="10">
        <f t="shared" si="7"/>
        <v>0.10100000000000001</v>
      </c>
      <c r="Y12" s="10">
        <f t="shared" si="8"/>
        <v>7.8E-2</v>
      </c>
      <c r="Z12" s="23">
        <f t="shared" si="9"/>
        <v>0.36</v>
      </c>
      <c r="AA12" s="23">
        <f t="shared" si="10"/>
        <v>0.67</v>
      </c>
      <c r="AB12" s="23">
        <f t="shared" si="11"/>
        <v>0.52</v>
      </c>
      <c r="AC12" s="24">
        <f t="shared" si="12"/>
        <v>5</v>
      </c>
      <c r="AD12" s="24">
        <f t="shared" si="13"/>
        <v>4</v>
      </c>
      <c r="AE12" s="24">
        <f t="shared" si="14"/>
        <v>5</v>
      </c>
      <c r="AF12" s="22"/>
      <c r="AG12" s="22"/>
      <c r="AH12" s="22"/>
      <c r="AI12" s="22"/>
      <c r="AJ12" s="21"/>
      <c r="AK12" s="21"/>
      <c r="AL12" s="21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</row>
    <row r="13" spans="1:49">
      <c r="A13" s="45">
        <v>14259</v>
      </c>
      <c r="B13" s="45" t="s">
        <v>189</v>
      </c>
      <c r="C13" s="16" t="str">
        <f>Rollover!A13</f>
        <v>Buick</v>
      </c>
      <c r="D13" s="16" t="str">
        <f>Rollover!B13</f>
        <v>Enclave SUV AWD</v>
      </c>
      <c r="E13" s="16" t="s">
        <v>140</v>
      </c>
      <c r="F13" s="17">
        <f>Rollover!C13</f>
        <v>2022</v>
      </c>
      <c r="G13" s="18">
        <v>134.768</v>
      </c>
      <c r="H13" s="19">
        <v>23.940999999999999</v>
      </c>
      <c r="I13" s="19">
        <v>25.225000000000001</v>
      </c>
      <c r="J13" s="19">
        <v>802.21799999999996</v>
      </c>
      <c r="K13" s="20">
        <v>1006.177</v>
      </c>
      <c r="L13" s="18">
        <v>228.642</v>
      </c>
      <c r="M13" s="19">
        <v>10.397</v>
      </c>
      <c r="N13" s="19">
        <v>52.581000000000003</v>
      </c>
      <c r="O13" s="19">
        <v>28.780999999999999</v>
      </c>
      <c r="P13" s="20">
        <v>4346.0379999999996</v>
      </c>
      <c r="Q13" s="66">
        <f t="shared" si="0"/>
        <v>2.8620977776357934E-4</v>
      </c>
      <c r="R13" s="10">
        <f t="shared" si="1"/>
        <v>3.9569534277940251E-2</v>
      </c>
      <c r="S13" s="10">
        <f t="shared" si="2"/>
        <v>1.3005283273544825E-2</v>
      </c>
      <c r="T13" s="10">
        <f t="shared" si="3"/>
        <v>1.516087103123782E-3</v>
      </c>
      <c r="U13" s="10">
        <f t="shared" si="4"/>
        <v>3.1666236128345265E-3</v>
      </c>
      <c r="V13" s="10">
        <f t="shared" si="5"/>
        <v>9.7948986255163642E-2</v>
      </c>
      <c r="W13" s="10">
        <f t="shared" si="6"/>
        <v>5.3999999999999999E-2</v>
      </c>
      <c r="X13" s="10">
        <f t="shared" si="7"/>
        <v>0.10100000000000001</v>
      </c>
      <c r="Y13" s="10">
        <f t="shared" si="8"/>
        <v>7.8E-2</v>
      </c>
      <c r="Z13" s="23">
        <f t="shared" si="9"/>
        <v>0.36</v>
      </c>
      <c r="AA13" s="23">
        <f t="shared" si="10"/>
        <v>0.67</v>
      </c>
      <c r="AB13" s="23">
        <f t="shared" si="11"/>
        <v>0.52</v>
      </c>
      <c r="AC13" s="24">
        <f t="shared" si="12"/>
        <v>5</v>
      </c>
      <c r="AD13" s="24">
        <f t="shared" si="13"/>
        <v>4</v>
      </c>
      <c r="AE13" s="24">
        <f t="shared" si="14"/>
        <v>5</v>
      </c>
      <c r="AF13" s="22"/>
      <c r="AG13" s="22"/>
      <c r="AH13" s="22"/>
      <c r="AI13" s="22"/>
      <c r="AJ13" s="21"/>
      <c r="AK13" s="21"/>
      <c r="AL13" s="21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</row>
    <row r="14" spans="1:49">
      <c r="A14" s="45">
        <v>14259</v>
      </c>
      <c r="B14" s="45" t="s">
        <v>189</v>
      </c>
      <c r="C14" s="16" t="str">
        <f>Rollover!A14</f>
        <v>Buick</v>
      </c>
      <c r="D14" s="16" t="str">
        <f>Rollover!B14</f>
        <v>Enclave SUV FWD</v>
      </c>
      <c r="E14" s="16" t="s">
        <v>140</v>
      </c>
      <c r="F14" s="17">
        <f>Rollover!C14</f>
        <v>2022</v>
      </c>
      <c r="G14" s="18">
        <v>134.768</v>
      </c>
      <c r="H14" s="19">
        <v>23.940999999999999</v>
      </c>
      <c r="I14" s="19">
        <v>25.225000000000001</v>
      </c>
      <c r="J14" s="19">
        <v>802.21799999999996</v>
      </c>
      <c r="K14" s="20">
        <v>1006.177</v>
      </c>
      <c r="L14" s="18">
        <v>228.642</v>
      </c>
      <c r="M14" s="19">
        <v>10.397</v>
      </c>
      <c r="N14" s="19">
        <v>52.581000000000003</v>
      </c>
      <c r="O14" s="19">
        <v>28.780999999999999</v>
      </c>
      <c r="P14" s="20">
        <v>4346.0379999999996</v>
      </c>
      <c r="Q14" s="66">
        <f t="shared" si="0"/>
        <v>2.8620977776357934E-4</v>
      </c>
      <c r="R14" s="10">
        <f t="shared" si="1"/>
        <v>3.9569534277940251E-2</v>
      </c>
      <c r="S14" s="10">
        <f t="shared" si="2"/>
        <v>1.3005283273544825E-2</v>
      </c>
      <c r="T14" s="10">
        <f t="shared" si="3"/>
        <v>1.516087103123782E-3</v>
      </c>
      <c r="U14" s="10">
        <f t="shared" si="4"/>
        <v>3.1666236128345265E-3</v>
      </c>
      <c r="V14" s="10">
        <f t="shared" si="5"/>
        <v>9.7948986255163642E-2</v>
      </c>
      <c r="W14" s="10">
        <f t="shared" si="6"/>
        <v>5.3999999999999999E-2</v>
      </c>
      <c r="X14" s="10">
        <f t="shared" si="7"/>
        <v>0.10100000000000001</v>
      </c>
      <c r="Y14" s="10">
        <f t="shared" si="8"/>
        <v>7.8E-2</v>
      </c>
      <c r="Z14" s="23">
        <f t="shared" si="9"/>
        <v>0.36</v>
      </c>
      <c r="AA14" s="23">
        <f t="shared" si="10"/>
        <v>0.67</v>
      </c>
      <c r="AB14" s="23">
        <f t="shared" si="11"/>
        <v>0.52</v>
      </c>
      <c r="AC14" s="24">
        <f t="shared" si="12"/>
        <v>5</v>
      </c>
      <c r="AD14" s="24">
        <f t="shared" si="13"/>
        <v>4</v>
      </c>
      <c r="AE14" s="24">
        <f t="shared" si="14"/>
        <v>5</v>
      </c>
      <c r="AF14" s="22"/>
      <c r="AG14" s="22"/>
      <c r="AH14" s="22"/>
      <c r="AI14" s="22"/>
      <c r="AJ14" s="21"/>
      <c r="AK14" s="21"/>
      <c r="AL14" s="21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</row>
    <row r="15" spans="1:49">
      <c r="A15" s="45"/>
      <c r="B15" s="45"/>
      <c r="C15" s="17" t="str">
        <f>Rollover!A15</f>
        <v>Ford</v>
      </c>
      <c r="D15" s="17" t="str">
        <f>Rollover!B15</f>
        <v>Bronco 4 DR SUV 4WD</v>
      </c>
      <c r="E15" s="16"/>
      <c r="F15" s="17">
        <f>Rollover!C15</f>
        <v>2022</v>
      </c>
      <c r="G15" s="18"/>
      <c r="H15" s="19"/>
      <c r="I15" s="19"/>
      <c r="J15" s="19"/>
      <c r="K15" s="20"/>
      <c r="L15" s="18"/>
      <c r="M15" s="19"/>
      <c r="N15" s="19"/>
      <c r="O15" s="19"/>
      <c r="P15" s="20"/>
      <c r="Q15" s="66" t="e">
        <f t="shared" ref="Q15:Q48" si="15">NORMDIST(LN(G15),7.45231,0.73998,1)</f>
        <v>#NUM!</v>
      </c>
      <c r="R15" s="10">
        <f t="shared" ref="R15:R48" si="16">1/(1+EXP(5.3895-0.0919*H15))</f>
        <v>4.5435171224880964E-3</v>
      </c>
      <c r="S15" s="10">
        <f t="shared" ref="S15:S48" si="17">1/(1+EXP(6.04044-0.002133*J15))</f>
        <v>2.3748578822706131E-3</v>
      </c>
      <c r="T15" s="10">
        <f t="shared" ref="T15:T48" si="18">1/(1+EXP(7.5969-0.0011*K15))</f>
        <v>5.0175335722563109E-4</v>
      </c>
      <c r="U15" s="10" t="e">
        <f t="shared" ref="U15:U48" si="19">NORMDIST(LN(L15),7.45231,0.73998,1)</f>
        <v>#NUM!</v>
      </c>
      <c r="V15" s="10">
        <f t="shared" ref="V15:V48" si="20">1/(1+EXP(6.3055-0.00094*P15))</f>
        <v>1.8229037773026034E-3</v>
      </c>
      <c r="W15" s="10" t="e">
        <f t="shared" ref="W15:W48" si="21">ROUND(1-(1-Q15)*(1-R15)*(1-S15)*(1-T15),3)</f>
        <v>#NUM!</v>
      </c>
      <c r="X15" s="10" t="e">
        <f t="shared" ref="X15:X48" si="22">IF(L15="N/A",L15,ROUND(1-(1-U15)*(1-V15),3))</f>
        <v>#NUM!</v>
      </c>
      <c r="Y15" s="10" t="e">
        <f t="shared" ref="Y15:Y48" si="23">ROUND(AVERAGE(W15:X15),3)</f>
        <v>#NUM!</v>
      </c>
      <c r="Z15" s="23" t="e">
        <f t="shared" ref="Z15:Z48" si="24">ROUND(W15/0.15,2)</f>
        <v>#NUM!</v>
      </c>
      <c r="AA15" s="23" t="e">
        <f t="shared" ref="AA15:AA48" si="25">IF(L15="N/A", L15, ROUND(X15/0.15,2))</f>
        <v>#NUM!</v>
      </c>
      <c r="AB15" s="23" t="e">
        <f t="shared" ref="AB15:AB48" si="26">ROUND(Y15/0.15,2)</f>
        <v>#NUM!</v>
      </c>
      <c r="AC15" s="24" t="e">
        <f t="shared" ref="AC15:AC48" si="27">IF(Z15&lt;0.67,5,IF(Z15&lt;1,4,IF(Z15&lt;1.33,3,IF(Z15&lt;2.67,2,1))))</f>
        <v>#NUM!</v>
      </c>
      <c r="AD15" s="24" t="e">
        <f t="shared" ref="AD15:AD48" si="28">IF(L15="N/A",L15,IF(AA15&lt;0.67,5,IF(AA15&lt;1,4,IF(AA15&lt;1.33,3,IF(AA15&lt;2.67,2,1)))))</f>
        <v>#NUM!</v>
      </c>
      <c r="AE15" s="24" t="e">
        <f t="shared" ref="AE15:AE48" si="29">IF(AB15&lt;0.67,5,IF(AB15&lt;1,4,IF(AB15&lt;1.33,3,IF(AB15&lt;2.67,2,1))))</f>
        <v>#NUM!</v>
      </c>
      <c r="AF15" s="22"/>
      <c r="AG15" s="22"/>
      <c r="AH15" s="22"/>
      <c r="AI15" s="22"/>
      <c r="AJ15" s="21"/>
      <c r="AK15" s="21"/>
      <c r="AL15" s="21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</row>
    <row r="16" spans="1:49">
      <c r="A16" s="45">
        <v>14066</v>
      </c>
      <c r="B16" s="45" t="s">
        <v>190</v>
      </c>
      <c r="C16" s="17" t="str">
        <f>Rollover!A16</f>
        <v>Ford</v>
      </c>
      <c r="D16" s="17" t="str">
        <f>Rollover!B16</f>
        <v>Escape PHEV SUV FWD</v>
      </c>
      <c r="E16" s="15" t="s">
        <v>134</v>
      </c>
      <c r="F16" s="17">
        <f>Rollover!C16</f>
        <v>2022</v>
      </c>
      <c r="G16" s="18">
        <v>173.75800000000001</v>
      </c>
      <c r="H16" s="19">
        <v>18.585999999999999</v>
      </c>
      <c r="I16" s="19">
        <v>21.504999999999999</v>
      </c>
      <c r="J16" s="19">
        <v>700.41399999999999</v>
      </c>
      <c r="K16" s="20">
        <v>855.70799999999997</v>
      </c>
      <c r="L16" s="18">
        <v>105.499</v>
      </c>
      <c r="M16" s="19">
        <v>18.545999999999999</v>
      </c>
      <c r="N16" s="19">
        <v>41.930999999999997</v>
      </c>
      <c r="O16" s="19">
        <v>18.007000000000001</v>
      </c>
      <c r="P16" s="20">
        <v>3131.2139999999999</v>
      </c>
      <c r="Q16" s="66">
        <f t="shared" si="15"/>
        <v>9.6448012482810552E-4</v>
      </c>
      <c r="R16" s="10">
        <f t="shared" si="16"/>
        <v>2.4567737990110246E-2</v>
      </c>
      <c r="S16" s="10">
        <f t="shared" si="17"/>
        <v>1.0493431242890747E-2</v>
      </c>
      <c r="T16" s="10">
        <f t="shared" si="18"/>
        <v>1.2851149088836773E-3</v>
      </c>
      <c r="U16" s="10">
        <f t="shared" si="19"/>
        <v>7.9924054135074667E-5</v>
      </c>
      <c r="V16" s="10">
        <f t="shared" si="20"/>
        <v>3.3499255961367977E-2</v>
      </c>
      <c r="W16" s="10">
        <f t="shared" si="21"/>
        <v>3.6999999999999998E-2</v>
      </c>
      <c r="X16" s="10">
        <f t="shared" si="22"/>
        <v>3.4000000000000002E-2</v>
      </c>
      <c r="Y16" s="10">
        <f t="shared" si="23"/>
        <v>3.5999999999999997E-2</v>
      </c>
      <c r="Z16" s="23">
        <f t="shared" si="24"/>
        <v>0.25</v>
      </c>
      <c r="AA16" s="23">
        <f t="shared" si="25"/>
        <v>0.23</v>
      </c>
      <c r="AB16" s="23">
        <f t="shared" si="26"/>
        <v>0.24</v>
      </c>
      <c r="AC16" s="24">
        <f t="shared" si="27"/>
        <v>5</v>
      </c>
      <c r="AD16" s="24">
        <f t="shared" si="28"/>
        <v>5</v>
      </c>
      <c r="AE16" s="24">
        <f t="shared" si="29"/>
        <v>5</v>
      </c>
      <c r="AF16" s="22"/>
      <c r="AG16" s="22"/>
      <c r="AH16" s="22"/>
      <c r="AI16" s="22"/>
      <c r="AJ16" s="21"/>
      <c r="AK16" s="21"/>
      <c r="AL16" s="21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</row>
    <row r="17" spans="1:49">
      <c r="A17" s="45">
        <v>14066</v>
      </c>
      <c r="B17" s="45" t="s">
        <v>190</v>
      </c>
      <c r="C17" s="16" t="str">
        <f>Rollover!A17</f>
        <v>Lincoln</v>
      </c>
      <c r="D17" s="16" t="str">
        <f>Rollover!B17</f>
        <v>Corsair PHEV SUV AWD</v>
      </c>
      <c r="E17" s="16" t="s">
        <v>134</v>
      </c>
      <c r="F17" s="17">
        <f>Rollover!C17</f>
        <v>2022</v>
      </c>
      <c r="G17" s="18">
        <v>173.75800000000001</v>
      </c>
      <c r="H17" s="19">
        <v>18.585999999999999</v>
      </c>
      <c r="I17" s="19">
        <v>21.504999999999999</v>
      </c>
      <c r="J17" s="19">
        <v>700.41399999999999</v>
      </c>
      <c r="K17" s="20">
        <v>855.70799999999997</v>
      </c>
      <c r="L17" s="18">
        <v>105.499</v>
      </c>
      <c r="M17" s="19">
        <v>18.545999999999999</v>
      </c>
      <c r="N17" s="19">
        <v>41.930999999999997</v>
      </c>
      <c r="O17" s="19">
        <v>18.007000000000001</v>
      </c>
      <c r="P17" s="20">
        <v>3131.2139999999999</v>
      </c>
      <c r="Q17" s="66">
        <f t="shared" si="15"/>
        <v>9.6448012482810552E-4</v>
      </c>
      <c r="R17" s="10">
        <f t="shared" si="16"/>
        <v>2.4567737990110246E-2</v>
      </c>
      <c r="S17" s="10">
        <f t="shared" si="17"/>
        <v>1.0493431242890747E-2</v>
      </c>
      <c r="T17" s="10">
        <f t="shared" si="18"/>
        <v>1.2851149088836773E-3</v>
      </c>
      <c r="U17" s="10">
        <f t="shared" si="19"/>
        <v>7.9924054135074667E-5</v>
      </c>
      <c r="V17" s="10">
        <f t="shared" si="20"/>
        <v>3.3499255961367977E-2</v>
      </c>
      <c r="W17" s="10">
        <f t="shared" si="21"/>
        <v>3.6999999999999998E-2</v>
      </c>
      <c r="X17" s="10">
        <f t="shared" si="22"/>
        <v>3.4000000000000002E-2</v>
      </c>
      <c r="Y17" s="10">
        <f t="shared" si="23"/>
        <v>3.5999999999999997E-2</v>
      </c>
      <c r="Z17" s="23">
        <f t="shared" si="24"/>
        <v>0.25</v>
      </c>
      <c r="AA17" s="23">
        <f t="shared" si="25"/>
        <v>0.23</v>
      </c>
      <c r="AB17" s="23">
        <f t="shared" si="26"/>
        <v>0.24</v>
      </c>
      <c r="AC17" s="24">
        <f t="shared" si="27"/>
        <v>5</v>
      </c>
      <c r="AD17" s="24">
        <f t="shared" si="28"/>
        <v>5</v>
      </c>
      <c r="AE17" s="24">
        <f t="shared" si="29"/>
        <v>5</v>
      </c>
      <c r="AF17" s="22"/>
      <c r="AG17" s="22"/>
      <c r="AH17" s="22"/>
      <c r="AI17" s="22"/>
      <c r="AJ17" s="21"/>
      <c r="AK17" s="21"/>
      <c r="AL17" s="21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</row>
    <row r="18" spans="1:49">
      <c r="A18" s="41">
        <v>10344</v>
      </c>
      <c r="B18" s="45" t="s">
        <v>191</v>
      </c>
      <c r="C18" s="17" t="str">
        <f>Rollover!A18</f>
        <v>Ford</v>
      </c>
      <c r="D18" s="17" t="str">
        <f>Rollover!B18</f>
        <v>Expedition SUV 2WD</v>
      </c>
      <c r="E18" s="16" t="s">
        <v>187</v>
      </c>
      <c r="F18" s="17">
        <f>Rollover!C18</f>
        <v>2022</v>
      </c>
      <c r="G18" s="26">
        <v>23.286999999999999</v>
      </c>
      <c r="H18" s="27">
        <v>13.577</v>
      </c>
      <c r="I18" s="27">
        <v>14.423999999999999</v>
      </c>
      <c r="J18" s="27">
        <v>479.57900000000001</v>
      </c>
      <c r="K18" s="28">
        <v>801.78099999999995</v>
      </c>
      <c r="L18" s="26">
        <v>60.768000000000001</v>
      </c>
      <c r="M18" s="27">
        <v>7.6050000000000004</v>
      </c>
      <c r="N18" s="27">
        <v>27.248000000000001</v>
      </c>
      <c r="O18" s="27">
        <v>18.898</v>
      </c>
      <c r="P18" s="28">
        <v>1929.778</v>
      </c>
      <c r="Q18" s="66">
        <f t="shared" si="15"/>
        <v>2.9968417367533604E-9</v>
      </c>
      <c r="R18" s="10">
        <f t="shared" si="16"/>
        <v>1.5645947561920909E-2</v>
      </c>
      <c r="S18" s="10">
        <f t="shared" si="17"/>
        <v>6.5775217261828537E-3</v>
      </c>
      <c r="T18" s="10">
        <f t="shared" si="18"/>
        <v>1.2111889203305869E-3</v>
      </c>
      <c r="U18" s="10">
        <f t="shared" si="19"/>
        <v>3.081398782363297E-6</v>
      </c>
      <c r="V18" s="10">
        <f t="shared" si="20"/>
        <v>1.1079595436042384E-2</v>
      </c>
      <c r="W18" s="10">
        <f t="shared" si="21"/>
        <v>2.3E-2</v>
      </c>
      <c r="X18" s="10">
        <f t="shared" si="22"/>
        <v>1.0999999999999999E-2</v>
      </c>
      <c r="Y18" s="10">
        <f t="shared" si="23"/>
        <v>1.7000000000000001E-2</v>
      </c>
      <c r="Z18" s="23">
        <f t="shared" si="24"/>
        <v>0.15</v>
      </c>
      <c r="AA18" s="23">
        <f t="shared" si="25"/>
        <v>7.0000000000000007E-2</v>
      </c>
      <c r="AB18" s="23">
        <f t="shared" si="26"/>
        <v>0.11</v>
      </c>
      <c r="AC18" s="24">
        <f t="shared" si="27"/>
        <v>5</v>
      </c>
      <c r="AD18" s="24">
        <f t="shared" si="28"/>
        <v>5</v>
      </c>
      <c r="AE18" s="24">
        <f t="shared" si="29"/>
        <v>5</v>
      </c>
      <c r="AF18" s="22"/>
      <c r="AG18" s="22"/>
      <c r="AH18" s="22"/>
      <c r="AI18" s="22"/>
      <c r="AJ18" s="21"/>
      <c r="AK18" s="21"/>
      <c r="AL18" s="21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</row>
    <row r="19" spans="1:49">
      <c r="A19" s="41">
        <v>10344</v>
      </c>
      <c r="B19" s="45" t="s">
        <v>191</v>
      </c>
      <c r="C19" s="17" t="str">
        <f>Rollover!A19</f>
        <v>Ford</v>
      </c>
      <c r="D19" s="17" t="str">
        <f>Rollover!B19</f>
        <v>Expedition SUV 4WD</v>
      </c>
      <c r="E19" s="16" t="s">
        <v>187</v>
      </c>
      <c r="F19" s="17">
        <f>Rollover!C19</f>
        <v>2022</v>
      </c>
      <c r="G19" s="26">
        <v>23.286999999999999</v>
      </c>
      <c r="H19" s="27">
        <v>13.577</v>
      </c>
      <c r="I19" s="27">
        <v>14.423999999999999</v>
      </c>
      <c r="J19" s="27">
        <v>479.57900000000001</v>
      </c>
      <c r="K19" s="28">
        <v>801.78099999999995</v>
      </c>
      <c r="L19" s="26">
        <v>60.768000000000001</v>
      </c>
      <c r="M19" s="27">
        <v>7.6050000000000004</v>
      </c>
      <c r="N19" s="27">
        <v>27.248000000000001</v>
      </c>
      <c r="O19" s="27">
        <v>18.898</v>
      </c>
      <c r="P19" s="28">
        <v>1929.778</v>
      </c>
      <c r="Q19" s="66">
        <f t="shared" si="15"/>
        <v>2.9968417367533604E-9</v>
      </c>
      <c r="R19" s="10">
        <f t="shared" si="16"/>
        <v>1.5645947561920909E-2</v>
      </c>
      <c r="S19" s="10">
        <f t="shared" si="17"/>
        <v>6.5775217261828537E-3</v>
      </c>
      <c r="T19" s="10">
        <f t="shared" si="18"/>
        <v>1.2111889203305869E-3</v>
      </c>
      <c r="U19" s="10">
        <f t="shared" si="19"/>
        <v>3.081398782363297E-6</v>
      </c>
      <c r="V19" s="10">
        <f t="shared" si="20"/>
        <v>1.1079595436042384E-2</v>
      </c>
      <c r="W19" s="10">
        <f t="shared" si="21"/>
        <v>2.3E-2</v>
      </c>
      <c r="X19" s="10">
        <f t="shared" si="22"/>
        <v>1.0999999999999999E-2</v>
      </c>
      <c r="Y19" s="10">
        <f t="shared" si="23"/>
        <v>1.7000000000000001E-2</v>
      </c>
      <c r="Z19" s="23">
        <f t="shared" si="24"/>
        <v>0.15</v>
      </c>
      <c r="AA19" s="23">
        <f t="shared" si="25"/>
        <v>7.0000000000000007E-2</v>
      </c>
      <c r="AB19" s="23">
        <f t="shared" si="26"/>
        <v>0.11</v>
      </c>
      <c r="AC19" s="24">
        <f t="shared" si="27"/>
        <v>5</v>
      </c>
      <c r="AD19" s="24">
        <f t="shared" si="28"/>
        <v>5</v>
      </c>
      <c r="AE19" s="24">
        <f t="shared" si="29"/>
        <v>5</v>
      </c>
      <c r="AF19" s="22"/>
      <c r="AG19" s="22"/>
      <c r="AH19" s="22"/>
      <c r="AI19" s="22"/>
      <c r="AJ19" s="21"/>
      <c r="AK19" s="21"/>
      <c r="AL19" s="21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</row>
    <row r="20" spans="1:49">
      <c r="A20" s="41">
        <v>10344</v>
      </c>
      <c r="B20" s="45" t="s">
        <v>191</v>
      </c>
      <c r="C20" s="16" t="str">
        <f>Rollover!A20</f>
        <v>Ford</v>
      </c>
      <c r="D20" s="16" t="str">
        <f>Rollover!B20</f>
        <v>Expedition EL SUV 2WD</v>
      </c>
      <c r="E20" s="16" t="s">
        <v>187</v>
      </c>
      <c r="F20" s="17">
        <f>Rollover!C20</f>
        <v>2022</v>
      </c>
      <c r="G20" s="26">
        <v>23.286999999999999</v>
      </c>
      <c r="H20" s="27">
        <v>13.577</v>
      </c>
      <c r="I20" s="27">
        <v>14.423999999999999</v>
      </c>
      <c r="J20" s="27">
        <v>479.57900000000001</v>
      </c>
      <c r="K20" s="28">
        <v>801.78099999999995</v>
      </c>
      <c r="L20" s="26">
        <v>60.768000000000001</v>
      </c>
      <c r="M20" s="27">
        <v>7.6050000000000004</v>
      </c>
      <c r="N20" s="27">
        <v>27.248000000000001</v>
      </c>
      <c r="O20" s="27">
        <v>18.898</v>
      </c>
      <c r="P20" s="28">
        <v>1929.778</v>
      </c>
      <c r="Q20" s="66">
        <f t="shared" si="15"/>
        <v>2.9968417367533604E-9</v>
      </c>
      <c r="R20" s="10">
        <f t="shared" si="16"/>
        <v>1.5645947561920909E-2</v>
      </c>
      <c r="S20" s="10">
        <f t="shared" si="17"/>
        <v>6.5775217261828537E-3</v>
      </c>
      <c r="T20" s="10">
        <f t="shared" si="18"/>
        <v>1.2111889203305869E-3</v>
      </c>
      <c r="U20" s="10">
        <f t="shared" si="19"/>
        <v>3.081398782363297E-6</v>
      </c>
      <c r="V20" s="10">
        <f t="shared" si="20"/>
        <v>1.1079595436042384E-2</v>
      </c>
      <c r="W20" s="10">
        <f t="shared" si="21"/>
        <v>2.3E-2</v>
      </c>
      <c r="X20" s="10">
        <f t="shared" si="22"/>
        <v>1.0999999999999999E-2</v>
      </c>
      <c r="Y20" s="10">
        <f t="shared" si="23"/>
        <v>1.7000000000000001E-2</v>
      </c>
      <c r="Z20" s="23">
        <f t="shared" si="24"/>
        <v>0.15</v>
      </c>
      <c r="AA20" s="23">
        <f t="shared" si="25"/>
        <v>7.0000000000000007E-2</v>
      </c>
      <c r="AB20" s="23">
        <f t="shared" si="26"/>
        <v>0.11</v>
      </c>
      <c r="AC20" s="24">
        <f t="shared" si="27"/>
        <v>5</v>
      </c>
      <c r="AD20" s="24">
        <f t="shared" si="28"/>
        <v>5</v>
      </c>
      <c r="AE20" s="24">
        <f t="shared" si="29"/>
        <v>5</v>
      </c>
      <c r="AF20" s="22"/>
      <c r="AG20" s="22"/>
      <c r="AH20" s="22"/>
      <c r="AI20" s="22"/>
      <c r="AJ20" s="21"/>
      <c r="AK20" s="21"/>
      <c r="AL20" s="21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</row>
    <row r="21" spans="1:49">
      <c r="A21" s="41">
        <v>10344</v>
      </c>
      <c r="B21" s="45" t="s">
        <v>191</v>
      </c>
      <c r="C21" s="16" t="str">
        <f>Rollover!A21</f>
        <v>Ford</v>
      </c>
      <c r="D21" s="16" t="str">
        <f>Rollover!B21</f>
        <v>Expedition EL SUV 4WD</v>
      </c>
      <c r="E21" s="16" t="s">
        <v>187</v>
      </c>
      <c r="F21" s="17">
        <f>Rollover!C21</f>
        <v>2022</v>
      </c>
      <c r="G21" s="26">
        <v>23.286999999999999</v>
      </c>
      <c r="H21" s="27">
        <v>13.577</v>
      </c>
      <c r="I21" s="27">
        <v>14.423999999999999</v>
      </c>
      <c r="J21" s="27">
        <v>479.57900000000001</v>
      </c>
      <c r="K21" s="28">
        <v>801.78099999999995</v>
      </c>
      <c r="L21" s="26">
        <v>60.768000000000001</v>
      </c>
      <c r="M21" s="27">
        <v>7.6050000000000004</v>
      </c>
      <c r="N21" s="27">
        <v>27.248000000000001</v>
      </c>
      <c r="O21" s="27">
        <v>18.898</v>
      </c>
      <c r="P21" s="28">
        <v>1929.778</v>
      </c>
      <c r="Q21" s="66">
        <f t="shared" si="15"/>
        <v>2.9968417367533604E-9</v>
      </c>
      <c r="R21" s="10">
        <f t="shared" si="16"/>
        <v>1.5645947561920909E-2</v>
      </c>
      <c r="S21" s="10">
        <f t="shared" si="17"/>
        <v>6.5775217261828537E-3</v>
      </c>
      <c r="T21" s="10">
        <f t="shared" si="18"/>
        <v>1.2111889203305869E-3</v>
      </c>
      <c r="U21" s="10">
        <f t="shared" si="19"/>
        <v>3.081398782363297E-6</v>
      </c>
      <c r="V21" s="10">
        <f t="shared" si="20"/>
        <v>1.1079595436042384E-2</v>
      </c>
      <c r="W21" s="10">
        <f t="shared" si="21"/>
        <v>2.3E-2</v>
      </c>
      <c r="X21" s="10">
        <f t="shared" si="22"/>
        <v>1.0999999999999999E-2</v>
      </c>
      <c r="Y21" s="10">
        <f t="shared" si="23"/>
        <v>1.7000000000000001E-2</v>
      </c>
      <c r="Z21" s="23">
        <f t="shared" si="24"/>
        <v>0.15</v>
      </c>
      <c r="AA21" s="23">
        <f t="shared" si="25"/>
        <v>7.0000000000000007E-2</v>
      </c>
      <c r="AB21" s="23">
        <f t="shared" si="26"/>
        <v>0.11</v>
      </c>
      <c r="AC21" s="24">
        <f t="shared" si="27"/>
        <v>5</v>
      </c>
      <c r="AD21" s="24">
        <f t="shared" si="28"/>
        <v>5</v>
      </c>
      <c r="AE21" s="24">
        <f t="shared" si="29"/>
        <v>5</v>
      </c>
      <c r="AF21" s="22"/>
      <c r="AG21" s="22"/>
      <c r="AH21" s="22"/>
      <c r="AI21" s="22"/>
      <c r="AJ21" s="21"/>
      <c r="AK21" s="21"/>
      <c r="AL21" s="21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</row>
    <row r="22" spans="1:49">
      <c r="A22" s="41">
        <v>10344</v>
      </c>
      <c r="B22" s="45" t="s">
        <v>191</v>
      </c>
      <c r="C22" s="16" t="str">
        <f>Rollover!A22</f>
        <v>Lincoln</v>
      </c>
      <c r="D22" s="16" t="str">
        <f>Rollover!B22</f>
        <v>Navigator SUV 2WD</v>
      </c>
      <c r="E22" s="16" t="s">
        <v>187</v>
      </c>
      <c r="F22" s="17">
        <f>Rollover!C22</f>
        <v>2022</v>
      </c>
      <c r="G22" s="26">
        <v>23.286999999999999</v>
      </c>
      <c r="H22" s="27">
        <v>13.577</v>
      </c>
      <c r="I22" s="27">
        <v>14.423999999999999</v>
      </c>
      <c r="J22" s="27">
        <v>479.57900000000001</v>
      </c>
      <c r="K22" s="28">
        <v>801.78099999999995</v>
      </c>
      <c r="L22" s="26">
        <v>60.768000000000001</v>
      </c>
      <c r="M22" s="27">
        <v>7.6050000000000004</v>
      </c>
      <c r="N22" s="27">
        <v>27.248000000000001</v>
      </c>
      <c r="O22" s="27">
        <v>18.898</v>
      </c>
      <c r="P22" s="28">
        <v>1929.778</v>
      </c>
      <c r="Q22" s="66">
        <f>NORMDIST(LN(G22),7.45231,0.73998,1)</f>
        <v>2.9968417367533604E-9</v>
      </c>
      <c r="R22" s="10">
        <f>1/(1+EXP(5.3895-0.0919*H22))</f>
        <v>1.5645947561920909E-2</v>
      </c>
      <c r="S22" s="10">
        <f>1/(1+EXP(6.04044-0.002133*J22))</f>
        <v>6.5775217261828537E-3</v>
      </c>
      <c r="T22" s="10">
        <f>1/(1+EXP(7.5969-0.0011*K22))</f>
        <v>1.2111889203305869E-3</v>
      </c>
      <c r="U22" s="10">
        <f>NORMDIST(LN(L22),7.45231,0.73998,1)</f>
        <v>3.081398782363297E-6</v>
      </c>
      <c r="V22" s="10">
        <f>1/(1+EXP(6.3055-0.00094*P22))</f>
        <v>1.1079595436042384E-2</v>
      </c>
      <c r="W22" s="10">
        <f>ROUND(1-(1-Q22)*(1-R22)*(1-S22)*(1-T22),3)</f>
        <v>2.3E-2</v>
      </c>
      <c r="X22" s="10">
        <f>IF(L22="N/A",L22,ROUND(1-(1-U22)*(1-V22),3))</f>
        <v>1.0999999999999999E-2</v>
      </c>
      <c r="Y22" s="10">
        <f>ROUND(AVERAGE(W22:X22),3)</f>
        <v>1.7000000000000001E-2</v>
      </c>
      <c r="Z22" s="23">
        <f>ROUND(W22/0.15,2)</f>
        <v>0.15</v>
      </c>
      <c r="AA22" s="23">
        <f>IF(L22="N/A", L22, ROUND(X22/0.15,2))</f>
        <v>7.0000000000000007E-2</v>
      </c>
      <c r="AB22" s="23">
        <f>ROUND(Y22/0.15,2)</f>
        <v>0.11</v>
      </c>
      <c r="AC22" s="24">
        <f>IF(Z22&lt;0.67,5,IF(Z22&lt;1,4,IF(Z22&lt;1.33,3,IF(Z22&lt;2.67,2,1))))</f>
        <v>5</v>
      </c>
      <c r="AD22" s="24">
        <f>IF(L22="N/A",L22,IF(AA22&lt;0.67,5,IF(AA22&lt;1,4,IF(AA22&lt;1.33,3,IF(AA22&lt;2.67,2,1)))))</f>
        <v>5</v>
      </c>
      <c r="AE22" s="24">
        <f>IF(AB22&lt;0.67,5,IF(AB22&lt;1,4,IF(AB22&lt;1.33,3,IF(AB22&lt;2.67,2,1))))</f>
        <v>5</v>
      </c>
      <c r="AF22" s="53"/>
      <c r="AG22" s="53"/>
      <c r="AH22" s="53"/>
      <c r="AI22" s="53"/>
      <c r="AJ22" s="68"/>
      <c r="AK22" s="68"/>
      <c r="AL22" s="68"/>
    </row>
    <row r="23" spans="1:49">
      <c r="A23" s="41">
        <v>10344</v>
      </c>
      <c r="B23" s="45" t="s">
        <v>191</v>
      </c>
      <c r="C23" s="16" t="str">
        <f>Rollover!A23</f>
        <v>Lincoln</v>
      </c>
      <c r="D23" s="16" t="str">
        <f>Rollover!B23</f>
        <v>Navigator SUV 4WD</v>
      </c>
      <c r="E23" s="16" t="s">
        <v>187</v>
      </c>
      <c r="F23" s="17">
        <f>Rollover!C23</f>
        <v>2022</v>
      </c>
      <c r="G23" s="26">
        <v>23.286999999999999</v>
      </c>
      <c r="H23" s="27">
        <v>13.577</v>
      </c>
      <c r="I23" s="27">
        <v>14.423999999999999</v>
      </c>
      <c r="J23" s="27">
        <v>479.57900000000001</v>
      </c>
      <c r="K23" s="28">
        <v>801.78099999999995</v>
      </c>
      <c r="L23" s="26">
        <v>60.768000000000001</v>
      </c>
      <c r="M23" s="27">
        <v>7.6050000000000004</v>
      </c>
      <c r="N23" s="27">
        <v>27.248000000000001</v>
      </c>
      <c r="O23" s="27">
        <v>18.898</v>
      </c>
      <c r="P23" s="28">
        <v>1929.778</v>
      </c>
      <c r="Q23" s="66">
        <f>NORMDIST(LN(G23),7.45231,0.73998,1)</f>
        <v>2.9968417367533604E-9</v>
      </c>
      <c r="R23" s="10">
        <f>1/(1+EXP(5.3895-0.0919*H23))</f>
        <v>1.5645947561920909E-2</v>
      </c>
      <c r="S23" s="10">
        <f>1/(1+EXP(6.04044-0.002133*J23))</f>
        <v>6.5775217261828537E-3</v>
      </c>
      <c r="T23" s="10">
        <f>1/(1+EXP(7.5969-0.0011*K23))</f>
        <v>1.2111889203305869E-3</v>
      </c>
      <c r="U23" s="10">
        <f>NORMDIST(LN(L23),7.45231,0.73998,1)</f>
        <v>3.081398782363297E-6</v>
      </c>
      <c r="V23" s="10">
        <f>1/(1+EXP(6.3055-0.00094*P23))</f>
        <v>1.1079595436042384E-2</v>
      </c>
      <c r="W23" s="10">
        <f>ROUND(1-(1-Q23)*(1-R23)*(1-S23)*(1-T23),3)</f>
        <v>2.3E-2</v>
      </c>
      <c r="X23" s="10">
        <f>IF(L23="N/A",L23,ROUND(1-(1-U23)*(1-V23),3))</f>
        <v>1.0999999999999999E-2</v>
      </c>
      <c r="Y23" s="10">
        <f>ROUND(AVERAGE(W23:X23),3)</f>
        <v>1.7000000000000001E-2</v>
      </c>
      <c r="Z23" s="23">
        <f>ROUND(W23/0.15,2)</f>
        <v>0.15</v>
      </c>
      <c r="AA23" s="23">
        <f>IF(L23="N/A", L23, ROUND(X23/0.15,2))</f>
        <v>7.0000000000000007E-2</v>
      </c>
      <c r="AB23" s="23">
        <f>ROUND(Y23/0.15,2)</f>
        <v>0.11</v>
      </c>
      <c r="AC23" s="24">
        <f>IF(Z23&lt;0.67,5,IF(Z23&lt;1,4,IF(Z23&lt;1.33,3,IF(Z23&lt;2.67,2,1))))</f>
        <v>5</v>
      </c>
      <c r="AD23" s="24">
        <f>IF(L23="N/A",L23,IF(AA23&lt;0.67,5,IF(AA23&lt;1,4,IF(AA23&lt;1.33,3,IF(AA23&lt;2.67,2,1)))))</f>
        <v>5</v>
      </c>
      <c r="AE23" s="24">
        <f>IF(AB23&lt;0.67,5,IF(AB23&lt;1,4,IF(AB23&lt;1.33,3,IF(AB23&lt;2.67,2,1))))</f>
        <v>5</v>
      </c>
      <c r="AF23" s="53"/>
      <c r="AG23" s="53"/>
      <c r="AH23" s="53"/>
      <c r="AI23" s="53"/>
      <c r="AJ23" s="68"/>
      <c r="AK23" s="68"/>
      <c r="AL23" s="68"/>
    </row>
    <row r="24" spans="1:49">
      <c r="A24" s="41">
        <v>10344</v>
      </c>
      <c r="B24" s="45" t="s">
        <v>191</v>
      </c>
      <c r="C24" s="16" t="str">
        <f>Rollover!A24</f>
        <v>Lincoln</v>
      </c>
      <c r="D24" s="16" t="str">
        <f>Rollover!B24</f>
        <v>Navigator EL 2WD</v>
      </c>
      <c r="E24" s="16" t="s">
        <v>187</v>
      </c>
      <c r="F24" s="17">
        <f>Rollover!C24</f>
        <v>2022</v>
      </c>
      <c r="G24" s="26">
        <v>23.286999999999999</v>
      </c>
      <c r="H24" s="27">
        <v>13.577</v>
      </c>
      <c r="I24" s="27">
        <v>14.423999999999999</v>
      </c>
      <c r="J24" s="27">
        <v>479.57900000000001</v>
      </c>
      <c r="K24" s="28">
        <v>801.78099999999995</v>
      </c>
      <c r="L24" s="26">
        <v>60.768000000000001</v>
      </c>
      <c r="M24" s="27">
        <v>7.6050000000000004</v>
      </c>
      <c r="N24" s="27">
        <v>27.248000000000001</v>
      </c>
      <c r="O24" s="27">
        <v>18.898</v>
      </c>
      <c r="P24" s="28">
        <v>1929.778</v>
      </c>
      <c r="Q24" s="66">
        <f>NORMDIST(LN(G24),7.45231,0.73998,1)</f>
        <v>2.9968417367533604E-9</v>
      </c>
      <c r="R24" s="10">
        <f>1/(1+EXP(5.3895-0.0919*H24))</f>
        <v>1.5645947561920909E-2</v>
      </c>
      <c r="S24" s="10">
        <f>1/(1+EXP(6.04044-0.002133*J24))</f>
        <v>6.5775217261828537E-3</v>
      </c>
      <c r="T24" s="10">
        <f>1/(1+EXP(7.5969-0.0011*K24))</f>
        <v>1.2111889203305869E-3</v>
      </c>
      <c r="U24" s="10">
        <f>NORMDIST(LN(L24),7.45231,0.73998,1)</f>
        <v>3.081398782363297E-6</v>
      </c>
      <c r="V24" s="10">
        <f>1/(1+EXP(6.3055-0.00094*P24))</f>
        <v>1.1079595436042384E-2</v>
      </c>
      <c r="W24" s="10">
        <f>ROUND(1-(1-Q24)*(1-R24)*(1-S24)*(1-T24),3)</f>
        <v>2.3E-2</v>
      </c>
      <c r="X24" s="10">
        <f>IF(L24="N/A",L24,ROUND(1-(1-U24)*(1-V24),3))</f>
        <v>1.0999999999999999E-2</v>
      </c>
      <c r="Y24" s="10">
        <f>ROUND(AVERAGE(W24:X24),3)</f>
        <v>1.7000000000000001E-2</v>
      </c>
      <c r="Z24" s="23">
        <f>ROUND(W24/0.15,2)</f>
        <v>0.15</v>
      </c>
      <c r="AA24" s="23">
        <f>IF(L24="N/A", L24, ROUND(X24/0.15,2))</f>
        <v>7.0000000000000007E-2</v>
      </c>
      <c r="AB24" s="23">
        <f>ROUND(Y24/0.15,2)</f>
        <v>0.11</v>
      </c>
      <c r="AC24" s="24">
        <f>IF(Z24&lt;0.67,5,IF(Z24&lt;1,4,IF(Z24&lt;1.33,3,IF(Z24&lt;2.67,2,1))))</f>
        <v>5</v>
      </c>
      <c r="AD24" s="24">
        <f>IF(L24="N/A",L24,IF(AA24&lt;0.67,5,IF(AA24&lt;1,4,IF(AA24&lt;1.33,3,IF(AA24&lt;2.67,2,1)))))</f>
        <v>5</v>
      </c>
      <c r="AE24" s="24">
        <f>IF(AB24&lt;0.67,5,IF(AB24&lt;1,4,IF(AB24&lt;1.33,3,IF(AB24&lt;2.67,2,1))))</f>
        <v>5</v>
      </c>
      <c r="AF24" s="53"/>
      <c r="AG24" s="53"/>
      <c r="AH24" s="53"/>
      <c r="AI24" s="53"/>
      <c r="AJ24" s="68"/>
      <c r="AK24" s="68"/>
      <c r="AL24" s="68"/>
    </row>
    <row r="25" spans="1:49">
      <c r="A25" s="41">
        <v>10344</v>
      </c>
      <c r="B25" s="45" t="s">
        <v>191</v>
      </c>
      <c r="C25" s="16" t="str">
        <f>Rollover!A25</f>
        <v>Lincoln</v>
      </c>
      <c r="D25" s="16" t="str">
        <f>Rollover!B25</f>
        <v>Navigator EL 4WD</v>
      </c>
      <c r="E25" s="16" t="s">
        <v>187</v>
      </c>
      <c r="F25" s="17">
        <f>Rollover!C25</f>
        <v>2022</v>
      </c>
      <c r="G25" s="26">
        <v>23.286999999999999</v>
      </c>
      <c r="H25" s="27">
        <v>13.577</v>
      </c>
      <c r="I25" s="27">
        <v>14.423999999999999</v>
      </c>
      <c r="J25" s="27">
        <v>479.57900000000001</v>
      </c>
      <c r="K25" s="28">
        <v>801.78099999999995</v>
      </c>
      <c r="L25" s="26">
        <v>60.768000000000001</v>
      </c>
      <c r="M25" s="27">
        <v>7.6050000000000004</v>
      </c>
      <c r="N25" s="27">
        <v>27.248000000000001</v>
      </c>
      <c r="O25" s="27">
        <v>18.898</v>
      </c>
      <c r="P25" s="28">
        <v>1929.778</v>
      </c>
      <c r="Q25" s="66">
        <f>NORMDIST(LN(G25),7.45231,0.73998,1)</f>
        <v>2.9968417367533604E-9</v>
      </c>
      <c r="R25" s="10">
        <f>1/(1+EXP(5.3895-0.0919*H25))</f>
        <v>1.5645947561920909E-2</v>
      </c>
      <c r="S25" s="10">
        <f>1/(1+EXP(6.04044-0.002133*J25))</f>
        <v>6.5775217261828537E-3</v>
      </c>
      <c r="T25" s="10">
        <f>1/(1+EXP(7.5969-0.0011*K25))</f>
        <v>1.2111889203305869E-3</v>
      </c>
      <c r="U25" s="10">
        <f>NORMDIST(LN(L25),7.45231,0.73998,1)</f>
        <v>3.081398782363297E-6</v>
      </c>
      <c r="V25" s="10">
        <f>1/(1+EXP(6.3055-0.00094*P25))</f>
        <v>1.1079595436042384E-2</v>
      </c>
      <c r="W25" s="10">
        <f>ROUND(1-(1-Q25)*(1-R25)*(1-S25)*(1-T25),3)</f>
        <v>2.3E-2</v>
      </c>
      <c r="X25" s="10">
        <f>IF(L25="N/A",L25,ROUND(1-(1-U25)*(1-V25),3))</f>
        <v>1.0999999999999999E-2</v>
      </c>
      <c r="Y25" s="10">
        <f>ROUND(AVERAGE(W25:X25),3)</f>
        <v>1.7000000000000001E-2</v>
      </c>
      <c r="Z25" s="23">
        <f>ROUND(W25/0.15,2)</f>
        <v>0.15</v>
      </c>
      <c r="AA25" s="23">
        <f>IF(L25="N/A", L25, ROUND(X25/0.15,2))</f>
        <v>7.0000000000000007E-2</v>
      </c>
      <c r="AB25" s="23">
        <f>ROUND(Y25/0.15,2)</f>
        <v>0.11</v>
      </c>
      <c r="AC25" s="24">
        <f>IF(Z25&lt;0.67,5,IF(Z25&lt;1,4,IF(Z25&lt;1.33,3,IF(Z25&lt;2.67,2,1))))</f>
        <v>5</v>
      </c>
      <c r="AD25" s="24">
        <f>IF(L25="N/A",L25,IF(AA25&lt;0.67,5,IF(AA25&lt;1,4,IF(AA25&lt;1.33,3,IF(AA25&lt;2.67,2,1)))))</f>
        <v>5</v>
      </c>
      <c r="AE25" s="24">
        <f>IF(AB25&lt;0.67,5,IF(AB25&lt;1,4,IF(AB25&lt;1.33,3,IF(AB25&lt;2.67,2,1))))</f>
        <v>5</v>
      </c>
      <c r="AF25" s="53"/>
      <c r="AG25" s="53"/>
      <c r="AH25" s="53"/>
      <c r="AI25" s="53"/>
      <c r="AJ25" s="68"/>
      <c r="AK25" s="68"/>
      <c r="AL25" s="68"/>
    </row>
    <row r="26" spans="1:49">
      <c r="A26" s="45"/>
      <c r="B26" s="45"/>
      <c r="C26" s="17" t="str">
        <f>Rollover!A26</f>
        <v>Ford</v>
      </c>
      <c r="D26" s="17" t="str">
        <f>Rollover!B26</f>
        <v>F-150 Lightning BEV PU/CC 4WD</v>
      </c>
      <c r="E26" s="16"/>
      <c r="F26" s="17">
        <f>Rollover!C26</f>
        <v>2022</v>
      </c>
      <c r="G26" s="18"/>
      <c r="H26" s="19"/>
      <c r="I26" s="19"/>
      <c r="J26" s="19"/>
      <c r="K26" s="20"/>
      <c r="L26" s="18"/>
      <c r="M26" s="19"/>
      <c r="N26" s="19"/>
      <c r="O26" s="19"/>
      <c r="P26" s="20"/>
      <c r="Q26" s="66" t="e">
        <f t="shared" si="15"/>
        <v>#NUM!</v>
      </c>
      <c r="R26" s="10">
        <f t="shared" si="16"/>
        <v>4.5435171224880964E-3</v>
      </c>
      <c r="S26" s="10">
        <f t="shared" si="17"/>
        <v>2.3748578822706131E-3</v>
      </c>
      <c r="T26" s="10">
        <f t="shared" si="18"/>
        <v>5.0175335722563109E-4</v>
      </c>
      <c r="U26" s="10" t="e">
        <f t="shared" si="19"/>
        <v>#NUM!</v>
      </c>
      <c r="V26" s="10">
        <f t="shared" si="20"/>
        <v>1.8229037773026034E-3</v>
      </c>
      <c r="W26" s="10" t="e">
        <f t="shared" si="21"/>
        <v>#NUM!</v>
      </c>
      <c r="X26" s="10" t="e">
        <f t="shared" si="22"/>
        <v>#NUM!</v>
      </c>
      <c r="Y26" s="10" t="e">
        <f t="shared" si="23"/>
        <v>#NUM!</v>
      </c>
      <c r="Z26" s="23" t="e">
        <f t="shared" si="24"/>
        <v>#NUM!</v>
      </c>
      <c r="AA26" s="23" t="e">
        <f t="shared" si="25"/>
        <v>#NUM!</v>
      </c>
      <c r="AB26" s="23" t="e">
        <f t="shared" si="26"/>
        <v>#NUM!</v>
      </c>
      <c r="AC26" s="24" t="e">
        <f t="shared" si="27"/>
        <v>#NUM!</v>
      </c>
      <c r="AD26" s="24" t="e">
        <f t="shared" si="28"/>
        <v>#NUM!</v>
      </c>
      <c r="AE26" s="24" t="e">
        <f t="shared" si="29"/>
        <v>#NUM!</v>
      </c>
      <c r="AF26" s="22"/>
      <c r="AG26" s="22"/>
      <c r="AH26" s="22"/>
      <c r="AI26" s="22"/>
      <c r="AJ26" s="21"/>
      <c r="AK26" s="21"/>
      <c r="AL26" s="21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</row>
    <row r="27" spans="1:49" ht="13.5" customHeight="1">
      <c r="A27" s="45">
        <v>14246</v>
      </c>
      <c r="B27" s="45" t="s">
        <v>192</v>
      </c>
      <c r="C27" s="17" t="str">
        <f>Rollover!A27</f>
        <v>Ford</v>
      </c>
      <c r="D27" s="17" t="str">
        <f>Rollover!B27</f>
        <v>F-150 Super Crew HEV PU/CC 2WD</v>
      </c>
      <c r="E27" s="16" t="s">
        <v>134</v>
      </c>
      <c r="F27" s="17">
        <f>Rollover!C27</f>
        <v>2022</v>
      </c>
      <c r="G27" s="18">
        <v>18.696000000000002</v>
      </c>
      <c r="H27" s="19">
        <v>14.814</v>
      </c>
      <c r="I27" s="19">
        <v>19.100999999999999</v>
      </c>
      <c r="J27" s="19">
        <v>438.63900000000001</v>
      </c>
      <c r="K27" s="20">
        <v>584.81200000000001</v>
      </c>
      <c r="L27" s="18">
        <v>29.073</v>
      </c>
      <c r="M27" s="19">
        <v>3.891</v>
      </c>
      <c r="N27" s="19">
        <v>14.037000000000001</v>
      </c>
      <c r="O27" s="19">
        <v>0.78500000000000003</v>
      </c>
      <c r="P27" s="20">
        <v>548.78700000000003</v>
      </c>
      <c r="Q27" s="66">
        <f t="shared" si="15"/>
        <v>4.8679935880932878E-10</v>
      </c>
      <c r="R27" s="10">
        <f t="shared" si="16"/>
        <v>1.7496665804514092E-2</v>
      </c>
      <c r="S27" s="10">
        <f t="shared" si="17"/>
        <v>6.0308211923735177E-3</v>
      </c>
      <c r="T27" s="10">
        <f t="shared" si="18"/>
        <v>9.5427227098562005E-4</v>
      </c>
      <c r="U27" s="10">
        <f t="shared" si="19"/>
        <v>1.723773905704822E-8</v>
      </c>
      <c r="V27" s="10">
        <f t="shared" si="20"/>
        <v>3.0497531285354706E-3</v>
      </c>
      <c r="W27" s="10">
        <f t="shared" si="21"/>
        <v>2.4E-2</v>
      </c>
      <c r="X27" s="10">
        <f t="shared" si="22"/>
        <v>3.0000000000000001E-3</v>
      </c>
      <c r="Y27" s="10">
        <f t="shared" si="23"/>
        <v>1.4E-2</v>
      </c>
      <c r="Z27" s="23">
        <f t="shared" si="24"/>
        <v>0.16</v>
      </c>
      <c r="AA27" s="23">
        <f t="shared" si="25"/>
        <v>0.02</v>
      </c>
      <c r="AB27" s="23">
        <f t="shared" si="26"/>
        <v>0.09</v>
      </c>
      <c r="AC27" s="24">
        <f t="shared" si="27"/>
        <v>5</v>
      </c>
      <c r="AD27" s="24">
        <f t="shared" si="28"/>
        <v>5</v>
      </c>
      <c r="AE27" s="24">
        <f t="shared" si="29"/>
        <v>5</v>
      </c>
      <c r="AF27" s="22"/>
      <c r="AG27" s="22"/>
      <c r="AH27" s="22"/>
      <c r="AI27" s="22"/>
      <c r="AJ27" s="21"/>
      <c r="AK27" s="21"/>
      <c r="AL27" s="21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</row>
    <row r="28" spans="1:49">
      <c r="A28" s="45">
        <v>14246</v>
      </c>
      <c r="B28" s="45" t="s">
        <v>192</v>
      </c>
      <c r="C28" s="17" t="str">
        <f>Rollover!A28</f>
        <v>Ford</v>
      </c>
      <c r="D28" s="17" t="str">
        <f>Rollover!B28</f>
        <v>F-150 Super Crew HEV PU/CC 4WD</v>
      </c>
      <c r="E28" s="16" t="s">
        <v>134</v>
      </c>
      <c r="F28" s="17">
        <f>Rollover!C28</f>
        <v>2022</v>
      </c>
      <c r="G28" s="18">
        <v>18.696000000000002</v>
      </c>
      <c r="H28" s="19">
        <v>14.814</v>
      </c>
      <c r="I28" s="19">
        <v>19.100999999999999</v>
      </c>
      <c r="J28" s="19">
        <v>438.63900000000001</v>
      </c>
      <c r="K28" s="20">
        <v>584.81200000000001</v>
      </c>
      <c r="L28" s="18">
        <v>29.073</v>
      </c>
      <c r="M28" s="19">
        <v>3.891</v>
      </c>
      <c r="N28" s="19">
        <v>14.037000000000001</v>
      </c>
      <c r="O28" s="19">
        <v>0.78500000000000003</v>
      </c>
      <c r="P28" s="20">
        <v>548.78700000000003</v>
      </c>
      <c r="Q28" s="66">
        <f t="shared" si="15"/>
        <v>4.8679935880932878E-10</v>
      </c>
      <c r="R28" s="10">
        <f t="shared" si="16"/>
        <v>1.7496665804514092E-2</v>
      </c>
      <c r="S28" s="10">
        <f t="shared" si="17"/>
        <v>6.0308211923735177E-3</v>
      </c>
      <c r="T28" s="10">
        <f t="shared" si="18"/>
        <v>9.5427227098562005E-4</v>
      </c>
      <c r="U28" s="10">
        <f t="shared" si="19"/>
        <v>1.723773905704822E-8</v>
      </c>
      <c r="V28" s="10">
        <f t="shared" si="20"/>
        <v>3.0497531285354706E-3</v>
      </c>
      <c r="W28" s="10">
        <f t="shared" si="21"/>
        <v>2.4E-2</v>
      </c>
      <c r="X28" s="10">
        <f t="shared" si="22"/>
        <v>3.0000000000000001E-3</v>
      </c>
      <c r="Y28" s="10">
        <f t="shared" si="23"/>
        <v>1.4E-2</v>
      </c>
      <c r="Z28" s="23">
        <f t="shared" si="24"/>
        <v>0.16</v>
      </c>
      <c r="AA28" s="23">
        <f t="shared" si="25"/>
        <v>0.02</v>
      </c>
      <c r="AB28" s="23">
        <f t="shared" si="26"/>
        <v>0.09</v>
      </c>
      <c r="AC28" s="24">
        <f t="shared" si="27"/>
        <v>5</v>
      </c>
      <c r="AD28" s="24">
        <f t="shared" si="28"/>
        <v>5</v>
      </c>
      <c r="AE28" s="24">
        <f t="shared" si="29"/>
        <v>5</v>
      </c>
      <c r="AF28" s="22"/>
      <c r="AG28" s="22"/>
      <c r="AH28" s="22"/>
      <c r="AI28" s="22"/>
      <c r="AJ28" s="21"/>
      <c r="AK28" s="21"/>
      <c r="AL28" s="21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</row>
    <row r="29" spans="1:49">
      <c r="A29" s="45">
        <v>14129</v>
      </c>
      <c r="B29" s="45" t="s">
        <v>193</v>
      </c>
      <c r="C29" s="17" t="str">
        <f>Rollover!A29</f>
        <v>Ford</v>
      </c>
      <c r="D29" s="17" t="str">
        <f>Rollover!B29</f>
        <v>F-250 Super Cab PU/EC 2WD</v>
      </c>
      <c r="E29" s="16" t="s">
        <v>140</v>
      </c>
      <c r="F29" s="17">
        <f>Rollover!C29</f>
        <v>2022</v>
      </c>
      <c r="G29" s="18">
        <v>14.23</v>
      </c>
      <c r="H29" s="19">
        <v>17.981999999999999</v>
      </c>
      <c r="I29" s="19">
        <v>23.079000000000001</v>
      </c>
      <c r="J29" s="19">
        <v>636.803</v>
      </c>
      <c r="K29" s="20">
        <v>670.55499999999995</v>
      </c>
      <c r="L29" s="18">
        <v>61.317</v>
      </c>
      <c r="M29" s="19">
        <v>0.53400000000000003</v>
      </c>
      <c r="N29" s="19">
        <v>16.693999999999999</v>
      </c>
      <c r="O29" s="19">
        <v>5.7000000000000002E-2</v>
      </c>
      <c r="P29" s="20">
        <v>506.72500000000002</v>
      </c>
      <c r="Q29" s="66">
        <f t="shared" si="15"/>
        <v>4.5092494618703389E-11</v>
      </c>
      <c r="R29" s="10">
        <f t="shared" si="16"/>
        <v>2.3272070210105408E-2</v>
      </c>
      <c r="S29" s="10">
        <f t="shared" si="17"/>
        <v>9.1742394432106876E-3</v>
      </c>
      <c r="T29" s="10">
        <f t="shared" si="18"/>
        <v>1.0485588211145928E-3</v>
      </c>
      <c r="U29" s="10">
        <f t="shared" si="19"/>
        <v>3.2632759753890489E-6</v>
      </c>
      <c r="V29" s="10">
        <f t="shared" si="20"/>
        <v>2.9318704616618989E-3</v>
      </c>
      <c r="W29" s="10">
        <f t="shared" si="21"/>
        <v>3.3000000000000002E-2</v>
      </c>
      <c r="X29" s="10">
        <f t="shared" si="22"/>
        <v>3.0000000000000001E-3</v>
      </c>
      <c r="Y29" s="10">
        <f t="shared" si="23"/>
        <v>1.7999999999999999E-2</v>
      </c>
      <c r="Z29" s="23">
        <f t="shared" si="24"/>
        <v>0.22</v>
      </c>
      <c r="AA29" s="23">
        <f t="shared" si="25"/>
        <v>0.02</v>
      </c>
      <c r="AB29" s="23">
        <f t="shared" si="26"/>
        <v>0.12</v>
      </c>
      <c r="AC29" s="24">
        <f t="shared" si="27"/>
        <v>5</v>
      </c>
      <c r="AD29" s="24">
        <f t="shared" si="28"/>
        <v>5</v>
      </c>
      <c r="AE29" s="24">
        <f t="shared" si="29"/>
        <v>5</v>
      </c>
      <c r="AF29" s="22"/>
      <c r="AG29" s="22"/>
      <c r="AH29" s="22"/>
      <c r="AI29" s="22"/>
      <c r="AJ29" s="21"/>
      <c r="AK29" s="21"/>
      <c r="AL29" s="21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</row>
    <row r="30" spans="1:49">
      <c r="A30" s="45">
        <v>14129</v>
      </c>
      <c r="B30" s="45" t="s">
        <v>193</v>
      </c>
      <c r="C30" s="16" t="str">
        <f>Rollover!A30</f>
        <v>Ford</v>
      </c>
      <c r="D30" s="16" t="str">
        <f>Rollover!B30</f>
        <v>F-250 Super Cab PU/EC 4WD</v>
      </c>
      <c r="E30" s="16" t="s">
        <v>140</v>
      </c>
      <c r="F30" s="17">
        <f>Rollover!C30</f>
        <v>2022</v>
      </c>
      <c r="G30" s="18">
        <v>14.23</v>
      </c>
      <c r="H30" s="19">
        <v>17.981999999999999</v>
      </c>
      <c r="I30" s="19">
        <v>23.079000000000001</v>
      </c>
      <c r="J30" s="19">
        <v>636.803</v>
      </c>
      <c r="K30" s="20">
        <v>670.55499999999995</v>
      </c>
      <c r="L30" s="18">
        <v>61.317</v>
      </c>
      <c r="M30" s="19">
        <v>0.53400000000000003</v>
      </c>
      <c r="N30" s="19">
        <v>16.693999999999999</v>
      </c>
      <c r="O30" s="19">
        <v>5.7000000000000002E-2</v>
      </c>
      <c r="P30" s="20">
        <v>506.72500000000002</v>
      </c>
      <c r="Q30" s="66">
        <f t="shared" si="15"/>
        <v>4.5092494618703389E-11</v>
      </c>
      <c r="R30" s="10">
        <f t="shared" si="16"/>
        <v>2.3272070210105408E-2</v>
      </c>
      <c r="S30" s="10">
        <f t="shared" si="17"/>
        <v>9.1742394432106876E-3</v>
      </c>
      <c r="T30" s="10">
        <f t="shared" si="18"/>
        <v>1.0485588211145928E-3</v>
      </c>
      <c r="U30" s="10">
        <f t="shared" si="19"/>
        <v>3.2632759753890489E-6</v>
      </c>
      <c r="V30" s="10">
        <f t="shared" si="20"/>
        <v>2.9318704616618989E-3</v>
      </c>
      <c r="W30" s="10">
        <f t="shared" si="21"/>
        <v>3.3000000000000002E-2</v>
      </c>
      <c r="X30" s="10">
        <f t="shared" si="22"/>
        <v>3.0000000000000001E-3</v>
      </c>
      <c r="Y30" s="10">
        <f t="shared" si="23"/>
        <v>1.7999999999999999E-2</v>
      </c>
      <c r="Z30" s="23">
        <f t="shared" si="24"/>
        <v>0.22</v>
      </c>
      <c r="AA30" s="23">
        <f t="shared" si="25"/>
        <v>0.02</v>
      </c>
      <c r="AB30" s="23">
        <f t="shared" si="26"/>
        <v>0.12</v>
      </c>
      <c r="AC30" s="24">
        <f t="shared" si="27"/>
        <v>5</v>
      </c>
      <c r="AD30" s="24">
        <f t="shared" si="28"/>
        <v>5</v>
      </c>
      <c r="AE30" s="24">
        <f t="shared" si="29"/>
        <v>5</v>
      </c>
      <c r="AF30" s="22"/>
      <c r="AG30" s="22"/>
      <c r="AH30" s="22"/>
      <c r="AI30" s="22"/>
      <c r="AJ30" s="21"/>
      <c r="AK30" s="21"/>
      <c r="AL30" s="21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</row>
    <row r="31" spans="1:49">
      <c r="A31" s="45">
        <v>14212</v>
      </c>
      <c r="B31" s="45" t="s">
        <v>194</v>
      </c>
      <c r="C31" s="17" t="str">
        <f>Rollover!A31</f>
        <v>Ford</v>
      </c>
      <c r="D31" s="17" t="str">
        <f>Rollover!B31</f>
        <v>Maverick PU/CC FWD</v>
      </c>
      <c r="E31" s="16" t="s">
        <v>187</v>
      </c>
      <c r="F31" s="17">
        <f>Rollover!C31</f>
        <v>2022</v>
      </c>
      <c r="G31" s="18">
        <v>87.206999999999994</v>
      </c>
      <c r="H31" s="19">
        <v>17.68</v>
      </c>
      <c r="I31" s="19">
        <v>23.405999999999999</v>
      </c>
      <c r="J31" s="19">
        <v>667.23900000000003</v>
      </c>
      <c r="K31" s="20">
        <v>887.43700000000001</v>
      </c>
      <c r="L31" s="18">
        <v>174.10599999999999</v>
      </c>
      <c r="M31" s="19">
        <v>15.169</v>
      </c>
      <c r="N31" s="19">
        <v>57.381999999999998</v>
      </c>
      <c r="O31" s="19">
        <v>29.943999999999999</v>
      </c>
      <c r="P31" s="20">
        <v>4317.8180000000002</v>
      </c>
      <c r="Q31" s="66">
        <f t="shared" si="15"/>
        <v>2.7584412765311699E-5</v>
      </c>
      <c r="R31" s="10">
        <f t="shared" si="16"/>
        <v>2.2649490312099049E-2</v>
      </c>
      <c r="S31" s="10">
        <f t="shared" si="17"/>
        <v>9.7835687820737333E-3</v>
      </c>
      <c r="T31" s="10">
        <f t="shared" si="18"/>
        <v>1.3306990341971688E-3</v>
      </c>
      <c r="U31" s="10">
        <f t="shared" si="19"/>
        <v>9.7332389023855269E-4</v>
      </c>
      <c r="V31" s="10">
        <f t="shared" si="20"/>
        <v>9.563007872974312E-2</v>
      </c>
      <c r="W31" s="10">
        <f t="shared" si="21"/>
        <v>3.4000000000000002E-2</v>
      </c>
      <c r="X31" s="10">
        <f t="shared" si="22"/>
        <v>9.7000000000000003E-2</v>
      </c>
      <c r="Y31" s="10">
        <f t="shared" si="23"/>
        <v>6.6000000000000003E-2</v>
      </c>
      <c r="Z31" s="23">
        <f t="shared" si="24"/>
        <v>0.23</v>
      </c>
      <c r="AA31" s="23">
        <f t="shared" si="25"/>
        <v>0.65</v>
      </c>
      <c r="AB31" s="23">
        <f t="shared" si="26"/>
        <v>0.44</v>
      </c>
      <c r="AC31" s="24">
        <f t="shared" si="27"/>
        <v>5</v>
      </c>
      <c r="AD31" s="24">
        <f t="shared" si="28"/>
        <v>5</v>
      </c>
      <c r="AE31" s="24">
        <f t="shared" si="29"/>
        <v>5</v>
      </c>
      <c r="AF31" s="22"/>
      <c r="AG31" s="22"/>
      <c r="AH31" s="22"/>
      <c r="AI31" s="22"/>
      <c r="AJ31" s="21"/>
      <c r="AK31" s="21"/>
      <c r="AL31" s="21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</row>
    <row r="32" spans="1:49">
      <c r="A32" s="45">
        <v>14212</v>
      </c>
      <c r="B32" s="45" t="s">
        <v>194</v>
      </c>
      <c r="C32" s="16" t="str">
        <f>Rollover!A32</f>
        <v>Ford</v>
      </c>
      <c r="D32" s="16" t="str">
        <f>Rollover!B32</f>
        <v>Maverick PU/CC 4WD</v>
      </c>
      <c r="E32" s="16" t="s">
        <v>187</v>
      </c>
      <c r="F32" s="17">
        <f>Rollover!C32</f>
        <v>2022</v>
      </c>
      <c r="G32" s="18">
        <v>87.206999999999994</v>
      </c>
      <c r="H32" s="19">
        <v>17.68</v>
      </c>
      <c r="I32" s="19">
        <v>23.405999999999999</v>
      </c>
      <c r="J32" s="19">
        <v>667.23900000000003</v>
      </c>
      <c r="K32" s="20">
        <v>887.43700000000001</v>
      </c>
      <c r="L32" s="18">
        <v>174.10599999999999</v>
      </c>
      <c r="M32" s="19">
        <v>15.169</v>
      </c>
      <c r="N32" s="19">
        <v>57.381999999999998</v>
      </c>
      <c r="O32" s="19">
        <v>29.943999999999999</v>
      </c>
      <c r="P32" s="20">
        <v>4317.8180000000002</v>
      </c>
      <c r="Q32" s="66">
        <f t="shared" si="15"/>
        <v>2.7584412765311699E-5</v>
      </c>
      <c r="R32" s="10">
        <f t="shared" si="16"/>
        <v>2.2649490312099049E-2</v>
      </c>
      <c r="S32" s="10">
        <f t="shared" si="17"/>
        <v>9.7835687820737333E-3</v>
      </c>
      <c r="T32" s="10">
        <f t="shared" si="18"/>
        <v>1.3306990341971688E-3</v>
      </c>
      <c r="U32" s="10">
        <f t="shared" si="19"/>
        <v>9.7332389023855269E-4</v>
      </c>
      <c r="V32" s="10">
        <f t="shared" si="20"/>
        <v>9.563007872974312E-2</v>
      </c>
      <c r="W32" s="10">
        <f t="shared" si="21"/>
        <v>3.4000000000000002E-2</v>
      </c>
      <c r="X32" s="10">
        <f t="shared" si="22"/>
        <v>9.7000000000000003E-2</v>
      </c>
      <c r="Y32" s="10">
        <f t="shared" si="23"/>
        <v>6.6000000000000003E-2</v>
      </c>
      <c r="Z32" s="23">
        <f t="shared" si="24"/>
        <v>0.23</v>
      </c>
      <c r="AA32" s="23">
        <f t="shared" si="25"/>
        <v>0.65</v>
      </c>
      <c r="AB32" s="23">
        <f t="shared" si="26"/>
        <v>0.44</v>
      </c>
      <c r="AC32" s="24">
        <f t="shared" si="27"/>
        <v>5</v>
      </c>
      <c r="AD32" s="24">
        <f t="shared" si="28"/>
        <v>5</v>
      </c>
      <c r="AE32" s="24">
        <f t="shared" si="29"/>
        <v>5</v>
      </c>
      <c r="AF32" s="22"/>
      <c r="AG32" s="22"/>
      <c r="AH32" s="22"/>
      <c r="AI32" s="22"/>
      <c r="AJ32" s="21"/>
      <c r="AK32" s="21"/>
      <c r="AL32" s="21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</row>
    <row r="33" spans="1:49">
      <c r="A33" s="45">
        <v>14212</v>
      </c>
      <c r="B33" s="45" t="s">
        <v>194</v>
      </c>
      <c r="C33" s="16" t="str">
        <f>Rollover!A33</f>
        <v>Ford</v>
      </c>
      <c r="D33" s="16" t="str">
        <f>Rollover!B33</f>
        <v>Maverick HEV PU/CC FWD</v>
      </c>
      <c r="E33" s="16" t="s">
        <v>187</v>
      </c>
      <c r="F33" s="17">
        <f>Rollover!C33</f>
        <v>2022</v>
      </c>
      <c r="G33" s="18">
        <v>87.206999999999994</v>
      </c>
      <c r="H33" s="19">
        <v>17.68</v>
      </c>
      <c r="I33" s="19">
        <v>23.405999999999999</v>
      </c>
      <c r="J33" s="19">
        <v>667.23900000000003</v>
      </c>
      <c r="K33" s="20">
        <v>887.43700000000001</v>
      </c>
      <c r="L33" s="18">
        <v>174.10599999999999</v>
      </c>
      <c r="M33" s="19">
        <v>15.169</v>
      </c>
      <c r="N33" s="19">
        <v>57.381999999999998</v>
      </c>
      <c r="O33" s="19">
        <v>29.943999999999999</v>
      </c>
      <c r="P33" s="20">
        <v>4317.8180000000002</v>
      </c>
      <c r="Q33" s="66">
        <f t="shared" si="15"/>
        <v>2.7584412765311699E-5</v>
      </c>
      <c r="R33" s="10">
        <f t="shared" si="16"/>
        <v>2.2649490312099049E-2</v>
      </c>
      <c r="S33" s="10">
        <f t="shared" si="17"/>
        <v>9.7835687820737333E-3</v>
      </c>
      <c r="T33" s="10">
        <f t="shared" si="18"/>
        <v>1.3306990341971688E-3</v>
      </c>
      <c r="U33" s="10">
        <f t="shared" si="19"/>
        <v>9.7332389023855269E-4</v>
      </c>
      <c r="V33" s="10">
        <f t="shared" si="20"/>
        <v>9.563007872974312E-2</v>
      </c>
      <c r="W33" s="10">
        <f t="shared" si="21"/>
        <v>3.4000000000000002E-2</v>
      </c>
      <c r="X33" s="10">
        <f t="shared" si="22"/>
        <v>9.7000000000000003E-2</v>
      </c>
      <c r="Y33" s="10">
        <f t="shared" si="23"/>
        <v>6.6000000000000003E-2</v>
      </c>
      <c r="Z33" s="23">
        <f t="shared" si="24"/>
        <v>0.23</v>
      </c>
      <c r="AA33" s="23">
        <f t="shared" si="25"/>
        <v>0.65</v>
      </c>
      <c r="AB33" s="23">
        <f t="shared" si="26"/>
        <v>0.44</v>
      </c>
      <c r="AC33" s="24">
        <f t="shared" si="27"/>
        <v>5</v>
      </c>
      <c r="AD33" s="24">
        <f t="shared" si="28"/>
        <v>5</v>
      </c>
      <c r="AE33" s="24">
        <f t="shared" si="29"/>
        <v>5</v>
      </c>
      <c r="AF33" s="22"/>
      <c r="AG33" s="22"/>
      <c r="AH33" s="22"/>
      <c r="AI33" s="22"/>
      <c r="AJ33" s="21"/>
      <c r="AK33" s="21"/>
      <c r="AL33" s="21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</row>
    <row r="34" spans="1:49">
      <c r="A34" s="45">
        <v>14049</v>
      </c>
      <c r="B34" s="45" t="s">
        <v>195</v>
      </c>
      <c r="C34" s="17" t="str">
        <f>Rollover!A34</f>
        <v>Honda</v>
      </c>
      <c r="D34" s="17" t="str">
        <f>Rollover!B34</f>
        <v>Civic 4DR FWD</v>
      </c>
      <c r="E34" s="16" t="s">
        <v>134</v>
      </c>
      <c r="F34" s="17">
        <f>Rollover!C34</f>
        <v>2022</v>
      </c>
      <c r="G34" s="18">
        <v>193.22300000000001</v>
      </c>
      <c r="H34" s="19">
        <v>19.169</v>
      </c>
      <c r="I34" s="19">
        <v>34.246000000000002</v>
      </c>
      <c r="J34" s="19">
        <v>1272.172</v>
      </c>
      <c r="K34" s="20">
        <v>1273.163</v>
      </c>
      <c r="L34" s="18">
        <v>267.30500000000001</v>
      </c>
      <c r="M34" s="19">
        <v>21.327000000000002</v>
      </c>
      <c r="N34" s="19">
        <v>78.626999999999995</v>
      </c>
      <c r="O34" s="19">
        <v>15.616</v>
      </c>
      <c r="P34" s="20">
        <v>2294.511</v>
      </c>
      <c r="Q34" s="66">
        <f t="shared" si="15"/>
        <v>1.5508992117815668E-3</v>
      </c>
      <c r="R34" s="10">
        <f t="shared" si="16"/>
        <v>2.5884919719050149E-2</v>
      </c>
      <c r="S34" s="10">
        <f t="shared" si="17"/>
        <v>3.4659898372854034E-2</v>
      </c>
      <c r="T34" s="10">
        <f t="shared" si="18"/>
        <v>2.0325678464427127E-3</v>
      </c>
      <c r="U34" s="10">
        <f t="shared" si="19"/>
        <v>5.8864645985183617E-3</v>
      </c>
      <c r="V34" s="10">
        <f t="shared" si="20"/>
        <v>1.5540248794763317E-2</v>
      </c>
      <c r="W34" s="10">
        <f t="shared" si="21"/>
        <v>6.3E-2</v>
      </c>
      <c r="X34" s="10">
        <f t="shared" si="22"/>
        <v>2.1000000000000001E-2</v>
      </c>
      <c r="Y34" s="10">
        <f t="shared" si="23"/>
        <v>4.2000000000000003E-2</v>
      </c>
      <c r="Z34" s="23">
        <f t="shared" si="24"/>
        <v>0.42</v>
      </c>
      <c r="AA34" s="23">
        <f t="shared" si="25"/>
        <v>0.14000000000000001</v>
      </c>
      <c r="AB34" s="23">
        <f t="shared" si="26"/>
        <v>0.28000000000000003</v>
      </c>
      <c r="AC34" s="24">
        <f t="shared" si="27"/>
        <v>5</v>
      </c>
      <c r="AD34" s="24">
        <f t="shared" si="28"/>
        <v>5</v>
      </c>
      <c r="AE34" s="24">
        <f t="shared" si="29"/>
        <v>5</v>
      </c>
      <c r="AF34" s="22"/>
      <c r="AG34" s="22"/>
      <c r="AH34" s="22"/>
      <c r="AI34" s="22"/>
      <c r="AJ34" s="21"/>
      <c r="AK34" s="21"/>
      <c r="AL34" s="21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</row>
    <row r="35" spans="1:49">
      <c r="A35" s="45">
        <v>14049</v>
      </c>
      <c r="B35" s="45" t="s">
        <v>195</v>
      </c>
      <c r="C35" s="16" t="str">
        <f>Rollover!A35</f>
        <v>Honda</v>
      </c>
      <c r="D35" s="16" t="str">
        <f>Rollover!B35</f>
        <v>Civic SI 4DR FWD</v>
      </c>
      <c r="E35" s="16" t="s">
        <v>134</v>
      </c>
      <c r="F35" s="17">
        <f>Rollover!C35</f>
        <v>2022</v>
      </c>
      <c r="G35" s="18">
        <v>193.22300000000001</v>
      </c>
      <c r="H35" s="19">
        <v>19.169</v>
      </c>
      <c r="I35" s="19">
        <v>34.246000000000002</v>
      </c>
      <c r="J35" s="19">
        <v>1272.172</v>
      </c>
      <c r="K35" s="20">
        <v>1273.163</v>
      </c>
      <c r="L35" s="18">
        <v>267.30500000000001</v>
      </c>
      <c r="M35" s="19">
        <v>21.327000000000002</v>
      </c>
      <c r="N35" s="19">
        <v>78.626999999999995</v>
      </c>
      <c r="O35" s="19">
        <v>15.616</v>
      </c>
      <c r="P35" s="20">
        <v>2294.511</v>
      </c>
      <c r="Q35" s="66">
        <f t="shared" si="15"/>
        <v>1.5508992117815668E-3</v>
      </c>
      <c r="R35" s="10">
        <f t="shared" si="16"/>
        <v>2.5884919719050149E-2</v>
      </c>
      <c r="S35" s="10">
        <f t="shared" si="17"/>
        <v>3.4659898372854034E-2</v>
      </c>
      <c r="T35" s="10">
        <f t="shared" si="18"/>
        <v>2.0325678464427127E-3</v>
      </c>
      <c r="U35" s="10">
        <f t="shared" si="19"/>
        <v>5.8864645985183617E-3</v>
      </c>
      <c r="V35" s="10">
        <f t="shared" si="20"/>
        <v>1.5540248794763317E-2</v>
      </c>
      <c r="W35" s="10">
        <f t="shared" si="21"/>
        <v>6.3E-2</v>
      </c>
      <c r="X35" s="10">
        <f t="shared" si="22"/>
        <v>2.1000000000000001E-2</v>
      </c>
      <c r="Y35" s="10">
        <f t="shared" si="23"/>
        <v>4.2000000000000003E-2</v>
      </c>
      <c r="Z35" s="23">
        <f t="shared" si="24"/>
        <v>0.42</v>
      </c>
      <c r="AA35" s="23">
        <f t="shared" si="25"/>
        <v>0.14000000000000001</v>
      </c>
      <c r="AB35" s="23">
        <f t="shared" si="26"/>
        <v>0.28000000000000003</v>
      </c>
      <c r="AC35" s="24">
        <f t="shared" si="27"/>
        <v>5</v>
      </c>
      <c r="AD35" s="24">
        <f t="shared" si="28"/>
        <v>5</v>
      </c>
      <c r="AE35" s="24">
        <f t="shared" si="29"/>
        <v>5</v>
      </c>
      <c r="AF35" s="22"/>
      <c r="AG35" s="22"/>
      <c r="AH35" s="22"/>
      <c r="AI35" s="22"/>
      <c r="AJ35" s="21"/>
      <c r="AK35" s="21"/>
      <c r="AL35" s="21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</row>
    <row r="36" spans="1:49">
      <c r="A36" s="45">
        <v>14049</v>
      </c>
      <c r="B36" s="45" t="s">
        <v>195</v>
      </c>
      <c r="C36" s="16" t="str">
        <f>Rollover!A36</f>
        <v>Honda</v>
      </c>
      <c r="D36" s="16" t="str">
        <f>Rollover!B36</f>
        <v>Civic 5HB FWD</v>
      </c>
      <c r="E36" s="16" t="s">
        <v>134</v>
      </c>
      <c r="F36" s="17">
        <f>Rollover!C36</f>
        <v>2022</v>
      </c>
      <c r="G36" s="18">
        <v>193.22300000000001</v>
      </c>
      <c r="H36" s="19">
        <v>19.169</v>
      </c>
      <c r="I36" s="19">
        <v>34.246000000000002</v>
      </c>
      <c r="J36" s="19">
        <v>1272.172</v>
      </c>
      <c r="K36" s="20">
        <v>1273.163</v>
      </c>
      <c r="L36" s="18">
        <v>267.30500000000001</v>
      </c>
      <c r="M36" s="19">
        <v>21.327000000000002</v>
      </c>
      <c r="N36" s="19">
        <v>78.626999999999995</v>
      </c>
      <c r="O36" s="19">
        <v>15.616</v>
      </c>
      <c r="P36" s="20">
        <v>2294.511</v>
      </c>
      <c r="Q36" s="66">
        <f t="shared" si="15"/>
        <v>1.5508992117815668E-3</v>
      </c>
      <c r="R36" s="10">
        <f t="shared" si="16"/>
        <v>2.5884919719050149E-2</v>
      </c>
      <c r="S36" s="10">
        <f t="shared" si="17"/>
        <v>3.4659898372854034E-2</v>
      </c>
      <c r="T36" s="10">
        <f t="shared" si="18"/>
        <v>2.0325678464427127E-3</v>
      </c>
      <c r="U36" s="10">
        <f t="shared" si="19"/>
        <v>5.8864645985183617E-3</v>
      </c>
      <c r="V36" s="10">
        <f t="shared" si="20"/>
        <v>1.5540248794763317E-2</v>
      </c>
      <c r="W36" s="10">
        <f t="shared" si="21"/>
        <v>6.3E-2</v>
      </c>
      <c r="X36" s="10">
        <f t="shared" si="22"/>
        <v>2.1000000000000001E-2</v>
      </c>
      <c r="Y36" s="10">
        <f t="shared" si="23"/>
        <v>4.2000000000000003E-2</v>
      </c>
      <c r="Z36" s="23">
        <f t="shared" si="24"/>
        <v>0.42</v>
      </c>
      <c r="AA36" s="23">
        <f t="shared" si="25"/>
        <v>0.14000000000000001</v>
      </c>
      <c r="AB36" s="23">
        <f t="shared" si="26"/>
        <v>0.28000000000000003</v>
      </c>
      <c r="AC36" s="24">
        <f t="shared" si="27"/>
        <v>5</v>
      </c>
      <c r="AD36" s="24">
        <f t="shared" si="28"/>
        <v>5</v>
      </c>
      <c r="AE36" s="24">
        <f t="shared" si="29"/>
        <v>5</v>
      </c>
      <c r="AF36" s="22"/>
      <c r="AG36" s="22"/>
      <c r="AH36" s="22"/>
      <c r="AI36" s="22"/>
      <c r="AJ36" s="21"/>
      <c r="AK36" s="21"/>
      <c r="AL36" s="21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</row>
    <row r="37" spans="1:49">
      <c r="A37" s="45">
        <v>14090</v>
      </c>
      <c r="B37" s="45" t="s">
        <v>196</v>
      </c>
      <c r="C37" s="17" t="str">
        <f>Rollover!A37</f>
        <v>Hyundai</v>
      </c>
      <c r="D37" s="17" t="str">
        <f>Rollover!B37</f>
        <v>Ioniq 5 SUV RWD</v>
      </c>
      <c r="E37" s="16" t="s">
        <v>187</v>
      </c>
      <c r="F37" s="17">
        <f>Rollover!C37</f>
        <v>2022</v>
      </c>
      <c r="G37" s="18">
        <v>114.63200000000001</v>
      </c>
      <c r="H37" s="19">
        <v>34.338000000000001</v>
      </c>
      <c r="I37" s="19">
        <v>42.212000000000003</v>
      </c>
      <c r="J37" s="19">
        <v>1360.15</v>
      </c>
      <c r="K37" s="20">
        <v>1662.461</v>
      </c>
      <c r="L37" s="18">
        <v>168.23099999999999</v>
      </c>
      <c r="M37" s="19">
        <v>16.292999999999999</v>
      </c>
      <c r="N37" s="19">
        <v>57.569000000000003</v>
      </c>
      <c r="O37" s="19">
        <v>32.485999999999997</v>
      </c>
      <c r="P37" s="20">
        <v>1788.798</v>
      </c>
      <c r="Q37" s="66">
        <f t="shared" si="15"/>
        <v>1.2461541754589753E-4</v>
      </c>
      <c r="R37" s="10">
        <f t="shared" si="16"/>
        <v>9.6752729915936114E-2</v>
      </c>
      <c r="S37" s="10">
        <f t="shared" si="17"/>
        <v>4.1517349958779315E-2</v>
      </c>
      <c r="T37" s="10">
        <f t="shared" si="18"/>
        <v>3.115662631992362E-3</v>
      </c>
      <c r="U37" s="10">
        <f t="shared" si="19"/>
        <v>8.3145178707221901E-4</v>
      </c>
      <c r="V37" s="10">
        <f t="shared" si="20"/>
        <v>9.7178078681515768E-3</v>
      </c>
      <c r="W37" s="10">
        <f t="shared" si="21"/>
        <v>0.13700000000000001</v>
      </c>
      <c r="X37" s="10">
        <f t="shared" si="22"/>
        <v>1.0999999999999999E-2</v>
      </c>
      <c r="Y37" s="10">
        <f t="shared" si="23"/>
        <v>7.3999999999999996E-2</v>
      </c>
      <c r="Z37" s="23">
        <f t="shared" si="24"/>
        <v>0.91</v>
      </c>
      <c r="AA37" s="23">
        <f t="shared" si="25"/>
        <v>7.0000000000000007E-2</v>
      </c>
      <c r="AB37" s="23">
        <f t="shared" si="26"/>
        <v>0.49</v>
      </c>
      <c r="AC37" s="24">
        <f t="shared" si="27"/>
        <v>4</v>
      </c>
      <c r="AD37" s="24">
        <f t="shared" si="28"/>
        <v>5</v>
      </c>
      <c r="AE37" s="24">
        <f t="shared" si="29"/>
        <v>5</v>
      </c>
      <c r="AF37" s="22"/>
      <c r="AG37" s="22"/>
      <c r="AH37" s="22"/>
      <c r="AI37" s="22"/>
      <c r="AJ37" s="21"/>
      <c r="AK37" s="21"/>
      <c r="AL37" s="21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</row>
    <row r="38" spans="1:49">
      <c r="A38" s="45">
        <v>14090</v>
      </c>
      <c r="B38" s="45" t="s">
        <v>196</v>
      </c>
      <c r="C38" s="17" t="str">
        <f>Rollover!A38</f>
        <v>Hyundai</v>
      </c>
      <c r="D38" s="17" t="str">
        <f>Rollover!B38</f>
        <v>Ioniq 5 SUV AWD</v>
      </c>
      <c r="E38" s="16" t="s">
        <v>187</v>
      </c>
      <c r="F38" s="17">
        <f>Rollover!C38</f>
        <v>2022</v>
      </c>
      <c r="G38" s="18">
        <v>114.63200000000001</v>
      </c>
      <c r="H38" s="19">
        <v>34.338000000000001</v>
      </c>
      <c r="I38" s="19">
        <v>42.212000000000003</v>
      </c>
      <c r="J38" s="19">
        <v>1360.15</v>
      </c>
      <c r="K38" s="20">
        <v>1662.461</v>
      </c>
      <c r="L38" s="18">
        <v>168.23099999999999</v>
      </c>
      <c r="M38" s="19">
        <v>16.292999999999999</v>
      </c>
      <c r="N38" s="19">
        <v>57.569000000000003</v>
      </c>
      <c r="O38" s="19">
        <v>32.485999999999997</v>
      </c>
      <c r="P38" s="20">
        <v>1788.798</v>
      </c>
      <c r="Q38" s="66">
        <f t="shared" si="15"/>
        <v>1.2461541754589753E-4</v>
      </c>
      <c r="R38" s="10">
        <f t="shared" si="16"/>
        <v>9.6752729915936114E-2</v>
      </c>
      <c r="S38" s="10">
        <f t="shared" si="17"/>
        <v>4.1517349958779315E-2</v>
      </c>
      <c r="T38" s="10">
        <f t="shared" si="18"/>
        <v>3.115662631992362E-3</v>
      </c>
      <c r="U38" s="10">
        <f t="shared" si="19"/>
        <v>8.3145178707221901E-4</v>
      </c>
      <c r="V38" s="10">
        <f t="shared" si="20"/>
        <v>9.7178078681515768E-3</v>
      </c>
      <c r="W38" s="10">
        <f t="shared" si="21"/>
        <v>0.13700000000000001</v>
      </c>
      <c r="X38" s="10">
        <f t="shared" si="22"/>
        <v>1.0999999999999999E-2</v>
      </c>
      <c r="Y38" s="10">
        <f t="shared" si="23"/>
        <v>7.3999999999999996E-2</v>
      </c>
      <c r="Z38" s="23">
        <f t="shared" si="24"/>
        <v>0.91</v>
      </c>
      <c r="AA38" s="23">
        <f t="shared" si="25"/>
        <v>7.0000000000000007E-2</v>
      </c>
      <c r="AB38" s="23">
        <f t="shared" si="26"/>
        <v>0.49</v>
      </c>
      <c r="AC38" s="24">
        <f t="shared" si="27"/>
        <v>4</v>
      </c>
      <c r="AD38" s="24">
        <f t="shared" si="28"/>
        <v>5</v>
      </c>
      <c r="AE38" s="24">
        <f t="shared" si="29"/>
        <v>5</v>
      </c>
      <c r="AF38" s="22"/>
      <c r="AG38" s="22"/>
      <c r="AH38" s="22"/>
      <c r="AI38" s="22"/>
      <c r="AJ38" s="21"/>
      <c r="AK38" s="21"/>
      <c r="AL38" s="21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</row>
    <row r="39" spans="1:49">
      <c r="A39" s="45">
        <v>11666</v>
      </c>
      <c r="B39" s="45" t="s">
        <v>197</v>
      </c>
      <c r="C39" s="16" t="str">
        <f>Rollover!A39</f>
        <v>Hyundai</v>
      </c>
      <c r="D39" s="16" t="str">
        <f>Rollover!B39</f>
        <v>Tucson SUV FWD early release</v>
      </c>
      <c r="E39" s="16" t="s">
        <v>134</v>
      </c>
      <c r="F39" s="17">
        <f>Rollover!C39</f>
        <v>2022</v>
      </c>
      <c r="G39" s="18">
        <v>70.632000000000005</v>
      </c>
      <c r="H39" s="19">
        <v>23.611000000000001</v>
      </c>
      <c r="I39" s="19">
        <v>33.793999999999997</v>
      </c>
      <c r="J39" s="19">
        <v>1083.5989999999999</v>
      </c>
      <c r="K39" s="20">
        <v>1964.2719999999999</v>
      </c>
      <c r="L39" s="18">
        <v>134.25700000000001</v>
      </c>
      <c r="M39" s="19">
        <v>16.059000000000001</v>
      </c>
      <c r="N39" s="19">
        <v>52.218000000000004</v>
      </c>
      <c r="O39" s="19">
        <v>38.298000000000002</v>
      </c>
      <c r="P39" s="20">
        <v>2835.7370000000001</v>
      </c>
      <c r="Q39" s="66">
        <f t="shared" si="15"/>
        <v>7.8921050607709401E-6</v>
      </c>
      <c r="R39" s="10">
        <f t="shared" si="16"/>
        <v>3.8432951212544829E-2</v>
      </c>
      <c r="S39" s="10">
        <f t="shared" si="17"/>
        <v>2.3450735662939242E-2</v>
      </c>
      <c r="T39" s="10">
        <f t="shared" si="18"/>
        <v>4.3371087423019978E-3</v>
      </c>
      <c r="U39" s="10">
        <f t="shared" si="19"/>
        <v>2.8082254074917945E-4</v>
      </c>
      <c r="V39" s="10">
        <f t="shared" si="20"/>
        <v>2.5583101086273031E-2</v>
      </c>
      <c r="W39" s="10">
        <f t="shared" si="21"/>
        <v>6.5000000000000002E-2</v>
      </c>
      <c r="X39" s="10">
        <f t="shared" si="22"/>
        <v>2.5999999999999999E-2</v>
      </c>
      <c r="Y39" s="10">
        <f t="shared" si="23"/>
        <v>4.5999999999999999E-2</v>
      </c>
      <c r="Z39" s="23">
        <f t="shared" si="24"/>
        <v>0.43</v>
      </c>
      <c r="AA39" s="23">
        <f t="shared" si="25"/>
        <v>0.17</v>
      </c>
      <c r="AB39" s="23">
        <f t="shared" si="26"/>
        <v>0.31</v>
      </c>
      <c r="AC39" s="24">
        <f t="shared" si="27"/>
        <v>5</v>
      </c>
      <c r="AD39" s="24">
        <f t="shared" si="28"/>
        <v>5</v>
      </c>
      <c r="AE39" s="24">
        <f t="shared" si="29"/>
        <v>5</v>
      </c>
      <c r="AF39" s="22"/>
      <c r="AG39" s="22"/>
      <c r="AH39" s="22"/>
      <c r="AI39" s="22"/>
      <c r="AJ39" s="21"/>
      <c r="AK39" s="21"/>
      <c r="AL39" s="21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</row>
    <row r="40" spans="1:49">
      <c r="A40" s="45">
        <v>11666</v>
      </c>
      <c r="B40" s="45" t="s">
        <v>197</v>
      </c>
      <c r="C40" s="16" t="str">
        <f>Rollover!A40</f>
        <v>Hyundai</v>
      </c>
      <c r="D40" s="16" t="str">
        <f>Rollover!B40</f>
        <v>Tucson SUV AWD early release</v>
      </c>
      <c r="E40" s="16" t="s">
        <v>134</v>
      </c>
      <c r="F40" s="17">
        <f>Rollover!C40</f>
        <v>2022</v>
      </c>
      <c r="G40" s="18">
        <v>70.632000000000005</v>
      </c>
      <c r="H40" s="19">
        <v>23.611000000000001</v>
      </c>
      <c r="I40" s="19">
        <v>33.793999999999997</v>
      </c>
      <c r="J40" s="19">
        <v>1083.5989999999999</v>
      </c>
      <c r="K40" s="20">
        <v>1964.2719999999999</v>
      </c>
      <c r="L40" s="18">
        <v>134.25700000000001</v>
      </c>
      <c r="M40" s="19">
        <v>16.059000000000001</v>
      </c>
      <c r="N40" s="19">
        <v>52.218000000000004</v>
      </c>
      <c r="O40" s="19">
        <v>38.298000000000002</v>
      </c>
      <c r="P40" s="20">
        <v>2835.7370000000001</v>
      </c>
      <c r="Q40" s="66">
        <f t="shared" si="15"/>
        <v>7.8921050607709401E-6</v>
      </c>
      <c r="R40" s="10">
        <f t="shared" si="16"/>
        <v>3.8432951212544829E-2</v>
      </c>
      <c r="S40" s="10">
        <f t="shared" si="17"/>
        <v>2.3450735662939242E-2</v>
      </c>
      <c r="T40" s="10">
        <f t="shared" si="18"/>
        <v>4.3371087423019978E-3</v>
      </c>
      <c r="U40" s="10">
        <f t="shared" si="19"/>
        <v>2.8082254074917945E-4</v>
      </c>
      <c r="V40" s="10">
        <f t="shared" si="20"/>
        <v>2.5583101086273031E-2</v>
      </c>
      <c r="W40" s="10">
        <f t="shared" si="21"/>
        <v>6.5000000000000002E-2</v>
      </c>
      <c r="X40" s="10">
        <f t="shared" si="22"/>
        <v>2.5999999999999999E-2</v>
      </c>
      <c r="Y40" s="10">
        <f t="shared" si="23"/>
        <v>4.5999999999999999E-2</v>
      </c>
      <c r="Z40" s="23">
        <f t="shared" si="24"/>
        <v>0.43</v>
      </c>
      <c r="AA40" s="23">
        <f t="shared" si="25"/>
        <v>0.17</v>
      </c>
      <c r="AB40" s="23">
        <f t="shared" si="26"/>
        <v>0.31</v>
      </c>
      <c r="AC40" s="24">
        <f t="shared" si="27"/>
        <v>5</v>
      </c>
      <c r="AD40" s="24">
        <f t="shared" si="28"/>
        <v>5</v>
      </c>
      <c r="AE40" s="24">
        <f t="shared" si="29"/>
        <v>5</v>
      </c>
      <c r="AF40" s="22"/>
      <c r="AG40" s="22"/>
      <c r="AH40" s="22"/>
      <c r="AI40" s="22"/>
      <c r="AJ40" s="21"/>
      <c r="AK40" s="21"/>
      <c r="AL40" s="21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</row>
    <row r="41" spans="1:49">
      <c r="A41" s="45">
        <v>11666</v>
      </c>
      <c r="B41" s="45" t="s">
        <v>197</v>
      </c>
      <c r="C41" s="16" t="str">
        <f>Rollover!A41</f>
        <v>Hyundai</v>
      </c>
      <c r="D41" s="16" t="str">
        <f>Rollover!B41</f>
        <v>Tucson HEV SUV FWD early release</v>
      </c>
      <c r="E41" s="16" t="s">
        <v>134</v>
      </c>
      <c r="F41" s="17">
        <f>Rollover!C41</f>
        <v>2022</v>
      </c>
      <c r="G41" s="18">
        <v>70.632000000000005</v>
      </c>
      <c r="H41" s="19">
        <v>23.611000000000001</v>
      </c>
      <c r="I41" s="19">
        <v>33.793999999999997</v>
      </c>
      <c r="J41" s="19">
        <v>1083.5989999999999</v>
      </c>
      <c r="K41" s="20">
        <v>1964.2719999999999</v>
      </c>
      <c r="L41" s="18">
        <v>134.25700000000001</v>
      </c>
      <c r="M41" s="19">
        <v>16.059000000000001</v>
      </c>
      <c r="N41" s="19">
        <v>52.218000000000004</v>
      </c>
      <c r="O41" s="19">
        <v>38.298000000000002</v>
      </c>
      <c r="P41" s="20">
        <v>2835.7370000000001</v>
      </c>
      <c r="Q41" s="66">
        <f t="shared" si="15"/>
        <v>7.8921050607709401E-6</v>
      </c>
      <c r="R41" s="10">
        <f t="shared" si="16"/>
        <v>3.8432951212544829E-2</v>
      </c>
      <c r="S41" s="10">
        <f t="shared" si="17"/>
        <v>2.3450735662939242E-2</v>
      </c>
      <c r="T41" s="10">
        <f t="shared" si="18"/>
        <v>4.3371087423019978E-3</v>
      </c>
      <c r="U41" s="10">
        <f t="shared" si="19"/>
        <v>2.8082254074917945E-4</v>
      </c>
      <c r="V41" s="10">
        <f t="shared" si="20"/>
        <v>2.5583101086273031E-2</v>
      </c>
      <c r="W41" s="10">
        <f t="shared" si="21"/>
        <v>6.5000000000000002E-2</v>
      </c>
      <c r="X41" s="10">
        <f t="shared" si="22"/>
        <v>2.5999999999999999E-2</v>
      </c>
      <c r="Y41" s="10">
        <f t="shared" si="23"/>
        <v>4.5999999999999999E-2</v>
      </c>
      <c r="Z41" s="23">
        <f t="shared" si="24"/>
        <v>0.43</v>
      </c>
      <c r="AA41" s="23">
        <f t="shared" si="25"/>
        <v>0.17</v>
      </c>
      <c r="AB41" s="23">
        <f t="shared" si="26"/>
        <v>0.31</v>
      </c>
      <c r="AC41" s="24">
        <f t="shared" si="27"/>
        <v>5</v>
      </c>
      <c r="AD41" s="24">
        <f t="shared" si="28"/>
        <v>5</v>
      </c>
      <c r="AE41" s="24">
        <f t="shared" si="29"/>
        <v>5</v>
      </c>
      <c r="AF41" s="22"/>
      <c r="AG41" s="22"/>
      <c r="AH41" s="22"/>
      <c r="AI41" s="22"/>
      <c r="AJ41" s="21"/>
      <c r="AK41" s="21"/>
      <c r="AL41" s="21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</row>
    <row r="42" spans="1:49">
      <c r="A42" s="45">
        <v>11666</v>
      </c>
      <c r="B42" s="45" t="s">
        <v>197</v>
      </c>
      <c r="C42" s="17" t="str">
        <f>Rollover!A42</f>
        <v>Hyundai</v>
      </c>
      <c r="D42" s="17" t="str">
        <f>Rollover!B42</f>
        <v>Tucson HEV SUV AWD early release</v>
      </c>
      <c r="E42" s="16" t="s">
        <v>134</v>
      </c>
      <c r="F42" s="17">
        <f>Rollover!C42</f>
        <v>2022</v>
      </c>
      <c r="G42" s="18">
        <v>70.632000000000005</v>
      </c>
      <c r="H42" s="19">
        <v>23.611000000000001</v>
      </c>
      <c r="I42" s="19">
        <v>33.793999999999997</v>
      </c>
      <c r="J42" s="19">
        <v>1083.5989999999999</v>
      </c>
      <c r="K42" s="20">
        <v>1964.2719999999999</v>
      </c>
      <c r="L42" s="18">
        <v>134.25700000000001</v>
      </c>
      <c r="M42" s="19">
        <v>16.059000000000001</v>
      </c>
      <c r="N42" s="19">
        <v>52.218000000000004</v>
      </c>
      <c r="O42" s="19">
        <v>38.298000000000002</v>
      </c>
      <c r="P42" s="20">
        <v>2835.7370000000001</v>
      </c>
      <c r="Q42" s="66">
        <f t="shared" si="15"/>
        <v>7.8921050607709401E-6</v>
      </c>
      <c r="R42" s="10">
        <f t="shared" si="16"/>
        <v>3.8432951212544829E-2</v>
      </c>
      <c r="S42" s="10">
        <f t="shared" si="17"/>
        <v>2.3450735662939242E-2</v>
      </c>
      <c r="T42" s="10">
        <f t="shared" si="18"/>
        <v>4.3371087423019978E-3</v>
      </c>
      <c r="U42" s="10">
        <f t="shared" si="19"/>
        <v>2.8082254074917945E-4</v>
      </c>
      <c r="V42" s="10">
        <f t="shared" si="20"/>
        <v>2.5583101086273031E-2</v>
      </c>
      <c r="W42" s="10">
        <f t="shared" si="21"/>
        <v>6.5000000000000002E-2</v>
      </c>
      <c r="X42" s="10">
        <f t="shared" si="22"/>
        <v>2.5999999999999999E-2</v>
      </c>
      <c r="Y42" s="10">
        <f t="shared" si="23"/>
        <v>4.5999999999999999E-2</v>
      </c>
      <c r="Z42" s="23">
        <f t="shared" si="24"/>
        <v>0.43</v>
      </c>
      <c r="AA42" s="23">
        <f t="shared" si="25"/>
        <v>0.17</v>
      </c>
      <c r="AB42" s="23">
        <f t="shared" si="26"/>
        <v>0.31</v>
      </c>
      <c r="AC42" s="24">
        <f t="shared" si="27"/>
        <v>5</v>
      </c>
      <c r="AD42" s="24">
        <f t="shared" si="28"/>
        <v>5</v>
      </c>
      <c r="AE42" s="24">
        <f t="shared" si="29"/>
        <v>5</v>
      </c>
      <c r="AF42" s="22"/>
      <c r="AG42" s="22"/>
      <c r="AH42" s="22"/>
      <c r="AI42" s="22"/>
      <c r="AJ42" s="21"/>
      <c r="AK42" s="21"/>
      <c r="AL42" s="21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</row>
    <row r="43" spans="1:49">
      <c r="A43" s="45">
        <v>14053</v>
      </c>
      <c r="B43" s="45" t="s">
        <v>198</v>
      </c>
      <c r="C43" s="17" t="str">
        <f>Rollover!A43</f>
        <v>Hyundai</v>
      </c>
      <c r="D43" s="17" t="str">
        <f>Rollover!B43</f>
        <v>Tucson SUV FWD later release</v>
      </c>
      <c r="E43" s="16" t="s">
        <v>134</v>
      </c>
      <c r="F43" s="17">
        <f>Rollover!C43</f>
        <v>2022</v>
      </c>
      <c r="G43" s="18">
        <v>71.099000000000004</v>
      </c>
      <c r="H43" s="19">
        <v>24.823</v>
      </c>
      <c r="I43" s="19">
        <v>36.918999999999997</v>
      </c>
      <c r="J43" s="19">
        <v>994.23800000000006</v>
      </c>
      <c r="K43" s="20">
        <v>1954.711</v>
      </c>
      <c r="L43" s="18">
        <v>137.304</v>
      </c>
      <c r="M43" s="19">
        <v>12.824999999999999</v>
      </c>
      <c r="N43" s="19">
        <v>59.125999999999998</v>
      </c>
      <c r="O43" s="19">
        <v>39.502000000000002</v>
      </c>
      <c r="P43" s="20">
        <v>3342.2660000000001</v>
      </c>
      <c r="Q43" s="66">
        <f t="shared" si="15"/>
        <v>8.2166223391459227E-6</v>
      </c>
      <c r="R43" s="10">
        <f t="shared" si="16"/>
        <v>4.2767563057948127E-2</v>
      </c>
      <c r="S43" s="10">
        <f t="shared" si="17"/>
        <v>1.9460229312072246E-2</v>
      </c>
      <c r="T43" s="10">
        <f t="shared" si="18"/>
        <v>4.2919287050818345E-3</v>
      </c>
      <c r="U43" s="10">
        <f t="shared" si="19"/>
        <v>3.1406993631631348E-4</v>
      </c>
      <c r="V43" s="10">
        <f t="shared" si="20"/>
        <v>4.0552118976139383E-2</v>
      </c>
      <c r="W43" s="10">
        <f t="shared" si="21"/>
        <v>6.5000000000000002E-2</v>
      </c>
      <c r="X43" s="10">
        <f t="shared" si="22"/>
        <v>4.1000000000000002E-2</v>
      </c>
      <c r="Y43" s="10">
        <f t="shared" si="23"/>
        <v>5.2999999999999999E-2</v>
      </c>
      <c r="Z43" s="23">
        <f t="shared" si="24"/>
        <v>0.43</v>
      </c>
      <c r="AA43" s="23">
        <f t="shared" si="25"/>
        <v>0.27</v>
      </c>
      <c r="AB43" s="23">
        <f t="shared" si="26"/>
        <v>0.35</v>
      </c>
      <c r="AC43" s="24">
        <f t="shared" si="27"/>
        <v>5</v>
      </c>
      <c r="AD43" s="24">
        <f t="shared" si="28"/>
        <v>5</v>
      </c>
      <c r="AE43" s="24">
        <f t="shared" si="29"/>
        <v>5</v>
      </c>
      <c r="AF43" s="22"/>
      <c r="AG43" s="22"/>
      <c r="AH43" s="22"/>
      <c r="AI43" s="22"/>
      <c r="AJ43" s="21"/>
      <c r="AK43" s="21"/>
      <c r="AL43" s="21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</row>
    <row r="44" spans="1:49">
      <c r="A44" s="45">
        <v>14053</v>
      </c>
      <c r="B44" s="45" t="s">
        <v>198</v>
      </c>
      <c r="C44" s="17" t="str">
        <f>Rollover!A44</f>
        <v>Hyundai</v>
      </c>
      <c r="D44" s="17" t="str">
        <f>Rollover!B44</f>
        <v>Tucson SUV AWD later release</v>
      </c>
      <c r="E44" s="16" t="s">
        <v>134</v>
      </c>
      <c r="F44" s="17">
        <f>Rollover!C44</f>
        <v>2022</v>
      </c>
      <c r="G44" s="18">
        <v>71.099000000000004</v>
      </c>
      <c r="H44" s="19">
        <v>24.823</v>
      </c>
      <c r="I44" s="19">
        <v>36.918999999999997</v>
      </c>
      <c r="J44" s="19">
        <v>994.23800000000006</v>
      </c>
      <c r="K44" s="20">
        <v>1954.711</v>
      </c>
      <c r="L44" s="18">
        <v>137.304</v>
      </c>
      <c r="M44" s="19">
        <v>12.824999999999999</v>
      </c>
      <c r="N44" s="19">
        <v>59.125999999999998</v>
      </c>
      <c r="O44" s="19">
        <v>39.502000000000002</v>
      </c>
      <c r="P44" s="20">
        <v>3342.2660000000001</v>
      </c>
      <c r="Q44" s="66">
        <f t="shared" si="15"/>
        <v>8.2166223391459227E-6</v>
      </c>
      <c r="R44" s="10">
        <f t="shared" si="16"/>
        <v>4.2767563057948127E-2</v>
      </c>
      <c r="S44" s="10">
        <f t="shared" si="17"/>
        <v>1.9460229312072246E-2</v>
      </c>
      <c r="T44" s="10">
        <f t="shared" si="18"/>
        <v>4.2919287050818345E-3</v>
      </c>
      <c r="U44" s="10">
        <f t="shared" si="19"/>
        <v>3.1406993631631348E-4</v>
      </c>
      <c r="V44" s="10">
        <f t="shared" si="20"/>
        <v>4.0552118976139383E-2</v>
      </c>
      <c r="W44" s="10">
        <f t="shared" si="21"/>
        <v>6.5000000000000002E-2</v>
      </c>
      <c r="X44" s="10">
        <f t="shared" si="22"/>
        <v>4.1000000000000002E-2</v>
      </c>
      <c r="Y44" s="10">
        <f t="shared" si="23"/>
        <v>5.2999999999999999E-2</v>
      </c>
      <c r="Z44" s="23">
        <f t="shared" si="24"/>
        <v>0.43</v>
      </c>
      <c r="AA44" s="23">
        <f t="shared" si="25"/>
        <v>0.27</v>
      </c>
      <c r="AB44" s="23">
        <f t="shared" si="26"/>
        <v>0.35</v>
      </c>
      <c r="AC44" s="24">
        <f t="shared" si="27"/>
        <v>5</v>
      </c>
      <c r="AD44" s="24">
        <f t="shared" si="28"/>
        <v>5</v>
      </c>
      <c r="AE44" s="24">
        <f t="shared" si="29"/>
        <v>5</v>
      </c>
      <c r="AF44" s="22"/>
      <c r="AG44" s="22"/>
      <c r="AH44" s="22"/>
      <c r="AI44" s="22"/>
      <c r="AJ44" s="21"/>
      <c r="AK44" s="21"/>
      <c r="AL44" s="21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</row>
    <row r="45" spans="1:49">
      <c r="A45" s="45">
        <v>14053</v>
      </c>
      <c r="B45" s="45" t="s">
        <v>198</v>
      </c>
      <c r="C45" s="17" t="str">
        <f>Rollover!A45</f>
        <v>Hyundai</v>
      </c>
      <c r="D45" s="17" t="str">
        <f>Rollover!B45</f>
        <v>Tucson HEV SUV FWD later release</v>
      </c>
      <c r="E45" s="16" t="s">
        <v>134</v>
      </c>
      <c r="F45" s="17">
        <f>Rollover!C45</f>
        <v>2022</v>
      </c>
      <c r="G45" s="18">
        <v>71.099000000000004</v>
      </c>
      <c r="H45" s="19">
        <v>24.823</v>
      </c>
      <c r="I45" s="19">
        <v>36.918999999999997</v>
      </c>
      <c r="J45" s="19">
        <v>994.23800000000006</v>
      </c>
      <c r="K45" s="20">
        <v>1954.711</v>
      </c>
      <c r="L45" s="18">
        <v>137.304</v>
      </c>
      <c r="M45" s="19">
        <v>12.824999999999999</v>
      </c>
      <c r="N45" s="19">
        <v>59.125999999999998</v>
      </c>
      <c r="O45" s="19">
        <v>39.502000000000002</v>
      </c>
      <c r="P45" s="20">
        <v>3342.2660000000001</v>
      </c>
      <c r="Q45" s="66">
        <f t="shared" si="15"/>
        <v>8.2166223391459227E-6</v>
      </c>
      <c r="R45" s="10">
        <f t="shared" si="16"/>
        <v>4.2767563057948127E-2</v>
      </c>
      <c r="S45" s="10">
        <f t="shared" si="17"/>
        <v>1.9460229312072246E-2</v>
      </c>
      <c r="T45" s="10">
        <f t="shared" si="18"/>
        <v>4.2919287050818345E-3</v>
      </c>
      <c r="U45" s="10">
        <f t="shared" si="19"/>
        <v>3.1406993631631348E-4</v>
      </c>
      <c r="V45" s="10">
        <f t="shared" si="20"/>
        <v>4.0552118976139383E-2</v>
      </c>
      <c r="W45" s="10">
        <f t="shared" si="21"/>
        <v>6.5000000000000002E-2</v>
      </c>
      <c r="X45" s="10">
        <f t="shared" si="22"/>
        <v>4.1000000000000002E-2</v>
      </c>
      <c r="Y45" s="10">
        <f t="shared" si="23"/>
        <v>5.2999999999999999E-2</v>
      </c>
      <c r="Z45" s="23">
        <f t="shared" si="24"/>
        <v>0.43</v>
      </c>
      <c r="AA45" s="23">
        <f t="shared" si="25"/>
        <v>0.27</v>
      </c>
      <c r="AB45" s="23">
        <f t="shared" si="26"/>
        <v>0.35</v>
      </c>
      <c r="AC45" s="24">
        <f t="shared" si="27"/>
        <v>5</v>
      </c>
      <c r="AD45" s="24">
        <f t="shared" si="28"/>
        <v>5</v>
      </c>
      <c r="AE45" s="24">
        <f t="shared" si="29"/>
        <v>5</v>
      </c>
      <c r="AF45" s="22"/>
      <c r="AG45" s="22"/>
      <c r="AH45" s="22"/>
      <c r="AI45" s="22"/>
      <c r="AJ45" s="21"/>
      <c r="AK45" s="21"/>
      <c r="AL45" s="21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</row>
    <row r="46" spans="1:49" ht="13.5" customHeight="1">
      <c r="A46" s="45">
        <v>14053</v>
      </c>
      <c r="B46" s="45" t="s">
        <v>198</v>
      </c>
      <c r="C46" s="17" t="str">
        <f>Rollover!A46</f>
        <v>Hyundai</v>
      </c>
      <c r="D46" s="17" t="str">
        <f>Rollover!B46</f>
        <v>Tucson HEV SUV AWD later release</v>
      </c>
      <c r="E46" s="16" t="s">
        <v>134</v>
      </c>
      <c r="F46" s="17">
        <f>Rollover!C46</f>
        <v>2022</v>
      </c>
      <c r="G46" s="18">
        <v>71.099000000000004</v>
      </c>
      <c r="H46" s="19">
        <v>24.823</v>
      </c>
      <c r="I46" s="19">
        <v>36.918999999999997</v>
      </c>
      <c r="J46" s="19">
        <v>994.23800000000006</v>
      </c>
      <c r="K46" s="20">
        <v>1954.711</v>
      </c>
      <c r="L46" s="18">
        <v>137.304</v>
      </c>
      <c r="M46" s="19">
        <v>12.824999999999999</v>
      </c>
      <c r="N46" s="19">
        <v>59.125999999999998</v>
      </c>
      <c r="O46" s="19">
        <v>39.502000000000002</v>
      </c>
      <c r="P46" s="20">
        <v>3342.2660000000001</v>
      </c>
      <c r="Q46" s="66">
        <f t="shared" si="15"/>
        <v>8.2166223391459227E-6</v>
      </c>
      <c r="R46" s="10">
        <f t="shared" si="16"/>
        <v>4.2767563057948127E-2</v>
      </c>
      <c r="S46" s="10">
        <f t="shared" si="17"/>
        <v>1.9460229312072246E-2</v>
      </c>
      <c r="T46" s="10">
        <f t="shared" si="18"/>
        <v>4.2919287050818345E-3</v>
      </c>
      <c r="U46" s="10">
        <f t="shared" si="19"/>
        <v>3.1406993631631348E-4</v>
      </c>
      <c r="V46" s="10">
        <f t="shared" si="20"/>
        <v>4.0552118976139383E-2</v>
      </c>
      <c r="W46" s="10">
        <f t="shared" si="21"/>
        <v>6.5000000000000002E-2</v>
      </c>
      <c r="X46" s="10">
        <f t="shared" si="22"/>
        <v>4.1000000000000002E-2</v>
      </c>
      <c r="Y46" s="10">
        <f t="shared" si="23"/>
        <v>5.2999999999999999E-2</v>
      </c>
      <c r="Z46" s="23">
        <f t="shared" si="24"/>
        <v>0.43</v>
      </c>
      <c r="AA46" s="23">
        <f t="shared" si="25"/>
        <v>0.27</v>
      </c>
      <c r="AB46" s="23">
        <f t="shared" si="26"/>
        <v>0.35</v>
      </c>
      <c r="AC46" s="24">
        <f t="shared" si="27"/>
        <v>5</v>
      </c>
      <c r="AD46" s="24">
        <f t="shared" si="28"/>
        <v>5</v>
      </c>
      <c r="AE46" s="24">
        <f t="shared" si="29"/>
        <v>5</v>
      </c>
      <c r="AF46" s="22"/>
      <c r="AG46" s="22"/>
      <c r="AH46" s="22"/>
      <c r="AI46" s="22"/>
      <c r="AJ46" s="21"/>
      <c r="AK46" s="21"/>
      <c r="AL46" s="21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</row>
    <row r="47" spans="1:49">
      <c r="A47" s="45">
        <v>14063</v>
      </c>
      <c r="B47" s="45" t="s">
        <v>199</v>
      </c>
      <c r="C47" s="17" t="str">
        <f>Rollover!A47</f>
        <v>Jeep</v>
      </c>
      <c r="D47" s="17" t="str">
        <f>Rollover!B47</f>
        <v>Compass SUV FWD</v>
      </c>
      <c r="E47" s="16" t="s">
        <v>140</v>
      </c>
      <c r="F47" s="17">
        <f>Rollover!C47</f>
        <v>2022</v>
      </c>
      <c r="G47" s="18">
        <v>144.08099999999999</v>
      </c>
      <c r="H47" s="19">
        <v>19.626999999999999</v>
      </c>
      <c r="I47" s="19">
        <v>31.460999999999999</v>
      </c>
      <c r="J47" s="19">
        <v>681.33699999999999</v>
      </c>
      <c r="K47" s="20">
        <v>1378.7660000000001</v>
      </c>
      <c r="L47" s="18">
        <v>211.57400000000001</v>
      </c>
      <c r="M47" s="19">
        <v>28.77</v>
      </c>
      <c r="N47" s="19">
        <v>62.341000000000001</v>
      </c>
      <c r="O47" s="19">
        <v>34.286999999999999</v>
      </c>
      <c r="P47" s="20">
        <v>3685.7280000000001</v>
      </c>
      <c r="Q47" s="66">
        <f t="shared" si="15"/>
        <v>3.9818122122475954E-4</v>
      </c>
      <c r="R47" s="10">
        <f t="shared" si="16"/>
        <v>2.6967666526679656E-2</v>
      </c>
      <c r="S47" s="10">
        <f t="shared" si="17"/>
        <v>1.0079228600999947E-2</v>
      </c>
      <c r="T47" s="10">
        <f t="shared" si="18"/>
        <v>2.2823666380795515E-3</v>
      </c>
      <c r="U47" s="10">
        <f t="shared" si="19"/>
        <v>2.2923324282540488E-3</v>
      </c>
      <c r="V47" s="10">
        <f t="shared" si="20"/>
        <v>5.5152801368538992E-2</v>
      </c>
      <c r="W47" s="10">
        <f t="shared" si="21"/>
        <v>3.9E-2</v>
      </c>
      <c r="X47" s="10">
        <f t="shared" si="22"/>
        <v>5.7000000000000002E-2</v>
      </c>
      <c r="Y47" s="10">
        <f t="shared" si="23"/>
        <v>4.8000000000000001E-2</v>
      </c>
      <c r="Z47" s="23">
        <f t="shared" si="24"/>
        <v>0.26</v>
      </c>
      <c r="AA47" s="23">
        <f t="shared" si="25"/>
        <v>0.38</v>
      </c>
      <c r="AB47" s="23">
        <f t="shared" si="26"/>
        <v>0.32</v>
      </c>
      <c r="AC47" s="24">
        <f t="shared" si="27"/>
        <v>5</v>
      </c>
      <c r="AD47" s="24">
        <f t="shared" si="28"/>
        <v>5</v>
      </c>
      <c r="AE47" s="24">
        <f t="shared" si="29"/>
        <v>5</v>
      </c>
      <c r="AF47" s="22"/>
      <c r="AG47" s="22"/>
      <c r="AH47" s="22"/>
      <c r="AI47" s="22"/>
      <c r="AJ47" s="21"/>
      <c r="AK47" s="21"/>
      <c r="AL47" s="21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</row>
    <row r="48" spans="1:49">
      <c r="A48" s="45">
        <v>14063</v>
      </c>
      <c r="B48" s="45" t="s">
        <v>199</v>
      </c>
      <c r="C48" s="16" t="str">
        <f>Rollover!A48</f>
        <v>Jeep</v>
      </c>
      <c r="D48" s="16" t="str">
        <f>Rollover!B48</f>
        <v>Compass SUV AWD</v>
      </c>
      <c r="E48" s="16" t="s">
        <v>140</v>
      </c>
      <c r="F48" s="17">
        <f>Rollover!C48</f>
        <v>2022</v>
      </c>
      <c r="G48" s="18">
        <v>144.08099999999999</v>
      </c>
      <c r="H48" s="19">
        <v>19.626999999999999</v>
      </c>
      <c r="I48" s="19">
        <v>31.460999999999999</v>
      </c>
      <c r="J48" s="19">
        <v>681.33699999999999</v>
      </c>
      <c r="K48" s="20">
        <v>1378.7660000000001</v>
      </c>
      <c r="L48" s="18">
        <v>211.57400000000001</v>
      </c>
      <c r="M48" s="19">
        <v>28.77</v>
      </c>
      <c r="N48" s="19">
        <v>62.341000000000001</v>
      </c>
      <c r="O48" s="19">
        <v>34.286999999999999</v>
      </c>
      <c r="P48" s="20">
        <v>3685.7280000000001</v>
      </c>
      <c r="Q48" s="66">
        <f t="shared" si="15"/>
        <v>3.9818122122475954E-4</v>
      </c>
      <c r="R48" s="10">
        <f t="shared" si="16"/>
        <v>2.6967666526679656E-2</v>
      </c>
      <c r="S48" s="10">
        <f t="shared" si="17"/>
        <v>1.0079228600999947E-2</v>
      </c>
      <c r="T48" s="10">
        <f t="shared" si="18"/>
        <v>2.2823666380795515E-3</v>
      </c>
      <c r="U48" s="10">
        <f t="shared" si="19"/>
        <v>2.2923324282540488E-3</v>
      </c>
      <c r="V48" s="10">
        <f t="shared" si="20"/>
        <v>5.5152801368538992E-2</v>
      </c>
      <c r="W48" s="10">
        <f t="shared" si="21"/>
        <v>3.9E-2</v>
      </c>
      <c r="X48" s="10">
        <f t="shared" si="22"/>
        <v>5.7000000000000002E-2</v>
      </c>
      <c r="Y48" s="10">
        <f t="shared" si="23"/>
        <v>4.8000000000000001E-2</v>
      </c>
      <c r="Z48" s="23">
        <f t="shared" si="24"/>
        <v>0.26</v>
      </c>
      <c r="AA48" s="23">
        <f t="shared" si="25"/>
        <v>0.38</v>
      </c>
      <c r="AB48" s="23">
        <f t="shared" si="26"/>
        <v>0.32</v>
      </c>
      <c r="AC48" s="24">
        <f t="shared" si="27"/>
        <v>5</v>
      </c>
      <c r="AD48" s="24">
        <f t="shared" si="28"/>
        <v>5</v>
      </c>
      <c r="AE48" s="24">
        <f t="shared" si="29"/>
        <v>5</v>
      </c>
      <c r="AF48" s="22"/>
      <c r="AG48" s="22"/>
      <c r="AH48" s="22"/>
      <c r="AI48" s="22"/>
      <c r="AJ48" s="21"/>
      <c r="AK48" s="21"/>
      <c r="AL48" s="21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</row>
    <row r="49" spans="1:49">
      <c r="A49" s="41">
        <v>14055</v>
      </c>
      <c r="B49" s="41" t="s">
        <v>200</v>
      </c>
      <c r="C49" s="17" t="str">
        <f>Rollover!A49</f>
        <v>Kia</v>
      </c>
      <c r="D49" s="17" t="str">
        <f>Rollover!B49</f>
        <v>Niro Electric SUV FWD</v>
      </c>
      <c r="E49" s="16" t="s">
        <v>187</v>
      </c>
      <c r="F49" s="17">
        <f>Rollover!C49</f>
        <v>2022</v>
      </c>
      <c r="G49" s="26">
        <v>131.911</v>
      </c>
      <c r="H49" s="27">
        <v>19.672999999999998</v>
      </c>
      <c r="I49" s="27">
        <v>25.791</v>
      </c>
      <c r="J49" s="27">
        <v>724.62699999999995</v>
      </c>
      <c r="K49" s="28">
        <v>1263.4960000000001</v>
      </c>
      <c r="L49" s="26">
        <v>84.546000000000006</v>
      </c>
      <c r="M49" s="27">
        <v>19.509</v>
      </c>
      <c r="N49" s="27">
        <v>57.100999999999999</v>
      </c>
      <c r="O49" s="27">
        <v>22.574999999999999</v>
      </c>
      <c r="P49" s="28">
        <v>2713.3850000000002</v>
      </c>
      <c r="Q49" s="66">
        <f t="shared" ref="Q49:Q50" si="30">NORMDIST(LN(G49),7.45231,0.73998,1)</f>
        <v>2.5703721947402814E-4</v>
      </c>
      <c r="R49" s="10">
        <f t="shared" ref="R49:R50" si="31">1/(1+EXP(5.3895-0.0919*H49))</f>
        <v>2.7078817344621441E-2</v>
      </c>
      <c r="S49" s="10">
        <f t="shared" ref="S49:S50" si="32">1/(1+EXP(6.04044-0.002133*J49))</f>
        <v>1.1043475079713644E-2</v>
      </c>
      <c r="T49" s="10">
        <f t="shared" ref="T49:T50" si="33">1/(1+EXP(7.5969-0.0011*K49))</f>
        <v>2.0111118776823451E-3</v>
      </c>
      <c r="U49" s="10">
        <f t="shared" ref="U49:U50" si="34">NORMDIST(LN(L49),7.45231,0.73998,1)</f>
        <v>2.3061245723877184E-5</v>
      </c>
      <c r="V49" s="10">
        <f t="shared" ref="V49:V50" si="35">1/(1+EXP(6.3055-0.00094*P49))</f>
        <v>2.2867220103251311E-2</v>
      </c>
      <c r="W49" s="10">
        <f t="shared" ref="W49:W50" si="36">ROUND(1-(1-Q49)*(1-R49)*(1-S49)*(1-T49),3)</f>
        <v>0.04</v>
      </c>
      <c r="X49" s="10">
        <f t="shared" ref="X49:X50" si="37">IF(L49="N/A",L49,ROUND(1-(1-U49)*(1-V49),3))</f>
        <v>2.3E-2</v>
      </c>
      <c r="Y49" s="10">
        <f t="shared" ref="Y49:Y50" si="38">ROUND(AVERAGE(W49:X49),3)</f>
        <v>3.2000000000000001E-2</v>
      </c>
      <c r="Z49" s="23">
        <f t="shared" ref="Z49:Z50" si="39">ROUND(W49/0.15,2)</f>
        <v>0.27</v>
      </c>
      <c r="AA49" s="23">
        <f t="shared" ref="AA49:AA50" si="40">IF(L49="N/A", L49, ROUND(X49/0.15,2))</f>
        <v>0.15</v>
      </c>
      <c r="AB49" s="23">
        <f t="shared" ref="AB49:AB50" si="41">ROUND(Y49/0.15,2)</f>
        <v>0.21</v>
      </c>
      <c r="AC49" s="24">
        <f t="shared" ref="AC49:AC50" si="42">IF(Z49&lt;0.67,5,IF(Z49&lt;1,4,IF(Z49&lt;1.33,3,IF(Z49&lt;2.67,2,1))))</f>
        <v>5</v>
      </c>
      <c r="AD49" s="24">
        <f t="shared" ref="AD49:AD50" si="43">IF(L49="N/A",L49,IF(AA49&lt;0.67,5,IF(AA49&lt;1,4,IF(AA49&lt;1.33,3,IF(AA49&lt;2.67,2,1)))))</f>
        <v>5</v>
      </c>
      <c r="AE49" s="24">
        <f t="shared" ref="AE49:AE50" si="44">IF(AB49&lt;0.67,5,IF(AB49&lt;1,4,IF(AB49&lt;1.33,3,IF(AB49&lt;2.67,2,1))))</f>
        <v>5</v>
      </c>
      <c r="AF49" s="22"/>
      <c r="AG49" s="22"/>
      <c r="AH49" s="22"/>
      <c r="AI49" s="22"/>
      <c r="AJ49" s="21"/>
      <c r="AK49" s="21"/>
      <c r="AL49" s="21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</row>
    <row r="50" spans="1:49">
      <c r="A50" s="45">
        <v>14054</v>
      </c>
      <c r="B50" s="45" t="s">
        <v>201</v>
      </c>
      <c r="C50" s="17" t="str">
        <f>Rollover!A50</f>
        <v>Mazda</v>
      </c>
      <c r="D50" s="17" t="str">
        <f>Rollover!B50</f>
        <v>MX-30 5HB FWD</v>
      </c>
      <c r="E50" s="16" t="s">
        <v>134</v>
      </c>
      <c r="F50" s="17">
        <f>Rollover!C50</f>
        <v>2022</v>
      </c>
      <c r="G50" s="18">
        <v>92.474999999999994</v>
      </c>
      <c r="H50" s="19">
        <v>19.521999999999998</v>
      </c>
      <c r="I50" s="19">
        <v>22.855</v>
      </c>
      <c r="J50" s="19">
        <v>766.09699999999998</v>
      </c>
      <c r="K50" s="20">
        <v>1340.54</v>
      </c>
      <c r="L50" s="18">
        <v>427.46199999999999</v>
      </c>
      <c r="M50" s="19">
        <v>28.584</v>
      </c>
      <c r="N50" s="19">
        <v>70.613</v>
      </c>
      <c r="O50" s="19">
        <v>33.415999999999997</v>
      </c>
      <c r="P50" s="20">
        <v>3886.3119999999999</v>
      </c>
      <c r="Q50" s="66">
        <f t="shared" si="30"/>
        <v>3.8538446823701387E-5</v>
      </c>
      <c r="R50" s="10">
        <f t="shared" si="31"/>
        <v>2.6715612140481099E-2</v>
      </c>
      <c r="S50" s="10">
        <f t="shared" si="32"/>
        <v>1.2052528010456892E-2</v>
      </c>
      <c r="T50" s="10">
        <f t="shared" si="33"/>
        <v>2.1885917244560652E-3</v>
      </c>
      <c r="U50" s="10">
        <f t="shared" si="34"/>
        <v>2.9753043742267334E-2</v>
      </c>
      <c r="V50" s="10">
        <f t="shared" si="35"/>
        <v>6.5843287732628319E-2</v>
      </c>
      <c r="W50" s="10">
        <f t="shared" si="36"/>
        <v>4.1000000000000002E-2</v>
      </c>
      <c r="X50" s="10">
        <f t="shared" si="37"/>
        <v>9.4E-2</v>
      </c>
      <c r="Y50" s="10">
        <f t="shared" si="38"/>
        <v>6.8000000000000005E-2</v>
      </c>
      <c r="Z50" s="23">
        <f t="shared" si="39"/>
        <v>0.27</v>
      </c>
      <c r="AA50" s="23">
        <f t="shared" si="40"/>
        <v>0.63</v>
      </c>
      <c r="AB50" s="23">
        <f t="shared" si="41"/>
        <v>0.45</v>
      </c>
      <c r="AC50" s="24">
        <f t="shared" si="42"/>
        <v>5</v>
      </c>
      <c r="AD50" s="24">
        <f t="shared" si="43"/>
        <v>5</v>
      </c>
      <c r="AE50" s="24">
        <f t="shared" si="44"/>
        <v>5</v>
      </c>
      <c r="AF50" s="22"/>
      <c r="AG50" s="22"/>
      <c r="AH50" s="22"/>
      <c r="AI50" s="22"/>
      <c r="AJ50" s="21"/>
      <c r="AK50" s="21"/>
      <c r="AL50" s="21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</row>
    <row r="51" spans="1:49">
      <c r="A51" s="45">
        <v>10835</v>
      </c>
      <c r="B51" s="69" t="s">
        <v>202</v>
      </c>
      <c r="C51" s="17" t="str">
        <f>Rollover!A51</f>
        <v xml:space="preserve">Mitsubishi </v>
      </c>
      <c r="D51" s="17" t="str">
        <f>Rollover!B51</f>
        <v>Eclipse Cross SUV AWD</v>
      </c>
      <c r="E51" s="16" t="s">
        <v>187</v>
      </c>
      <c r="F51" s="17">
        <f>Rollover!C51</f>
        <v>2022</v>
      </c>
      <c r="G51" s="18">
        <v>144.69499999999999</v>
      </c>
      <c r="H51" s="19">
        <v>11.705</v>
      </c>
      <c r="I51" s="19">
        <v>26.678999999999998</v>
      </c>
      <c r="J51" s="19">
        <v>683.97900000000004</v>
      </c>
      <c r="K51" s="20">
        <v>1298.925</v>
      </c>
      <c r="L51" s="18">
        <v>162.101</v>
      </c>
      <c r="M51" s="19">
        <v>15.973000000000001</v>
      </c>
      <c r="N51" s="19">
        <v>55.374000000000002</v>
      </c>
      <c r="O51" s="19">
        <v>38.148000000000003</v>
      </c>
      <c r="P51" s="20">
        <v>2064.259</v>
      </c>
      <c r="Q51" s="66">
        <f t="shared" ref="Q51:Q59" si="45">NORMDIST(LN(G51),7.45231,0.73998,1)</f>
        <v>4.065310636660894E-4</v>
      </c>
      <c r="R51" s="10">
        <f t="shared" ref="R51:R59" si="46">1/(1+EXP(5.3895-0.0919*H51))</f>
        <v>1.3205733279719625E-2</v>
      </c>
      <c r="S51" s="10">
        <f t="shared" ref="S51:S59" si="47">1/(1+EXP(6.04044-0.002133*J51))</f>
        <v>1.0135611960285668E-2</v>
      </c>
      <c r="T51" s="10">
        <f t="shared" ref="T51:T59" si="48">1/(1+EXP(7.5969-0.0011*K51))</f>
        <v>2.0908688999106092E-3</v>
      </c>
      <c r="U51" s="10">
        <f t="shared" ref="U51:U59" si="49">NORMDIST(LN(L51),7.45231,0.73998,1)</f>
        <v>6.9963133102703167E-4</v>
      </c>
      <c r="V51" s="10">
        <f t="shared" ref="V51:V59" si="50">1/(1+EXP(6.3055-0.00094*P51))</f>
        <v>1.2553825606703666E-2</v>
      </c>
      <c r="W51" s="10">
        <f t="shared" ref="W51:W59" si="51">ROUND(1-(1-Q51)*(1-R51)*(1-S51)*(1-T51),3)</f>
        <v>2.5999999999999999E-2</v>
      </c>
      <c r="X51" s="10">
        <f t="shared" ref="X51:X59" si="52">IF(L51="N/A",L51,ROUND(1-(1-U51)*(1-V51),3))</f>
        <v>1.2999999999999999E-2</v>
      </c>
      <c r="Y51" s="10">
        <f t="shared" ref="Y51:Y59" si="53">ROUND(AVERAGE(W51:X51),3)</f>
        <v>0.02</v>
      </c>
      <c r="Z51" s="23">
        <f t="shared" ref="Z51:Z59" si="54">ROUND(W51/0.15,2)</f>
        <v>0.17</v>
      </c>
      <c r="AA51" s="23">
        <f t="shared" ref="AA51:AA59" si="55">IF(L51="N/A", L51, ROUND(X51/0.15,2))</f>
        <v>0.09</v>
      </c>
      <c r="AB51" s="23">
        <f t="shared" ref="AB51:AB59" si="56">ROUND(Y51/0.15,2)</f>
        <v>0.13</v>
      </c>
      <c r="AC51" s="24">
        <f t="shared" ref="AC51:AC59" si="57">IF(Z51&lt;0.67,5,IF(Z51&lt;1,4,IF(Z51&lt;1.33,3,IF(Z51&lt;2.67,2,1))))</f>
        <v>5</v>
      </c>
      <c r="AD51" s="24">
        <f t="shared" ref="AD51:AD59" si="58">IF(L51="N/A",L51,IF(AA51&lt;0.67,5,IF(AA51&lt;1,4,IF(AA51&lt;1.33,3,IF(AA51&lt;2.67,2,1)))))</f>
        <v>5</v>
      </c>
      <c r="AE51" s="24">
        <f t="shared" ref="AE51:AE59" si="59">IF(AB51&lt;0.67,5,IF(AB51&lt;1,4,IF(AB51&lt;1.33,3,IF(AB51&lt;2.67,2,1))))</f>
        <v>5</v>
      </c>
      <c r="AF51" s="22"/>
      <c r="AG51" s="22"/>
      <c r="AH51" s="22"/>
      <c r="AI51" s="22"/>
      <c r="AJ51" s="21"/>
      <c r="AK51" s="21"/>
      <c r="AL51" s="21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</row>
    <row r="52" spans="1:49">
      <c r="A52" s="45">
        <v>10835</v>
      </c>
      <c r="B52" s="69" t="s">
        <v>202</v>
      </c>
      <c r="C52" s="17" t="str">
        <f>Rollover!A52</f>
        <v xml:space="preserve">Mitsubishi </v>
      </c>
      <c r="D52" s="17" t="str">
        <f>Rollover!B52</f>
        <v>Eclipse Cross SUV FWD</v>
      </c>
      <c r="E52" s="16" t="s">
        <v>187</v>
      </c>
      <c r="F52" s="17">
        <f>Rollover!C52</f>
        <v>2022</v>
      </c>
      <c r="G52" s="18">
        <v>144.69499999999999</v>
      </c>
      <c r="H52" s="19">
        <v>11.705</v>
      </c>
      <c r="I52" s="19">
        <v>26.678999999999998</v>
      </c>
      <c r="J52" s="19">
        <v>683.97900000000004</v>
      </c>
      <c r="K52" s="20">
        <v>1298.925</v>
      </c>
      <c r="L52" s="18">
        <v>162.101</v>
      </c>
      <c r="M52" s="19">
        <v>15.973000000000001</v>
      </c>
      <c r="N52" s="19">
        <v>55.374000000000002</v>
      </c>
      <c r="O52" s="19">
        <v>38.148000000000003</v>
      </c>
      <c r="P52" s="20">
        <v>2064.259</v>
      </c>
      <c r="Q52" s="66">
        <f t="shared" si="45"/>
        <v>4.065310636660894E-4</v>
      </c>
      <c r="R52" s="10">
        <f t="shared" si="46"/>
        <v>1.3205733279719625E-2</v>
      </c>
      <c r="S52" s="10">
        <f t="shared" si="47"/>
        <v>1.0135611960285668E-2</v>
      </c>
      <c r="T52" s="10">
        <f t="shared" si="48"/>
        <v>2.0908688999106092E-3</v>
      </c>
      <c r="U52" s="10">
        <f t="shared" si="49"/>
        <v>6.9963133102703167E-4</v>
      </c>
      <c r="V52" s="10">
        <f t="shared" si="50"/>
        <v>1.2553825606703666E-2</v>
      </c>
      <c r="W52" s="10">
        <f t="shared" si="51"/>
        <v>2.5999999999999999E-2</v>
      </c>
      <c r="X52" s="10">
        <f t="shared" si="52"/>
        <v>1.2999999999999999E-2</v>
      </c>
      <c r="Y52" s="10">
        <f t="shared" si="53"/>
        <v>0.02</v>
      </c>
      <c r="Z52" s="23">
        <f t="shared" si="54"/>
        <v>0.17</v>
      </c>
      <c r="AA52" s="23">
        <f t="shared" si="55"/>
        <v>0.09</v>
      </c>
      <c r="AB52" s="23">
        <f t="shared" si="56"/>
        <v>0.13</v>
      </c>
      <c r="AC52" s="24">
        <f t="shared" si="57"/>
        <v>5</v>
      </c>
      <c r="AD52" s="24">
        <f t="shared" si="58"/>
        <v>5</v>
      </c>
      <c r="AE52" s="24">
        <f t="shared" si="59"/>
        <v>5</v>
      </c>
      <c r="AF52" s="22"/>
      <c r="AG52" s="22"/>
      <c r="AH52" s="22"/>
      <c r="AI52" s="22"/>
      <c r="AJ52" s="21"/>
      <c r="AK52" s="21"/>
      <c r="AL52" s="21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</row>
    <row r="53" spans="1:49">
      <c r="A53" s="45">
        <v>14060</v>
      </c>
      <c r="B53" s="45" t="s">
        <v>203</v>
      </c>
      <c r="C53" s="17" t="str">
        <f>Rollover!A53</f>
        <v>Nissan</v>
      </c>
      <c r="D53" s="17" t="str">
        <f>Rollover!B53</f>
        <v>Altima 4DR FWD</v>
      </c>
      <c r="E53" s="16" t="s">
        <v>134</v>
      </c>
      <c r="F53" s="17">
        <f>Rollover!C53</f>
        <v>2022</v>
      </c>
      <c r="G53" s="18">
        <v>169.42699999999999</v>
      </c>
      <c r="H53" s="19">
        <v>32.033000000000001</v>
      </c>
      <c r="I53" s="19">
        <v>45.564</v>
      </c>
      <c r="J53" s="19">
        <v>1000.11</v>
      </c>
      <c r="K53" s="20">
        <v>2233.069</v>
      </c>
      <c r="L53" s="18">
        <v>196.02199999999999</v>
      </c>
      <c r="M53" s="19">
        <v>17.149999999999999</v>
      </c>
      <c r="N53" s="19">
        <v>43.491999999999997</v>
      </c>
      <c r="O53" s="19">
        <v>17.510999999999999</v>
      </c>
      <c r="P53" s="20">
        <v>2593.3270000000002</v>
      </c>
      <c r="Q53" s="66">
        <f t="shared" si="45"/>
        <v>8.5907050488750753E-4</v>
      </c>
      <c r="R53" s="10">
        <f t="shared" si="46"/>
        <v>7.9755969051237482E-2</v>
      </c>
      <c r="S53" s="10">
        <f t="shared" si="47"/>
        <v>1.9700669005119735E-2</v>
      </c>
      <c r="T53" s="10">
        <f t="shared" si="48"/>
        <v>5.820543429615019E-3</v>
      </c>
      <c r="U53" s="10">
        <f t="shared" si="49"/>
        <v>1.6515277261540105E-3</v>
      </c>
      <c r="V53" s="10">
        <f t="shared" si="50"/>
        <v>2.0476815337875025E-2</v>
      </c>
      <c r="W53" s="10">
        <f t="shared" si="51"/>
        <v>0.104</v>
      </c>
      <c r="X53" s="10">
        <f t="shared" si="52"/>
        <v>2.1999999999999999E-2</v>
      </c>
      <c r="Y53" s="10">
        <f t="shared" si="53"/>
        <v>6.3E-2</v>
      </c>
      <c r="Z53" s="23">
        <f t="shared" si="54"/>
        <v>0.69</v>
      </c>
      <c r="AA53" s="23">
        <f t="shared" si="55"/>
        <v>0.15</v>
      </c>
      <c r="AB53" s="23">
        <f t="shared" si="56"/>
        <v>0.42</v>
      </c>
      <c r="AC53" s="24">
        <f t="shared" si="57"/>
        <v>4</v>
      </c>
      <c r="AD53" s="24">
        <f t="shared" si="58"/>
        <v>5</v>
      </c>
      <c r="AE53" s="24">
        <f t="shared" si="59"/>
        <v>5</v>
      </c>
      <c r="AF53" s="22"/>
      <c r="AG53" s="22"/>
      <c r="AH53" s="22"/>
      <c r="AI53" s="22"/>
      <c r="AJ53" s="21"/>
      <c r="AK53" s="21"/>
      <c r="AL53" s="21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</row>
    <row r="54" spans="1:49">
      <c r="A54" s="45">
        <v>14060</v>
      </c>
      <c r="B54" s="45" t="s">
        <v>203</v>
      </c>
      <c r="C54" s="16" t="str">
        <f>Rollover!A54</f>
        <v>Nissan</v>
      </c>
      <c r="D54" s="16" t="str">
        <f>Rollover!B54</f>
        <v>Altima 4DR AWD</v>
      </c>
      <c r="E54" s="16" t="s">
        <v>134</v>
      </c>
      <c r="F54" s="17">
        <f>Rollover!C54</f>
        <v>2022</v>
      </c>
      <c r="G54" s="18">
        <v>169.42699999999999</v>
      </c>
      <c r="H54" s="19">
        <v>32.033000000000001</v>
      </c>
      <c r="I54" s="19">
        <v>45.564</v>
      </c>
      <c r="J54" s="19">
        <v>1000.11</v>
      </c>
      <c r="K54" s="20">
        <v>2233.069</v>
      </c>
      <c r="L54" s="18">
        <v>196.02199999999999</v>
      </c>
      <c r="M54" s="19">
        <v>17.149999999999999</v>
      </c>
      <c r="N54" s="19">
        <v>43.491999999999997</v>
      </c>
      <c r="O54" s="19">
        <v>17.510999999999999</v>
      </c>
      <c r="P54" s="20">
        <v>2593.3270000000002</v>
      </c>
      <c r="Q54" s="66">
        <f t="shared" si="45"/>
        <v>8.5907050488750753E-4</v>
      </c>
      <c r="R54" s="10">
        <f t="shared" si="46"/>
        <v>7.9755969051237482E-2</v>
      </c>
      <c r="S54" s="10">
        <f t="shared" si="47"/>
        <v>1.9700669005119735E-2</v>
      </c>
      <c r="T54" s="10">
        <f t="shared" si="48"/>
        <v>5.820543429615019E-3</v>
      </c>
      <c r="U54" s="10">
        <f t="shared" si="49"/>
        <v>1.6515277261540105E-3</v>
      </c>
      <c r="V54" s="10">
        <f t="shared" si="50"/>
        <v>2.0476815337875025E-2</v>
      </c>
      <c r="W54" s="10">
        <f t="shared" si="51"/>
        <v>0.104</v>
      </c>
      <c r="X54" s="10">
        <f t="shared" si="52"/>
        <v>2.1999999999999999E-2</v>
      </c>
      <c r="Y54" s="10">
        <f t="shared" si="53"/>
        <v>6.3E-2</v>
      </c>
      <c r="Z54" s="23">
        <f t="shared" si="54"/>
        <v>0.69</v>
      </c>
      <c r="AA54" s="23">
        <f t="shared" si="55"/>
        <v>0.15</v>
      </c>
      <c r="AB54" s="23">
        <f t="shared" si="56"/>
        <v>0.42</v>
      </c>
      <c r="AC54" s="24">
        <f t="shared" si="57"/>
        <v>4</v>
      </c>
      <c r="AD54" s="24">
        <f t="shared" si="58"/>
        <v>5</v>
      </c>
      <c r="AE54" s="24">
        <f t="shared" si="59"/>
        <v>5</v>
      </c>
      <c r="AF54" s="22"/>
      <c r="AG54" s="22"/>
      <c r="AH54" s="22"/>
      <c r="AI54" s="22"/>
      <c r="AJ54" s="21"/>
      <c r="AK54" s="21"/>
      <c r="AL54" s="21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</row>
    <row r="55" spans="1:49">
      <c r="A55" s="45">
        <v>14072</v>
      </c>
      <c r="B55" s="45" t="s">
        <v>204</v>
      </c>
      <c r="C55" s="17" t="str">
        <f>Rollover!A55</f>
        <v>Nissan</v>
      </c>
      <c r="D55" s="17" t="str">
        <f>Rollover!B55</f>
        <v>Frontier Crew Cab PU/CC RWD</v>
      </c>
      <c r="E55" s="16" t="s">
        <v>134</v>
      </c>
      <c r="F55" s="17">
        <f>Rollover!C55</f>
        <v>2022</v>
      </c>
      <c r="G55" s="18">
        <v>58.296999999999997</v>
      </c>
      <c r="H55" s="19">
        <v>22.007999999999999</v>
      </c>
      <c r="I55" s="19" t="s">
        <v>205</v>
      </c>
      <c r="J55" s="19">
        <v>755.28899999999999</v>
      </c>
      <c r="K55" s="20">
        <v>1410.307</v>
      </c>
      <c r="L55" s="18">
        <v>136.72800000000001</v>
      </c>
      <c r="M55" s="19">
        <v>8.5730000000000004</v>
      </c>
      <c r="N55" s="19">
        <v>54.496000000000002</v>
      </c>
      <c r="O55" s="19">
        <v>17.327999999999999</v>
      </c>
      <c r="P55" s="20">
        <v>3538.6129999999998</v>
      </c>
      <c r="Q55" s="66">
        <f t="shared" si="45"/>
        <v>2.3604241336802853E-6</v>
      </c>
      <c r="R55" s="10">
        <f t="shared" si="46"/>
        <v>3.3344001503048191E-2</v>
      </c>
      <c r="S55" s="10">
        <f t="shared" si="47"/>
        <v>1.1781089713329709E-2</v>
      </c>
      <c r="T55" s="10">
        <f t="shared" si="48"/>
        <v>2.3627529190961634E-3</v>
      </c>
      <c r="U55" s="10">
        <f t="shared" si="49"/>
        <v>3.0757567384264437E-4</v>
      </c>
      <c r="V55" s="10">
        <f t="shared" si="50"/>
        <v>4.8374268892332782E-2</v>
      </c>
      <c r="W55" s="10">
        <f t="shared" si="51"/>
        <v>4.7E-2</v>
      </c>
      <c r="X55" s="10">
        <f t="shared" si="52"/>
        <v>4.9000000000000002E-2</v>
      </c>
      <c r="Y55" s="10">
        <f t="shared" si="53"/>
        <v>4.8000000000000001E-2</v>
      </c>
      <c r="Z55" s="23">
        <f t="shared" si="54"/>
        <v>0.31</v>
      </c>
      <c r="AA55" s="23">
        <f t="shared" si="55"/>
        <v>0.33</v>
      </c>
      <c r="AB55" s="23">
        <f t="shared" si="56"/>
        <v>0.32</v>
      </c>
      <c r="AC55" s="24">
        <f t="shared" si="57"/>
        <v>5</v>
      </c>
      <c r="AD55" s="24">
        <f t="shared" si="58"/>
        <v>5</v>
      </c>
      <c r="AE55" s="24">
        <f t="shared" si="59"/>
        <v>5</v>
      </c>
      <c r="AF55" s="22"/>
      <c r="AG55" s="22"/>
      <c r="AH55" s="22"/>
      <c r="AI55" s="22"/>
      <c r="AJ55" s="21"/>
      <c r="AK55" s="21"/>
      <c r="AL55" s="21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</row>
    <row r="56" spans="1:49">
      <c r="A56" s="45">
        <v>14072</v>
      </c>
      <c r="B56" s="45" t="s">
        <v>204</v>
      </c>
      <c r="C56" s="17" t="str">
        <f>Rollover!A56</f>
        <v>Nissan</v>
      </c>
      <c r="D56" s="17" t="str">
        <f>Rollover!B56</f>
        <v>Frontier Crew Cab PU/CC 4WD</v>
      </c>
      <c r="E56" s="70" t="s">
        <v>134</v>
      </c>
      <c r="F56" s="17">
        <f>Rollover!C56</f>
        <v>2022</v>
      </c>
      <c r="G56" s="18">
        <v>58.296999999999997</v>
      </c>
      <c r="H56" s="19">
        <v>22.007999999999999</v>
      </c>
      <c r="I56" s="19" t="s">
        <v>205</v>
      </c>
      <c r="J56" s="19">
        <v>755.28899999999999</v>
      </c>
      <c r="K56" s="20">
        <v>1410.307</v>
      </c>
      <c r="L56" s="18">
        <v>136.72800000000001</v>
      </c>
      <c r="M56" s="19">
        <v>8.5730000000000004</v>
      </c>
      <c r="N56" s="19">
        <v>54.496000000000002</v>
      </c>
      <c r="O56" s="19">
        <v>17.327999999999999</v>
      </c>
      <c r="P56" s="20">
        <v>3538.6129999999998</v>
      </c>
      <c r="Q56" s="66">
        <f t="shared" si="45"/>
        <v>2.3604241336802853E-6</v>
      </c>
      <c r="R56" s="10">
        <f t="shared" si="46"/>
        <v>3.3344001503048191E-2</v>
      </c>
      <c r="S56" s="10">
        <f t="shared" si="47"/>
        <v>1.1781089713329709E-2</v>
      </c>
      <c r="T56" s="10">
        <f t="shared" si="48"/>
        <v>2.3627529190961634E-3</v>
      </c>
      <c r="U56" s="10">
        <f t="shared" si="49"/>
        <v>3.0757567384264437E-4</v>
      </c>
      <c r="V56" s="10">
        <f t="shared" si="50"/>
        <v>4.8374268892332782E-2</v>
      </c>
      <c r="W56" s="10">
        <f t="shared" si="51"/>
        <v>4.7E-2</v>
      </c>
      <c r="X56" s="10">
        <f t="shared" si="52"/>
        <v>4.9000000000000002E-2</v>
      </c>
      <c r="Y56" s="10">
        <f t="shared" si="53"/>
        <v>4.8000000000000001E-2</v>
      </c>
      <c r="Z56" s="23">
        <f t="shared" si="54"/>
        <v>0.31</v>
      </c>
      <c r="AA56" s="23">
        <f t="shared" si="55"/>
        <v>0.33</v>
      </c>
      <c r="AB56" s="23">
        <f t="shared" si="56"/>
        <v>0.32</v>
      </c>
      <c r="AC56" s="24">
        <f t="shared" si="57"/>
        <v>5</v>
      </c>
      <c r="AD56" s="24">
        <f t="shared" si="58"/>
        <v>5</v>
      </c>
      <c r="AE56" s="24">
        <f t="shared" si="59"/>
        <v>5</v>
      </c>
      <c r="AF56" s="22"/>
      <c r="AG56" s="22"/>
      <c r="AH56" s="22"/>
      <c r="AI56" s="22"/>
      <c r="AJ56" s="21"/>
      <c r="AK56" s="21"/>
      <c r="AL56" s="21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</row>
    <row r="57" spans="1:49">
      <c r="A57" s="45"/>
      <c r="B57" s="45"/>
      <c r="C57" s="16" t="str">
        <f>Rollover!A57</f>
        <v>Nissan</v>
      </c>
      <c r="D57" s="16" t="str">
        <f>Rollover!B57</f>
        <v>Frontier King Cab PU/EC RWD</v>
      </c>
      <c r="E57" s="16"/>
      <c r="F57" s="17">
        <f>Rollover!C57</f>
        <v>2022</v>
      </c>
      <c r="G57" s="18"/>
      <c r="H57" s="19"/>
      <c r="I57" s="19"/>
      <c r="J57" s="19"/>
      <c r="K57" s="20"/>
      <c r="L57" s="18"/>
      <c r="M57" s="19"/>
      <c r="N57" s="19"/>
      <c r="O57" s="19"/>
      <c r="P57" s="20"/>
      <c r="Q57" s="66" t="e">
        <f t="shared" si="45"/>
        <v>#NUM!</v>
      </c>
      <c r="R57" s="10">
        <f t="shared" si="46"/>
        <v>4.5435171224880964E-3</v>
      </c>
      <c r="S57" s="10">
        <f t="shared" si="47"/>
        <v>2.3748578822706131E-3</v>
      </c>
      <c r="T57" s="10">
        <f t="shared" si="48"/>
        <v>5.0175335722563109E-4</v>
      </c>
      <c r="U57" s="10" t="e">
        <f t="shared" si="49"/>
        <v>#NUM!</v>
      </c>
      <c r="V57" s="10">
        <f t="shared" si="50"/>
        <v>1.8229037773026034E-3</v>
      </c>
      <c r="W57" s="10" t="e">
        <f t="shared" si="51"/>
        <v>#NUM!</v>
      </c>
      <c r="X57" s="10" t="e">
        <f t="shared" si="52"/>
        <v>#NUM!</v>
      </c>
      <c r="Y57" s="10" t="e">
        <f t="shared" si="53"/>
        <v>#NUM!</v>
      </c>
      <c r="Z57" s="23" t="e">
        <f t="shared" si="54"/>
        <v>#NUM!</v>
      </c>
      <c r="AA57" s="23" t="e">
        <f t="shared" si="55"/>
        <v>#NUM!</v>
      </c>
      <c r="AB57" s="23" t="e">
        <f t="shared" si="56"/>
        <v>#NUM!</v>
      </c>
      <c r="AC57" s="24" t="e">
        <f t="shared" si="57"/>
        <v>#NUM!</v>
      </c>
      <c r="AD57" s="24" t="e">
        <f t="shared" si="58"/>
        <v>#NUM!</v>
      </c>
      <c r="AE57" s="24" t="e">
        <f t="shared" si="59"/>
        <v>#NUM!</v>
      </c>
      <c r="AF57" s="22"/>
      <c r="AG57" s="22"/>
      <c r="AH57" s="22"/>
      <c r="AI57" s="22"/>
      <c r="AJ57" s="21"/>
      <c r="AK57" s="21"/>
      <c r="AL57" s="21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</row>
    <row r="58" spans="1:49">
      <c r="A58" s="45"/>
      <c r="B58" s="45"/>
      <c r="C58" s="16" t="str">
        <f>Rollover!A58</f>
        <v>Nissan</v>
      </c>
      <c r="D58" s="16" t="str">
        <f>Rollover!B58</f>
        <v>Frontier King Cab PU/EC 4WD</v>
      </c>
      <c r="E58" s="16"/>
      <c r="F58" s="17">
        <f>Rollover!C58</f>
        <v>2022</v>
      </c>
      <c r="G58" s="18"/>
      <c r="H58" s="19"/>
      <c r="I58" s="19"/>
      <c r="J58" s="19"/>
      <c r="K58" s="20"/>
      <c r="L58" s="18"/>
      <c r="M58" s="19"/>
      <c r="N58" s="19"/>
      <c r="O58" s="19"/>
      <c r="P58" s="20"/>
      <c r="Q58" s="66" t="e">
        <f t="shared" si="45"/>
        <v>#NUM!</v>
      </c>
      <c r="R58" s="10">
        <f t="shared" si="46"/>
        <v>4.5435171224880964E-3</v>
      </c>
      <c r="S58" s="10">
        <f t="shared" si="47"/>
        <v>2.3748578822706131E-3</v>
      </c>
      <c r="T58" s="10">
        <f t="shared" si="48"/>
        <v>5.0175335722563109E-4</v>
      </c>
      <c r="U58" s="10" t="e">
        <f t="shared" si="49"/>
        <v>#NUM!</v>
      </c>
      <c r="V58" s="10">
        <f t="shared" si="50"/>
        <v>1.8229037773026034E-3</v>
      </c>
      <c r="W58" s="10" t="e">
        <f t="shared" si="51"/>
        <v>#NUM!</v>
      </c>
      <c r="X58" s="10" t="e">
        <f t="shared" si="52"/>
        <v>#NUM!</v>
      </c>
      <c r="Y58" s="10" t="e">
        <f t="shared" si="53"/>
        <v>#NUM!</v>
      </c>
      <c r="Z58" s="23" t="e">
        <f t="shared" si="54"/>
        <v>#NUM!</v>
      </c>
      <c r="AA58" s="23" t="e">
        <f t="shared" si="55"/>
        <v>#NUM!</v>
      </c>
      <c r="AB58" s="23" t="e">
        <f t="shared" si="56"/>
        <v>#NUM!</v>
      </c>
      <c r="AC58" s="24" t="e">
        <f t="shared" si="57"/>
        <v>#NUM!</v>
      </c>
      <c r="AD58" s="24" t="e">
        <f t="shared" si="58"/>
        <v>#NUM!</v>
      </c>
      <c r="AE58" s="24" t="e">
        <f t="shared" si="59"/>
        <v>#NUM!</v>
      </c>
      <c r="AF58" s="22"/>
      <c r="AG58" s="22"/>
      <c r="AH58" s="22"/>
      <c r="AI58" s="22"/>
      <c r="AJ58" s="21"/>
      <c r="AK58" s="21"/>
      <c r="AL58" s="21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</row>
    <row r="59" spans="1:49">
      <c r="A59" s="45">
        <v>14089</v>
      </c>
      <c r="B59" s="45" t="s">
        <v>206</v>
      </c>
      <c r="C59" s="17" t="str">
        <f>Rollover!A59</f>
        <v>Nissan</v>
      </c>
      <c r="D59" s="17" t="str">
        <f>Rollover!B59</f>
        <v>Pathfinder SUV FWD</v>
      </c>
      <c r="E59" s="16" t="s">
        <v>187</v>
      </c>
      <c r="F59" s="17">
        <f>Rollover!C59</f>
        <v>2022</v>
      </c>
      <c r="G59" s="18">
        <v>84.441000000000003</v>
      </c>
      <c r="H59" s="19">
        <v>23.286000000000001</v>
      </c>
      <c r="I59" s="19">
        <v>27.292999999999999</v>
      </c>
      <c r="J59" s="19">
        <v>613.43200000000002</v>
      </c>
      <c r="K59" s="20">
        <v>1084.8599999999999</v>
      </c>
      <c r="L59" s="18">
        <v>88.45</v>
      </c>
      <c r="M59" s="19">
        <v>14.617000000000001</v>
      </c>
      <c r="N59" s="19">
        <v>33.095999999999997</v>
      </c>
      <c r="O59" s="19">
        <v>11.087</v>
      </c>
      <c r="P59" s="20">
        <v>2048.7779999999998</v>
      </c>
      <c r="Q59" s="66">
        <f t="shared" si="45"/>
        <v>2.2895412295419516E-5</v>
      </c>
      <c r="R59" s="10">
        <f t="shared" si="46"/>
        <v>3.7344261527439623E-2</v>
      </c>
      <c r="S59" s="10">
        <f t="shared" si="47"/>
        <v>8.7320082141982107E-3</v>
      </c>
      <c r="T59" s="10">
        <f t="shared" si="48"/>
        <v>1.652925892153336E-3</v>
      </c>
      <c r="U59" s="10">
        <f t="shared" si="49"/>
        <v>2.9918867062888529E-5</v>
      </c>
      <c r="V59" s="10">
        <f t="shared" si="50"/>
        <v>1.2374707688164831E-2</v>
      </c>
      <c r="W59" s="10">
        <f t="shared" si="51"/>
        <v>4.7E-2</v>
      </c>
      <c r="X59" s="10">
        <f t="shared" si="52"/>
        <v>1.2E-2</v>
      </c>
      <c r="Y59" s="10">
        <f t="shared" si="53"/>
        <v>0.03</v>
      </c>
      <c r="Z59" s="23">
        <f t="shared" si="54"/>
        <v>0.31</v>
      </c>
      <c r="AA59" s="23">
        <f t="shared" si="55"/>
        <v>0.08</v>
      </c>
      <c r="AB59" s="23">
        <f t="shared" si="56"/>
        <v>0.2</v>
      </c>
      <c r="AC59" s="24">
        <f t="shared" si="57"/>
        <v>5</v>
      </c>
      <c r="AD59" s="24">
        <f t="shared" si="58"/>
        <v>5</v>
      </c>
      <c r="AE59" s="24">
        <f t="shared" si="59"/>
        <v>5</v>
      </c>
      <c r="AF59" s="22"/>
      <c r="AG59" s="22"/>
      <c r="AH59" s="22"/>
      <c r="AI59" s="22"/>
      <c r="AJ59" s="21"/>
      <c r="AK59" s="21"/>
      <c r="AL59" s="21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</row>
    <row r="60" spans="1:49">
      <c r="A60" s="45">
        <v>14089</v>
      </c>
      <c r="B60" s="45" t="s">
        <v>206</v>
      </c>
      <c r="C60" s="16" t="str">
        <f>Rollover!A60</f>
        <v>Nissan</v>
      </c>
      <c r="D60" s="16" t="str">
        <f>Rollover!B60</f>
        <v>Pathfinder SUV AWD</v>
      </c>
      <c r="E60" s="70" t="s">
        <v>187</v>
      </c>
      <c r="F60" s="17">
        <f>Rollover!C60</f>
        <v>2022</v>
      </c>
      <c r="G60" s="18">
        <v>84.441000000000003</v>
      </c>
      <c r="H60" s="19">
        <v>23.286000000000001</v>
      </c>
      <c r="I60" s="19">
        <v>27.292999999999999</v>
      </c>
      <c r="J60" s="19">
        <v>613.43200000000002</v>
      </c>
      <c r="K60" s="20">
        <v>1084.8599999999999</v>
      </c>
      <c r="L60" s="18">
        <v>88.45</v>
      </c>
      <c r="M60" s="19">
        <v>14.617000000000001</v>
      </c>
      <c r="N60" s="19">
        <v>33.095999999999997</v>
      </c>
      <c r="O60" s="19">
        <v>11.087</v>
      </c>
      <c r="P60" s="20">
        <v>2048.7779999999998</v>
      </c>
      <c r="Q60" s="66">
        <f t="shared" ref="Q60:Q70" si="60">NORMDIST(LN(G60),7.45231,0.73998,1)</f>
        <v>2.2895412295419516E-5</v>
      </c>
      <c r="R60" s="10">
        <f t="shared" ref="R60:R70" si="61">1/(1+EXP(5.3895-0.0919*H60))</f>
        <v>3.7344261527439623E-2</v>
      </c>
      <c r="S60" s="10">
        <f t="shared" ref="S60:S70" si="62">1/(1+EXP(6.04044-0.002133*J60))</f>
        <v>8.7320082141982107E-3</v>
      </c>
      <c r="T60" s="10">
        <f t="shared" ref="T60:T70" si="63">1/(1+EXP(7.5969-0.0011*K60))</f>
        <v>1.652925892153336E-3</v>
      </c>
      <c r="U60" s="10">
        <f t="shared" ref="U60:U70" si="64">NORMDIST(LN(L60),7.45231,0.73998,1)</f>
        <v>2.9918867062888529E-5</v>
      </c>
      <c r="V60" s="10">
        <f t="shared" ref="V60:V70" si="65">1/(1+EXP(6.3055-0.00094*P60))</f>
        <v>1.2374707688164831E-2</v>
      </c>
      <c r="W60" s="10">
        <f t="shared" ref="W60:W70" si="66">ROUND(1-(1-Q60)*(1-R60)*(1-S60)*(1-T60),3)</f>
        <v>4.7E-2</v>
      </c>
      <c r="X60" s="10">
        <f t="shared" ref="X60:X70" si="67">IF(L60="N/A",L60,ROUND(1-(1-U60)*(1-V60),3))</f>
        <v>1.2E-2</v>
      </c>
      <c r="Y60" s="10">
        <f t="shared" ref="Y60:Y70" si="68">ROUND(AVERAGE(W60:X60),3)</f>
        <v>0.03</v>
      </c>
      <c r="Z60" s="23">
        <f t="shared" ref="Z60:Z70" si="69">ROUND(W60/0.15,2)</f>
        <v>0.31</v>
      </c>
      <c r="AA60" s="23">
        <f t="shared" ref="AA60:AA70" si="70">IF(L60="N/A", L60, ROUND(X60/0.15,2))</f>
        <v>0.08</v>
      </c>
      <c r="AB60" s="23">
        <f t="shared" ref="AB60:AB70" si="71">ROUND(Y60/0.15,2)</f>
        <v>0.2</v>
      </c>
      <c r="AC60" s="24">
        <f t="shared" ref="AC60:AC70" si="72">IF(Z60&lt;0.67,5,IF(Z60&lt;1,4,IF(Z60&lt;1.33,3,IF(Z60&lt;2.67,2,1))))</f>
        <v>5</v>
      </c>
      <c r="AD60" s="24">
        <f t="shared" ref="AD60:AD70" si="73">IF(L60="N/A",L60,IF(AA60&lt;0.67,5,IF(AA60&lt;1,4,IF(AA60&lt;1.33,3,IF(AA60&lt;2.67,2,1)))))</f>
        <v>5</v>
      </c>
      <c r="AE60" s="24">
        <f t="shared" ref="AE60:AE70" si="74">IF(AB60&lt;0.67,5,IF(AB60&lt;1,4,IF(AB60&lt;1.33,3,IF(AB60&lt;2.67,2,1))))</f>
        <v>5</v>
      </c>
      <c r="AF60" s="22"/>
      <c r="AG60" s="22"/>
      <c r="AH60" s="22"/>
      <c r="AI60" s="22"/>
      <c r="AJ60" s="21"/>
      <c r="AK60" s="21"/>
      <c r="AL60" s="21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</row>
    <row r="61" spans="1:49">
      <c r="A61" s="45">
        <v>14089</v>
      </c>
      <c r="B61" s="45" t="s">
        <v>206</v>
      </c>
      <c r="C61" s="16" t="str">
        <f>Rollover!A61</f>
        <v xml:space="preserve">Infiniti </v>
      </c>
      <c r="D61" s="16" t="str">
        <f>Rollover!B61</f>
        <v>QX60 SUV FWD</v>
      </c>
      <c r="E61" s="70" t="s">
        <v>187</v>
      </c>
      <c r="F61" s="17">
        <f>Rollover!C61</f>
        <v>2022</v>
      </c>
      <c r="G61" s="18">
        <v>84.441000000000003</v>
      </c>
      <c r="H61" s="19">
        <v>23.286000000000001</v>
      </c>
      <c r="I61" s="19">
        <v>27.292999999999999</v>
      </c>
      <c r="J61" s="19">
        <v>613.43200000000002</v>
      </c>
      <c r="K61" s="20">
        <v>1084.8599999999999</v>
      </c>
      <c r="L61" s="18">
        <v>88.45</v>
      </c>
      <c r="M61" s="19">
        <v>14.617000000000001</v>
      </c>
      <c r="N61" s="19">
        <v>33.095999999999997</v>
      </c>
      <c r="O61" s="19">
        <v>11.087</v>
      </c>
      <c r="P61" s="20">
        <v>2048.7779999999998</v>
      </c>
      <c r="Q61" s="66">
        <f t="shared" ref="Q61:Q64" si="75">NORMDIST(LN(G61),7.45231,0.73998,1)</f>
        <v>2.2895412295419516E-5</v>
      </c>
      <c r="R61" s="10">
        <f t="shared" ref="R61:R64" si="76">1/(1+EXP(5.3895-0.0919*H61))</f>
        <v>3.7344261527439623E-2</v>
      </c>
      <c r="S61" s="10">
        <f t="shared" ref="S61:S64" si="77">1/(1+EXP(6.04044-0.002133*J61))</f>
        <v>8.7320082141982107E-3</v>
      </c>
      <c r="T61" s="10">
        <f t="shared" ref="T61:T64" si="78">1/(1+EXP(7.5969-0.0011*K61))</f>
        <v>1.652925892153336E-3</v>
      </c>
      <c r="U61" s="10">
        <f t="shared" ref="U61:U64" si="79">NORMDIST(LN(L61),7.45231,0.73998,1)</f>
        <v>2.9918867062888529E-5</v>
      </c>
      <c r="V61" s="10">
        <f t="shared" ref="V61:V64" si="80">1/(1+EXP(6.3055-0.00094*P61))</f>
        <v>1.2374707688164831E-2</v>
      </c>
      <c r="W61" s="10">
        <f t="shared" ref="W61:W64" si="81">ROUND(1-(1-Q61)*(1-R61)*(1-S61)*(1-T61),3)</f>
        <v>4.7E-2</v>
      </c>
      <c r="X61" s="10">
        <f t="shared" ref="X61:X64" si="82">IF(L61="N/A",L61,ROUND(1-(1-U61)*(1-V61),3))</f>
        <v>1.2E-2</v>
      </c>
      <c r="Y61" s="10">
        <f t="shared" ref="Y61:Y64" si="83">ROUND(AVERAGE(W61:X61),3)</f>
        <v>0.03</v>
      </c>
      <c r="Z61" s="23">
        <f t="shared" ref="Z61:Z64" si="84">ROUND(W61/0.15,2)</f>
        <v>0.31</v>
      </c>
      <c r="AA61" s="23">
        <f t="shared" ref="AA61:AA64" si="85">IF(L61="N/A", L61, ROUND(X61/0.15,2))</f>
        <v>0.08</v>
      </c>
      <c r="AB61" s="23">
        <f t="shared" ref="AB61:AB64" si="86">ROUND(Y61/0.15,2)</f>
        <v>0.2</v>
      </c>
      <c r="AC61" s="24">
        <f t="shared" ref="AC61:AC64" si="87">IF(Z61&lt;0.67,5,IF(Z61&lt;1,4,IF(Z61&lt;1.33,3,IF(Z61&lt;2.67,2,1))))</f>
        <v>5</v>
      </c>
      <c r="AD61" s="24">
        <f t="shared" ref="AD61:AD64" si="88">IF(L61="N/A",L61,IF(AA61&lt;0.67,5,IF(AA61&lt;1,4,IF(AA61&lt;1.33,3,IF(AA61&lt;2.67,2,1)))))</f>
        <v>5</v>
      </c>
      <c r="AE61" s="24">
        <f t="shared" ref="AE61:AE64" si="89">IF(AB61&lt;0.67,5,IF(AB61&lt;1,4,IF(AB61&lt;1.33,3,IF(AB61&lt;2.67,2,1))))</f>
        <v>5</v>
      </c>
      <c r="AF61" s="22"/>
      <c r="AG61" s="22"/>
      <c r="AH61" s="22"/>
      <c r="AI61" s="22"/>
      <c r="AJ61" s="21"/>
      <c r="AK61" s="21"/>
      <c r="AL61" s="21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</row>
    <row r="62" spans="1:49">
      <c r="A62" s="45">
        <v>14089</v>
      </c>
      <c r="B62" s="45" t="s">
        <v>206</v>
      </c>
      <c r="C62" s="16" t="str">
        <f>Rollover!A62</f>
        <v xml:space="preserve">Infiniti </v>
      </c>
      <c r="D62" s="16" t="str">
        <f>Rollover!B62</f>
        <v>QX60 SUV AWD</v>
      </c>
      <c r="E62" s="16" t="s">
        <v>187</v>
      </c>
      <c r="F62" s="17">
        <f>Rollover!C62</f>
        <v>2022</v>
      </c>
      <c r="G62" s="18">
        <v>84.441000000000003</v>
      </c>
      <c r="H62" s="19">
        <v>23.286000000000001</v>
      </c>
      <c r="I62" s="19">
        <v>27.292999999999999</v>
      </c>
      <c r="J62" s="19">
        <v>613.43200000000002</v>
      </c>
      <c r="K62" s="20">
        <v>1084.8599999999999</v>
      </c>
      <c r="L62" s="18">
        <v>88.45</v>
      </c>
      <c r="M62" s="19">
        <v>14.617000000000001</v>
      </c>
      <c r="N62" s="19">
        <v>33.095999999999997</v>
      </c>
      <c r="O62" s="19">
        <v>11.087</v>
      </c>
      <c r="P62" s="20">
        <v>2048.7779999999998</v>
      </c>
      <c r="Q62" s="66">
        <f t="shared" si="75"/>
        <v>2.2895412295419516E-5</v>
      </c>
      <c r="R62" s="10">
        <f t="shared" si="76"/>
        <v>3.7344261527439623E-2</v>
      </c>
      <c r="S62" s="10">
        <f t="shared" si="77"/>
        <v>8.7320082141982107E-3</v>
      </c>
      <c r="T62" s="10">
        <f t="shared" si="78"/>
        <v>1.652925892153336E-3</v>
      </c>
      <c r="U62" s="10">
        <f t="shared" si="79"/>
        <v>2.9918867062888529E-5</v>
      </c>
      <c r="V62" s="10">
        <f t="shared" si="80"/>
        <v>1.2374707688164831E-2</v>
      </c>
      <c r="W62" s="10">
        <f t="shared" si="81"/>
        <v>4.7E-2</v>
      </c>
      <c r="X62" s="10">
        <f t="shared" si="82"/>
        <v>1.2E-2</v>
      </c>
      <c r="Y62" s="10">
        <f t="shared" si="83"/>
        <v>0.03</v>
      </c>
      <c r="Z62" s="23">
        <f t="shared" si="84"/>
        <v>0.31</v>
      </c>
      <c r="AA62" s="23">
        <f t="shared" si="85"/>
        <v>0.08</v>
      </c>
      <c r="AB62" s="23">
        <f t="shared" si="86"/>
        <v>0.2</v>
      </c>
      <c r="AC62" s="24">
        <f t="shared" si="87"/>
        <v>5</v>
      </c>
      <c r="AD62" s="24">
        <f t="shared" si="88"/>
        <v>5</v>
      </c>
      <c r="AE62" s="24">
        <f t="shared" si="89"/>
        <v>5</v>
      </c>
      <c r="AF62" s="22"/>
      <c r="AG62" s="22"/>
      <c r="AH62" s="22"/>
      <c r="AI62" s="22"/>
      <c r="AJ62" s="21"/>
      <c r="AK62" s="21"/>
      <c r="AL62" s="21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</row>
    <row r="63" spans="1:49">
      <c r="A63" s="45">
        <v>11352</v>
      </c>
      <c r="B63" s="69" t="s">
        <v>207</v>
      </c>
      <c r="C63" s="17" t="str">
        <f>Rollover!A63</f>
        <v>Nissan</v>
      </c>
      <c r="D63" s="17" t="str">
        <f>Rollover!B63</f>
        <v>Rogue AWD (Later Release)</v>
      </c>
      <c r="E63" s="16" t="s">
        <v>187</v>
      </c>
      <c r="F63" s="17">
        <f>Rollover!C63</f>
        <v>2022</v>
      </c>
      <c r="G63" s="18">
        <v>95.481999999999999</v>
      </c>
      <c r="H63" s="19">
        <v>9.15</v>
      </c>
      <c r="I63" s="19">
        <v>19.488</v>
      </c>
      <c r="J63" s="19">
        <v>441.05799999999999</v>
      </c>
      <c r="K63" s="20">
        <v>1509.934</v>
      </c>
      <c r="L63" s="18">
        <v>160.845</v>
      </c>
      <c r="M63" s="19">
        <v>13.993</v>
      </c>
      <c r="N63" s="19">
        <v>31.033999999999999</v>
      </c>
      <c r="O63" s="19">
        <v>13.718</v>
      </c>
      <c r="P63" s="20">
        <v>2282.6239999999998</v>
      </c>
      <c r="Q63" s="66">
        <f t="shared" si="75"/>
        <v>4.6135036644297193E-5</v>
      </c>
      <c r="R63" s="10">
        <f t="shared" si="76"/>
        <v>1.0471047051436188E-2</v>
      </c>
      <c r="S63" s="10">
        <f t="shared" si="77"/>
        <v>6.0618298843795829E-3</v>
      </c>
      <c r="T63" s="10">
        <f t="shared" si="78"/>
        <v>2.6356860625118155E-3</v>
      </c>
      <c r="U63" s="10">
        <f t="shared" si="79"/>
        <v>6.7457423078721361E-4</v>
      </c>
      <c r="V63" s="10">
        <f t="shared" si="80"/>
        <v>1.537022607789403E-2</v>
      </c>
      <c r="W63" s="10">
        <f t="shared" si="81"/>
        <v>1.9E-2</v>
      </c>
      <c r="X63" s="10">
        <f t="shared" si="82"/>
        <v>1.6E-2</v>
      </c>
      <c r="Y63" s="10">
        <f t="shared" si="83"/>
        <v>1.7999999999999999E-2</v>
      </c>
      <c r="Z63" s="23">
        <f t="shared" si="84"/>
        <v>0.13</v>
      </c>
      <c r="AA63" s="23">
        <f t="shared" si="85"/>
        <v>0.11</v>
      </c>
      <c r="AB63" s="23">
        <f t="shared" si="86"/>
        <v>0.12</v>
      </c>
      <c r="AC63" s="24">
        <f t="shared" si="87"/>
        <v>5</v>
      </c>
      <c r="AD63" s="24">
        <f t="shared" si="88"/>
        <v>5</v>
      </c>
      <c r="AE63" s="24">
        <f t="shared" si="89"/>
        <v>5</v>
      </c>
      <c r="AF63" s="22"/>
      <c r="AG63" s="22"/>
      <c r="AH63" s="22"/>
      <c r="AI63" s="22"/>
      <c r="AJ63" s="21"/>
      <c r="AK63" s="21"/>
      <c r="AL63" s="21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</row>
    <row r="64" spans="1:49">
      <c r="A64" s="45">
        <v>11352</v>
      </c>
      <c r="B64" s="69" t="s">
        <v>207</v>
      </c>
      <c r="C64" s="17" t="str">
        <f>Rollover!A64</f>
        <v>Nissan</v>
      </c>
      <c r="D64" s="17" t="str">
        <f>Rollover!B64</f>
        <v>Rogue FWD (Later Release)</v>
      </c>
      <c r="E64" s="70" t="s">
        <v>187</v>
      </c>
      <c r="F64" s="17">
        <f>Rollover!C64</f>
        <v>2022</v>
      </c>
      <c r="G64" s="18">
        <v>95.481999999999999</v>
      </c>
      <c r="H64" s="19">
        <v>9.15</v>
      </c>
      <c r="I64" s="19">
        <v>19.488</v>
      </c>
      <c r="J64" s="19">
        <v>441.05799999999999</v>
      </c>
      <c r="K64" s="20">
        <v>1509.934</v>
      </c>
      <c r="L64" s="18">
        <v>160.845</v>
      </c>
      <c r="M64" s="19">
        <v>13.993</v>
      </c>
      <c r="N64" s="19">
        <v>31.033999999999999</v>
      </c>
      <c r="O64" s="19">
        <v>13.718</v>
      </c>
      <c r="P64" s="20">
        <v>2282.6239999999998</v>
      </c>
      <c r="Q64" s="66">
        <f t="shared" si="75"/>
        <v>4.6135036644297193E-5</v>
      </c>
      <c r="R64" s="10">
        <f t="shared" si="76"/>
        <v>1.0471047051436188E-2</v>
      </c>
      <c r="S64" s="10">
        <f t="shared" si="77"/>
        <v>6.0618298843795829E-3</v>
      </c>
      <c r="T64" s="10">
        <f t="shared" si="78"/>
        <v>2.6356860625118155E-3</v>
      </c>
      <c r="U64" s="10">
        <f t="shared" si="79"/>
        <v>6.7457423078721361E-4</v>
      </c>
      <c r="V64" s="10">
        <f t="shared" si="80"/>
        <v>1.537022607789403E-2</v>
      </c>
      <c r="W64" s="10">
        <f t="shared" si="81"/>
        <v>1.9E-2</v>
      </c>
      <c r="X64" s="10">
        <f t="shared" si="82"/>
        <v>1.6E-2</v>
      </c>
      <c r="Y64" s="10">
        <f t="shared" si="83"/>
        <v>1.7999999999999999E-2</v>
      </c>
      <c r="Z64" s="23">
        <f t="shared" si="84"/>
        <v>0.13</v>
      </c>
      <c r="AA64" s="23">
        <f t="shared" si="85"/>
        <v>0.11</v>
      </c>
      <c r="AB64" s="23">
        <f t="shared" si="86"/>
        <v>0.12</v>
      </c>
      <c r="AC64" s="24">
        <f t="shared" si="87"/>
        <v>5</v>
      </c>
      <c r="AD64" s="24">
        <f t="shared" si="88"/>
        <v>5</v>
      </c>
      <c r="AE64" s="24">
        <f t="shared" si="89"/>
        <v>5</v>
      </c>
      <c r="AF64" s="22"/>
      <c r="AG64" s="22"/>
      <c r="AH64" s="22"/>
      <c r="AI64" s="22"/>
      <c r="AJ64" s="21"/>
      <c r="AK64" s="21"/>
      <c r="AL64" s="21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</row>
    <row r="65" spans="1:49">
      <c r="A65" s="45">
        <v>14219</v>
      </c>
      <c r="B65" s="45" t="s">
        <v>208</v>
      </c>
      <c r="C65" s="17" t="str">
        <f>Rollover!A65</f>
        <v>Nissan</v>
      </c>
      <c r="D65" s="17" t="str">
        <f>Rollover!B65</f>
        <v>Rogue Sport SUV FWD</v>
      </c>
      <c r="E65" s="16" t="s">
        <v>134</v>
      </c>
      <c r="F65" s="17">
        <f>Rollover!C65</f>
        <v>2022</v>
      </c>
      <c r="G65" s="18">
        <v>90.66</v>
      </c>
      <c r="H65" s="19">
        <v>32.664000000000001</v>
      </c>
      <c r="I65" s="19">
        <v>33.838000000000001</v>
      </c>
      <c r="J65" s="19">
        <v>525.32100000000003</v>
      </c>
      <c r="K65" s="20">
        <v>1816.3679999999999</v>
      </c>
      <c r="L65" s="18">
        <v>221.547</v>
      </c>
      <c r="M65" s="19">
        <v>18.696000000000002</v>
      </c>
      <c r="N65" s="19">
        <v>36.770000000000003</v>
      </c>
      <c r="O65" s="19">
        <v>14.778</v>
      </c>
      <c r="P65" s="20">
        <v>2193.5680000000002</v>
      </c>
      <c r="Q65" s="66">
        <f t="shared" si="60"/>
        <v>3.444326824467768E-5</v>
      </c>
      <c r="R65" s="10">
        <f t="shared" si="61"/>
        <v>8.4117118674383567E-2</v>
      </c>
      <c r="S65" s="10">
        <f t="shared" si="62"/>
        <v>7.2467409657859371E-3</v>
      </c>
      <c r="T65" s="10">
        <f t="shared" si="63"/>
        <v>3.6882974760143279E-3</v>
      </c>
      <c r="U65" s="10">
        <f t="shared" si="64"/>
        <v>2.7804442094801875E-3</v>
      </c>
      <c r="V65" s="10">
        <f t="shared" si="65"/>
        <v>1.4153397299999556E-2</v>
      </c>
      <c r="W65" s="10">
        <f t="shared" si="66"/>
        <v>9.4E-2</v>
      </c>
      <c r="X65" s="10">
        <f t="shared" si="67"/>
        <v>1.7000000000000001E-2</v>
      </c>
      <c r="Y65" s="10">
        <f t="shared" si="68"/>
        <v>5.6000000000000001E-2</v>
      </c>
      <c r="Z65" s="23">
        <f t="shared" si="69"/>
        <v>0.63</v>
      </c>
      <c r="AA65" s="23">
        <f t="shared" si="70"/>
        <v>0.11</v>
      </c>
      <c r="AB65" s="23">
        <f t="shared" si="71"/>
        <v>0.37</v>
      </c>
      <c r="AC65" s="24">
        <f t="shared" si="72"/>
        <v>5</v>
      </c>
      <c r="AD65" s="24">
        <f t="shared" si="73"/>
        <v>5</v>
      </c>
      <c r="AE65" s="24">
        <f t="shared" si="74"/>
        <v>5</v>
      </c>
      <c r="AF65" s="22"/>
      <c r="AG65" s="22"/>
      <c r="AH65" s="22"/>
      <c r="AI65" s="22"/>
      <c r="AJ65" s="21"/>
      <c r="AK65" s="21"/>
      <c r="AL65" s="21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</row>
    <row r="66" spans="1:49">
      <c r="A66" s="45">
        <v>14219</v>
      </c>
      <c r="B66" s="45" t="s">
        <v>208</v>
      </c>
      <c r="C66" s="17" t="str">
        <f>Rollover!A66</f>
        <v>Nissan</v>
      </c>
      <c r="D66" s="17" t="str">
        <f>Rollover!B66</f>
        <v>Rogue Sport SUV AWD</v>
      </c>
      <c r="E66" s="16" t="s">
        <v>134</v>
      </c>
      <c r="F66" s="17">
        <f>Rollover!C66</f>
        <v>2022</v>
      </c>
      <c r="G66" s="18">
        <v>90.66</v>
      </c>
      <c r="H66" s="19">
        <v>32.664000000000001</v>
      </c>
      <c r="I66" s="19">
        <v>33.838000000000001</v>
      </c>
      <c r="J66" s="19">
        <v>525.32100000000003</v>
      </c>
      <c r="K66" s="20">
        <v>1816.3679999999999</v>
      </c>
      <c r="L66" s="18">
        <v>221.547</v>
      </c>
      <c r="M66" s="19">
        <v>18.696000000000002</v>
      </c>
      <c r="N66" s="19">
        <v>36.770000000000003</v>
      </c>
      <c r="O66" s="19">
        <v>14.778</v>
      </c>
      <c r="P66" s="20">
        <v>2193.5680000000002</v>
      </c>
      <c r="Q66" s="66">
        <f t="shared" si="60"/>
        <v>3.444326824467768E-5</v>
      </c>
      <c r="R66" s="10">
        <f t="shared" si="61"/>
        <v>8.4117118674383567E-2</v>
      </c>
      <c r="S66" s="10">
        <f t="shared" si="62"/>
        <v>7.2467409657859371E-3</v>
      </c>
      <c r="T66" s="10">
        <f t="shared" si="63"/>
        <v>3.6882974760143279E-3</v>
      </c>
      <c r="U66" s="10">
        <f t="shared" si="64"/>
        <v>2.7804442094801875E-3</v>
      </c>
      <c r="V66" s="10">
        <f t="shared" si="65"/>
        <v>1.4153397299999556E-2</v>
      </c>
      <c r="W66" s="10">
        <f t="shared" si="66"/>
        <v>9.4E-2</v>
      </c>
      <c r="X66" s="10">
        <f t="shared" si="67"/>
        <v>1.7000000000000001E-2</v>
      </c>
      <c r="Y66" s="10">
        <f t="shared" si="68"/>
        <v>5.6000000000000001E-2</v>
      </c>
      <c r="Z66" s="23">
        <f t="shared" si="69"/>
        <v>0.63</v>
      </c>
      <c r="AA66" s="23">
        <f t="shared" si="70"/>
        <v>0.11</v>
      </c>
      <c r="AB66" s="23">
        <f t="shared" si="71"/>
        <v>0.37</v>
      </c>
      <c r="AC66" s="24">
        <f t="shared" si="72"/>
        <v>5</v>
      </c>
      <c r="AD66" s="24">
        <f t="shared" si="73"/>
        <v>5</v>
      </c>
      <c r="AE66" s="24">
        <f t="shared" si="74"/>
        <v>5</v>
      </c>
      <c r="AF66" s="22"/>
      <c r="AG66" s="22"/>
      <c r="AH66" s="22"/>
      <c r="AI66" s="22"/>
      <c r="AJ66" s="21"/>
      <c r="AK66" s="21"/>
      <c r="AL66" s="21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</row>
    <row r="67" spans="1:49">
      <c r="A67" s="45">
        <v>14216</v>
      </c>
      <c r="B67" s="45" t="s">
        <v>209</v>
      </c>
      <c r="C67" s="17" t="str">
        <f>Rollover!A67</f>
        <v>Polestar</v>
      </c>
      <c r="D67" s="17" t="str">
        <f>Rollover!B67</f>
        <v>Polestar 2 5HB FWD</v>
      </c>
      <c r="E67" s="16" t="s">
        <v>187</v>
      </c>
      <c r="F67" s="17">
        <f>Rollover!C67</f>
        <v>2022</v>
      </c>
      <c r="G67" s="18">
        <v>75.402000000000001</v>
      </c>
      <c r="H67" s="19">
        <v>18.283000000000001</v>
      </c>
      <c r="I67" s="19">
        <v>20.835000000000001</v>
      </c>
      <c r="J67" s="19">
        <v>580.65599999999995</v>
      </c>
      <c r="K67" s="20">
        <v>1160.1659999999999</v>
      </c>
      <c r="L67" s="18">
        <v>266.50700000000001</v>
      </c>
      <c r="M67" s="19">
        <v>29.651</v>
      </c>
      <c r="N67" s="19">
        <v>59.509</v>
      </c>
      <c r="O67" s="19">
        <v>19.875</v>
      </c>
      <c r="P67" s="20">
        <v>3297.819</v>
      </c>
      <c r="Q67" s="66">
        <f t="shared" si="60"/>
        <v>1.1729515265028611E-5</v>
      </c>
      <c r="R67" s="10">
        <f t="shared" si="61"/>
        <v>2.3909199831177775E-2</v>
      </c>
      <c r="S67" s="10">
        <f t="shared" si="62"/>
        <v>8.1471971493830529E-3</v>
      </c>
      <c r="T67" s="10">
        <f t="shared" si="63"/>
        <v>1.7954233467983235E-3</v>
      </c>
      <c r="U67" s="10">
        <f t="shared" si="64"/>
        <v>5.8192627792395188E-3</v>
      </c>
      <c r="V67" s="10">
        <f t="shared" si="65"/>
        <v>3.8957394585371653E-2</v>
      </c>
      <c r="W67" s="10">
        <f t="shared" si="66"/>
        <v>3.4000000000000002E-2</v>
      </c>
      <c r="X67" s="10">
        <f t="shared" si="67"/>
        <v>4.4999999999999998E-2</v>
      </c>
      <c r="Y67" s="10">
        <f t="shared" si="68"/>
        <v>0.04</v>
      </c>
      <c r="Z67" s="23">
        <f t="shared" si="69"/>
        <v>0.23</v>
      </c>
      <c r="AA67" s="23">
        <f t="shared" si="70"/>
        <v>0.3</v>
      </c>
      <c r="AB67" s="23">
        <f t="shared" si="71"/>
        <v>0.27</v>
      </c>
      <c r="AC67" s="24">
        <f t="shared" si="72"/>
        <v>5</v>
      </c>
      <c r="AD67" s="24">
        <f t="shared" si="73"/>
        <v>5</v>
      </c>
      <c r="AE67" s="24">
        <f t="shared" si="74"/>
        <v>5</v>
      </c>
      <c r="AF67" s="22"/>
      <c r="AG67" s="22"/>
      <c r="AH67" s="22"/>
      <c r="AI67" s="22"/>
      <c r="AJ67" s="21"/>
      <c r="AK67" s="21"/>
      <c r="AL67" s="21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</row>
    <row r="68" spans="1:49">
      <c r="A68" s="45">
        <v>14216</v>
      </c>
      <c r="B68" s="45" t="s">
        <v>209</v>
      </c>
      <c r="C68" s="17" t="str">
        <f>Rollover!A68</f>
        <v>Polestar</v>
      </c>
      <c r="D68" s="17" t="str">
        <f>Rollover!B68</f>
        <v>Polestar 2 5HB AWD</v>
      </c>
      <c r="E68" s="16" t="s">
        <v>187</v>
      </c>
      <c r="F68" s="17">
        <f>Rollover!C68</f>
        <v>2022</v>
      </c>
      <c r="G68" s="18">
        <v>75.402000000000001</v>
      </c>
      <c r="H68" s="19">
        <v>18.283000000000001</v>
      </c>
      <c r="I68" s="19">
        <v>20.835000000000001</v>
      </c>
      <c r="J68" s="19">
        <v>580.65599999999995</v>
      </c>
      <c r="K68" s="20">
        <v>1160.1659999999999</v>
      </c>
      <c r="L68" s="18">
        <v>266.50700000000001</v>
      </c>
      <c r="M68" s="19">
        <v>29.651</v>
      </c>
      <c r="N68" s="19">
        <v>59.509</v>
      </c>
      <c r="O68" s="19">
        <v>19.875</v>
      </c>
      <c r="P68" s="20">
        <v>3297.819</v>
      </c>
      <c r="Q68" s="66">
        <f t="shared" ref="Q68" si="90">NORMDIST(LN(G68),7.45231,0.73998,1)</f>
        <v>1.1729515265028611E-5</v>
      </c>
      <c r="R68" s="10">
        <f t="shared" ref="R68" si="91">1/(1+EXP(5.3895-0.0919*H68))</f>
        <v>2.3909199831177775E-2</v>
      </c>
      <c r="S68" s="10">
        <f t="shared" ref="S68" si="92">1/(1+EXP(6.04044-0.002133*J68))</f>
        <v>8.1471971493830529E-3</v>
      </c>
      <c r="T68" s="10">
        <f t="shared" ref="T68" si="93">1/(1+EXP(7.5969-0.0011*K68))</f>
        <v>1.7954233467983235E-3</v>
      </c>
      <c r="U68" s="10">
        <f t="shared" ref="U68" si="94">NORMDIST(LN(L68),7.45231,0.73998,1)</f>
        <v>5.8192627792395188E-3</v>
      </c>
      <c r="V68" s="10">
        <f t="shared" ref="V68" si="95">1/(1+EXP(6.3055-0.00094*P68))</f>
        <v>3.8957394585371653E-2</v>
      </c>
      <c r="W68" s="10">
        <f t="shared" ref="W68" si="96">ROUND(1-(1-Q68)*(1-R68)*(1-S68)*(1-T68),3)</f>
        <v>3.4000000000000002E-2</v>
      </c>
      <c r="X68" s="10">
        <f t="shared" ref="X68" si="97">IF(L68="N/A",L68,ROUND(1-(1-U68)*(1-V68),3))</f>
        <v>4.4999999999999998E-2</v>
      </c>
      <c r="Y68" s="10">
        <f t="shared" ref="Y68" si="98">ROUND(AVERAGE(W68:X68),3)</f>
        <v>0.04</v>
      </c>
      <c r="Z68" s="23">
        <f t="shared" ref="Z68" si="99">ROUND(W68/0.15,2)</f>
        <v>0.23</v>
      </c>
      <c r="AA68" s="23">
        <f t="shared" ref="AA68" si="100">IF(L68="N/A", L68, ROUND(X68/0.15,2))</f>
        <v>0.3</v>
      </c>
      <c r="AB68" s="23">
        <f t="shared" ref="AB68" si="101">ROUND(Y68/0.15,2)</f>
        <v>0.27</v>
      </c>
      <c r="AC68" s="24">
        <f t="shared" ref="AC68" si="102">IF(Z68&lt;0.67,5,IF(Z68&lt;1,4,IF(Z68&lt;1.33,3,IF(Z68&lt;2.67,2,1))))</f>
        <v>5</v>
      </c>
      <c r="AD68" s="24">
        <f t="shared" ref="AD68" si="103">IF(L68="N/A",L68,IF(AA68&lt;0.67,5,IF(AA68&lt;1,4,IF(AA68&lt;1.33,3,IF(AA68&lt;2.67,2,1)))))</f>
        <v>5</v>
      </c>
      <c r="AE68" s="24">
        <f t="shared" ref="AE68" si="104">IF(AB68&lt;0.67,5,IF(AB68&lt;1,4,IF(AB68&lt;1.33,3,IF(AB68&lt;2.67,2,1))))</f>
        <v>5</v>
      </c>
      <c r="AF68" s="22"/>
      <c r="AG68" s="22"/>
      <c r="AH68" s="22"/>
      <c r="AI68" s="22"/>
      <c r="AJ68" s="21"/>
      <c r="AK68" s="21"/>
      <c r="AL68" s="21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</row>
    <row r="69" spans="1:49">
      <c r="A69" s="45"/>
      <c r="B69" s="45"/>
      <c r="C69" s="17" t="str">
        <f>Rollover!A69</f>
        <v>Toyota</v>
      </c>
      <c r="D69" s="17" t="str">
        <f>Rollover!B69</f>
        <v>RAV4 Prime SUV AWD</v>
      </c>
      <c r="E69" s="16"/>
      <c r="F69" s="17">
        <f>Rollover!C69</f>
        <v>2022</v>
      </c>
      <c r="G69" s="18"/>
      <c r="H69" s="19"/>
      <c r="I69" s="19"/>
      <c r="J69" s="19"/>
      <c r="K69" s="20"/>
      <c r="L69" s="18"/>
      <c r="M69" s="19"/>
      <c r="N69" s="19"/>
      <c r="O69" s="19"/>
      <c r="P69" s="20"/>
      <c r="Q69" s="66" t="e">
        <f t="shared" si="60"/>
        <v>#NUM!</v>
      </c>
      <c r="R69" s="10">
        <f t="shared" si="61"/>
        <v>4.5435171224880964E-3</v>
      </c>
      <c r="S69" s="10">
        <f t="shared" si="62"/>
        <v>2.3748578822706131E-3</v>
      </c>
      <c r="T69" s="10">
        <f t="shared" si="63"/>
        <v>5.0175335722563109E-4</v>
      </c>
      <c r="U69" s="10" t="e">
        <f t="shared" si="64"/>
        <v>#NUM!</v>
      </c>
      <c r="V69" s="10">
        <f t="shared" si="65"/>
        <v>1.8229037773026034E-3</v>
      </c>
      <c r="W69" s="10" t="e">
        <f t="shared" si="66"/>
        <v>#NUM!</v>
      </c>
      <c r="X69" s="10" t="e">
        <f t="shared" si="67"/>
        <v>#NUM!</v>
      </c>
      <c r="Y69" s="10" t="e">
        <f t="shared" si="68"/>
        <v>#NUM!</v>
      </c>
      <c r="Z69" s="23" t="e">
        <f t="shared" si="69"/>
        <v>#NUM!</v>
      </c>
      <c r="AA69" s="23" t="e">
        <f t="shared" si="70"/>
        <v>#NUM!</v>
      </c>
      <c r="AB69" s="23" t="e">
        <f t="shared" si="71"/>
        <v>#NUM!</v>
      </c>
      <c r="AC69" s="24" t="e">
        <f t="shared" si="72"/>
        <v>#NUM!</v>
      </c>
      <c r="AD69" s="24" t="e">
        <f t="shared" si="73"/>
        <v>#NUM!</v>
      </c>
      <c r="AE69" s="24" t="e">
        <f t="shared" si="74"/>
        <v>#NUM!</v>
      </c>
      <c r="AF69" s="22"/>
      <c r="AG69" s="22"/>
      <c r="AH69" s="22"/>
      <c r="AI69" s="22"/>
      <c r="AJ69" s="21"/>
      <c r="AK69" s="21"/>
      <c r="AL69" s="21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</row>
    <row r="70" spans="1:49">
      <c r="A70" s="45">
        <v>10670</v>
      </c>
      <c r="B70" s="69" t="s">
        <v>210</v>
      </c>
      <c r="C70" s="17" t="str">
        <f>Rollover!A70</f>
        <v>Volkswagen</v>
      </c>
      <c r="D70" s="17" t="str">
        <f>Rollover!B70</f>
        <v>Jetta 4DR FWD</v>
      </c>
      <c r="E70" s="16" t="s">
        <v>187</v>
      </c>
      <c r="F70" s="17">
        <f>Rollover!C70</f>
        <v>2022</v>
      </c>
      <c r="G70" s="18">
        <v>100.57299999999999</v>
      </c>
      <c r="H70" s="19">
        <v>23.73</v>
      </c>
      <c r="I70" s="19">
        <v>32.225999999999999</v>
      </c>
      <c r="J70" s="19">
        <v>838.15200000000004</v>
      </c>
      <c r="K70" s="20">
        <v>1410.2249999999999</v>
      </c>
      <c r="L70" s="18">
        <v>306.17200000000003</v>
      </c>
      <c r="M70" s="19">
        <v>31.501000000000001</v>
      </c>
      <c r="N70" s="19">
        <v>55.665999999999997</v>
      </c>
      <c r="O70" s="19">
        <v>31.452999999999999</v>
      </c>
      <c r="P70" s="20">
        <v>2462.3580000000002</v>
      </c>
      <c r="Q70" s="66">
        <f t="shared" si="60"/>
        <v>6.155002126778791E-5</v>
      </c>
      <c r="R70" s="10">
        <f t="shared" si="61"/>
        <v>3.8839150528866447E-2</v>
      </c>
      <c r="S70" s="10">
        <f t="shared" si="62"/>
        <v>1.402676686720053E-2</v>
      </c>
      <c r="T70" s="10">
        <f t="shared" si="63"/>
        <v>2.3625403118769203E-3</v>
      </c>
      <c r="U70" s="10">
        <f t="shared" si="64"/>
        <v>9.7607850615767273E-3</v>
      </c>
      <c r="V70" s="10">
        <f t="shared" si="65"/>
        <v>1.8147941953405661E-2</v>
      </c>
      <c r="W70" s="10">
        <f t="shared" si="66"/>
        <v>5.5E-2</v>
      </c>
      <c r="X70" s="10">
        <f t="shared" si="67"/>
        <v>2.8000000000000001E-2</v>
      </c>
      <c r="Y70" s="10">
        <f t="shared" si="68"/>
        <v>4.2000000000000003E-2</v>
      </c>
      <c r="Z70" s="23">
        <f t="shared" si="69"/>
        <v>0.37</v>
      </c>
      <c r="AA70" s="23">
        <f t="shared" si="70"/>
        <v>0.19</v>
      </c>
      <c r="AB70" s="23">
        <f t="shared" si="71"/>
        <v>0.28000000000000003</v>
      </c>
      <c r="AC70" s="24">
        <f t="shared" si="72"/>
        <v>5</v>
      </c>
      <c r="AD70" s="24">
        <f t="shared" si="73"/>
        <v>5</v>
      </c>
      <c r="AE70" s="24">
        <f t="shared" si="74"/>
        <v>5</v>
      </c>
      <c r="AF70" s="22"/>
      <c r="AG70" s="22"/>
      <c r="AH70" s="22"/>
      <c r="AI70" s="22"/>
      <c r="AJ70" s="21"/>
      <c r="AK70" s="21"/>
      <c r="AL70" s="21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</row>
    <row r="71" spans="1:49">
      <c r="A71" s="45">
        <v>10670</v>
      </c>
      <c r="B71" s="69" t="s">
        <v>210</v>
      </c>
      <c r="C71" s="16" t="str">
        <f>Rollover!A71</f>
        <v>Volkswagen</v>
      </c>
      <c r="D71" s="16" t="str">
        <f>Rollover!B71</f>
        <v>Jetta GLI 4DR FWD</v>
      </c>
      <c r="E71" s="16" t="s">
        <v>187</v>
      </c>
      <c r="F71" s="17">
        <f>Rollover!C71</f>
        <v>2022</v>
      </c>
      <c r="G71" s="18">
        <v>100.57299999999999</v>
      </c>
      <c r="H71" s="19">
        <v>23.73</v>
      </c>
      <c r="I71" s="19">
        <v>32.225999999999999</v>
      </c>
      <c r="J71" s="19">
        <v>838.15200000000004</v>
      </c>
      <c r="K71" s="20">
        <v>1410.2249999999999</v>
      </c>
      <c r="L71" s="18">
        <v>306.17200000000003</v>
      </c>
      <c r="M71" s="19">
        <v>31.501000000000001</v>
      </c>
      <c r="N71" s="19">
        <v>55.665999999999997</v>
      </c>
      <c r="O71" s="19">
        <v>31.452999999999999</v>
      </c>
      <c r="P71" s="20">
        <v>2462.3580000000002</v>
      </c>
      <c r="Q71" s="66">
        <f t="shared" ref="Q71:Q73" si="105">NORMDIST(LN(G71),7.45231,0.73998,1)</f>
        <v>6.155002126778791E-5</v>
      </c>
      <c r="R71" s="10">
        <f t="shared" ref="R71:R73" si="106">1/(1+EXP(5.3895-0.0919*H71))</f>
        <v>3.8839150528866447E-2</v>
      </c>
      <c r="S71" s="10">
        <f t="shared" ref="S71:S73" si="107">1/(1+EXP(6.04044-0.002133*J71))</f>
        <v>1.402676686720053E-2</v>
      </c>
      <c r="T71" s="10">
        <f t="shared" ref="T71:T73" si="108">1/(1+EXP(7.5969-0.0011*K71))</f>
        <v>2.3625403118769203E-3</v>
      </c>
      <c r="U71" s="10">
        <f t="shared" ref="U71:U73" si="109">NORMDIST(LN(L71),7.45231,0.73998,1)</f>
        <v>9.7607850615767273E-3</v>
      </c>
      <c r="V71" s="10">
        <f t="shared" ref="V71:V73" si="110">1/(1+EXP(6.3055-0.00094*P71))</f>
        <v>1.8147941953405661E-2</v>
      </c>
      <c r="W71" s="10">
        <f t="shared" ref="W71:W73" si="111">ROUND(1-(1-Q71)*(1-R71)*(1-S71)*(1-T71),3)</f>
        <v>5.5E-2</v>
      </c>
      <c r="X71" s="10">
        <f t="shared" ref="X71:X73" si="112">IF(L71="N/A",L71,ROUND(1-(1-U71)*(1-V71),3))</f>
        <v>2.8000000000000001E-2</v>
      </c>
      <c r="Y71" s="10">
        <f t="shared" ref="Y71:Y73" si="113">ROUND(AVERAGE(W71:X71),3)</f>
        <v>4.2000000000000003E-2</v>
      </c>
      <c r="Z71" s="23">
        <f t="shared" ref="Z71:Z73" si="114">ROUND(W71/0.15,2)</f>
        <v>0.37</v>
      </c>
      <c r="AA71" s="23">
        <f t="shared" ref="AA71:AA73" si="115">IF(L71="N/A", L71, ROUND(X71/0.15,2))</f>
        <v>0.19</v>
      </c>
      <c r="AB71" s="23">
        <f t="shared" ref="AB71:AB73" si="116">ROUND(Y71/0.15,2)</f>
        <v>0.28000000000000003</v>
      </c>
      <c r="AC71" s="24">
        <f t="shared" ref="AC71:AC73" si="117">IF(Z71&lt;0.67,5,IF(Z71&lt;1,4,IF(Z71&lt;1.33,3,IF(Z71&lt;2.67,2,1))))</f>
        <v>5</v>
      </c>
      <c r="AD71" s="24">
        <f t="shared" ref="AD71:AD73" si="118">IF(L71="N/A",L71,IF(AA71&lt;0.67,5,IF(AA71&lt;1,4,IF(AA71&lt;1.33,3,IF(AA71&lt;2.67,2,1)))))</f>
        <v>5</v>
      </c>
      <c r="AE71" s="24">
        <f t="shared" ref="AE71:AE73" si="119">IF(AB71&lt;0.67,5,IF(AB71&lt;1,4,IF(AB71&lt;1.33,3,IF(AB71&lt;2.67,2,1))))</f>
        <v>5</v>
      </c>
      <c r="AF71" s="22"/>
      <c r="AG71" s="22"/>
      <c r="AH71" s="22"/>
      <c r="AI71" s="22"/>
      <c r="AJ71" s="21"/>
      <c r="AK71" s="21"/>
      <c r="AL71" s="21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</row>
    <row r="72" spans="1:49" ht="13.5" customHeight="1">
      <c r="A72" s="45">
        <v>14079</v>
      </c>
      <c r="B72" s="45" t="s">
        <v>211</v>
      </c>
      <c r="C72" s="17" t="str">
        <f>Rollover!A72</f>
        <v>Volkswagen</v>
      </c>
      <c r="D72" s="17" t="str">
        <f>Rollover!B72</f>
        <v>Taos SUV FWD</v>
      </c>
      <c r="E72" s="16" t="s">
        <v>185</v>
      </c>
      <c r="F72" s="17">
        <f>Rollover!C72</f>
        <v>2022</v>
      </c>
      <c r="G72" s="18">
        <v>110.596</v>
      </c>
      <c r="H72" s="19">
        <v>15.879</v>
      </c>
      <c r="I72" s="19">
        <v>29.126999999999999</v>
      </c>
      <c r="J72" s="19">
        <v>510.16300000000001</v>
      </c>
      <c r="K72" s="20">
        <v>1750.683</v>
      </c>
      <c r="L72" s="18">
        <v>392.66500000000002</v>
      </c>
      <c r="M72" s="19">
        <v>28.981000000000002</v>
      </c>
      <c r="N72" s="19">
        <v>69.132999999999996</v>
      </c>
      <c r="O72" s="19">
        <v>33.392000000000003</v>
      </c>
      <c r="P72" s="20">
        <v>2993.4580000000001</v>
      </c>
      <c r="Q72" s="66">
        <f t="shared" si="105"/>
        <v>1.0302266563894409E-4</v>
      </c>
      <c r="R72" s="10">
        <f t="shared" si="106"/>
        <v>1.9261078261832532E-2</v>
      </c>
      <c r="S72" s="10">
        <f t="shared" si="107"/>
        <v>7.0178044515033511E-3</v>
      </c>
      <c r="T72" s="10">
        <f t="shared" si="108"/>
        <v>3.4320871980571253E-3</v>
      </c>
      <c r="U72" s="10">
        <f t="shared" si="109"/>
        <v>2.2794444327059609E-2</v>
      </c>
      <c r="V72" s="10">
        <f t="shared" si="110"/>
        <v>2.9550764464030148E-2</v>
      </c>
      <c r="W72" s="10">
        <f t="shared" si="111"/>
        <v>0.03</v>
      </c>
      <c r="X72" s="10">
        <f t="shared" si="112"/>
        <v>5.1999999999999998E-2</v>
      </c>
      <c r="Y72" s="10">
        <f t="shared" si="113"/>
        <v>4.1000000000000002E-2</v>
      </c>
      <c r="Z72" s="23">
        <f t="shared" si="114"/>
        <v>0.2</v>
      </c>
      <c r="AA72" s="23">
        <f t="shared" si="115"/>
        <v>0.35</v>
      </c>
      <c r="AB72" s="23">
        <f t="shared" si="116"/>
        <v>0.27</v>
      </c>
      <c r="AC72" s="24">
        <f t="shared" si="117"/>
        <v>5</v>
      </c>
      <c r="AD72" s="24">
        <f t="shared" si="118"/>
        <v>5</v>
      </c>
      <c r="AE72" s="24">
        <f t="shared" si="119"/>
        <v>5</v>
      </c>
      <c r="AF72" s="22"/>
      <c r="AG72" s="22"/>
      <c r="AH72" s="22"/>
      <c r="AI72" s="22"/>
      <c r="AJ72" s="21"/>
      <c r="AK72" s="21"/>
      <c r="AL72" s="21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</row>
    <row r="73" spans="1:49">
      <c r="A73" s="45">
        <v>14079</v>
      </c>
      <c r="B73" s="45" t="s">
        <v>211</v>
      </c>
      <c r="C73" s="17" t="str">
        <f>Rollover!A73</f>
        <v>Volkswagen</v>
      </c>
      <c r="D73" s="17" t="str">
        <f>Rollover!B73</f>
        <v>Taos SUV AWD</v>
      </c>
      <c r="E73" s="16" t="s">
        <v>185</v>
      </c>
      <c r="F73" s="17">
        <f>Rollover!C73</f>
        <v>2022</v>
      </c>
      <c r="G73" s="18">
        <v>110.596</v>
      </c>
      <c r="H73" s="19">
        <v>15.879</v>
      </c>
      <c r="I73" s="19">
        <v>29.126999999999999</v>
      </c>
      <c r="J73" s="19">
        <v>510.16300000000001</v>
      </c>
      <c r="K73" s="20">
        <v>1750.683</v>
      </c>
      <c r="L73" s="18">
        <v>392.66500000000002</v>
      </c>
      <c r="M73" s="19">
        <v>28.981000000000002</v>
      </c>
      <c r="N73" s="19">
        <v>69.132999999999996</v>
      </c>
      <c r="O73" s="19">
        <v>33.392000000000003</v>
      </c>
      <c r="P73" s="20">
        <v>2993.4580000000001</v>
      </c>
      <c r="Q73" s="66">
        <f t="shared" si="105"/>
        <v>1.0302266563894409E-4</v>
      </c>
      <c r="R73" s="10">
        <f t="shared" si="106"/>
        <v>1.9261078261832532E-2</v>
      </c>
      <c r="S73" s="10">
        <f t="shared" si="107"/>
        <v>7.0178044515033511E-3</v>
      </c>
      <c r="T73" s="10">
        <f t="shared" si="108"/>
        <v>3.4320871980571253E-3</v>
      </c>
      <c r="U73" s="10">
        <f t="shared" si="109"/>
        <v>2.2794444327059609E-2</v>
      </c>
      <c r="V73" s="10">
        <f t="shared" si="110"/>
        <v>2.9550764464030148E-2</v>
      </c>
      <c r="W73" s="10">
        <f t="shared" si="111"/>
        <v>0.03</v>
      </c>
      <c r="X73" s="10">
        <f t="shared" si="112"/>
        <v>5.1999999999999998E-2</v>
      </c>
      <c r="Y73" s="10">
        <f t="shared" si="113"/>
        <v>4.1000000000000002E-2</v>
      </c>
      <c r="Z73" s="23">
        <f t="shared" si="114"/>
        <v>0.2</v>
      </c>
      <c r="AA73" s="23">
        <f t="shared" si="115"/>
        <v>0.35</v>
      </c>
      <c r="AB73" s="23">
        <f t="shared" si="116"/>
        <v>0.27</v>
      </c>
      <c r="AC73" s="24">
        <f t="shared" si="117"/>
        <v>5</v>
      </c>
      <c r="AD73" s="24">
        <f t="shared" si="118"/>
        <v>5</v>
      </c>
      <c r="AE73" s="24">
        <f t="shared" si="119"/>
        <v>5</v>
      </c>
      <c r="AF73" s="22"/>
      <c r="AG73" s="22"/>
      <c r="AH73" s="22"/>
      <c r="AI73" s="22"/>
      <c r="AJ73" s="21"/>
      <c r="AK73" s="21"/>
      <c r="AL73" s="21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</row>
    <row r="74" spans="1:49">
      <c r="AE74" s="2"/>
    </row>
    <row r="75" spans="1:49">
      <c r="AE75" s="2"/>
    </row>
    <row r="76" spans="1:49">
      <c r="AE76" s="2"/>
    </row>
    <row r="77" spans="1:49">
      <c r="AE77" s="2"/>
    </row>
    <row r="78" spans="1:49">
      <c r="AE78" s="2"/>
    </row>
    <row r="79" spans="1:49">
      <c r="AE79" s="2"/>
    </row>
    <row r="80" spans="1:49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  <row r="229" spans="31:31">
      <c r="AE229" s="2"/>
    </row>
    <row r="230" spans="31:31">
      <c r="AE230" s="2"/>
    </row>
    <row r="231" spans="31:31">
      <c r="AE231" s="2"/>
    </row>
    <row r="232" spans="31:31">
      <c r="AE232" s="2"/>
    </row>
    <row r="233" spans="31:31">
      <c r="AE233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03"/>
  <sheetViews>
    <sheetView zoomScale="145" zoomScaleNormal="145" workbookViewId="0">
      <pane xSplit="6" ySplit="2" topLeftCell="G3" activePane="bottomRight" state="frozen"/>
      <selection activeCell="N20" sqref="N20"/>
      <selection pane="topRight" activeCell="N20" sqref="N20"/>
      <selection pane="bottomLeft" activeCell="N20" sqref="N20"/>
      <selection pane="bottomRight" activeCell="A11" sqref="A11:XFD14"/>
    </sheetView>
  </sheetViews>
  <sheetFormatPr defaultColWidth="9.140625" defaultRowHeight="11.25" customHeight="1"/>
  <cols>
    <col min="1" max="1" width="8.5703125" style="148" bestFit="1" customWidth="1"/>
    <col min="2" max="2" width="9" style="148" bestFit="1" customWidth="1"/>
    <col min="3" max="3" width="12" style="149" bestFit="1" customWidth="1"/>
    <col min="4" max="4" width="29.5703125" style="149" customWidth="1"/>
    <col min="5" max="5" width="6.5703125" style="150" customWidth="1"/>
    <col min="6" max="6" width="7.42578125" style="151" bestFit="1" customWidth="1"/>
    <col min="7" max="10" width="8.5703125" style="141" customWidth="1"/>
    <col min="11" max="11" width="9.85546875" style="141" customWidth="1"/>
    <col min="12" max="12" width="7" style="141" customWidth="1"/>
    <col min="13" max="13" width="7.42578125" style="141" customWidth="1"/>
    <col min="14" max="14" width="7.85546875" style="152" customWidth="1"/>
    <col min="15" max="15" width="8" style="152" customWidth="1"/>
    <col min="16" max="16" width="8.42578125" style="153" customWidth="1"/>
    <col min="17" max="17" width="9.42578125" style="152" customWidth="1"/>
    <col min="18" max="18" width="10.140625" style="141" customWidth="1"/>
    <col min="19" max="19" width="6" style="148" customWidth="1"/>
    <col min="20" max="20" width="10.42578125" style="148" bestFit="1" customWidth="1"/>
    <col min="21" max="21" width="10.140625" style="148" customWidth="1"/>
    <col min="22" max="22" width="10.42578125" style="148" bestFit="1" customWidth="1"/>
    <col min="23" max="16384" width="9.140625" style="141"/>
  </cols>
  <sheetData>
    <row r="1" spans="1:37" s="52" customFormat="1" ht="11.25" customHeight="1">
      <c r="A1" s="24"/>
      <c r="B1" s="24"/>
      <c r="C1" s="120"/>
      <c r="D1" s="120"/>
      <c r="E1" s="121"/>
      <c r="F1" s="122"/>
      <c r="G1" s="123" t="s">
        <v>212</v>
      </c>
      <c r="H1" s="124"/>
      <c r="I1" s="124"/>
      <c r="J1" s="124"/>
      <c r="K1" s="125"/>
      <c r="L1" s="126" t="s">
        <v>212</v>
      </c>
      <c r="M1" s="51"/>
      <c r="N1" s="127" t="s">
        <v>105</v>
      </c>
      <c r="O1" s="11" t="s">
        <v>105</v>
      </c>
      <c r="P1" s="24" t="s">
        <v>213</v>
      </c>
      <c r="Q1" s="11" t="s">
        <v>105</v>
      </c>
      <c r="R1" s="128" t="s">
        <v>105</v>
      </c>
      <c r="S1" s="24" t="s">
        <v>105</v>
      </c>
      <c r="T1" s="24" t="s">
        <v>214</v>
      </c>
      <c r="U1" s="24" t="s">
        <v>215</v>
      </c>
      <c r="V1" s="24" t="s">
        <v>214</v>
      </c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s="52" customFormat="1" ht="11.25" customHeight="1">
      <c r="A2" s="24" t="s">
        <v>109</v>
      </c>
      <c r="B2" s="24" t="s">
        <v>110</v>
      </c>
      <c r="C2" s="120" t="s">
        <v>1</v>
      </c>
      <c r="D2" s="120" t="s">
        <v>2</v>
      </c>
      <c r="E2" s="121" t="s">
        <v>111</v>
      </c>
      <c r="F2" s="122" t="s">
        <v>3</v>
      </c>
      <c r="G2" s="63" t="s">
        <v>171</v>
      </c>
      <c r="H2" s="64" t="s">
        <v>216</v>
      </c>
      <c r="I2" s="64" t="s">
        <v>217</v>
      </c>
      <c r="J2" s="64" t="s">
        <v>218</v>
      </c>
      <c r="K2" s="129" t="s">
        <v>177</v>
      </c>
      <c r="L2" s="127" t="s">
        <v>178</v>
      </c>
      <c r="M2" s="130" t="s">
        <v>180</v>
      </c>
      <c r="N2" s="127" t="s">
        <v>181</v>
      </c>
      <c r="O2" s="11" t="s">
        <v>219</v>
      </c>
      <c r="P2" s="24" t="s">
        <v>10</v>
      </c>
      <c r="Q2" s="64" t="s">
        <v>220</v>
      </c>
      <c r="R2" s="131" t="s">
        <v>221</v>
      </c>
      <c r="S2" s="9" t="s">
        <v>222</v>
      </c>
      <c r="T2" s="64" t="s">
        <v>223</v>
      </c>
      <c r="U2" s="64" t="s">
        <v>224</v>
      </c>
      <c r="V2" s="9" t="s">
        <v>225</v>
      </c>
      <c r="W2" s="8"/>
      <c r="X2" s="13"/>
      <c r="Y2" s="13"/>
      <c r="Z2" s="13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11.25" customHeight="1">
      <c r="A3" s="132">
        <v>11662</v>
      </c>
      <c r="B3" s="132" t="s">
        <v>226</v>
      </c>
      <c r="C3" s="133" t="str">
        <f>Rollover!A3</f>
        <v>Acura</v>
      </c>
      <c r="D3" s="133" t="str">
        <f>Rollover!B3</f>
        <v>MDX SUV AWD</v>
      </c>
      <c r="E3" s="42" t="s">
        <v>134</v>
      </c>
      <c r="F3" s="134">
        <f>Rollover!C3</f>
        <v>2022</v>
      </c>
      <c r="G3" s="135">
        <v>549.42999999999995</v>
      </c>
      <c r="H3" s="19">
        <v>23.844000000000001</v>
      </c>
      <c r="I3" s="19">
        <v>40.203000000000003</v>
      </c>
      <c r="J3" s="136">
        <v>23.867999999999999</v>
      </c>
      <c r="K3" s="136">
        <v>1886.6890000000001</v>
      </c>
      <c r="L3" s="137">
        <f t="shared" ref="L3" si="0">NORMDIST(LN(G3),7.45231,0.73998,1)</f>
        <v>6.1147063867622163E-2</v>
      </c>
      <c r="M3" s="138">
        <f t="shared" ref="M3:M14" si="1">1/(1+EXP(6.3055-0.00094*K3))</f>
        <v>1.0644479508367092E-2</v>
      </c>
      <c r="N3" s="137">
        <f t="shared" ref="N3:N14" si="2">ROUND(1-(1-L3)*(1-M3),3)</f>
        <v>7.0999999999999994E-2</v>
      </c>
      <c r="O3" s="10">
        <f t="shared" ref="O3:O14" si="3">ROUND(N3/0.15,2)</f>
        <v>0.47</v>
      </c>
      <c r="P3" s="24">
        <f t="shared" ref="P3:P14" si="4">IF(O3&lt;0.67,5,IF(O3&lt;1,4,IF(O3&lt;1.33,3,IF(O3&lt;2.67,2,1))))</f>
        <v>5</v>
      </c>
      <c r="Q3" s="139">
        <f>ROUND((0.8*'Side MDB'!W3+0.2*'Side Pole'!N3),3)</f>
        <v>3.4000000000000002E-2</v>
      </c>
      <c r="R3" s="139">
        <f t="shared" ref="R3:R14" si="5">ROUND((Q3)/0.15,2)</f>
        <v>0.23</v>
      </c>
      <c r="S3" s="24">
        <f t="shared" ref="S3:S14" si="6">IF(R3&lt;0.67,5,IF(R3&lt;1,4,IF(R3&lt;1.33,3,IF(R3&lt;2.67,2,1))))</f>
        <v>5</v>
      </c>
      <c r="T3" s="139">
        <f>ROUND(((0.8*'Side MDB'!W3+0.2*'Side Pole'!N3)+(IF('Side MDB'!X3="N/A",(0.8*'Side MDB'!W3+0.2*'Side Pole'!N3),'Side MDB'!X3)))/2,3)</f>
        <v>1.9E-2</v>
      </c>
      <c r="U3" s="139">
        <f t="shared" ref="U3:U14" si="7">ROUND((T3)/0.15,2)</f>
        <v>0.13</v>
      </c>
      <c r="V3" s="24">
        <f t="shared" ref="V3:V14" si="8">IF(U3&lt;0.67,5,IF(U3&lt;1,4,IF(U3&lt;1.33,3,IF(U3&lt;2.67,2,1))))</f>
        <v>5</v>
      </c>
      <c r="W3" s="22"/>
      <c r="X3" s="33"/>
      <c r="Y3" s="33"/>
      <c r="Z3" s="33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</row>
    <row r="4" spans="1:37" ht="11.25" customHeight="1">
      <c r="A4" s="132">
        <v>11662</v>
      </c>
      <c r="B4" s="132" t="s">
        <v>226</v>
      </c>
      <c r="C4" s="120" t="str">
        <f>Rollover!A4</f>
        <v>Acura</v>
      </c>
      <c r="D4" s="120" t="str">
        <f>Rollover!B4</f>
        <v>MDX SUV FWD</v>
      </c>
      <c r="E4" s="42" t="s">
        <v>134</v>
      </c>
      <c r="F4" s="134">
        <f>Rollover!C4</f>
        <v>2022</v>
      </c>
      <c r="G4" s="135">
        <v>549.42999999999995</v>
      </c>
      <c r="H4" s="19">
        <v>23.844000000000001</v>
      </c>
      <c r="I4" s="19">
        <v>40.203000000000003</v>
      </c>
      <c r="J4" s="136">
        <v>23.867999999999999</v>
      </c>
      <c r="K4" s="136">
        <v>1886.6890000000001</v>
      </c>
      <c r="L4" s="137">
        <f>NORMDIST(LN(G4),7.45231,0.73998,1)</f>
        <v>6.1147063867622163E-2</v>
      </c>
      <c r="M4" s="138">
        <f t="shared" si="1"/>
        <v>1.0644479508367092E-2</v>
      </c>
      <c r="N4" s="137">
        <f t="shared" si="2"/>
        <v>7.0999999999999994E-2</v>
      </c>
      <c r="O4" s="10">
        <f t="shared" si="3"/>
        <v>0.47</v>
      </c>
      <c r="P4" s="24">
        <f t="shared" si="4"/>
        <v>5</v>
      </c>
      <c r="Q4" s="139">
        <f>ROUND((0.8*'Side MDB'!W4+0.2*'Side Pole'!N4),3)</f>
        <v>3.4000000000000002E-2</v>
      </c>
      <c r="R4" s="139">
        <f t="shared" si="5"/>
        <v>0.23</v>
      </c>
      <c r="S4" s="24">
        <f t="shared" si="6"/>
        <v>5</v>
      </c>
      <c r="T4" s="139">
        <f>ROUND(((0.8*'Side MDB'!W4+0.2*'Side Pole'!N4)+(IF('Side MDB'!X4="N/A",(0.8*'Side MDB'!W4+0.2*'Side Pole'!N4),'Side MDB'!X4)))/2,3)</f>
        <v>1.9E-2</v>
      </c>
      <c r="U4" s="139">
        <f t="shared" si="7"/>
        <v>0.13</v>
      </c>
      <c r="V4" s="24">
        <f t="shared" si="8"/>
        <v>5</v>
      </c>
      <c r="W4" s="22"/>
      <c r="X4" s="33"/>
      <c r="Y4" s="33"/>
      <c r="Z4" s="33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</row>
    <row r="5" spans="1:37" ht="11.25" customHeight="1">
      <c r="A5" s="132">
        <v>14098</v>
      </c>
      <c r="B5" s="132" t="s">
        <v>227</v>
      </c>
      <c r="C5" s="120" t="str">
        <f>Rollover!A5</f>
        <v>Chevrolet</v>
      </c>
      <c r="D5" s="120" t="str">
        <f>Rollover!B5</f>
        <v>Bolt EUV SUV FWD</v>
      </c>
      <c r="E5" s="42" t="s">
        <v>185</v>
      </c>
      <c r="F5" s="134">
        <f>Rollover!C5</f>
        <v>2022</v>
      </c>
      <c r="G5" s="135">
        <v>227.32400000000001</v>
      </c>
      <c r="H5" s="19">
        <v>19.960999999999999</v>
      </c>
      <c r="I5" s="19">
        <v>35.561999999999998</v>
      </c>
      <c r="J5" s="136">
        <v>18.277999999999999</v>
      </c>
      <c r="K5" s="136">
        <v>2002.2670000000001</v>
      </c>
      <c r="L5" s="137">
        <f t="shared" ref="L5:L14" si="9">NORMDIST(LN(G5),7.45231,0.73998,1)</f>
        <v>3.0923749625788566E-3</v>
      </c>
      <c r="M5" s="138">
        <f t="shared" si="1"/>
        <v>1.1851611586235359E-2</v>
      </c>
      <c r="N5" s="137">
        <f t="shared" si="2"/>
        <v>1.4999999999999999E-2</v>
      </c>
      <c r="O5" s="10">
        <f t="shared" si="3"/>
        <v>0.1</v>
      </c>
      <c r="P5" s="24">
        <f t="shared" si="4"/>
        <v>5</v>
      </c>
      <c r="Q5" s="139">
        <f>ROUND((0.8*'Side MDB'!W5+0.2*'Side Pole'!N5),3)</f>
        <v>5.2999999999999999E-2</v>
      </c>
      <c r="R5" s="139">
        <f t="shared" si="5"/>
        <v>0.35</v>
      </c>
      <c r="S5" s="24">
        <f t="shared" si="6"/>
        <v>5</v>
      </c>
      <c r="T5" s="139">
        <f>ROUND(((0.8*'Side MDB'!W5+0.2*'Side Pole'!N5)+(IF('Side MDB'!X5="N/A",(0.8*'Side MDB'!W5+0.2*'Side Pole'!N5),'Side MDB'!X5)))/2,3)</f>
        <v>3.3000000000000002E-2</v>
      </c>
      <c r="U5" s="139">
        <f t="shared" si="7"/>
        <v>0.22</v>
      </c>
      <c r="V5" s="24">
        <f t="shared" si="8"/>
        <v>5</v>
      </c>
      <c r="W5" s="22"/>
      <c r="X5" s="33"/>
      <c r="Y5" s="33"/>
      <c r="Z5" s="33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</row>
    <row r="6" spans="1:37" ht="11.25" customHeight="1">
      <c r="A6" s="132">
        <v>14217</v>
      </c>
      <c r="B6" s="132" t="s">
        <v>228</v>
      </c>
      <c r="C6" s="120" t="str">
        <f>Rollover!A6</f>
        <v>Chevrolet</v>
      </c>
      <c r="D6" s="120" t="str">
        <f>Rollover!B6</f>
        <v>Bolt EV 5HB FWD</v>
      </c>
      <c r="E6" s="42" t="s">
        <v>187</v>
      </c>
      <c r="F6" s="134">
        <f>Rollover!C6</f>
        <v>2022</v>
      </c>
      <c r="G6" s="135">
        <v>186.77199999999999</v>
      </c>
      <c r="H6" s="19">
        <v>21.562999999999999</v>
      </c>
      <c r="I6" s="19">
        <v>35.433999999999997</v>
      </c>
      <c r="J6" s="136">
        <v>21.151</v>
      </c>
      <c r="K6" s="136">
        <v>2245.5239999999999</v>
      </c>
      <c r="L6" s="137">
        <f t="shared" si="9"/>
        <v>1.3351112232438246E-3</v>
      </c>
      <c r="M6" s="138">
        <f t="shared" si="1"/>
        <v>1.4851267091706592E-2</v>
      </c>
      <c r="N6" s="137">
        <f t="shared" si="2"/>
        <v>1.6E-2</v>
      </c>
      <c r="O6" s="10">
        <f t="shared" si="3"/>
        <v>0.11</v>
      </c>
      <c r="P6" s="24">
        <f t="shared" si="4"/>
        <v>5</v>
      </c>
      <c r="Q6" s="139">
        <f>ROUND((0.8*'Side MDB'!W6+0.2*'Side Pole'!N6),3)</f>
        <v>4.4999999999999998E-2</v>
      </c>
      <c r="R6" s="139">
        <f t="shared" si="5"/>
        <v>0.3</v>
      </c>
      <c r="S6" s="24">
        <f t="shared" si="6"/>
        <v>5</v>
      </c>
      <c r="T6" s="139">
        <f>ROUND(((0.8*'Side MDB'!W6+0.2*'Side Pole'!N6)+(IF('Side MDB'!X6="N/A",(0.8*'Side MDB'!W6+0.2*'Side Pole'!N6),'Side MDB'!X6)))/2,3)</f>
        <v>5.8000000000000003E-2</v>
      </c>
      <c r="U6" s="139">
        <f t="shared" si="7"/>
        <v>0.39</v>
      </c>
      <c r="V6" s="24">
        <f t="shared" si="8"/>
        <v>5</v>
      </c>
      <c r="W6" s="22"/>
      <c r="X6" s="33"/>
      <c r="Y6" s="33"/>
      <c r="Z6" s="33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</row>
    <row r="7" spans="1:37" ht="11.25" customHeight="1">
      <c r="A7" s="142">
        <v>10701</v>
      </c>
      <c r="B7" s="143" t="s">
        <v>229</v>
      </c>
      <c r="C7" s="120" t="str">
        <f>Rollover!A7</f>
        <v>Chevrolet</v>
      </c>
      <c r="D7" s="120" t="str">
        <f>Rollover!B7</f>
        <v>Silverado 1500 PU/CC 2WD</v>
      </c>
      <c r="E7" s="10" t="s">
        <v>134</v>
      </c>
      <c r="F7" s="134">
        <f>Rollover!C7</f>
        <v>2022</v>
      </c>
      <c r="G7" s="144">
        <v>253.14699999999999</v>
      </c>
      <c r="H7" s="27">
        <v>22.536000000000001</v>
      </c>
      <c r="I7" s="27">
        <v>43.44</v>
      </c>
      <c r="J7" s="145">
        <v>21.526</v>
      </c>
      <c r="K7" s="28">
        <v>2626.5549999999998</v>
      </c>
      <c r="L7" s="137">
        <f t="shared" si="9"/>
        <v>4.7651540666635035E-3</v>
      </c>
      <c r="M7" s="138">
        <f t="shared" si="1"/>
        <v>2.1112771575714596E-2</v>
      </c>
      <c r="N7" s="137">
        <f t="shared" si="2"/>
        <v>2.5999999999999999E-2</v>
      </c>
      <c r="O7" s="10">
        <f t="shared" si="3"/>
        <v>0.17</v>
      </c>
      <c r="P7" s="24">
        <f t="shared" si="4"/>
        <v>5</v>
      </c>
      <c r="Q7" s="139">
        <f>ROUND((0.8*'Side MDB'!W7+0.2*'Side Pole'!N7),3)</f>
        <v>2.9000000000000001E-2</v>
      </c>
      <c r="R7" s="139">
        <f t="shared" si="5"/>
        <v>0.19</v>
      </c>
      <c r="S7" s="24">
        <f t="shared" si="6"/>
        <v>5</v>
      </c>
      <c r="T7" s="139">
        <f>ROUND(((0.8*'Side MDB'!W7+0.2*'Side Pole'!N7)+(IF('Side MDB'!X7="N/A",(0.8*'Side MDB'!W7+0.2*'Side Pole'!N7),'Side MDB'!X7)))/2,3)</f>
        <v>1.7999999999999999E-2</v>
      </c>
      <c r="U7" s="139">
        <f t="shared" si="7"/>
        <v>0.12</v>
      </c>
      <c r="V7" s="24">
        <f t="shared" si="8"/>
        <v>5</v>
      </c>
      <c r="W7" s="22"/>
      <c r="X7" s="33"/>
      <c r="Y7" s="33"/>
      <c r="Z7" s="33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</row>
    <row r="8" spans="1:37" ht="11.25" customHeight="1">
      <c r="A8" s="142">
        <v>10701</v>
      </c>
      <c r="B8" s="143" t="s">
        <v>229</v>
      </c>
      <c r="C8" s="120" t="str">
        <f>Rollover!A8</f>
        <v>Chevrolet</v>
      </c>
      <c r="D8" s="120" t="str">
        <f>Rollover!B8</f>
        <v>Silverado 1500 PU/CC 4WD</v>
      </c>
      <c r="E8" s="10" t="s">
        <v>134</v>
      </c>
      <c r="F8" s="134">
        <f>Rollover!C8</f>
        <v>2022</v>
      </c>
      <c r="G8" s="144">
        <v>253.14699999999999</v>
      </c>
      <c r="H8" s="27">
        <v>22.536000000000001</v>
      </c>
      <c r="I8" s="27">
        <v>43.44</v>
      </c>
      <c r="J8" s="145">
        <v>21.526</v>
      </c>
      <c r="K8" s="28">
        <v>2626.5549999999998</v>
      </c>
      <c r="L8" s="137">
        <f t="shared" si="9"/>
        <v>4.7651540666635035E-3</v>
      </c>
      <c r="M8" s="138">
        <f t="shared" si="1"/>
        <v>2.1112771575714596E-2</v>
      </c>
      <c r="N8" s="137">
        <f t="shared" si="2"/>
        <v>2.5999999999999999E-2</v>
      </c>
      <c r="O8" s="10">
        <f t="shared" si="3"/>
        <v>0.17</v>
      </c>
      <c r="P8" s="24">
        <f t="shared" si="4"/>
        <v>5</v>
      </c>
      <c r="Q8" s="139">
        <f>ROUND((0.8*'Side MDB'!W8+0.2*'Side Pole'!N8),3)</f>
        <v>2.9000000000000001E-2</v>
      </c>
      <c r="R8" s="139">
        <f t="shared" si="5"/>
        <v>0.19</v>
      </c>
      <c r="S8" s="24">
        <f t="shared" si="6"/>
        <v>5</v>
      </c>
      <c r="T8" s="139">
        <f>ROUND(((0.8*'Side MDB'!W8+0.2*'Side Pole'!N8)+(IF('Side MDB'!X8="N/A",(0.8*'Side MDB'!W8+0.2*'Side Pole'!N8),'Side MDB'!X8)))/2,3)</f>
        <v>1.7999999999999999E-2</v>
      </c>
      <c r="U8" s="139">
        <f t="shared" si="7"/>
        <v>0.12</v>
      </c>
      <c r="V8" s="24">
        <f t="shared" si="8"/>
        <v>5</v>
      </c>
      <c r="W8" s="22"/>
      <c r="X8" s="33"/>
      <c r="Y8" s="33"/>
      <c r="Z8" s="33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</row>
    <row r="9" spans="1:37" ht="11.25" customHeight="1">
      <c r="A9" s="142">
        <v>10701</v>
      </c>
      <c r="B9" s="143" t="s">
        <v>229</v>
      </c>
      <c r="C9" s="133" t="str">
        <f>Rollover!A9</f>
        <v>GMC</v>
      </c>
      <c r="D9" s="133" t="str">
        <f>Rollover!B9</f>
        <v>Sierra 1500 PU/CC 2WD</v>
      </c>
      <c r="E9" s="10" t="s">
        <v>134</v>
      </c>
      <c r="F9" s="134">
        <f>Rollover!C9</f>
        <v>2022</v>
      </c>
      <c r="G9" s="144">
        <v>253.14699999999999</v>
      </c>
      <c r="H9" s="27">
        <v>22.536000000000001</v>
      </c>
      <c r="I9" s="27">
        <v>43.44</v>
      </c>
      <c r="J9" s="145">
        <v>21.526</v>
      </c>
      <c r="K9" s="28">
        <v>2626.5549999999998</v>
      </c>
      <c r="L9" s="137">
        <f t="shared" si="9"/>
        <v>4.7651540666635035E-3</v>
      </c>
      <c r="M9" s="138">
        <f t="shared" si="1"/>
        <v>2.1112771575714596E-2</v>
      </c>
      <c r="N9" s="137">
        <f t="shared" si="2"/>
        <v>2.5999999999999999E-2</v>
      </c>
      <c r="O9" s="10">
        <f t="shared" si="3"/>
        <v>0.17</v>
      </c>
      <c r="P9" s="24">
        <f t="shared" si="4"/>
        <v>5</v>
      </c>
      <c r="Q9" s="139">
        <f>ROUND((0.8*'Side MDB'!W9+0.2*'Side Pole'!N9),3)</f>
        <v>2.9000000000000001E-2</v>
      </c>
      <c r="R9" s="139">
        <f t="shared" si="5"/>
        <v>0.19</v>
      </c>
      <c r="S9" s="24">
        <f t="shared" si="6"/>
        <v>5</v>
      </c>
      <c r="T9" s="139">
        <f>ROUND(((0.8*'Side MDB'!W9+0.2*'Side Pole'!N9)+(IF('Side MDB'!X9="N/A",(0.8*'Side MDB'!W9+0.2*'Side Pole'!N9),'Side MDB'!X9)))/2,3)</f>
        <v>1.7999999999999999E-2</v>
      </c>
      <c r="U9" s="139">
        <f t="shared" si="7"/>
        <v>0.12</v>
      </c>
      <c r="V9" s="24">
        <f t="shared" si="8"/>
        <v>5</v>
      </c>
      <c r="W9" s="22"/>
      <c r="X9" s="33"/>
      <c r="Y9" s="33"/>
      <c r="Z9" s="33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</row>
    <row r="10" spans="1:37" ht="11.25" customHeight="1">
      <c r="A10" s="142">
        <v>10701</v>
      </c>
      <c r="B10" s="143" t="s">
        <v>229</v>
      </c>
      <c r="C10" s="133" t="str">
        <f>Rollover!A10</f>
        <v>GMC</v>
      </c>
      <c r="D10" s="133" t="str">
        <f>Rollover!B10</f>
        <v>Sierra 1500 PU/CC 4WD</v>
      </c>
      <c r="E10" s="10" t="s">
        <v>134</v>
      </c>
      <c r="F10" s="134">
        <f>Rollover!C10</f>
        <v>2022</v>
      </c>
      <c r="G10" s="144">
        <v>253.14699999999999</v>
      </c>
      <c r="H10" s="27">
        <v>22.536000000000001</v>
      </c>
      <c r="I10" s="27">
        <v>43.44</v>
      </c>
      <c r="J10" s="145">
        <v>21.526</v>
      </c>
      <c r="K10" s="28">
        <v>2626.5549999999998</v>
      </c>
      <c r="L10" s="137">
        <f t="shared" si="9"/>
        <v>4.7651540666635035E-3</v>
      </c>
      <c r="M10" s="138">
        <f t="shared" si="1"/>
        <v>2.1112771575714596E-2</v>
      </c>
      <c r="N10" s="137">
        <f t="shared" si="2"/>
        <v>2.5999999999999999E-2</v>
      </c>
      <c r="O10" s="10">
        <f t="shared" si="3"/>
        <v>0.17</v>
      </c>
      <c r="P10" s="24">
        <f t="shared" si="4"/>
        <v>5</v>
      </c>
      <c r="Q10" s="139">
        <f>ROUND((0.8*'Side MDB'!W10+0.2*'Side Pole'!N10),3)</f>
        <v>2.9000000000000001E-2</v>
      </c>
      <c r="R10" s="139">
        <f t="shared" si="5"/>
        <v>0.19</v>
      </c>
      <c r="S10" s="24">
        <f t="shared" si="6"/>
        <v>5</v>
      </c>
      <c r="T10" s="139">
        <f>ROUND(((0.8*'Side MDB'!W10+0.2*'Side Pole'!N10)+(IF('Side MDB'!X10="N/A",(0.8*'Side MDB'!W10+0.2*'Side Pole'!N10),'Side MDB'!X10)))/2,3)</f>
        <v>1.7999999999999999E-2</v>
      </c>
      <c r="U10" s="139">
        <f t="shared" si="7"/>
        <v>0.12</v>
      </c>
      <c r="V10" s="24">
        <f t="shared" si="8"/>
        <v>5</v>
      </c>
      <c r="W10" s="22"/>
      <c r="X10" s="33"/>
      <c r="Y10" s="33"/>
      <c r="Z10" s="33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</row>
    <row r="11" spans="1:37" ht="11.25" customHeight="1">
      <c r="A11" s="132">
        <v>14244</v>
      </c>
      <c r="B11" s="132" t="s">
        <v>230</v>
      </c>
      <c r="C11" s="17" t="str">
        <f>Rollover!A11</f>
        <v>Chevrolet</v>
      </c>
      <c r="D11" s="120" t="str">
        <f>Rollover!B11</f>
        <v>Traverse SUV AWD</v>
      </c>
      <c r="E11" s="42" t="s">
        <v>140</v>
      </c>
      <c r="F11" s="134">
        <f>Rollover!C11</f>
        <v>2022</v>
      </c>
      <c r="G11" s="135">
        <v>339.90600000000001</v>
      </c>
      <c r="H11" s="19">
        <v>20.902999999999999</v>
      </c>
      <c r="I11" s="19">
        <v>38.18</v>
      </c>
      <c r="J11" s="136">
        <v>17.832999999999998</v>
      </c>
      <c r="K11" s="136">
        <v>3034.703</v>
      </c>
      <c r="L11" s="137">
        <f t="shared" si="9"/>
        <v>1.4111645003438627E-2</v>
      </c>
      <c r="M11" s="138">
        <f t="shared" si="1"/>
        <v>3.0683111961789623E-2</v>
      </c>
      <c r="N11" s="137">
        <f t="shared" si="2"/>
        <v>4.3999999999999997E-2</v>
      </c>
      <c r="O11" s="10">
        <f t="shared" si="3"/>
        <v>0.28999999999999998</v>
      </c>
      <c r="P11" s="24">
        <f t="shared" si="4"/>
        <v>5</v>
      </c>
      <c r="Q11" s="139">
        <f>ROUND((0.8*'Side MDB'!W11+0.2*'Side Pole'!N11),3)</f>
        <v>5.1999999999999998E-2</v>
      </c>
      <c r="R11" s="139">
        <f t="shared" si="5"/>
        <v>0.35</v>
      </c>
      <c r="S11" s="24">
        <f t="shared" si="6"/>
        <v>5</v>
      </c>
      <c r="T11" s="139">
        <f>ROUND(((0.8*'Side MDB'!W11+0.2*'Side Pole'!N11)+(IF('Side MDB'!X11="N/A",(0.8*'Side MDB'!W11+0.2*'Side Pole'!N11),'Side MDB'!X11)))/2,3)</f>
        <v>7.6999999999999999E-2</v>
      </c>
      <c r="U11" s="139">
        <f t="shared" si="7"/>
        <v>0.51</v>
      </c>
      <c r="V11" s="24">
        <f t="shared" si="8"/>
        <v>5</v>
      </c>
      <c r="W11" s="22"/>
      <c r="X11" s="33"/>
      <c r="Y11" s="33"/>
      <c r="Z11" s="33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</row>
    <row r="12" spans="1:37" ht="11.25" customHeight="1">
      <c r="A12" s="132">
        <v>14244</v>
      </c>
      <c r="B12" s="132" t="s">
        <v>230</v>
      </c>
      <c r="C12" s="17" t="str">
        <f>Rollover!A12</f>
        <v>Chevrolet</v>
      </c>
      <c r="D12" s="120" t="str">
        <f>Rollover!B12</f>
        <v>Traverse SUV FWD</v>
      </c>
      <c r="E12" s="42" t="s">
        <v>140</v>
      </c>
      <c r="F12" s="134">
        <f>Rollover!C12</f>
        <v>2022</v>
      </c>
      <c r="G12" s="135">
        <v>339.90600000000001</v>
      </c>
      <c r="H12" s="19">
        <v>20.902999999999999</v>
      </c>
      <c r="I12" s="19">
        <v>38.18</v>
      </c>
      <c r="J12" s="136">
        <v>17.832999999999998</v>
      </c>
      <c r="K12" s="136">
        <v>3034.703</v>
      </c>
      <c r="L12" s="137">
        <f t="shared" si="9"/>
        <v>1.4111645003438627E-2</v>
      </c>
      <c r="M12" s="138">
        <f t="shared" si="1"/>
        <v>3.0683111961789623E-2</v>
      </c>
      <c r="N12" s="137">
        <f t="shared" si="2"/>
        <v>4.3999999999999997E-2</v>
      </c>
      <c r="O12" s="10">
        <f t="shared" si="3"/>
        <v>0.28999999999999998</v>
      </c>
      <c r="P12" s="24">
        <f t="shared" si="4"/>
        <v>5</v>
      </c>
      <c r="Q12" s="139">
        <f>ROUND((0.8*'Side MDB'!W12+0.2*'Side Pole'!N12),3)</f>
        <v>5.1999999999999998E-2</v>
      </c>
      <c r="R12" s="139">
        <f t="shared" si="5"/>
        <v>0.35</v>
      </c>
      <c r="S12" s="24">
        <f t="shared" si="6"/>
        <v>5</v>
      </c>
      <c r="T12" s="139">
        <f>ROUND(((0.8*'Side MDB'!W12+0.2*'Side Pole'!N12)+(IF('Side MDB'!X12="N/A",(0.8*'Side MDB'!W12+0.2*'Side Pole'!N12),'Side MDB'!X12)))/2,3)</f>
        <v>7.6999999999999999E-2</v>
      </c>
      <c r="U12" s="139">
        <f t="shared" si="7"/>
        <v>0.51</v>
      </c>
      <c r="V12" s="24">
        <f t="shared" si="8"/>
        <v>5</v>
      </c>
      <c r="W12" s="22"/>
      <c r="X12" s="33"/>
      <c r="Y12" s="33"/>
      <c r="Z12" s="33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</row>
    <row r="13" spans="1:37" ht="11.25" customHeight="1">
      <c r="A13" s="132">
        <v>14244</v>
      </c>
      <c r="B13" s="132" t="s">
        <v>230</v>
      </c>
      <c r="C13" s="133" t="str">
        <f>Rollover!A13</f>
        <v>Buick</v>
      </c>
      <c r="D13" s="133" t="str">
        <f>Rollover!B13</f>
        <v>Enclave SUV AWD</v>
      </c>
      <c r="E13" s="42"/>
      <c r="F13" s="134">
        <f>Rollover!C13</f>
        <v>2022</v>
      </c>
      <c r="G13" s="135">
        <v>339.90600000000001</v>
      </c>
      <c r="H13" s="19">
        <v>20.902999999999999</v>
      </c>
      <c r="I13" s="19">
        <v>38.18</v>
      </c>
      <c r="J13" s="136">
        <v>17.832999999999998</v>
      </c>
      <c r="K13" s="136">
        <v>3034.703</v>
      </c>
      <c r="L13" s="137">
        <f t="shared" si="9"/>
        <v>1.4111645003438627E-2</v>
      </c>
      <c r="M13" s="138">
        <f t="shared" si="1"/>
        <v>3.0683111961789623E-2</v>
      </c>
      <c r="N13" s="137">
        <f t="shared" si="2"/>
        <v>4.3999999999999997E-2</v>
      </c>
      <c r="O13" s="10">
        <f t="shared" si="3"/>
        <v>0.28999999999999998</v>
      </c>
      <c r="P13" s="24">
        <f t="shared" si="4"/>
        <v>5</v>
      </c>
      <c r="Q13" s="139">
        <f>ROUND((0.8*'Side MDB'!W13+0.2*'Side Pole'!N13),3)</f>
        <v>5.1999999999999998E-2</v>
      </c>
      <c r="R13" s="139">
        <f t="shared" si="5"/>
        <v>0.35</v>
      </c>
      <c r="S13" s="24">
        <f t="shared" si="6"/>
        <v>5</v>
      </c>
      <c r="T13" s="139">
        <f>ROUND(((0.8*'Side MDB'!W13+0.2*'Side Pole'!N13)+(IF('Side MDB'!X13="N/A",(0.8*'Side MDB'!W13+0.2*'Side Pole'!N13),'Side MDB'!X13)))/2,3)</f>
        <v>7.6999999999999999E-2</v>
      </c>
      <c r="U13" s="139">
        <f t="shared" si="7"/>
        <v>0.51</v>
      </c>
      <c r="V13" s="24">
        <f t="shared" si="8"/>
        <v>5</v>
      </c>
      <c r="W13" s="22"/>
      <c r="X13" s="33"/>
      <c r="Y13" s="33"/>
      <c r="Z13" s="33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</row>
    <row r="14" spans="1:37" ht="11.25" customHeight="1">
      <c r="A14" s="132">
        <v>14244</v>
      </c>
      <c r="B14" s="132" t="s">
        <v>230</v>
      </c>
      <c r="C14" s="133" t="str">
        <f>Rollover!A14</f>
        <v>Buick</v>
      </c>
      <c r="D14" s="133" t="str">
        <f>Rollover!B14</f>
        <v>Enclave SUV FWD</v>
      </c>
      <c r="E14" s="42"/>
      <c r="F14" s="134">
        <f>Rollover!C14</f>
        <v>2022</v>
      </c>
      <c r="G14" s="135">
        <v>339.90600000000001</v>
      </c>
      <c r="H14" s="19">
        <v>20.902999999999999</v>
      </c>
      <c r="I14" s="19">
        <v>38.18</v>
      </c>
      <c r="J14" s="136">
        <v>17.832999999999998</v>
      </c>
      <c r="K14" s="136">
        <v>3034.703</v>
      </c>
      <c r="L14" s="137">
        <f t="shared" si="9"/>
        <v>1.4111645003438627E-2</v>
      </c>
      <c r="M14" s="138">
        <f t="shared" si="1"/>
        <v>3.0683111961789623E-2</v>
      </c>
      <c r="N14" s="137">
        <f t="shared" si="2"/>
        <v>4.3999999999999997E-2</v>
      </c>
      <c r="O14" s="10">
        <f t="shared" si="3"/>
        <v>0.28999999999999998</v>
      </c>
      <c r="P14" s="24">
        <f t="shared" si="4"/>
        <v>5</v>
      </c>
      <c r="Q14" s="139">
        <f>ROUND((0.8*'Side MDB'!W14+0.2*'Side Pole'!N14),3)</f>
        <v>5.1999999999999998E-2</v>
      </c>
      <c r="R14" s="139">
        <f t="shared" si="5"/>
        <v>0.35</v>
      </c>
      <c r="S14" s="24">
        <f t="shared" si="6"/>
        <v>5</v>
      </c>
      <c r="T14" s="139">
        <f>ROUND(((0.8*'Side MDB'!W14+0.2*'Side Pole'!N14)+(IF('Side MDB'!X14="N/A",(0.8*'Side MDB'!W14+0.2*'Side Pole'!N14),'Side MDB'!X14)))/2,3)</f>
        <v>7.6999999999999999E-2</v>
      </c>
      <c r="U14" s="139">
        <f t="shared" si="7"/>
        <v>0.51</v>
      </c>
      <c r="V14" s="24">
        <f t="shared" si="8"/>
        <v>5</v>
      </c>
      <c r="W14" s="22"/>
      <c r="X14" s="33"/>
      <c r="Y14" s="33"/>
      <c r="Z14" s="33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</row>
    <row r="15" spans="1:37" ht="11.25" customHeight="1">
      <c r="A15" s="132"/>
      <c r="B15" s="132"/>
      <c r="C15" s="120" t="str">
        <f>Rollover!A15</f>
        <v>Ford</v>
      </c>
      <c r="D15" s="120" t="str">
        <f>Rollover!B15</f>
        <v>Bronco 4 DR SUV 4WD</v>
      </c>
      <c r="E15" s="42"/>
      <c r="F15" s="134">
        <f>Rollover!C15</f>
        <v>2022</v>
      </c>
      <c r="G15" s="135"/>
      <c r="H15" s="19"/>
      <c r="I15" s="19"/>
      <c r="J15" s="136"/>
      <c r="K15" s="136"/>
      <c r="L15" s="137" t="e">
        <f t="shared" ref="L15:L48" si="10">NORMDIST(LN(G15),7.45231,0.73998,1)</f>
        <v>#NUM!</v>
      </c>
      <c r="M15" s="138">
        <f t="shared" ref="M15:M48" si="11">1/(1+EXP(6.3055-0.00094*K15))</f>
        <v>1.8229037773026034E-3</v>
      </c>
      <c r="N15" s="137" t="e">
        <f t="shared" ref="N15:N48" si="12">ROUND(1-(1-L15)*(1-M15),3)</f>
        <v>#NUM!</v>
      </c>
      <c r="O15" s="10" t="e">
        <f t="shared" ref="O15:O48" si="13">ROUND(N15/0.15,2)</f>
        <v>#NUM!</v>
      </c>
      <c r="P15" s="24" t="e">
        <f t="shared" ref="P15:P48" si="14">IF(O15&lt;0.67,5,IF(O15&lt;1,4,IF(O15&lt;1.33,3,IF(O15&lt;2.67,2,1))))</f>
        <v>#NUM!</v>
      </c>
      <c r="Q15" s="139" t="e">
        <f>ROUND((0.8*'Side MDB'!W15+0.2*'Side Pole'!N15),3)</f>
        <v>#NUM!</v>
      </c>
      <c r="R15" s="139" t="e">
        <f t="shared" ref="R15:R48" si="15">ROUND((Q15)/0.15,2)</f>
        <v>#NUM!</v>
      </c>
      <c r="S15" s="24" t="e">
        <f t="shared" ref="S15:S48" si="16">IF(R15&lt;0.67,5,IF(R15&lt;1,4,IF(R15&lt;1.33,3,IF(R15&lt;2.67,2,1))))</f>
        <v>#NUM!</v>
      </c>
      <c r="T15" s="139" t="e">
        <f>ROUND(((0.8*'Side MDB'!W15+0.2*'Side Pole'!N15)+(IF('Side MDB'!X15="N/A",(0.8*'Side MDB'!W15+0.2*'Side Pole'!N15),'Side MDB'!X15)))/2,3)</f>
        <v>#NUM!</v>
      </c>
      <c r="U15" s="139" t="e">
        <f t="shared" ref="U15:U48" si="17">ROUND((T15)/0.15,2)</f>
        <v>#NUM!</v>
      </c>
      <c r="V15" s="24" t="e">
        <f t="shared" ref="V15:V48" si="18">IF(U15&lt;0.67,5,IF(U15&lt;1,4,IF(U15&lt;1.33,3,IF(U15&lt;2.67,2,1))))</f>
        <v>#NUM!</v>
      </c>
      <c r="W15" s="22"/>
      <c r="X15" s="33"/>
      <c r="Y15" s="33"/>
      <c r="Z15" s="33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</row>
    <row r="16" spans="1:37" ht="11.25" customHeight="1">
      <c r="A16" s="132">
        <v>14074</v>
      </c>
      <c r="B16" s="132" t="s">
        <v>231</v>
      </c>
      <c r="C16" s="120" t="str">
        <f>Rollover!A16</f>
        <v>Ford</v>
      </c>
      <c r="D16" s="120" t="str">
        <f>Rollover!B16</f>
        <v>Escape PHEV SUV FWD</v>
      </c>
      <c r="E16" s="42" t="s">
        <v>134</v>
      </c>
      <c r="F16" s="134">
        <f>Rollover!C16</f>
        <v>2022</v>
      </c>
      <c r="G16" s="135">
        <v>309.52600000000001</v>
      </c>
      <c r="H16" s="19">
        <v>21.515999999999998</v>
      </c>
      <c r="I16" s="19">
        <v>39.027000000000001</v>
      </c>
      <c r="J16" s="136">
        <v>16.521999999999998</v>
      </c>
      <c r="K16" s="136">
        <v>2635.2460000000001</v>
      </c>
      <c r="L16" s="137">
        <f t="shared" si="10"/>
        <v>1.0151654700598055E-2</v>
      </c>
      <c r="M16" s="138">
        <f t="shared" si="11"/>
        <v>2.1282273841326495E-2</v>
      </c>
      <c r="N16" s="137">
        <f t="shared" si="12"/>
        <v>3.1E-2</v>
      </c>
      <c r="O16" s="10">
        <f t="shared" si="13"/>
        <v>0.21</v>
      </c>
      <c r="P16" s="24">
        <f t="shared" si="14"/>
        <v>5</v>
      </c>
      <c r="Q16" s="139">
        <f>ROUND((0.8*'Side MDB'!W16+0.2*'Side Pole'!N16),3)</f>
        <v>3.5999999999999997E-2</v>
      </c>
      <c r="R16" s="139">
        <f t="shared" si="15"/>
        <v>0.24</v>
      </c>
      <c r="S16" s="24">
        <f t="shared" si="16"/>
        <v>5</v>
      </c>
      <c r="T16" s="139">
        <f>ROUND(((0.8*'Side MDB'!W16+0.2*'Side Pole'!N16)+(IF('Side MDB'!X16="N/A",(0.8*'Side MDB'!W16+0.2*'Side Pole'!N16),'Side MDB'!X16)))/2,3)</f>
        <v>3.5000000000000003E-2</v>
      </c>
      <c r="U16" s="139">
        <f t="shared" si="17"/>
        <v>0.23</v>
      </c>
      <c r="V16" s="24">
        <f t="shared" si="18"/>
        <v>5</v>
      </c>
      <c r="W16" s="22"/>
      <c r="X16" s="33"/>
      <c r="Y16" s="33"/>
      <c r="Z16" s="33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</row>
    <row r="17" spans="1:37" ht="11.25" customHeight="1">
      <c r="A17" s="132">
        <v>14074</v>
      </c>
      <c r="B17" s="132" t="s">
        <v>231</v>
      </c>
      <c r="C17" s="133" t="str">
        <f>Rollover!A17</f>
        <v>Lincoln</v>
      </c>
      <c r="D17" s="133" t="str">
        <f>Rollover!B17</f>
        <v>Corsair PHEV SUV AWD</v>
      </c>
      <c r="E17" s="42" t="s">
        <v>134</v>
      </c>
      <c r="F17" s="134">
        <f>Rollover!C17</f>
        <v>2022</v>
      </c>
      <c r="G17" s="135">
        <v>309.52600000000001</v>
      </c>
      <c r="H17" s="19">
        <v>21.515999999999998</v>
      </c>
      <c r="I17" s="19">
        <v>39.027000000000001</v>
      </c>
      <c r="J17" s="136">
        <v>16.521999999999998</v>
      </c>
      <c r="K17" s="136">
        <v>2635.2460000000001</v>
      </c>
      <c r="L17" s="137">
        <f t="shared" si="10"/>
        <v>1.0151654700598055E-2</v>
      </c>
      <c r="M17" s="138">
        <f t="shared" si="11"/>
        <v>2.1282273841326495E-2</v>
      </c>
      <c r="N17" s="137">
        <f t="shared" si="12"/>
        <v>3.1E-2</v>
      </c>
      <c r="O17" s="10">
        <f t="shared" si="13"/>
        <v>0.21</v>
      </c>
      <c r="P17" s="24">
        <f t="shared" si="14"/>
        <v>5</v>
      </c>
      <c r="Q17" s="139">
        <f>ROUND((0.8*'Side MDB'!W17+0.2*'Side Pole'!N17),3)</f>
        <v>3.5999999999999997E-2</v>
      </c>
      <c r="R17" s="139">
        <f t="shared" si="15"/>
        <v>0.24</v>
      </c>
      <c r="S17" s="24">
        <f t="shared" si="16"/>
        <v>5</v>
      </c>
      <c r="T17" s="139">
        <f>ROUND(((0.8*'Side MDB'!W17+0.2*'Side Pole'!N17)+(IF('Side MDB'!X17="N/A",(0.8*'Side MDB'!W17+0.2*'Side Pole'!N17),'Side MDB'!X17)))/2,3)</f>
        <v>3.5000000000000003E-2</v>
      </c>
      <c r="U17" s="139">
        <f t="shared" si="17"/>
        <v>0.23</v>
      </c>
      <c r="V17" s="24">
        <f t="shared" si="18"/>
        <v>5</v>
      </c>
      <c r="W17" s="22"/>
      <c r="X17" s="33"/>
      <c r="Y17" s="33"/>
      <c r="Z17" s="33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</row>
    <row r="18" spans="1:37" ht="11.25" customHeight="1">
      <c r="A18" s="132">
        <v>10345</v>
      </c>
      <c r="B18" s="132" t="s">
        <v>232</v>
      </c>
      <c r="C18" s="120" t="str">
        <f>Rollover!A18</f>
        <v>Ford</v>
      </c>
      <c r="D18" s="120" t="str">
        <f>Rollover!B18</f>
        <v>Expedition SUV 2WD</v>
      </c>
      <c r="E18" s="10" t="s">
        <v>187</v>
      </c>
      <c r="F18" s="134">
        <f>Rollover!C18</f>
        <v>2022</v>
      </c>
      <c r="G18" s="135">
        <v>133.995</v>
      </c>
      <c r="H18" s="19">
        <v>20.491</v>
      </c>
      <c r="I18" s="19">
        <v>46.503999999999998</v>
      </c>
      <c r="J18" s="136">
        <v>17.082000000000001</v>
      </c>
      <c r="K18" s="136">
        <v>2533.098</v>
      </c>
      <c r="L18" s="137">
        <f t="shared" si="10"/>
        <v>2.7808934826373125E-4</v>
      </c>
      <c r="M18" s="138">
        <f t="shared" si="11"/>
        <v>1.9371555067786699E-2</v>
      </c>
      <c r="N18" s="137">
        <f t="shared" si="12"/>
        <v>0.02</v>
      </c>
      <c r="O18" s="10">
        <f t="shared" si="13"/>
        <v>0.13</v>
      </c>
      <c r="P18" s="24">
        <f t="shared" si="14"/>
        <v>5</v>
      </c>
      <c r="Q18" s="139">
        <f>ROUND((0.8*'Side MDB'!W18+0.2*'Side Pole'!N18),3)</f>
        <v>2.1999999999999999E-2</v>
      </c>
      <c r="R18" s="139">
        <f t="shared" si="15"/>
        <v>0.15</v>
      </c>
      <c r="S18" s="24">
        <f t="shared" si="16"/>
        <v>5</v>
      </c>
      <c r="T18" s="139">
        <f>ROUND(((0.8*'Side MDB'!W18+0.2*'Side Pole'!N18)+(IF('Side MDB'!X18="N/A",(0.8*'Side MDB'!W18+0.2*'Side Pole'!N18),'Side MDB'!X18)))/2,3)</f>
        <v>1.7000000000000001E-2</v>
      </c>
      <c r="U18" s="139">
        <f t="shared" si="17"/>
        <v>0.11</v>
      </c>
      <c r="V18" s="24">
        <f t="shared" si="18"/>
        <v>5</v>
      </c>
      <c r="W18" s="22"/>
      <c r="X18" s="33"/>
      <c r="Y18" s="33"/>
      <c r="Z18" s="33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</row>
    <row r="19" spans="1:37" ht="11.25" customHeight="1">
      <c r="A19" s="132">
        <v>10345</v>
      </c>
      <c r="B19" s="132" t="s">
        <v>232</v>
      </c>
      <c r="C19" s="120" t="str">
        <f>Rollover!A19</f>
        <v>Ford</v>
      </c>
      <c r="D19" s="120" t="str">
        <f>Rollover!B19</f>
        <v>Expedition SUV 4WD</v>
      </c>
      <c r="E19" s="10" t="s">
        <v>187</v>
      </c>
      <c r="F19" s="134">
        <f>Rollover!C19</f>
        <v>2022</v>
      </c>
      <c r="G19" s="135">
        <v>133.995</v>
      </c>
      <c r="H19" s="19">
        <v>20.491</v>
      </c>
      <c r="I19" s="19">
        <v>46.503999999999998</v>
      </c>
      <c r="J19" s="136">
        <v>17.082000000000001</v>
      </c>
      <c r="K19" s="136">
        <v>2533.098</v>
      </c>
      <c r="L19" s="137">
        <f t="shared" si="10"/>
        <v>2.7808934826373125E-4</v>
      </c>
      <c r="M19" s="138">
        <f t="shared" si="11"/>
        <v>1.9371555067786699E-2</v>
      </c>
      <c r="N19" s="137">
        <f t="shared" si="12"/>
        <v>0.02</v>
      </c>
      <c r="O19" s="10">
        <f t="shared" si="13"/>
        <v>0.13</v>
      </c>
      <c r="P19" s="24">
        <f t="shared" si="14"/>
        <v>5</v>
      </c>
      <c r="Q19" s="139">
        <f>ROUND((0.8*'Side MDB'!W19+0.2*'Side Pole'!N19),3)</f>
        <v>2.1999999999999999E-2</v>
      </c>
      <c r="R19" s="139">
        <f t="shared" si="15"/>
        <v>0.15</v>
      </c>
      <c r="S19" s="24">
        <f t="shared" si="16"/>
        <v>5</v>
      </c>
      <c r="T19" s="139">
        <f>ROUND(((0.8*'Side MDB'!W19+0.2*'Side Pole'!N19)+(IF('Side MDB'!X19="N/A",(0.8*'Side MDB'!W19+0.2*'Side Pole'!N19),'Side MDB'!X19)))/2,3)</f>
        <v>1.7000000000000001E-2</v>
      </c>
      <c r="U19" s="139">
        <f t="shared" si="17"/>
        <v>0.11</v>
      </c>
      <c r="V19" s="24">
        <f t="shared" si="18"/>
        <v>5</v>
      </c>
      <c r="W19" s="22"/>
      <c r="X19" s="33"/>
      <c r="Y19" s="33"/>
      <c r="Z19" s="33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</row>
    <row r="20" spans="1:37" ht="11.25" customHeight="1">
      <c r="A20" s="132">
        <v>10345</v>
      </c>
      <c r="B20" s="132" t="s">
        <v>232</v>
      </c>
      <c r="C20" s="133" t="str">
        <f>Rollover!A20</f>
        <v>Ford</v>
      </c>
      <c r="D20" s="133" t="str">
        <f>Rollover!B20</f>
        <v>Expedition EL SUV 2WD</v>
      </c>
      <c r="E20" s="10" t="s">
        <v>187</v>
      </c>
      <c r="F20" s="134">
        <f>Rollover!C20</f>
        <v>2022</v>
      </c>
      <c r="G20" s="135">
        <v>133.995</v>
      </c>
      <c r="H20" s="19">
        <v>20.491</v>
      </c>
      <c r="I20" s="19">
        <v>46.503999999999998</v>
      </c>
      <c r="J20" s="136">
        <v>17.082000000000001</v>
      </c>
      <c r="K20" s="136">
        <v>2533.098</v>
      </c>
      <c r="L20" s="137">
        <f t="shared" si="10"/>
        <v>2.7808934826373125E-4</v>
      </c>
      <c r="M20" s="138">
        <f t="shared" si="11"/>
        <v>1.9371555067786699E-2</v>
      </c>
      <c r="N20" s="137">
        <f t="shared" si="12"/>
        <v>0.02</v>
      </c>
      <c r="O20" s="10">
        <f t="shared" si="13"/>
        <v>0.13</v>
      </c>
      <c r="P20" s="24">
        <f t="shared" si="14"/>
        <v>5</v>
      </c>
      <c r="Q20" s="139">
        <f>ROUND((0.8*'Side MDB'!W20+0.2*'Side Pole'!N20),3)</f>
        <v>2.1999999999999999E-2</v>
      </c>
      <c r="R20" s="139">
        <f t="shared" si="15"/>
        <v>0.15</v>
      </c>
      <c r="S20" s="24">
        <f t="shared" si="16"/>
        <v>5</v>
      </c>
      <c r="T20" s="139">
        <f>ROUND(((0.8*'Side MDB'!W20+0.2*'Side Pole'!N20)+(IF('Side MDB'!X20="N/A",(0.8*'Side MDB'!W20+0.2*'Side Pole'!N20),'Side MDB'!X20)))/2,3)</f>
        <v>1.7000000000000001E-2</v>
      </c>
      <c r="U20" s="139">
        <f t="shared" si="17"/>
        <v>0.11</v>
      </c>
      <c r="V20" s="24">
        <f t="shared" si="18"/>
        <v>5</v>
      </c>
      <c r="W20" s="22"/>
      <c r="X20" s="33"/>
      <c r="Y20" s="33"/>
      <c r="Z20" s="33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</row>
    <row r="21" spans="1:37" ht="11.25" customHeight="1">
      <c r="A21" s="132">
        <v>10345</v>
      </c>
      <c r="B21" s="132" t="s">
        <v>232</v>
      </c>
      <c r="C21" s="133" t="str">
        <f>Rollover!A21</f>
        <v>Ford</v>
      </c>
      <c r="D21" s="133" t="str">
        <f>Rollover!B21</f>
        <v>Expedition EL SUV 4WD</v>
      </c>
      <c r="E21" s="10" t="s">
        <v>187</v>
      </c>
      <c r="F21" s="134">
        <f>Rollover!C21</f>
        <v>2022</v>
      </c>
      <c r="G21" s="135">
        <v>133.995</v>
      </c>
      <c r="H21" s="19">
        <v>20.491</v>
      </c>
      <c r="I21" s="19">
        <v>46.503999999999998</v>
      </c>
      <c r="J21" s="136">
        <v>17.082000000000001</v>
      </c>
      <c r="K21" s="136">
        <v>2533.098</v>
      </c>
      <c r="L21" s="137">
        <f t="shared" si="10"/>
        <v>2.7808934826373125E-4</v>
      </c>
      <c r="M21" s="138">
        <f t="shared" si="11"/>
        <v>1.9371555067786699E-2</v>
      </c>
      <c r="N21" s="137">
        <f t="shared" si="12"/>
        <v>0.02</v>
      </c>
      <c r="O21" s="10">
        <f t="shared" si="13"/>
        <v>0.13</v>
      </c>
      <c r="P21" s="24">
        <f t="shared" si="14"/>
        <v>5</v>
      </c>
      <c r="Q21" s="139">
        <f>ROUND((0.8*'Side MDB'!W21+0.2*'Side Pole'!N21),3)</f>
        <v>2.1999999999999999E-2</v>
      </c>
      <c r="R21" s="139">
        <f t="shared" si="15"/>
        <v>0.15</v>
      </c>
      <c r="S21" s="24">
        <f t="shared" si="16"/>
        <v>5</v>
      </c>
      <c r="T21" s="139">
        <f>ROUND(((0.8*'Side MDB'!W21+0.2*'Side Pole'!N21)+(IF('Side MDB'!X21="N/A",(0.8*'Side MDB'!W21+0.2*'Side Pole'!N21),'Side MDB'!X21)))/2,3)</f>
        <v>1.7000000000000001E-2</v>
      </c>
      <c r="U21" s="139">
        <f t="shared" si="17"/>
        <v>0.11</v>
      </c>
      <c r="V21" s="24">
        <f t="shared" si="18"/>
        <v>5</v>
      </c>
      <c r="W21" s="22"/>
      <c r="X21" s="33"/>
      <c r="Y21" s="33"/>
      <c r="Z21" s="33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</row>
    <row r="22" spans="1:37" ht="11.25" customHeight="1">
      <c r="A22" s="132">
        <v>10345</v>
      </c>
      <c r="B22" s="132" t="s">
        <v>232</v>
      </c>
      <c r="C22" s="16" t="str">
        <f>Rollover!A22</f>
        <v>Lincoln</v>
      </c>
      <c r="D22" s="16" t="str">
        <f>Rollover!B22</f>
        <v>Navigator SUV 2WD</v>
      </c>
      <c r="E22" s="10" t="s">
        <v>187</v>
      </c>
      <c r="F22" s="24">
        <f>Rollover!C22</f>
        <v>2022</v>
      </c>
      <c r="G22" s="135">
        <v>133.995</v>
      </c>
      <c r="H22" s="19">
        <v>20.491</v>
      </c>
      <c r="I22" s="19">
        <v>46.503999999999998</v>
      </c>
      <c r="J22" s="136">
        <v>17.082000000000001</v>
      </c>
      <c r="K22" s="136">
        <v>2533.098</v>
      </c>
      <c r="L22" s="137">
        <f>NORMDIST(LN(G22),7.45231,0.73998,1)</f>
        <v>2.7808934826373125E-4</v>
      </c>
      <c r="M22" s="138">
        <f>1/(1+EXP(6.3055-0.00094*K22))</f>
        <v>1.9371555067786699E-2</v>
      </c>
      <c r="N22" s="137">
        <f>ROUND(1-(1-L22)*(1-M22),3)</f>
        <v>0.02</v>
      </c>
      <c r="O22" s="10">
        <f>ROUND(N22/0.15,2)</f>
        <v>0.13</v>
      </c>
      <c r="P22" s="24">
        <f>IF(O22&lt;0.67,5,IF(O22&lt;1,4,IF(O22&lt;1.33,3,IF(O22&lt;2.67,2,1))))</f>
        <v>5</v>
      </c>
      <c r="Q22" s="139">
        <f>ROUND((0.8*'Side MDB'!W22+0.2*'Side Pole'!N22),3)</f>
        <v>2.1999999999999999E-2</v>
      </c>
      <c r="R22" s="139">
        <f>ROUND((Q22)/0.15,2)</f>
        <v>0.15</v>
      </c>
      <c r="S22" s="24">
        <f>IF(R22&lt;0.67,5,IF(R22&lt;1,4,IF(R22&lt;1.33,3,IF(R22&lt;2.67,2,1))))</f>
        <v>5</v>
      </c>
      <c r="T22" s="139">
        <f>ROUND(((0.8*'Side MDB'!W22+0.2*'Side Pole'!N22)+(IF('Side MDB'!X22="N/A",(0.8*'Side MDB'!W22+0.2*'Side Pole'!N22),'Side MDB'!X22)))/2,3)</f>
        <v>1.7000000000000001E-2</v>
      </c>
      <c r="U22" s="139">
        <f>ROUND((T22)/0.15,2)</f>
        <v>0.11</v>
      </c>
      <c r="V22" s="24">
        <f>IF(U22&lt;0.67,5,IF(U22&lt;1,4,IF(U22&lt;1.33,3,IF(U22&lt;2.67,2,1))))</f>
        <v>5</v>
      </c>
      <c r="W22" s="53"/>
      <c r="X22" s="54"/>
      <c r="Y22" s="54"/>
      <c r="Z22" s="54"/>
    </row>
    <row r="23" spans="1:37" ht="11.25" customHeight="1">
      <c r="A23" s="132">
        <v>10345</v>
      </c>
      <c r="B23" s="132" t="s">
        <v>232</v>
      </c>
      <c r="C23" s="16" t="str">
        <f>Rollover!A23</f>
        <v>Lincoln</v>
      </c>
      <c r="D23" s="16" t="str">
        <f>Rollover!B23</f>
        <v>Navigator SUV 4WD</v>
      </c>
      <c r="E23" s="10" t="s">
        <v>187</v>
      </c>
      <c r="F23" s="24">
        <f>Rollover!C23</f>
        <v>2022</v>
      </c>
      <c r="G23" s="135">
        <v>133.995</v>
      </c>
      <c r="H23" s="19">
        <v>20.491</v>
      </c>
      <c r="I23" s="19">
        <v>46.503999999999998</v>
      </c>
      <c r="J23" s="136">
        <v>17.082000000000001</v>
      </c>
      <c r="K23" s="136">
        <v>2533.098</v>
      </c>
      <c r="L23" s="137">
        <f>NORMDIST(LN(G23),7.45231,0.73998,1)</f>
        <v>2.7808934826373125E-4</v>
      </c>
      <c r="M23" s="138">
        <f>1/(1+EXP(6.3055-0.00094*K23))</f>
        <v>1.9371555067786699E-2</v>
      </c>
      <c r="N23" s="137">
        <f>ROUND(1-(1-L23)*(1-M23),3)</f>
        <v>0.02</v>
      </c>
      <c r="O23" s="10">
        <f>ROUND(N23/0.15,2)</f>
        <v>0.13</v>
      </c>
      <c r="P23" s="24">
        <f>IF(O23&lt;0.67,5,IF(O23&lt;1,4,IF(O23&lt;1.33,3,IF(O23&lt;2.67,2,1))))</f>
        <v>5</v>
      </c>
      <c r="Q23" s="139">
        <f>ROUND((0.8*'Side MDB'!W23+0.2*'Side Pole'!N23),3)</f>
        <v>2.1999999999999999E-2</v>
      </c>
      <c r="R23" s="139">
        <f>ROUND((Q23)/0.15,2)</f>
        <v>0.15</v>
      </c>
      <c r="S23" s="24">
        <f>IF(R23&lt;0.67,5,IF(R23&lt;1,4,IF(R23&lt;1.33,3,IF(R23&lt;2.67,2,1))))</f>
        <v>5</v>
      </c>
      <c r="T23" s="139">
        <f>ROUND(((0.8*'Side MDB'!W23+0.2*'Side Pole'!N23)+(IF('Side MDB'!X23="N/A",(0.8*'Side MDB'!W23+0.2*'Side Pole'!N23),'Side MDB'!X23)))/2,3)</f>
        <v>1.7000000000000001E-2</v>
      </c>
      <c r="U23" s="139">
        <f>ROUND((T23)/0.15,2)</f>
        <v>0.11</v>
      </c>
      <c r="V23" s="24">
        <f>IF(U23&lt;0.67,5,IF(U23&lt;1,4,IF(U23&lt;1.33,3,IF(U23&lt;2.67,2,1))))</f>
        <v>5</v>
      </c>
      <c r="W23" s="53"/>
      <c r="X23" s="54"/>
      <c r="Y23" s="54"/>
      <c r="Z23" s="54"/>
    </row>
    <row r="24" spans="1:37" ht="11.25" customHeight="1">
      <c r="A24" s="132">
        <v>10345</v>
      </c>
      <c r="B24" s="132" t="s">
        <v>232</v>
      </c>
      <c r="C24" s="16" t="str">
        <f>Rollover!A24</f>
        <v>Lincoln</v>
      </c>
      <c r="D24" s="16" t="str">
        <f>Rollover!B24</f>
        <v>Navigator EL 2WD</v>
      </c>
      <c r="E24" s="10" t="s">
        <v>187</v>
      </c>
      <c r="F24" s="24">
        <f>Rollover!C24</f>
        <v>2022</v>
      </c>
      <c r="G24" s="135">
        <v>133.995</v>
      </c>
      <c r="H24" s="19">
        <v>20.491</v>
      </c>
      <c r="I24" s="19">
        <v>46.503999999999998</v>
      </c>
      <c r="J24" s="136">
        <v>17.082000000000001</v>
      </c>
      <c r="K24" s="136">
        <v>2533.098</v>
      </c>
      <c r="L24" s="137">
        <f>NORMDIST(LN(G24),7.45231,0.73998,1)</f>
        <v>2.7808934826373125E-4</v>
      </c>
      <c r="M24" s="138">
        <f>1/(1+EXP(6.3055-0.00094*K24))</f>
        <v>1.9371555067786699E-2</v>
      </c>
      <c r="N24" s="137">
        <f>ROUND(1-(1-L24)*(1-M24),3)</f>
        <v>0.02</v>
      </c>
      <c r="O24" s="10">
        <f>ROUND(N24/0.15,2)</f>
        <v>0.13</v>
      </c>
      <c r="P24" s="24">
        <f>IF(O24&lt;0.67,5,IF(O24&lt;1,4,IF(O24&lt;1.33,3,IF(O24&lt;2.67,2,1))))</f>
        <v>5</v>
      </c>
      <c r="Q24" s="139">
        <f>ROUND((0.8*'Side MDB'!W24+0.2*'Side Pole'!N24),3)</f>
        <v>2.1999999999999999E-2</v>
      </c>
      <c r="R24" s="139">
        <f>ROUND((Q24)/0.15,2)</f>
        <v>0.15</v>
      </c>
      <c r="S24" s="24">
        <f>IF(R24&lt;0.67,5,IF(R24&lt;1,4,IF(R24&lt;1.33,3,IF(R24&lt;2.67,2,1))))</f>
        <v>5</v>
      </c>
      <c r="T24" s="139">
        <f>ROUND(((0.8*'Side MDB'!W24+0.2*'Side Pole'!N24)+(IF('Side MDB'!X24="N/A",(0.8*'Side MDB'!W24+0.2*'Side Pole'!N24),'Side MDB'!X24)))/2,3)</f>
        <v>1.7000000000000001E-2</v>
      </c>
      <c r="U24" s="139">
        <f>ROUND((T24)/0.15,2)</f>
        <v>0.11</v>
      </c>
      <c r="V24" s="24">
        <f>IF(U24&lt;0.67,5,IF(U24&lt;1,4,IF(U24&lt;1.33,3,IF(U24&lt;2.67,2,1))))</f>
        <v>5</v>
      </c>
      <c r="W24" s="53"/>
      <c r="X24" s="54"/>
      <c r="Y24" s="54"/>
      <c r="Z24" s="54"/>
    </row>
    <row r="25" spans="1:37" ht="11.25" customHeight="1">
      <c r="A25" s="132">
        <v>10345</v>
      </c>
      <c r="B25" s="132" t="s">
        <v>232</v>
      </c>
      <c r="C25" s="16" t="str">
        <f>Rollover!A25</f>
        <v>Lincoln</v>
      </c>
      <c r="D25" s="16" t="str">
        <f>Rollover!B25</f>
        <v>Navigator EL 4WD</v>
      </c>
      <c r="E25" s="10" t="s">
        <v>187</v>
      </c>
      <c r="F25" s="24">
        <f>Rollover!C25</f>
        <v>2022</v>
      </c>
      <c r="G25" s="135">
        <v>133.995</v>
      </c>
      <c r="H25" s="19">
        <v>20.491</v>
      </c>
      <c r="I25" s="19">
        <v>46.503999999999998</v>
      </c>
      <c r="J25" s="136">
        <v>17.082000000000001</v>
      </c>
      <c r="K25" s="136">
        <v>2533.098</v>
      </c>
      <c r="L25" s="137">
        <f>NORMDIST(LN(G25),7.45231,0.73998,1)</f>
        <v>2.7808934826373125E-4</v>
      </c>
      <c r="M25" s="138">
        <f>1/(1+EXP(6.3055-0.00094*K25))</f>
        <v>1.9371555067786699E-2</v>
      </c>
      <c r="N25" s="137">
        <f>ROUND(1-(1-L25)*(1-M25),3)</f>
        <v>0.02</v>
      </c>
      <c r="O25" s="10">
        <f>ROUND(N25/0.15,2)</f>
        <v>0.13</v>
      </c>
      <c r="P25" s="24">
        <f>IF(O25&lt;0.67,5,IF(O25&lt;1,4,IF(O25&lt;1.33,3,IF(O25&lt;2.67,2,1))))</f>
        <v>5</v>
      </c>
      <c r="Q25" s="139">
        <f>ROUND((0.8*'Side MDB'!W25+0.2*'Side Pole'!N25),3)</f>
        <v>2.1999999999999999E-2</v>
      </c>
      <c r="R25" s="139">
        <f>ROUND((Q25)/0.15,2)</f>
        <v>0.15</v>
      </c>
      <c r="S25" s="24">
        <f>IF(R25&lt;0.67,5,IF(R25&lt;1,4,IF(R25&lt;1.33,3,IF(R25&lt;2.67,2,1))))</f>
        <v>5</v>
      </c>
      <c r="T25" s="139">
        <f>ROUND(((0.8*'Side MDB'!W25+0.2*'Side Pole'!N25)+(IF('Side MDB'!X25="N/A",(0.8*'Side MDB'!W25+0.2*'Side Pole'!N25),'Side MDB'!X25)))/2,3)</f>
        <v>1.7000000000000001E-2</v>
      </c>
      <c r="U25" s="139">
        <f>ROUND((T25)/0.15,2)</f>
        <v>0.11</v>
      </c>
      <c r="V25" s="24">
        <f>IF(U25&lt;0.67,5,IF(U25&lt;1,4,IF(U25&lt;1.33,3,IF(U25&lt;2.67,2,1))))</f>
        <v>5</v>
      </c>
      <c r="W25" s="53"/>
      <c r="X25" s="54"/>
      <c r="Y25" s="54"/>
      <c r="Z25" s="54"/>
    </row>
    <row r="26" spans="1:37" ht="11.25" customHeight="1">
      <c r="A26" s="132"/>
      <c r="B26" s="132"/>
      <c r="C26" s="120" t="str">
        <f>Rollover!A26</f>
        <v>Ford</v>
      </c>
      <c r="D26" s="120" t="str">
        <f>Rollover!B26</f>
        <v>F-150 Lightning BEV PU/CC 4WD</v>
      </c>
      <c r="E26" s="42"/>
      <c r="F26" s="134">
        <f>Rollover!C26</f>
        <v>2022</v>
      </c>
      <c r="G26" s="135"/>
      <c r="H26" s="19"/>
      <c r="I26" s="19"/>
      <c r="J26" s="136"/>
      <c r="K26" s="136"/>
      <c r="L26" s="137" t="e">
        <f t="shared" si="10"/>
        <v>#NUM!</v>
      </c>
      <c r="M26" s="138">
        <f t="shared" si="11"/>
        <v>1.8229037773026034E-3</v>
      </c>
      <c r="N26" s="137" t="e">
        <f t="shared" si="12"/>
        <v>#NUM!</v>
      </c>
      <c r="O26" s="10" t="e">
        <f t="shared" si="13"/>
        <v>#NUM!</v>
      </c>
      <c r="P26" s="24" t="e">
        <f t="shared" si="14"/>
        <v>#NUM!</v>
      </c>
      <c r="Q26" s="139" t="e">
        <f>ROUND((0.8*'Side MDB'!W26+0.2*'Side Pole'!N26),3)</f>
        <v>#NUM!</v>
      </c>
      <c r="R26" s="139" t="e">
        <f t="shared" si="15"/>
        <v>#NUM!</v>
      </c>
      <c r="S26" s="24" t="e">
        <f t="shared" si="16"/>
        <v>#NUM!</v>
      </c>
      <c r="T26" s="139" t="e">
        <f>ROUND(((0.8*'Side MDB'!W26+0.2*'Side Pole'!N26)+(IF('Side MDB'!X26="N/A",(0.8*'Side MDB'!W26+0.2*'Side Pole'!N26),'Side MDB'!X26)))/2,3)</f>
        <v>#NUM!</v>
      </c>
      <c r="U26" s="139" t="e">
        <f t="shared" si="17"/>
        <v>#NUM!</v>
      </c>
      <c r="V26" s="24" t="e">
        <f t="shared" si="18"/>
        <v>#NUM!</v>
      </c>
      <c r="W26" s="22"/>
      <c r="X26" s="33"/>
      <c r="Y26" s="33"/>
      <c r="Z26" s="33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</row>
    <row r="27" spans="1:37" ht="11.25" customHeight="1">
      <c r="A27" s="132"/>
      <c r="B27" s="132"/>
      <c r="C27" s="120" t="str">
        <f>Rollover!A27</f>
        <v>Ford</v>
      </c>
      <c r="D27" s="120" t="str">
        <f>Rollover!B27</f>
        <v>F-150 Super Crew HEV PU/CC 2WD</v>
      </c>
      <c r="E27" s="42"/>
      <c r="F27" s="134">
        <f>Rollover!C27</f>
        <v>2022</v>
      </c>
      <c r="G27" s="135"/>
      <c r="H27" s="19"/>
      <c r="I27" s="19"/>
      <c r="J27" s="136"/>
      <c r="K27" s="136"/>
      <c r="L27" s="137" t="e">
        <f t="shared" si="10"/>
        <v>#NUM!</v>
      </c>
      <c r="M27" s="138">
        <f t="shared" si="11"/>
        <v>1.8229037773026034E-3</v>
      </c>
      <c r="N27" s="137" t="e">
        <f t="shared" si="12"/>
        <v>#NUM!</v>
      </c>
      <c r="O27" s="10" t="e">
        <f t="shared" si="13"/>
        <v>#NUM!</v>
      </c>
      <c r="P27" s="24" t="e">
        <f t="shared" si="14"/>
        <v>#NUM!</v>
      </c>
      <c r="Q27" s="139" t="e">
        <f>ROUND((0.8*'Side MDB'!W27+0.2*'Side Pole'!N27),3)</f>
        <v>#NUM!</v>
      </c>
      <c r="R27" s="139" t="e">
        <f t="shared" si="15"/>
        <v>#NUM!</v>
      </c>
      <c r="S27" s="24" t="e">
        <f t="shared" si="16"/>
        <v>#NUM!</v>
      </c>
      <c r="T27" s="139" t="e">
        <f>ROUND(((0.8*'Side MDB'!W27+0.2*'Side Pole'!N27)+(IF('Side MDB'!X27="N/A",(0.8*'Side MDB'!W27+0.2*'Side Pole'!N27),'Side MDB'!X27)))/2,3)</f>
        <v>#NUM!</v>
      </c>
      <c r="U27" s="139" t="e">
        <f t="shared" si="17"/>
        <v>#NUM!</v>
      </c>
      <c r="V27" s="24" t="e">
        <f t="shared" si="18"/>
        <v>#NUM!</v>
      </c>
      <c r="W27" s="22"/>
      <c r="X27" s="33"/>
      <c r="Y27" s="33"/>
      <c r="Z27" s="33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</row>
    <row r="28" spans="1:37" ht="11.25" customHeight="1">
      <c r="A28" s="132"/>
      <c r="B28" s="132"/>
      <c r="C28" s="120" t="str">
        <f>Rollover!A28</f>
        <v>Ford</v>
      </c>
      <c r="D28" s="120" t="str">
        <f>Rollover!B28</f>
        <v>F-150 Super Crew HEV PU/CC 4WD</v>
      </c>
      <c r="E28" s="42"/>
      <c r="F28" s="134">
        <f>Rollover!C28</f>
        <v>2022</v>
      </c>
      <c r="G28" s="135"/>
      <c r="H28" s="19"/>
      <c r="I28" s="19"/>
      <c r="J28" s="136"/>
      <c r="K28" s="136"/>
      <c r="L28" s="137" t="e">
        <f t="shared" si="10"/>
        <v>#NUM!</v>
      </c>
      <c r="M28" s="138">
        <f t="shared" si="11"/>
        <v>1.8229037773026034E-3</v>
      </c>
      <c r="N28" s="137" t="e">
        <f t="shared" si="12"/>
        <v>#NUM!</v>
      </c>
      <c r="O28" s="10" t="e">
        <f t="shared" si="13"/>
        <v>#NUM!</v>
      </c>
      <c r="P28" s="24" t="e">
        <f t="shared" si="14"/>
        <v>#NUM!</v>
      </c>
      <c r="Q28" s="139" t="e">
        <f>ROUND((0.8*'Side MDB'!W28+0.2*'Side Pole'!N28),3)</f>
        <v>#NUM!</v>
      </c>
      <c r="R28" s="139" t="e">
        <f t="shared" si="15"/>
        <v>#NUM!</v>
      </c>
      <c r="S28" s="24" t="e">
        <f t="shared" si="16"/>
        <v>#NUM!</v>
      </c>
      <c r="T28" s="139" t="e">
        <f>ROUND(((0.8*'Side MDB'!W28+0.2*'Side Pole'!N28)+(IF('Side MDB'!X28="N/A",(0.8*'Side MDB'!W28+0.2*'Side Pole'!N28),'Side MDB'!X28)))/2,3)</f>
        <v>#NUM!</v>
      </c>
      <c r="U28" s="139" t="e">
        <f t="shared" si="17"/>
        <v>#NUM!</v>
      </c>
      <c r="V28" s="24" t="e">
        <f t="shared" si="18"/>
        <v>#NUM!</v>
      </c>
      <c r="W28" s="22"/>
      <c r="X28" s="33"/>
      <c r="Y28" s="33"/>
      <c r="Z28" s="33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</row>
    <row r="29" spans="1:37" ht="11.25" customHeight="1">
      <c r="A29" s="132">
        <v>14213</v>
      </c>
      <c r="B29" s="132" t="s">
        <v>233</v>
      </c>
      <c r="C29" s="120" t="str">
        <f>Rollover!A29</f>
        <v>Ford</v>
      </c>
      <c r="D29" s="120" t="str">
        <f>Rollover!B29</f>
        <v>F-250 Super Cab PU/EC 2WD</v>
      </c>
      <c r="E29" s="42"/>
      <c r="F29" s="134">
        <f>Rollover!C29</f>
        <v>2022</v>
      </c>
      <c r="G29" s="135">
        <v>226.59200000000001</v>
      </c>
      <c r="H29" s="19">
        <v>20.651</v>
      </c>
      <c r="I29" s="19">
        <v>34.637999999999998</v>
      </c>
      <c r="J29" s="136">
        <v>18.652999999999999</v>
      </c>
      <c r="K29" s="136">
        <v>2552.3679999999999</v>
      </c>
      <c r="L29" s="137">
        <f t="shared" si="10"/>
        <v>3.0516367610322792E-3</v>
      </c>
      <c r="M29" s="138">
        <f t="shared" si="11"/>
        <v>1.9718662639488828E-2</v>
      </c>
      <c r="N29" s="137">
        <f t="shared" si="12"/>
        <v>2.3E-2</v>
      </c>
      <c r="O29" s="10">
        <f t="shared" si="13"/>
        <v>0.15</v>
      </c>
      <c r="P29" s="24">
        <f t="shared" si="14"/>
        <v>5</v>
      </c>
      <c r="Q29" s="139">
        <f>ROUND((0.8*'Side MDB'!W29+0.2*'Side Pole'!N29),3)</f>
        <v>3.1E-2</v>
      </c>
      <c r="R29" s="139">
        <f t="shared" si="15"/>
        <v>0.21</v>
      </c>
      <c r="S29" s="24">
        <f t="shared" si="16"/>
        <v>5</v>
      </c>
      <c r="T29" s="139">
        <f>ROUND(((0.8*'Side MDB'!W29+0.2*'Side Pole'!N29)+(IF('Side MDB'!X29="N/A",(0.8*'Side MDB'!W29+0.2*'Side Pole'!N29),'Side MDB'!X29)))/2,3)</f>
        <v>1.7000000000000001E-2</v>
      </c>
      <c r="U29" s="139">
        <f t="shared" si="17"/>
        <v>0.11</v>
      </c>
      <c r="V29" s="24">
        <f t="shared" si="18"/>
        <v>5</v>
      </c>
      <c r="W29" s="22"/>
      <c r="X29" s="33"/>
      <c r="Y29" s="33"/>
      <c r="Z29" s="33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</row>
    <row r="30" spans="1:37" ht="11.25" customHeight="1">
      <c r="A30" s="132">
        <v>14213</v>
      </c>
      <c r="B30" s="132" t="s">
        <v>233</v>
      </c>
      <c r="C30" s="120" t="str">
        <f>Rollover!A30</f>
        <v>Ford</v>
      </c>
      <c r="D30" s="120" t="str">
        <f>Rollover!B30</f>
        <v>F-250 Super Cab PU/EC 4WD</v>
      </c>
      <c r="E30" s="42"/>
      <c r="F30" s="134">
        <f>Rollover!C30</f>
        <v>2022</v>
      </c>
      <c r="G30" s="135">
        <v>226.59200000000001</v>
      </c>
      <c r="H30" s="19">
        <v>20.651</v>
      </c>
      <c r="I30" s="19">
        <v>34.637999999999998</v>
      </c>
      <c r="J30" s="136">
        <v>18.652999999999999</v>
      </c>
      <c r="K30" s="136">
        <v>2552.3679999999999</v>
      </c>
      <c r="L30" s="137">
        <f t="shared" si="10"/>
        <v>3.0516367610322792E-3</v>
      </c>
      <c r="M30" s="138">
        <f t="shared" si="11"/>
        <v>1.9718662639488828E-2</v>
      </c>
      <c r="N30" s="137">
        <f t="shared" si="12"/>
        <v>2.3E-2</v>
      </c>
      <c r="O30" s="10">
        <f t="shared" si="13"/>
        <v>0.15</v>
      </c>
      <c r="P30" s="24">
        <f t="shared" si="14"/>
        <v>5</v>
      </c>
      <c r="Q30" s="139">
        <f>ROUND((0.8*'Side MDB'!W30+0.2*'Side Pole'!N30),3)</f>
        <v>3.1E-2</v>
      </c>
      <c r="R30" s="139">
        <f t="shared" si="15"/>
        <v>0.21</v>
      </c>
      <c r="S30" s="24">
        <f t="shared" si="16"/>
        <v>5</v>
      </c>
      <c r="T30" s="139">
        <f>ROUND(((0.8*'Side MDB'!W30+0.2*'Side Pole'!N30)+(IF('Side MDB'!X30="N/A",(0.8*'Side MDB'!W30+0.2*'Side Pole'!N30),'Side MDB'!X30)))/2,3)</f>
        <v>1.7000000000000001E-2</v>
      </c>
      <c r="U30" s="139">
        <f t="shared" si="17"/>
        <v>0.11</v>
      </c>
      <c r="V30" s="24">
        <f t="shared" si="18"/>
        <v>5</v>
      </c>
      <c r="W30" s="22"/>
      <c r="X30" s="33"/>
      <c r="Y30" s="33"/>
      <c r="Z30" s="33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</row>
    <row r="31" spans="1:37" ht="11.25" customHeight="1">
      <c r="A31" s="132">
        <v>14128</v>
      </c>
      <c r="B31" s="132" t="s">
        <v>234</v>
      </c>
      <c r="C31" s="120" t="str">
        <f>Rollover!A31</f>
        <v>Ford</v>
      </c>
      <c r="D31" s="120" t="str">
        <f>Rollover!B31</f>
        <v>Maverick PU/CC FWD</v>
      </c>
      <c r="E31" s="42" t="s">
        <v>187</v>
      </c>
      <c r="F31" s="134">
        <f>Rollover!C31</f>
        <v>2022</v>
      </c>
      <c r="G31" s="135">
        <v>255.27199999999999</v>
      </c>
      <c r="H31" s="19">
        <v>18.356999999999999</v>
      </c>
      <c r="I31" s="19">
        <v>34.758000000000003</v>
      </c>
      <c r="J31" s="136">
        <v>13.554</v>
      </c>
      <c r="K31" s="136">
        <v>2039.152</v>
      </c>
      <c r="L31" s="137">
        <f t="shared" si="10"/>
        <v>4.9239558858631119E-3</v>
      </c>
      <c r="M31" s="138">
        <f t="shared" si="11"/>
        <v>1.2264608044572866E-2</v>
      </c>
      <c r="N31" s="137">
        <f t="shared" si="12"/>
        <v>1.7000000000000001E-2</v>
      </c>
      <c r="O31" s="10">
        <f t="shared" si="13"/>
        <v>0.11</v>
      </c>
      <c r="P31" s="24">
        <f t="shared" si="14"/>
        <v>5</v>
      </c>
      <c r="Q31" s="139">
        <f>ROUND((0.8*'Side MDB'!W31+0.2*'Side Pole'!N31),3)</f>
        <v>3.1E-2</v>
      </c>
      <c r="R31" s="139">
        <f t="shared" si="15"/>
        <v>0.21</v>
      </c>
      <c r="S31" s="24">
        <f t="shared" si="16"/>
        <v>5</v>
      </c>
      <c r="T31" s="139">
        <f>ROUND(((0.8*'Side MDB'!W31+0.2*'Side Pole'!N31)+(IF('Side MDB'!X31="N/A",(0.8*'Side MDB'!W31+0.2*'Side Pole'!N31),'Side MDB'!X31)))/2,3)</f>
        <v>6.4000000000000001E-2</v>
      </c>
      <c r="U31" s="139">
        <f t="shared" si="17"/>
        <v>0.43</v>
      </c>
      <c r="V31" s="24">
        <f t="shared" si="18"/>
        <v>5</v>
      </c>
      <c r="W31" s="22"/>
      <c r="X31" s="33"/>
      <c r="Y31" s="33"/>
      <c r="Z31" s="33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</row>
    <row r="32" spans="1:37" ht="11.25" customHeight="1">
      <c r="A32" s="132">
        <v>14128</v>
      </c>
      <c r="B32" s="132" t="s">
        <v>234</v>
      </c>
      <c r="C32" s="133" t="str">
        <f>Rollover!A32</f>
        <v>Ford</v>
      </c>
      <c r="D32" s="133" t="str">
        <f>Rollover!B32</f>
        <v>Maverick PU/CC 4WD</v>
      </c>
      <c r="E32" s="42" t="s">
        <v>187</v>
      </c>
      <c r="F32" s="134">
        <f>Rollover!C32</f>
        <v>2022</v>
      </c>
      <c r="G32" s="135">
        <v>255.27199999999999</v>
      </c>
      <c r="H32" s="19">
        <v>18.356999999999999</v>
      </c>
      <c r="I32" s="19">
        <v>34.758000000000003</v>
      </c>
      <c r="J32" s="136">
        <v>13.554</v>
      </c>
      <c r="K32" s="136">
        <v>2039.152</v>
      </c>
      <c r="L32" s="137">
        <f t="shared" si="10"/>
        <v>4.9239558858631119E-3</v>
      </c>
      <c r="M32" s="138">
        <f t="shared" si="11"/>
        <v>1.2264608044572866E-2</v>
      </c>
      <c r="N32" s="137">
        <f t="shared" si="12"/>
        <v>1.7000000000000001E-2</v>
      </c>
      <c r="O32" s="10">
        <f t="shared" si="13"/>
        <v>0.11</v>
      </c>
      <c r="P32" s="24">
        <f t="shared" si="14"/>
        <v>5</v>
      </c>
      <c r="Q32" s="139">
        <f>ROUND((0.8*'Side MDB'!W32+0.2*'Side Pole'!N32),3)</f>
        <v>3.1E-2</v>
      </c>
      <c r="R32" s="139">
        <f t="shared" si="15"/>
        <v>0.21</v>
      </c>
      <c r="S32" s="24">
        <f t="shared" si="16"/>
        <v>5</v>
      </c>
      <c r="T32" s="139">
        <f>ROUND(((0.8*'Side MDB'!W32+0.2*'Side Pole'!N32)+(IF('Side MDB'!X32="N/A",(0.8*'Side MDB'!W32+0.2*'Side Pole'!N32),'Side MDB'!X32)))/2,3)</f>
        <v>6.4000000000000001E-2</v>
      </c>
      <c r="U32" s="139">
        <f t="shared" si="17"/>
        <v>0.43</v>
      </c>
      <c r="V32" s="24">
        <f t="shared" si="18"/>
        <v>5</v>
      </c>
      <c r="W32" s="22"/>
      <c r="X32" s="33"/>
      <c r="Y32" s="33"/>
      <c r="Z32" s="33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</row>
    <row r="33" spans="1:37" ht="11.25" customHeight="1">
      <c r="A33" s="132">
        <v>14128</v>
      </c>
      <c r="B33" s="132" t="s">
        <v>234</v>
      </c>
      <c r="C33" s="133" t="str">
        <f>Rollover!A33</f>
        <v>Ford</v>
      </c>
      <c r="D33" s="133" t="str">
        <f>Rollover!B33</f>
        <v>Maverick HEV PU/CC FWD</v>
      </c>
      <c r="E33" s="42" t="s">
        <v>187</v>
      </c>
      <c r="F33" s="134">
        <f>Rollover!C33</f>
        <v>2022</v>
      </c>
      <c r="G33" s="135">
        <v>255.27199999999999</v>
      </c>
      <c r="H33" s="19">
        <v>18.356999999999999</v>
      </c>
      <c r="I33" s="19">
        <v>34.758000000000003</v>
      </c>
      <c r="J33" s="136">
        <v>13.554</v>
      </c>
      <c r="K33" s="136">
        <v>2039.152</v>
      </c>
      <c r="L33" s="137">
        <f t="shared" si="10"/>
        <v>4.9239558858631119E-3</v>
      </c>
      <c r="M33" s="138">
        <f t="shared" si="11"/>
        <v>1.2264608044572866E-2</v>
      </c>
      <c r="N33" s="137">
        <f t="shared" si="12"/>
        <v>1.7000000000000001E-2</v>
      </c>
      <c r="O33" s="10">
        <f t="shared" si="13"/>
        <v>0.11</v>
      </c>
      <c r="P33" s="24">
        <f t="shared" si="14"/>
        <v>5</v>
      </c>
      <c r="Q33" s="139">
        <f>ROUND((0.8*'Side MDB'!W33+0.2*'Side Pole'!N33),3)</f>
        <v>3.1E-2</v>
      </c>
      <c r="R33" s="139">
        <f t="shared" si="15"/>
        <v>0.21</v>
      </c>
      <c r="S33" s="24">
        <f t="shared" si="16"/>
        <v>5</v>
      </c>
      <c r="T33" s="139">
        <f>ROUND(((0.8*'Side MDB'!W33+0.2*'Side Pole'!N33)+(IF('Side MDB'!X33="N/A",(0.8*'Side MDB'!W33+0.2*'Side Pole'!N33),'Side MDB'!X33)))/2,3)</f>
        <v>6.4000000000000001E-2</v>
      </c>
      <c r="U33" s="139">
        <f t="shared" si="17"/>
        <v>0.43</v>
      </c>
      <c r="V33" s="24">
        <f t="shared" si="18"/>
        <v>5</v>
      </c>
      <c r="W33" s="22"/>
      <c r="X33" s="33"/>
      <c r="Y33" s="33"/>
      <c r="Z33" s="33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</row>
    <row r="34" spans="1:37" ht="11.25" customHeight="1">
      <c r="A34" s="132">
        <v>14050</v>
      </c>
      <c r="B34" s="132" t="s">
        <v>235</v>
      </c>
      <c r="C34" s="120" t="str">
        <f>Rollover!A34</f>
        <v>Honda</v>
      </c>
      <c r="D34" s="120" t="str">
        <f>Rollover!B34</f>
        <v>Civic 4DR FWD</v>
      </c>
      <c r="E34" s="42" t="s">
        <v>134</v>
      </c>
      <c r="F34" s="134">
        <f>Rollover!C34</f>
        <v>2022</v>
      </c>
      <c r="G34" s="135">
        <v>260.16300000000001</v>
      </c>
      <c r="H34" s="19">
        <v>18.45</v>
      </c>
      <c r="I34" s="19">
        <v>50.851999999999997</v>
      </c>
      <c r="J34" s="136">
        <v>26.135999999999999</v>
      </c>
      <c r="K34" s="136">
        <v>3579.76</v>
      </c>
      <c r="L34" s="137">
        <f t="shared" si="10"/>
        <v>5.3021231425712861E-3</v>
      </c>
      <c r="M34" s="138">
        <f t="shared" si="11"/>
        <v>5.0186213198040945E-2</v>
      </c>
      <c r="N34" s="137">
        <f t="shared" si="12"/>
        <v>5.5E-2</v>
      </c>
      <c r="O34" s="10">
        <f t="shared" si="13"/>
        <v>0.37</v>
      </c>
      <c r="P34" s="24">
        <f t="shared" si="14"/>
        <v>5</v>
      </c>
      <c r="Q34" s="139">
        <f>ROUND((0.8*'Side MDB'!W34+0.2*'Side Pole'!N34),3)</f>
        <v>6.0999999999999999E-2</v>
      </c>
      <c r="R34" s="139">
        <f t="shared" si="15"/>
        <v>0.41</v>
      </c>
      <c r="S34" s="24">
        <f t="shared" si="16"/>
        <v>5</v>
      </c>
      <c r="T34" s="139">
        <f>ROUND(((0.8*'Side MDB'!W34+0.2*'Side Pole'!N34)+(IF('Side MDB'!X34="N/A",(0.8*'Side MDB'!W34+0.2*'Side Pole'!N34),'Side MDB'!X34)))/2,3)</f>
        <v>4.1000000000000002E-2</v>
      </c>
      <c r="U34" s="139">
        <f t="shared" si="17"/>
        <v>0.27</v>
      </c>
      <c r="V34" s="24">
        <f t="shared" si="18"/>
        <v>5</v>
      </c>
      <c r="W34" s="22"/>
      <c r="X34" s="33"/>
      <c r="Y34" s="33"/>
      <c r="Z34" s="33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</row>
    <row r="35" spans="1:37" ht="11.25" customHeight="1">
      <c r="A35" s="132">
        <v>14050</v>
      </c>
      <c r="B35" s="132" t="s">
        <v>235</v>
      </c>
      <c r="C35" s="133" t="str">
        <f>Rollover!A35</f>
        <v>Honda</v>
      </c>
      <c r="D35" s="133" t="str">
        <f>Rollover!B35</f>
        <v>Civic SI 4DR FWD</v>
      </c>
      <c r="E35" s="42" t="s">
        <v>134</v>
      </c>
      <c r="F35" s="134">
        <f>Rollover!C35</f>
        <v>2022</v>
      </c>
      <c r="G35" s="135">
        <v>260.16300000000001</v>
      </c>
      <c r="H35" s="19">
        <v>18.45</v>
      </c>
      <c r="I35" s="19">
        <v>50.851999999999997</v>
      </c>
      <c r="J35" s="136">
        <v>26.135999999999999</v>
      </c>
      <c r="K35" s="136">
        <v>3579.76</v>
      </c>
      <c r="L35" s="137">
        <f t="shared" si="10"/>
        <v>5.3021231425712861E-3</v>
      </c>
      <c r="M35" s="138">
        <f t="shared" si="11"/>
        <v>5.0186213198040945E-2</v>
      </c>
      <c r="N35" s="137">
        <f t="shared" si="12"/>
        <v>5.5E-2</v>
      </c>
      <c r="O35" s="10">
        <f t="shared" si="13"/>
        <v>0.37</v>
      </c>
      <c r="P35" s="24">
        <f t="shared" si="14"/>
        <v>5</v>
      </c>
      <c r="Q35" s="139">
        <f>ROUND((0.8*'Side MDB'!W35+0.2*'Side Pole'!N35),3)</f>
        <v>6.0999999999999999E-2</v>
      </c>
      <c r="R35" s="139">
        <f t="shared" si="15"/>
        <v>0.41</v>
      </c>
      <c r="S35" s="24">
        <f t="shared" si="16"/>
        <v>5</v>
      </c>
      <c r="T35" s="139">
        <f>ROUND(((0.8*'Side MDB'!W35+0.2*'Side Pole'!N35)+(IF('Side MDB'!X35="N/A",(0.8*'Side MDB'!W35+0.2*'Side Pole'!N35),'Side MDB'!X35)))/2,3)</f>
        <v>4.1000000000000002E-2</v>
      </c>
      <c r="U35" s="139">
        <f t="shared" si="17"/>
        <v>0.27</v>
      </c>
      <c r="V35" s="24">
        <f t="shared" si="18"/>
        <v>5</v>
      </c>
      <c r="W35" s="22"/>
      <c r="X35" s="33"/>
      <c r="Y35" s="33"/>
      <c r="Z35" s="33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</row>
    <row r="36" spans="1:37" ht="11.25" customHeight="1">
      <c r="A36" s="132">
        <v>14050</v>
      </c>
      <c r="B36" s="132" t="s">
        <v>235</v>
      </c>
      <c r="C36" s="133" t="str">
        <f>Rollover!A36</f>
        <v>Honda</v>
      </c>
      <c r="D36" s="133" t="str">
        <f>Rollover!B36</f>
        <v>Civic 5HB FWD</v>
      </c>
      <c r="E36" s="42" t="s">
        <v>134</v>
      </c>
      <c r="F36" s="134">
        <f>Rollover!C36</f>
        <v>2022</v>
      </c>
      <c r="G36" s="135">
        <v>260.16300000000001</v>
      </c>
      <c r="H36" s="19">
        <v>18.45</v>
      </c>
      <c r="I36" s="19">
        <v>50.851999999999997</v>
      </c>
      <c r="J36" s="136">
        <v>26.135999999999999</v>
      </c>
      <c r="K36" s="136">
        <v>3579.76</v>
      </c>
      <c r="L36" s="137">
        <f t="shared" si="10"/>
        <v>5.3021231425712861E-3</v>
      </c>
      <c r="M36" s="138">
        <f t="shared" si="11"/>
        <v>5.0186213198040945E-2</v>
      </c>
      <c r="N36" s="137">
        <f t="shared" si="12"/>
        <v>5.5E-2</v>
      </c>
      <c r="O36" s="10">
        <f t="shared" si="13"/>
        <v>0.37</v>
      </c>
      <c r="P36" s="24">
        <f t="shared" si="14"/>
        <v>5</v>
      </c>
      <c r="Q36" s="139">
        <f>ROUND((0.8*'Side MDB'!W36+0.2*'Side Pole'!N36),3)</f>
        <v>6.0999999999999999E-2</v>
      </c>
      <c r="R36" s="139">
        <f t="shared" si="15"/>
        <v>0.41</v>
      </c>
      <c r="S36" s="24">
        <f t="shared" si="16"/>
        <v>5</v>
      </c>
      <c r="T36" s="139">
        <f>ROUND(((0.8*'Side MDB'!W36+0.2*'Side Pole'!N36)+(IF('Side MDB'!X36="N/A",(0.8*'Side MDB'!W36+0.2*'Side Pole'!N36),'Side MDB'!X36)))/2,3)</f>
        <v>4.1000000000000002E-2</v>
      </c>
      <c r="U36" s="139">
        <f t="shared" si="17"/>
        <v>0.27</v>
      </c>
      <c r="V36" s="24">
        <f t="shared" si="18"/>
        <v>5</v>
      </c>
      <c r="W36" s="22"/>
      <c r="X36" s="33"/>
      <c r="Y36" s="33"/>
      <c r="Z36" s="33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</row>
    <row r="37" spans="1:37" ht="11.25" customHeight="1">
      <c r="A37" s="132">
        <v>14092</v>
      </c>
      <c r="B37" s="132" t="s">
        <v>236</v>
      </c>
      <c r="C37" s="120" t="str">
        <f>Rollover!A37</f>
        <v>Hyundai</v>
      </c>
      <c r="D37" s="120" t="str">
        <f>Rollover!B37</f>
        <v>Ioniq 5 SUV RWD</v>
      </c>
      <c r="E37" s="42" t="s">
        <v>187</v>
      </c>
      <c r="F37" s="134">
        <f>Rollover!C37</f>
        <v>2022</v>
      </c>
      <c r="G37" s="135">
        <v>281.55</v>
      </c>
      <c r="H37" s="19">
        <v>19.459</v>
      </c>
      <c r="I37" s="19">
        <v>44.920999999999999</v>
      </c>
      <c r="J37" s="136">
        <v>23.422000000000001</v>
      </c>
      <c r="K37" s="136">
        <v>2259.5549999999998</v>
      </c>
      <c r="L37" s="137">
        <f t="shared" si="10"/>
        <v>7.1683466675384307E-3</v>
      </c>
      <c r="M37" s="138">
        <f t="shared" si="11"/>
        <v>1.5045473385594626E-2</v>
      </c>
      <c r="N37" s="137">
        <f t="shared" si="12"/>
        <v>2.1999999999999999E-2</v>
      </c>
      <c r="O37" s="10">
        <f t="shared" si="13"/>
        <v>0.15</v>
      </c>
      <c r="P37" s="24">
        <f t="shared" si="14"/>
        <v>5</v>
      </c>
      <c r="Q37" s="139">
        <f>ROUND((0.8*'Side MDB'!W37+0.2*'Side Pole'!N37),3)</f>
        <v>0.114</v>
      </c>
      <c r="R37" s="139">
        <f t="shared" si="15"/>
        <v>0.76</v>
      </c>
      <c r="S37" s="24">
        <f t="shared" si="16"/>
        <v>4</v>
      </c>
      <c r="T37" s="139">
        <f>ROUND(((0.8*'Side MDB'!W37+0.2*'Side Pole'!N37)+(IF('Side MDB'!X37="N/A",(0.8*'Side MDB'!W37+0.2*'Side Pole'!N37),'Side MDB'!X37)))/2,3)</f>
        <v>6.3E-2</v>
      </c>
      <c r="U37" s="139">
        <f t="shared" si="17"/>
        <v>0.42</v>
      </c>
      <c r="V37" s="24">
        <f t="shared" si="18"/>
        <v>5</v>
      </c>
      <c r="W37" s="22"/>
      <c r="X37" s="33"/>
      <c r="Y37" s="33"/>
      <c r="Z37" s="33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</row>
    <row r="38" spans="1:37" ht="11.25" customHeight="1">
      <c r="A38" s="132">
        <v>14092</v>
      </c>
      <c r="B38" s="132" t="s">
        <v>236</v>
      </c>
      <c r="C38" s="120" t="str">
        <f>Rollover!A38</f>
        <v>Hyundai</v>
      </c>
      <c r="D38" s="120" t="str">
        <f>Rollover!B38</f>
        <v>Ioniq 5 SUV AWD</v>
      </c>
      <c r="E38" s="42" t="s">
        <v>187</v>
      </c>
      <c r="F38" s="134">
        <f>Rollover!C38</f>
        <v>2022</v>
      </c>
      <c r="G38" s="135">
        <v>281.55</v>
      </c>
      <c r="H38" s="19">
        <v>19.459</v>
      </c>
      <c r="I38" s="19">
        <v>44.920999999999999</v>
      </c>
      <c r="J38" s="136">
        <v>23.422000000000001</v>
      </c>
      <c r="K38" s="136">
        <v>2259.5549999999998</v>
      </c>
      <c r="L38" s="137">
        <f t="shared" si="10"/>
        <v>7.1683466675384307E-3</v>
      </c>
      <c r="M38" s="138">
        <f t="shared" si="11"/>
        <v>1.5045473385594626E-2</v>
      </c>
      <c r="N38" s="137">
        <f t="shared" si="12"/>
        <v>2.1999999999999999E-2</v>
      </c>
      <c r="O38" s="10">
        <f t="shared" si="13"/>
        <v>0.15</v>
      </c>
      <c r="P38" s="24">
        <f t="shared" si="14"/>
        <v>5</v>
      </c>
      <c r="Q38" s="139">
        <f>ROUND((0.8*'Side MDB'!W38+0.2*'Side Pole'!N38),3)</f>
        <v>0.114</v>
      </c>
      <c r="R38" s="139">
        <f t="shared" si="15"/>
        <v>0.76</v>
      </c>
      <c r="S38" s="24">
        <f t="shared" si="16"/>
        <v>4</v>
      </c>
      <c r="T38" s="139">
        <f>ROUND(((0.8*'Side MDB'!W38+0.2*'Side Pole'!N38)+(IF('Side MDB'!X38="N/A",(0.8*'Side MDB'!W38+0.2*'Side Pole'!N38),'Side MDB'!X38)))/2,3)</f>
        <v>6.3E-2</v>
      </c>
      <c r="U38" s="139">
        <f t="shared" si="17"/>
        <v>0.42</v>
      </c>
      <c r="V38" s="24">
        <f t="shared" si="18"/>
        <v>5</v>
      </c>
      <c r="W38" s="22"/>
      <c r="X38" s="33"/>
      <c r="Y38" s="33"/>
      <c r="Z38" s="33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</row>
    <row r="39" spans="1:37" ht="11.25" customHeight="1">
      <c r="A39" s="132">
        <v>11667</v>
      </c>
      <c r="B39" s="132" t="s">
        <v>237</v>
      </c>
      <c r="C39" s="120" t="str">
        <f>Rollover!A39</f>
        <v>Hyundai</v>
      </c>
      <c r="D39" s="120" t="str">
        <f>Rollover!B39</f>
        <v>Tucson SUV FWD early release</v>
      </c>
      <c r="E39" s="42" t="s">
        <v>134</v>
      </c>
      <c r="F39" s="134">
        <f>Rollover!C39</f>
        <v>2022</v>
      </c>
      <c r="G39" s="135">
        <v>311.87900000000002</v>
      </c>
      <c r="H39" s="19">
        <v>24.306999999999999</v>
      </c>
      <c r="I39" s="19">
        <v>38.649000000000001</v>
      </c>
      <c r="J39" s="136">
        <v>24.606000000000002</v>
      </c>
      <c r="K39" s="136">
        <v>2673.1149999999998</v>
      </c>
      <c r="L39" s="137">
        <f t="shared" si="10"/>
        <v>1.0431330980103867E-2</v>
      </c>
      <c r="M39" s="138">
        <f t="shared" si="11"/>
        <v>2.2036506007926754E-2</v>
      </c>
      <c r="N39" s="137">
        <f t="shared" si="12"/>
        <v>3.2000000000000001E-2</v>
      </c>
      <c r="O39" s="10">
        <f t="shared" si="13"/>
        <v>0.21</v>
      </c>
      <c r="P39" s="24">
        <f t="shared" si="14"/>
        <v>5</v>
      </c>
      <c r="Q39" s="139">
        <f>ROUND((0.8*'Side MDB'!W39+0.2*'Side Pole'!N39),3)</f>
        <v>5.8000000000000003E-2</v>
      </c>
      <c r="R39" s="139">
        <f t="shared" si="15"/>
        <v>0.39</v>
      </c>
      <c r="S39" s="24">
        <f t="shared" si="16"/>
        <v>5</v>
      </c>
      <c r="T39" s="139">
        <f>ROUND(((0.8*'Side MDB'!W39+0.2*'Side Pole'!N39)+(IF('Side MDB'!X39="N/A",(0.8*'Side MDB'!W39+0.2*'Side Pole'!N39),'Side MDB'!X39)))/2,3)</f>
        <v>4.2000000000000003E-2</v>
      </c>
      <c r="U39" s="139">
        <f t="shared" si="17"/>
        <v>0.28000000000000003</v>
      </c>
      <c r="V39" s="24">
        <f t="shared" si="18"/>
        <v>5</v>
      </c>
      <c r="W39" s="22"/>
      <c r="X39" s="33"/>
      <c r="Y39" s="33"/>
      <c r="Z39" s="33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</row>
    <row r="40" spans="1:37" ht="11.25" customHeight="1">
      <c r="A40" s="132">
        <v>11667</v>
      </c>
      <c r="B40" s="132" t="s">
        <v>237</v>
      </c>
      <c r="C40" s="133" t="str">
        <f>Rollover!A40</f>
        <v>Hyundai</v>
      </c>
      <c r="D40" s="133" t="str">
        <f>Rollover!B40</f>
        <v>Tucson SUV AWD early release</v>
      </c>
      <c r="E40" s="42" t="s">
        <v>134</v>
      </c>
      <c r="F40" s="134">
        <f>Rollover!C40</f>
        <v>2022</v>
      </c>
      <c r="G40" s="135">
        <v>311.87900000000002</v>
      </c>
      <c r="H40" s="19">
        <v>24.306999999999999</v>
      </c>
      <c r="I40" s="19">
        <v>38.649000000000001</v>
      </c>
      <c r="J40" s="136">
        <v>24.606000000000002</v>
      </c>
      <c r="K40" s="136">
        <v>2673.1149999999998</v>
      </c>
      <c r="L40" s="137">
        <f t="shared" si="10"/>
        <v>1.0431330980103867E-2</v>
      </c>
      <c r="M40" s="138">
        <f t="shared" si="11"/>
        <v>2.2036506007926754E-2</v>
      </c>
      <c r="N40" s="137">
        <f t="shared" si="12"/>
        <v>3.2000000000000001E-2</v>
      </c>
      <c r="O40" s="10">
        <f t="shared" si="13"/>
        <v>0.21</v>
      </c>
      <c r="P40" s="24">
        <f t="shared" si="14"/>
        <v>5</v>
      </c>
      <c r="Q40" s="139">
        <f>ROUND((0.8*'Side MDB'!W40+0.2*'Side Pole'!N40),3)</f>
        <v>5.8000000000000003E-2</v>
      </c>
      <c r="R40" s="139">
        <f t="shared" si="15"/>
        <v>0.39</v>
      </c>
      <c r="S40" s="24">
        <f t="shared" si="16"/>
        <v>5</v>
      </c>
      <c r="T40" s="139">
        <f>ROUND(((0.8*'Side MDB'!W40+0.2*'Side Pole'!N40)+(IF('Side MDB'!X40="N/A",(0.8*'Side MDB'!W40+0.2*'Side Pole'!N40),'Side MDB'!X40)))/2,3)</f>
        <v>4.2000000000000003E-2</v>
      </c>
      <c r="U40" s="139">
        <f t="shared" si="17"/>
        <v>0.28000000000000003</v>
      </c>
      <c r="V40" s="24">
        <f t="shared" si="18"/>
        <v>5</v>
      </c>
      <c r="W40" s="22"/>
      <c r="X40" s="33"/>
      <c r="Y40" s="33"/>
      <c r="Z40" s="33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</row>
    <row r="41" spans="1:37" ht="11.25" customHeight="1">
      <c r="A41" s="132">
        <v>11667</v>
      </c>
      <c r="B41" s="132" t="s">
        <v>237</v>
      </c>
      <c r="C41" s="133" t="str">
        <f>Rollover!A41</f>
        <v>Hyundai</v>
      </c>
      <c r="D41" s="133" t="str">
        <f>Rollover!B41</f>
        <v>Tucson HEV SUV FWD early release</v>
      </c>
      <c r="E41" s="42" t="s">
        <v>134</v>
      </c>
      <c r="F41" s="134">
        <f>Rollover!C41</f>
        <v>2022</v>
      </c>
      <c r="G41" s="135">
        <v>311.87900000000002</v>
      </c>
      <c r="H41" s="19">
        <v>24.306999999999999</v>
      </c>
      <c r="I41" s="19">
        <v>38.649000000000001</v>
      </c>
      <c r="J41" s="136">
        <v>24.606000000000002</v>
      </c>
      <c r="K41" s="136">
        <v>2673.1149999999998</v>
      </c>
      <c r="L41" s="137">
        <f t="shared" si="10"/>
        <v>1.0431330980103867E-2</v>
      </c>
      <c r="M41" s="138">
        <f t="shared" si="11"/>
        <v>2.2036506007926754E-2</v>
      </c>
      <c r="N41" s="137">
        <f t="shared" si="12"/>
        <v>3.2000000000000001E-2</v>
      </c>
      <c r="O41" s="10">
        <f t="shared" si="13"/>
        <v>0.21</v>
      </c>
      <c r="P41" s="24">
        <f t="shared" si="14"/>
        <v>5</v>
      </c>
      <c r="Q41" s="139">
        <f>ROUND((0.8*'Side MDB'!W41+0.2*'Side Pole'!N41),3)</f>
        <v>5.8000000000000003E-2</v>
      </c>
      <c r="R41" s="139">
        <f t="shared" si="15"/>
        <v>0.39</v>
      </c>
      <c r="S41" s="24">
        <f t="shared" si="16"/>
        <v>5</v>
      </c>
      <c r="T41" s="139">
        <f>ROUND(((0.8*'Side MDB'!W41+0.2*'Side Pole'!N41)+(IF('Side MDB'!X41="N/A",(0.8*'Side MDB'!W41+0.2*'Side Pole'!N41),'Side MDB'!X41)))/2,3)</f>
        <v>4.2000000000000003E-2</v>
      </c>
      <c r="U41" s="139">
        <f t="shared" si="17"/>
        <v>0.28000000000000003</v>
      </c>
      <c r="V41" s="24">
        <f t="shared" si="18"/>
        <v>5</v>
      </c>
      <c r="W41" s="22"/>
      <c r="X41" s="33"/>
      <c r="Y41" s="33"/>
      <c r="Z41" s="33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</row>
    <row r="42" spans="1:37" ht="11.25" customHeight="1">
      <c r="A42" s="132">
        <v>11667</v>
      </c>
      <c r="B42" s="132" t="s">
        <v>237</v>
      </c>
      <c r="C42" s="133" t="str">
        <f>Rollover!A42</f>
        <v>Hyundai</v>
      </c>
      <c r="D42" s="133" t="str">
        <f>Rollover!B42</f>
        <v>Tucson HEV SUV AWD early release</v>
      </c>
      <c r="E42" s="42" t="s">
        <v>134</v>
      </c>
      <c r="F42" s="134">
        <f>Rollover!C42</f>
        <v>2022</v>
      </c>
      <c r="G42" s="135">
        <v>311.87900000000002</v>
      </c>
      <c r="H42" s="19">
        <v>24.306999999999999</v>
      </c>
      <c r="I42" s="19">
        <v>38.649000000000001</v>
      </c>
      <c r="J42" s="136">
        <v>24.606000000000002</v>
      </c>
      <c r="K42" s="136">
        <v>2673.1149999999998</v>
      </c>
      <c r="L42" s="137">
        <f t="shared" si="10"/>
        <v>1.0431330980103867E-2</v>
      </c>
      <c r="M42" s="138">
        <f t="shared" si="11"/>
        <v>2.2036506007926754E-2</v>
      </c>
      <c r="N42" s="137">
        <f t="shared" si="12"/>
        <v>3.2000000000000001E-2</v>
      </c>
      <c r="O42" s="10">
        <f t="shared" si="13"/>
        <v>0.21</v>
      </c>
      <c r="P42" s="24">
        <f t="shared" si="14"/>
        <v>5</v>
      </c>
      <c r="Q42" s="139">
        <f>ROUND((0.8*'Side MDB'!W42+0.2*'Side Pole'!N42),3)</f>
        <v>5.8000000000000003E-2</v>
      </c>
      <c r="R42" s="139">
        <f t="shared" si="15"/>
        <v>0.39</v>
      </c>
      <c r="S42" s="24">
        <f t="shared" si="16"/>
        <v>5</v>
      </c>
      <c r="T42" s="139">
        <f>ROUND(((0.8*'Side MDB'!W42+0.2*'Side Pole'!N42)+(IF('Side MDB'!X42="N/A",(0.8*'Side MDB'!W42+0.2*'Side Pole'!N42),'Side MDB'!X42)))/2,3)</f>
        <v>4.2000000000000003E-2</v>
      </c>
      <c r="U42" s="139">
        <f t="shared" si="17"/>
        <v>0.28000000000000003</v>
      </c>
      <c r="V42" s="24">
        <f t="shared" si="18"/>
        <v>5</v>
      </c>
      <c r="W42" s="22"/>
      <c r="X42" s="33"/>
      <c r="Y42" s="33"/>
      <c r="Z42" s="33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</row>
    <row r="43" spans="1:37" ht="11.25" customHeight="1">
      <c r="A43" s="132">
        <v>14058</v>
      </c>
      <c r="B43" s="132" t="s">
        <v>238</v>
      </c>
      <c r="C43" s="120" t="str">
        <f>Rollover!A43</f>
        <v>Hyundai</v>
      </c>
      <c r="D43" s="120" t="str">
        <f>Rollover!B43</f>
        <v>Tucson SUV FWD later release</v>
      </c>
      <c r="E43" s="42" t="s">
        <v>134</v>
      </c>
      <c r="F43" s="134">
        <f>Rollover!C43</f>
        <v>2022</v>
      </c>
      <c r="G43" s="135">
        <v>332.43799999999999</v>
      </c>
      <c r="H43" s="19">
        <v>24.739000000000001</v>
      </c>
      <c r="I43" s="19">
        <v>45.508000000000003</v>
      </c>
      <c r="J43" s="136">
        <v>27.707000000000001</v>
      </c>
      <c r="K43" s="136">
        <v>2733.33</v>
      </c>
      <c r="L43" s="137">
        <f t="shared" si="10"/>
        <v>1.3067808738810124E-2</v>
      </c>
      <c r="M43" s="138">
        <f t="shared" si="11"/>
        <v>2.3289906668315794E-2</v>
      </c>
      <c r="N43" s="137">
        <f t="shared" si="12"/>
        <v>3.5999999999999997E-2</v>
      </c>
      <c r="O43" s="10">
        <f t="shared" si="13"/>
        <v>0.24</v>
      </c>
      <c r="P43" s="24">
        <f t="shared" si="14"/>
        <v>5</v>
      </c>
      <c r="Q43" s="139">
        <f>ROUND((0.8*'Side MDB'!W43+0.2*'Side Pole'!N43),3)</f>
        <v>5.8999999999999997E-2</v>
      </c>
      <c r="R43" s="139">
        <f t="shared" si="15"/>
        <v>0.39</v>
      </c>
      <c r="S43" s="24">
        <f t="shared" si="16"/>
        <v>5</v>
      </c>
      <c r="T43" s="139">
        <f>ROUND(((0.8*'Side MDB'!W43+0.2*'Side Pole'!N43)+(IF('Side MDB'!X43="N/A",(0.8*'Side MDB'!W43+0.2*'Side Pole'!N43),'Side MDB'!X43)))/2,3)</f>
        <v>0.05</v>
      </c>
      <c r="U43" s="139">
        <f t="shared" si="17"/>
        <v>0.33</v>
      </c>
      <c r="V43" s="24">
        <f t="shared" si="18"/>
        <v>5</v>
      </c>
      <c r="W43" s="22"/>
      <c r="X43" s="33"/>
      <c r="Y43" s="33"/>
      <c r="Z43" s="33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</row>
    <row r="44" spans="1:37" ht="11.25" customHeight="1">
      <c r="A44" s="132">
        <v>14058</v>
      </c>
      <c r="B44" s="132" t="s">
        <v>238</v>
      </c>
      <c r="C44" s="120" t="str">
        <f>Rollover!A44</f>
        <v>Hyundai</v>
      </c>
      <c r="D44" s="120" t="str">
        <f>Rollover!B44</f>
        <v>Tucson SUV AWD later release</v>
      </c>
      <c r="E44" s="42" t="s">
        <v>134</v>
      </c>
      <c r="F44" s="134">
        <f>Rollover!C44</f>
        <v>2022</v>
      </c>
      <c r="G44" s="135">
        <v>332.43799999999999</v>
      </c>
      <c r="H44" s="19">
        <v>24.739000000000001</v>
      </c>
      <c r="I44" s="19">
        <v>45.508000000000003</v>
      </c>
      <c r="J44" s="136">
        <v>27.707000000000001</v>
      </c>
      <c r="K44" s="136">
        <v>2733.33</v>
      </c>
      <c r="L44" s="137">
        <f t="shared" si="10"/>
        <v>1.3067808738810124E-2</v>
      </c>
      <c r="M44" s="138">
        <f t="shared" si="11"/>
        <v>2.3289906668315794E-2</v>
      </c>
      <c r="N44" s="137">
        <f t="shared" si="12"/>
        <v>3.5999999999999997E-2</v>
      </c>
      <c r="O44" s="10">
        <f t="shared" si="13"/>
        <v>0.24</v>
      </c>
      <c r="P44" s="24">
        <f t="shared" si="14"/>
        <v>5</v>
      </c>
      <c r="Q44" s="139">
        <f>ROUND((0.8*'Side MDB'!W44+0.2*'Side Pole'!N44),3)</f>
        <v>5.8999999999999997E-2</v>
      </c>
      <c r="R44" s="139">
        <f t="shared" si="15"/>
        <v>0.39</v>
      </c>
      <c r="S44" s="24">
        <f t="shared" si="16"/>
        <v>5</v>
      </c>
      <c r="T44" s="139">
        <f>ROUND(((0.8*'Side MDB'!W44+0.2*'Side Pole'!N44)+(IF('Side MDB'!X44="N/A",(0.8*'Side MDB'!W44+0.2*'Side Pole'!N44),'Side MDB'!X44)))/2,3)</f>
        <v>0.05</v>
      </c>
      <c r="U44" s="139">
        <f t="shared" si="17"/>
        <v>0.33</v>
      </c>
      <c r="V44" s="24">
        <f t="shared" si="18"/>
        <v>5</v>
      </c>
      <c r="W44" s="22"/>
      <c r="X44" s="33"/>
      <c r="Y44" s="33"/>
      <c r="Z44" s="33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</row>
    <row r="45" spans="1:37" ht="11.25" customHeight="1">
      <c r="A45" s="132">
        <v>14058</v>
      </c>
      <c r="B45" s="132" t="s">
        <v>238</v>
      </c>
      <c r="C45" s="120" t="str">
        <f>Rollover!A45</f>
        <v>Hyundai</v>
      </c>
      <c r="D45" s="120" t="str">
        <f>Rollover!B45</f>
        <v>Tucson HEV SUV FWD later release</v>
      </c>
      <c r="E45" s="42" t="s">
        <v>134</v>
      </c>
      <c r="F45" s="134">
        <f>Rollover!C45</f>
        <v>2022</v>
      </c>
      <c r="G45" s="135">
        <v>332.43799999999999</v>
      </c>
      <c r="H45" s="19">
        <v>24.739000000000001</v>
      </c>
      <c r="I45" s="19">
        <v>45.508000000000003</v>
      </c>
      <c r="J45" s="136">
        <v>27.707000000000001</v>
      </c>
      <c r="K45" s="136">
        <v>2733.33</v>
      </c>
      <c r="L45" s="137">
        <f t="shared" si="10"/>
        <v>1.3067808738810124E-2</v>
      </c>
      <c r="M45" s="138">
        <f t="shared" si="11"/>
        <v>2.3289906668315794E-2</v>
      </c>
      <c r="N45" s="137">
        <f t="shared" si="12"/>
        <v>3.5999999999999997E-2</v>
      </c>
      <c r="O45" s="10">
        <f t="shared" si="13"/>
        <v>0.24</v>
      </c>
      <c r="P45" s="24">
        <f t="shared" si="14"/>
        <v>5</v>
      </c>
      <c r="Q45" s="139">
        <f>ROUND((0.8*'Side MDB'!W45+0.2*'Side Pole'!N45),3)</f>
        <v>5.8999999999999997E-2</v>
      </c>
      <c r="R45" s="139">
        <f t="shared" si="15"/>
        <v>0.39</v>
      </c>
      <c r="S45" s="24">
        <f t="shared" si="16"/>
        <v>5</v>
      </c>
      <c r="T45" s="139">
        <f>ROUND(((0.8*'Side MDB'!W45+0.2*'Side Pole'!N45)+(IF('Side MDB'!X45="N/A",(0.8*'Side MDB'!W45+0.2*'Side Pole'!N45),'Side MDB'!X45)))/2,3)</f>
        <v>0.05</v>
      </c>
      <c r="U45" s="139">
        <f t="shared" si="17"/>
        <v>0.33</v>
      </c>
      <c r="V45" s="24">
        <f t="shared" si="18"/>
        <v>5</v>
      </c>
      <c r="W45" s="22"/>
      <c r="X45" s="33"/>
      <c r="Y45" s="33"/>
      <c r="Z45" s="33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</row>
    <row r="46" spans="1:37" ht="11.25" customHeight="1">
      <c r="A46" s="132">
        <v>14058</v>
      </c>
      <c r="B46" s="132" t="s">
        <v>238</v>
      </c>
      <c r="C46" s="120" t="str">
        <f>Rollover!A46</f>
        <v>Hyundai</v>
      </c>
      <c r="D46" s="120" t="str">
        <f>Rollover!B46</f>
        <v>Tucson HEV SUV AWD later release</v>
      </c>
      <c r="E46" s="42" t="s">
        <v>134</v>
      </c>
      <c r="F46" s="134">
        <f>Rollover!C46</f>
        <v>2022</v>
      </c>
      <c r="G46" s="135">
        <v>332.43799999999999</v>
      </c>
      <c r="H46" s="19">
        <v>24.739000000000001</v>
      </c>
      <c r="I46" s="19">
        <v>45.508000000000003</v>
      </c>
      <c r="J46" s="136">
        <v>27.707000000000001</v>
      </c>
      <c r="K46" s="136">
        <v>2733.33</v>
      </c>
      <c r="L46" s="137">
        <f t="shared" si="10"/>
        <v>1.3067808738810124E-2</v>
      </c>
      <c r="M46" s="138">
        <f t="shared" si="11"/>
        <v>2.3289906668315794E-2</v>
      </c>
      <c r="N46" s="137">
        <f t="shared" si="12"/>
        <v>3.5999999999999997E-2</v>
      </c>
      <c r="O46" s="10">
        <f t="shared" si="13"/>
        <v>0.24</v>
      </c>
      <c r="P46" s="24">
        <f t="shared" si="14"/>
        <v>5</v>
      </c>
      <c r="Q46" s="139">
        <f>ROUND((0.8*'Side MDB'!W46+0.2*'Side Pole'!N46),3)</f>
        <v>5.8999999999999997E-2</v>
      </c>
      <c r="R46" s="139">
        <f t="shared" si="15"/>
        <v>0.39</v>
      </c>
      <c r="S46" s="24">
        <f t="shared" si="16"/>
        <v>5</v>
      </c>
      <c r="T46" s="139">
        <f>ROUND(((0.8*'Side MDB'!W46+0.2*'Side Pole'!N46)+(IF('Side MDB'!X46="N/A",(0.8*'Side MDB'!W46+0.2*'Side Pole'!N46),'Side MDB'!X46)))/2,3)</f>
        <v>0.05</v>
      </c>
      <c r="U46" s="139">
        <f t="shared" si="17"/>
        <v>0.33</v>
      </c>
      <c r="V46" s="24">
        <f t="shared" si="18"/>
        <v>5</v>
      </c>
      <c r="W46" s="22"/>
      <c r="X46" s="33"/>
      <c r="Y46" s="33"/>
      <c r="Z46" s="33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</row>
    <row r="47" spans="1:37" ht="11.25" customHeight="1">
      <c r="A47" s="132">
        <v>14064</v>
      </c>
      <c r="B47" s="132" t="s">
        <v>239</v>
      </c>
      <c r="C47" s="120" t="str">
        <f>Rollover!A47</f>
        <v>Jeep</v>
      </c>
      <c r="D47" s="120" t="str">
        <f>Rollover!B47</f>
        <v>Compass SUV FWD</v>
      </c>
      <c r="E47" s="42" t="s">
        <v>140</v>
      </c>
      <c r="F47" s="134">
        <f>Rollover!C47</f>
        <v>2022</v>
      </c>
      <c r="G47" s="135">
        <v>407.42899999999997</v>
      </c>
      <c r="H47" s="19">
        <v>20.343</v>
      </c>
      <c r="I47" s="19">
        <v>39.497999999999998</v>
      </c>
      <c r="J47" s="136">
        <v>15.442</v>
      </c>
      <c r="K47" s="136">
        <v>3078.5839999999998</v>
      </c>
      <c r="L47" s="137">
        <f t="shared" si="10"/>
        <v>2.5629779971838101E-2</v>
      </c>
      <c r="M47" s="138">
        <f t="shared" si="11"/>
        <v>3.1933936745021999E-2</v>
      </c>
      <c r="N47" s="137">
        <f t="shared" si="12"/>
        <v>5.7000000000000002E-2</v>
      </c>
      <c r="O47" s="10">
        <f t="shared" si="13"/>
        <v>0.38</v>
      </c>
      <c r="P47" s="24">
        <f t="shared" si="14"/>
        <v>5</v>
      </c>
      <c r="Q47" s="139">
        <f>ROUND((0.8*'Side MDB'!W47+0.2*'Side Pole'!N47),3)</f>
        <v>4.2999999999999997E-2</v>
      </c>
      <c r="R47" s="139">
        <f t="shared" si="15"/>
        <v>0.28999999999999998</v>
      </c>
      <c r="S47" s="24">
        <f t="shared" si="16"/>
        <v>5</v>
      </c>
      <c r="T47" s="139">
        <f>ROUND(((0.8*'Side MDB'!W47+0.2*'Side Pole'!N47)+(IF('Side MDB'!X47="N/A",(0.8*'Side MDB'!W47+0.2*'Side Pole'!N47),'Side MDB'!X47)))/2,3)</f>
        <v>0.05</v>
      </c>
      <c r="U47" s="139">
        <f t="shared" si="17"/>
        <v>0.33</v>
      </c>
      <c r="V47" s="24">
        <f t="shared" si="18"/>
        <v>5</v>
      </c>
      <c r="W47" s="22"/>
      <c r="X47" s="33"/>
      <c r="Y47" s="33"/>
      <c r="Z47" s="33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</row>
    <row r="48" spans="1:37" ht="11.25" customHeight="1">
      <c r="A48" s="132">
        <v>14064</v>
      </c>
      <c r="B48" s="132" t="s">
        <v>239</v>
      </c>
      <c r="C48" s="133" t="str">
        <f>Rollover!A48</f>
        <v>Jeep</v>
      </c>
      <c r="D48" s="133" t="str">
        <f>Rollover!B48</f>
        <v>Compass SUV AWD</v>
      </c>
      <c r="E48" s="42" t="s">
        <v>140</v>
      </c>
      <c r="F48" s="134">
        <f>Rollover!C48</f>
        <v>2022</v>
      </c>
      <c r="G48" s="135">
        <v>407.42899999999997</v>
      </c>
      <c r="H48" s="19">
        <v>20.343</v>
      </c>
      <c r="I48" s="19">
        <v>39.497999999999998</v>
      </c>
      <c r="J48" s="136">
        <v>15.442</v>
      </c>
      <c r="K48" s="136">
        <v>3078.5839999999998</v>
      </c>
      <c r="L48" s="137">
        <f t="shared" si="10"/>
        <v>2.5629779971838101E-2</v>
      </c>
      <c r="M48" s="138">
        <f t="shared" si="11"/>
        <v>3.1933936745021999E-2</v>
      </c>
      <c r="N48" s="137">
        <f t="shared" si="12"/>
        <v>5.7000000000000002E-2</v>
      </c>
      <c r="O48" s="10">
        <f t="shared" si="13"/>
        <v>0.38</v>
      </c>
      <c r="P48" s="24">
        <f t="shared" si="14"/>
        <v>5</v>
      </c>
      <c r="Q48" s="139">
        <f>ROUND((0.8*'Side MDB'!W48+0.2*'Side Pole'!N48),3)</f>
        <v>4.2999999999999997E-2</v>
      </c>
      <c r="R48" s="139">
        <f t="shared" si="15"/>
        <v>0.28999999999999998</v>
      </c>
      <c r="S48" s="24">
        <f t="shared" si="16"/>
        <v>5</v>
      </c>
      <c r="T48" s="139">
        <f>ROUND(((0.8*'Side MDB'!W48+0.2*'Side Pole'!N48)+(IF('Side MDB'!X48="N/A",(0.8*'Side MDB'!W48+0.2*'Side Pole'!N48),'Side MDB'!X48)))/2,3)</f>
        <v>0.05</v>
      </c>
      <c r="U48" s="139">
        <f t="shared" si="17"/>
        <v>0.33</v>
      </c>
      <c r="V48" s="24">
        <f t="shared" si="18"/>
        <v>5</v>
      </c>
      <c r="W48" s="22"/>
      <c r="X48" s="33"/>
      <c r="Y48" s="33"/>
      <c r="Z48" s="33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</row>
    <row r="49" spans="1:37" ht="11.25" customHeight="1">
      <c r="A49" s="143">
        <v>14057</v>
      </c>
      <c r="B49" s="143" t="s">
        <v>240</v>
      </c>
      <c r="C49" s="120" t="str">
        <f>Rollover!A49</f>
        <v>Kia</v>
      </c>
      <c r="D49" s="120" t="str">
        <f>Rollover!B49</f>
        <v>Niro Electric SUV FWD</v>
      </c>
      <c r="E49" s="42" t="s">
        <v>187</v>
      </c>
      <c r="F49" s="134">
        <f>Rollover!C49</f>
        <v>2022</v>
      </c>
      <c r="G49" s="144">
        <v>188.41900000000001</v>
      </c>
      <c r="H49" s="27">
        <v>20.353000000000002</v>
      </c>
      <c r="I49" s="27">
        <v>40.506</v>
      </c>
      <c r="J49" s="145">
        <v>19.352</v>
      </c>
      <c r="K49" s="145">
        <v>2782.9290000000001</v>
      </c>
      <c r="L49" s="137">
        <f t="shared" ref="L49:L50" si="19">NORMDIST(LN(G49),7.45231,0.73998,1)</f>
        <v>1.388104152739133E-3</v>
      </c>
      <c r="M49" s="138">
        <f t="shared" ref="M49:M50" si="20">1/(1+EXP(6.3055-0.00094*K49))</f>
        <v>2.437437063287241E-2</v>
      </c>
      <c r="N49" s="137">
        <f t="shared" ref="N49:N50" si="21">ROUND(1-(1-L49)*(1-M49),3)</f>
        <v>2.5999999999999999E-2</v>
      </c>
      <c r="O49" s="10">
        <f t="shared" ref="O49:O50" si="22">ROUND(N49/0.15,2)</f>
        <v>0.17</v>
      </c>
      <c r="P49" s="24">
        <f t="shared" ref="P49:P50" si="23">IF(O49&lt;0.67,5,IF(O49&lt;1,4,IF(O49&lt;1.33,3,IF(O49&lt;2.67,2,1))))</f>
        <v>5</v>
      </c>
      <c r="Q49" s="139">
        <f>ROUND((0.8*'Side MDB'!W49+0.2*'Side Pole'!N49),3)</f>
        <v>3.6999999999999998E-2</v>
      </c>
      <c r="R49" s="139">
        <f t="shared" ref="R49:R50" si="24">ROUND((Q49)/0.15,2)</f>
        <v>0.25</v>
      </c>
      <c r="S49" s="24">
        <f t="shared" ref="S49:S50" si="25">IF(R49&lt;0.67,5,IF(R49&lt;1,4,IF(R49&lt;1.33,3,IF(R49&lt;2.67,2,1))))</f>
        <v>5</v>
      </c>
      <c r="T49" s="139">
        <f>ROUND(((0.8*'Side MDB'!W49+0.2*'Side Pole'!N49)+(IF('Side MDB'!X49="N/A",(0.8*'Side MDB'!W49+0.2*'Side Pole'!N49),'Side MDB'!X49)))/2,3)</f>
        <v>0.03</v>
      </c>
      <c r="U49" s="139">
        <f t="shared" ref="U49:U50" si="26">ROUND((T49)/0.15,2)</f>
        <v>0.2</v>
      </c>
      <c r="V49" s="24">
        <f t="shared" ref="V49:V50" si="27">IF(U49&lt;0.67,5,IF(U49&lt;1,4,IF(U49&lt;1.33,3,IF(U49&lt;2.67,2,1))))</f>
        <v>5</v>
      </c>
      <c r="W49" s="22"/>
      <c r="X49" s="33"/>
      <c r="Y49" s="33"/>
      <c r="Z49" s="33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</row>
    <row r="50" spans="1:37" ht="11.25" customHeight="1">
      <c r="A50" s="132">
        <v>14052</v>
      </c>
      <c r="B50" s="132" t="s">
        <v>241</v>
      </c>
      <c r="C50" s="120" t="str">
        <f>Rollover!A50</f>
        <v>Mazda</v>
      </c>
      <c r="D50" s="120" t="str">
        <f>Rollover!B50</f>
        <v>MX-30 5HB FWD</v>
      </c>
      <c r="E50" s="42" t="s">
        <v>134</v>
      </c>
      <c r="F50" s="134">
        <f>Rollover!C50</f>
        <v>2022</v>
      </c>
      <c r="G50" s="135">
        <v>259.31700000000001</v>
      </c>
      <c r="H50" s="19">
        <v>21.367999999999999</v>
      </c>
      <c r="I50" s="19">
        <v>36.945999999999998</v>
      </c>
      <c r="J50" s="136">
        <v>18.106999999999999</v>
      </c>
      <c r="K50" s="136">
        <v>2048.6390000000001</v>
      </c>
      <c r="L50" s="137">
        <f t="shared" si="19"/>
        <v>5.2354411220543132E-3</v>
      </c>
      <c r="M50" s="138">
        <f t="shared" si="20"/>
        <v>1.2373110919004501E-2</v>
      </c>
      <c r="N50" s="137">
        <f t="shared" si="21"/>
        <v>1.7999999999999999E-2</v>
      </c>
      <c r="O50" s="10">
        <f t="shared" si="22"/>
        <v>0.12</v>
      </c>
      <c r="P50" s="24">
        <f t="shared" si="23"/>
        <v>5</v>
      </c>
      <c r="Q50" s="139">
        <f>ROUND((0.8*'Side MDB'!W50+0.2*'Side Pole'!N50),3)</f>
        <v>3.5999999999999997E-2</v>
      </c>
      <c r="R50" s="139">
        <f t="shared" si="24"/>
        <v>0.24</v>
      </c>
      <c r="S50" s="24">
        <f t="shared" si="25"/>
        <v>5</v>
      </c>
      <c r="T50" s="139">
        <f>ROUND(((0.8*'Side MDB'!W50+0.2*'Side Pole'!N50)+(IF('Side MDB'!X50="N/A",(0.8*'Side MDB'!W50+0.2*'Side Pole'!N50),'Side MDB'!X50)))/2,3)</f>
        <v>6.5000000000000002E-2</v>
      </c>
      <c r="U50" s="139">
        <f t="shared" si="26"/>
        <v>0.43</v>
      </c>
      <c r="V50" s="24">
        <f t="shared" si="27"/>
        <v>5</v>
      </c>
      <c r="W50" s="22"/>
      <c r="X50" s="33"/>
      <c r="Y50" s="33"/>
      <c r="Z50" s="33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</row>
    <row r="51" spans="1:37" ht="11.25" customHeight="1">
      <c r="A51" s="132">
        <v>10834</v>
      </c>
      <c r="B51" s="132" t="s">
        <v>242</v>
      </c>
      <c r="C51" s="120" t="str">
        <f>Rollover!A51</f>
        <v xml:space="preserve">Mitsubishi </v>
      </c>
      <c r="D51" s="120" t="str">
        <f>Rollover!B51</f>
        <v>Eclipse Cross SUV AWD</v>
      </c>
      <c r="E51" s="42" t="s">
        <v>187</v>
      </c>
      <c r="F51" s="134">
        <f>Rollover!C51</f>
        <v>2022</v>
      </c>
      <c r="G51" s="135">
        <v>357.64400000000001</v>
      </c>
      <c r="H51" s="19">
        <v>25.074000000000002</v>
      </c>
      <c r="I51" s="19">
        <v>44.167000000000002</v>
      </c>
      <c r="J51" s="136">
        <v>39.39</v>
      </c>
      <c r="K51" s="136">
        <v>2766.826</v>
      </c>
      <c r="L51" s="137">
        <f t="shared" ref="L51:L59" si="28">NORMDIST(LN(G51),7.45231,0.73998,1)</f>
        <v>1.6775586962925859E-2</v>
      </c>
      <c r="M51" s="138">
        <f t="shared" ref="M51:M59" si="29">1/(1+EXP(6.3055-0.00094*K51))</f>
        <v>2.4016992857706355E-2</v>
      </c>
      <c r="N51" s="137">
        <f t="shared" ref="N51:N59" si="30">ROUND(1-(1-L51)*(1-M51),3)</f>
        <v>0.04</v>
      </c>
      <c r="O51" s="10">
        <f t="shared" ref="O51:O59" si="31">ROUND(N51/0.15,2)</f>
        <v>0.27</v>
      </c>
      <c r="P51" s="24">
        <f t="shared" ref="P51:P59" si="32">IF(O51&lt;0.67,5,IF(O51&lt;1,4,IF(O51&lt;1.33,3,IF(O51&lt;2.67,2,1))))</f>
        <v>5</v>
      </c>
      <c r="Q51" s="139">
        <f>ROUND((0.8*'Side MDB'!W51+0.2*'Side Pole'!N51),3)</f>
        <v>2.9000000000000001E-2</v>
      </c>
      <c r="R51" s="139">
        <f t="shared" ref="R51:R59" si="33">ROUND((Q51)/0.15,2)</f>
        <v>0.19</v>
      </c>
      <c r="S51" s="24">
        <f t="shared" ref="S51:S59" si="34">IF(R51&lt;0.67,5,IF(R51&lt;1,4,IF(R51&lt;1.33,3,IF(R51&lt;2.67,2,1))))</f>
        <v>5</v>
      </c>
      <c r="T51" s="139">
        <f>ROUND(((0.8*'Side MDB'!W51+0.2*'Side Pole'!N51)+(IF('Side MDB'!X51="N/A",(0.8*'Side MDB'!W51+0.2*'Side Pole'!N51),'Side MDB'!X51)))/2,3)</f>
        <v>2.1000000000000001E-2</v>
      </c>
      <c r="U51" s="139">
        <f t="shared" ref="U51:U59" si="35">ROUND((T51)/0.15,2)</f>
        <v>0.14000000000000001</v>
      </c>
      <c r="V51" s="24">
        <f t="shared" ref="V51:V59" si="36">IF(U51&lt;0.67,5,IF(U51&lt;1,4,IF(U51&lt;1.33,3,IF(U51&lt;2.67,2,1))))</f>
        <v>5</v>
      </c>
      <c r="W51" s="22"/>
      <c r="X51" s="33"/>
      <c r="Y51" s="33"/>
      <c r="Z51" s="33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</row>
    <row r="52" spans="1:37" ht="11.25" customHeight="1">
      <c r="A52" s="146">
        <v>10834</v>
      </c>
      <c r="B52" s="132" t="s">
        <v>242</v>
      </c>
      <c r="C52" s="120" t="str">
        <f>Rollover!A52</f>
        <v xml:space="preserve">Mitsubishi </v>
      </c>
      <c r="D52" s="120" t="str">
        <f>Rollover!B52</f>
        <v>Eclipse Cross SUV FWD</v>
      </c>
      <c r="E52" s="42" t="s">
        <v>187</v>
      </c>
      <c r="F52" s="134">
        <f>Rollover!C52</f>
        <v>2022</v>
      </c>
      <c r="G52" s="135">
        <v>357.64400000000001</v>
      </c>
      <c r="H52" s="19">
        <v>25.074000000000002</v>
      </c>
      <c r="I52" s="19">
        <v>44.167000000000002</v>
      </c>
      <c r="J52" s="136">
        <v>39.39</v>
      </c>
      <c r="K52" s="136">
        <v>2766.826</v>
      </c>
      <c r="L52" s="137">
        <f t="shared" si="28"/>
        <v>1.6775586962925859E-2</v>
      </c>
      <c r="M52" s="138">
        <f t="shared" si="29"/>
        <v>2.4016992857706355E-2</v>
      </c>
      <c r="N52" s="137">
        <f t="shared" si="30"/>
        <v>0.04</v>
      </c>
      <c r="O52" s="10">
        <f t="shared" si="31"/>
        <v>0.27</v>
      </c>
      <c r="P52" s="24">
        <f t="shared" si="32"/>
        <v>5</v>
      </c>
      <c r="Q52" s="139">
        <f>ROUND((0.8*'Side MDB'!W52+0.2*'Side Pole'!N52),3)</f>
        <v>2.9000000000000001E-2</v>
      </c>
      <c r="R52" s="139">
        <f t="shared" si="33"/>
        <v>0.19</v>
      </c>
      <c r="S52" s="24">
        <f t="shared" si="34"/>
        <v>5</v>
      </c>
      <c r="T52" s="139">
        <f>ROUND(((0.8*'Side MDB'!W52+0.2*'Side Pole'!N52)+(IF('Side MDB'!X52="N/A",(0.8*'Side MDB'!W52+0.2*'Side Pole'!N52),'Side MDB'!X52)))/2,3)</f>
        <v>2.1000000000000001E-2</v>
      </c>
      <c r="U52" s="139">
        <f t="shared" si="35"/>
        <v>0.14000000000000001</v>
      </c>
      <c r="V52" s="24">
        <f t="shared" si="36"/>
        <v>5</v>
      </c>
      <c r="W52" s="22"/>
      <c r="X52" s="33"/>
      <c r="Y52" s="33"/>
      <c r="Z52" s="33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</row>
    <row r="53" spans="1:37" ht="11.25" customHeight="1">
      <c r="A53" s="132">
        <v>14061</v>
      </c>
      <c r="B53" s="132" t="s">
        <v>243</v>
      </c>
      <c r="C53" s="120" t="str">
        <f>Rollover!A53</f>
        <v>Nissan</v>
      </c>
      <c r="D53" s="120" t="str">
        <f>Rollover!B53</f>
        <v>Altima 4DR FWD</v>
      </c>
      <c r="E53" s="42" t="s">
        <v>134</v>
      </c>
      <c r="F53" s="134">
        <f>Rollover!C53</f>
        <v>2022</v>
      </c>
      <c r="G53" s="135">
        <v>166.85499999999999</v>
      </c>
      <c r="H53" s="19">
        <v>24.131</v>
      </c>
      <c r="I53" s="19">
        <v>34.137999999999998</v>
      </c>
      <c r="J53" s="136">
        <v>19.248999999999999</v>
      </c>
      <c r="K53" s="136">
        <v>2653.913</v>
      </c>
      <c r="L53" s="137">
        <f t="shared" si="28"/>
        <v>8.0045621536349685E-4</v>
      </c>
      <c r="M53" s="138">
        <f t="shared" si="29"/>
        <v>2.1650852452170605E-2</v>
      </c>
      <c r="N53" s="137">
        <f t="shared" si="30"/>
        <v>2.1999999999999999E-2</v>
      </c>
      <c r="O53" s="10">
        <f t="shared" si="31"/>
        <v>0.15</v>
      </c>
      <c r="P53" s="24">
        <f t="shared" si="32"/>
        <v>5</v>
      </c>
      <c r="Q53" s="139">
        <f>ROUND((0.8*'Side MDB'!W53+0.2*'Side Pole'!N53),3)</f>
        <v>8.7999999999999995E-2</v>
      </c>
      <c r="R53" s="139">
        <f t="shared" si="33"/>
        <v>0.59</v>
      </c>
      <c r="S53" s="24">
        <f t="shared" si="34"/>
        <v>5</v>
      </c>
      <c r="T53" s="139">
        <f>ROUND(((0.8*'Side MDB'!W53+0.2*'Side Pole'!N53)+(IF('Side MDB'!X53="N/A",(0.8*'Side MDB'!W53+0.2*'Side Pole'!N53),'Side MDB'!X53)))/2,3)</f>
        <v>5.5E-2</v>
      </c>
      <c r="U53" s="139">
        <f t="shared" si="35"/>
        <v>0.37</v>
      </c>
      <c r="V53" s="24">
        <f t="shared" si="36"/>
        <v>5</v>
      </c>
      <c r="W53" s="22"/>
      <c r="X53" s="33"/>
      <c r="Y53" s="33"/>
      <c r="Z53" s="33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</row>
    <row r="54" spans="1:37" ht="11.25" customHeight="1">
      <c r="A54" s="132">
        <v>14061</v>
      </c>
      <c r="B54" s="132" t="s">
        <v>243</v>
      </c>
      <c r="C54" s="133" t="str">
        <f>Rollover!A54</f>
        <v>Nissan</v>
      </c>
      <c r="D54" s="133" t="str">
        <f>Rollover!B54</f>
        <v>Altima 4DR AWD</v>
      </c>
      <c r="E54" s="42" t="s">
        <v>134</v>
      </c>
      <c r="F54" s="134">
        <f>Rollover!C54</f>
        <v>2022</v>
      </c>
      <c r="G54" s="135">
        <v>166.85499999999999</v>
      </c>
      <c r="H54" s="19">
        <v>24.131</v>
      </c>
      <c r="I54" s="19">
        <v>34.137999999999998</v>
      </c>
      <c r="J54" s="136">
        <v>19.248999999999999</v>
      </c>
      <c r="K54" s="136">
        <v>2653.913</v>
      </c>
      <c r="L54" s="137">
        <f t="shared" si="28"/>
        <v>8.0045621536349685E-4</v>
      </c>
      <c r="M54" s="138">
        <f t="shared" si="29"/>
        <v>2.1650852452170605E-2</v>
      </c>
      <c r="N54" s="137">
        <f t="shared" si="30"/>
        <v>2.1999999999999999E-2</v>
      </c>
      <c r="O54" s="10">
        <f t="shared" si="31"/>
        <v>0.15</v>
      </c>
      <c r="P54" s="24">
        <f t="shared" si="32"/>
        <v>5</v>
      </c>
      <c r="Q54" s="139">
        <f>ROUND((0.8*'Side MDB'!W54+0.2*'Side Pole'!N54),3)</f>
        <v>8.7999999999999995E-2</v>
      </c>
      <c r="R54" s="139">
        <f t="shared" si="33"/>
        <v>0.59</v>
      </c>
      <c r="S54" s="24">
        <f t="shared" si="34"/>
        <v>5</v>
      </c>
      <c r="T54" s="139">
        <f>ROUND(((0.8*'Side MDB'!W54+0.2*'Side Pole'!N54)+(IF('Side MDB'!X54="N/A",(0.8*'Side MDB'!W54+0.2*'Side Pole'!N54),'Side MDB'!X54)))/2,3)</f>
        <v>5.5E-2</v>
      </c>
      <c r="U54" s="139">
        <f t="shared" si="35"/>
        <v>0.37</v>
      </c>
      <c r="V54" s="24">
        <f t="shared" si="36"/>
        <v>5</v>
      </c>
      <c r="W54" s="22"/>
      <c r="X54" s="33"/>
      <c r="Y54" s="33"/>
      <c r="Z54" s="33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</row>
    <row r="55" spans="1:37" ht="11.25" customHeight="1">
      <c r="A55" s="132">
        <v>14073</v>
      </c>
      <c r="B55" s="132" t="s">
        <v>244</v>
      </c>
      <c r="C55" s="120" t="str">
        <f>Rollover!A55</f>
        <v>Nissan</v>
      </c>
      <c r="D55" s="120" t="str">
        <f>Rollover!B55</f>
        <v>Frontier Crew Cab PU/CC RWD</v>
      </c>
      <c r="E55" s="42" t="s">
        <v>134</v>
      </c>
      <c r="F55" s="134">
        <f>Rollover!C55</f>
        <v>2022</v>
      </c>
      <c r="G55" s="135">
        <v>351.00299999999999</v>
      </c>
      <c r="H55" s="19">
        <v>23.491</v>
      </c>
      <c r="I55" s="19">
        <v>43.978000000000002</v>
      </c>
      <c r="J55" s="136">
        <v>18.788</v>
      </c>
      <c r="K55" s="136">
        <v>2995.7</v>
      </c>
      <c r="L55" s="137">
        <f t="shared" si="28"/>
        <v>1.5747795631950976E-2</v>
      </c>
      <c r="M55" s="138">
        <f t="shared" si="29"/>
        <v>2.9611261715457252E-2</v>
      </c>
      <c r="N55" s="137">
        <f t="shared" si="30"/>
        <v>4.4999999999999998E-2</v>
      </c>
      <c r="O55" s="10">
        <f t="shared" si="31"/>
        <v>0.3</v>
      </c>
      <c r="P55" s="24">
        <f t="shared" si="32"/>
        <v>5</v>
      </c>
      <c r="Q55" s="139">
        <f>ROUND((0.8*'Side MDB'!W55+0.2*'Side Pole'!N55),3)</f>
        <v>4.7E-2</v>
      </c>
      <c r="R55" s="139">
        <f t="shared" si="33"/>
        <v>0.31</v>
      </c>
      <c r="S55" s="24">
        <f t="shared" si="34"/>
        <v>5</v>
      </c>
      <c r="T55" s="139">
        <f>ROUND(((0.8*'Side MDB'!W55+0.2*'Side Pole'!N55)+(IF('Side MDB'!X55="N/A",(0.8*'Side MDB'!W55+0.2*'Side Pole'!N55),'Side MDB'!X55)))/2,3)</f>
        <v>4.8000000000000001E-2</v>
      </c>
      <c r="U55" s="139">
        <f t="shared" si="35"/>
        <v>0.32</v>
      </c>
      <c r="V55" s="24">
        <f t="shared" si="36"/>
        <v>5</v>
      </c>
      <c r="W55" s="22"/>
      <c r="X55" s="33"/>
      <c r="Y55" s="33"/>
      <c r="Z55" s="33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</row>
    <row r="56" spans="1:37" ht="11.25" customHeight="1">
      <c r="A56" s="132">
        <v>14073</v>
      </c>
      <c r="B56" s="143" t="s">
        <v>244</v>
      </c>
      <c r="C56" s="120" t="str">
        <f>Rollover!A56</f>
        <v>Nissan</v>
      </c>
      <c r="D56" s="120" t="str">
        <f>Rollover!B56</f>
        <v>Frontier Crew Cab PU/CC 4WD</v>
      </c>
      <c r="E56" s="42" t="s">
        <v>134</v>
      </c>
      <c r="F56" s="134">
        <f>Rollover!C56</f>
        <v>2022</v>
      </c>
      <c r="G56" s="135">
        <v>351.00299999999999</v>
      </c>
      <c r="H56" s="19">
        <v>23.491</v>
      </c>
      <c r="I56" s="19">
        <v>43.978000000000002</v>
      </c>
      <c r="J56" s="136">
        <v>18.788</v>
      </c>
      <c r="K56" s="136">
        <v>2995.7</v>
      </c>
      <c r="L56" s="137">
        <f t="shared" si="28"/>
        <v>1.5747795631950976E-2</v>
      </c>
      <c r="M56" s="138">
        <f t="shared" si="29"/>
        <v>2.9611261715457252E-2</v>
      </c>
      <c r="N56" s="137">
        <f t="shared" si="30"/>
        <v>4.4999999999999998E-2</v>
      </c>
      <c r="O56" s="10">
        <f t="shared" si="31"/>
        <v>0.3</v>
      </c>
      <c r="P56" s="24">
        <f t="shared" si="32"/>
        <v>5</v>
      </c>
      <c r="Q56" s="139">
        <f>ROUND((0.8*'Side MDB'!W56+0.2*'Side Pole'!N56),3)</f>
        <v>4.7E-2</v>
      </c>
      <c r="R56" s="139">
        <f t="shared" si="33"/>
        <v>0.31</v>
      </c>
      <c r="S56" s="24">
        <f t="shared" si="34"/>
        <v>5</v>
      </c>
      <c r="T56" s="139">
        <f>ROUND(((0.8*'Side MDB'!W56+0.2*'Side Pole'!N56)+(IF('Side MDB'!X56="N/A",(0.8*'Side MDB'!W56+0.2*'Side Pole'!N56),'Side MDB'!X56)))/2,3)</f>
        <v>4.8000000000000001E-2</v>
      </c>
      <c r="U56" s="139">
        <f t="shared" si="35"/>
        <v>0.32</v>
      </c>
      <c r="V56" s="24">
        <f t="shared" si="36"/>
        <v>5</v>
      </c>
      <c r="W56" s="22"/>
      <c r="X56" s="33"/>
      <c r="Y56" s="33"/>
      <c r="Z56" s="33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</row>
    <row r="57" spans="1:37" ht="11.25" customHeight="1">
      <c r="A57" s="132"/>
      <c r="B57" s="132"/>
      <c r="C57" s="133" t="str">
        <f>Rollover!A57</f>
        <v>Nissan</v>
      </c>
      <c r="D57" s="133" t="str">
        <f>Rollover!B57</f>
        <v>Frontier King Cab PU/EC RWD</v>
      </c>
      <c r="E57" s="42"/>
      <c r="F57" s="134">
        <f>Rollover!C57</f>
        <v>2022</v>
      </c>
      <c r="G57" s="135"/>
      <c r="H57" s="19"/>
      <c r="I57" s="19"/>
      <c r="J57" s="136"/>
      <c r="K57" s="136"/>
      <c r="L57" s="137" t="e">
        <f t="shared" si="28"/>
        <v>#NUM!</v>
      </c>
      <c r="M57" s="138">
        <f t="shared" si="29"/>
        <v>1.8229037773026034E-3</v>
      </c>
      <c r="N57" s="137" t="e">
        <f t="shared" si="30"/>
        <v>#NUM!</v>
      </c>
      <c r="O57" s="10" t="e">
        <f t="shared" si="31"/>
        <v>#NUM!</v>
      </c>
      <c r="P57" s="24" t="e">
        <f t="shared" si="32"/>
        <v>#NUM!</v>
      </c>
      <c r="Q57" s="139" t="e">
        <f>ROUND((0.8*'Side MDB'!W57+0.2*'Side Pole'!N57),3)</f>
        <v>#NUM!</v>
      </c>
      <c r="R57" s="139" t="e">
        <f t="shared" si="33"/>
        <v>#NUM!</v>
      </c>
      <c r="S57" s="24" t="e">
        <f t="shared" si="34"/>
        <v>#NUM!</v>
      </c>
      <c r="T57" s="139" t="e">
        <f>ROUND(((0.8*'Side MDB'!W57+0.2*'Side Pole'!N57)+(IF('Side MDB'!X57="N/A",(0.8*'Side MDB'!W57+0.2*'Side Pole'!N57),'Side MDB'!X57)))/2,3)</f>
        <v>#NUM!</v>
      </c>
      <c r="U57" s="139" t="e">
        <f t="shared" si="35"/>
        <v>#NUM!</v>
      </c>
      <c r="V57" s="24" t="e">
        <f t="shared" si="36"/>
        <v>#NUM!</v>
      </c>
      <c r="W57" s="22"/>
      <c r="X57" s="33"/>
      <c r="Y57" s="33"/>
      <c r="Z57" s="33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</row>
    <row r="58" spans="1:37" ht="11.25" customHeight="1">
      <c r="A58" s="132"/>
      <c r="B58" s="132"/>
      <c r="C58" s="133" t="str">
        <f>Rollover!A58</f>
        <v>Nissan</v>
      </c>
      <c r="D58" s="133" t="str">
        <f>Rollover!B58</f>
        <v>Frontier King Cab PU/EC 4WD</v>
      </c>
      <c r="E58" s="42"/>
      <c r="F58" s="134">
        <f>Rollover!C58</f>
        <v>2022</v>
      </c>
      <c r="G58" s="135"/>
      <c r="H58" s="19"/>
      <c r="I58" s="19"/>
      <c r="J58" s="136"/>
      <c r="K58" s="136"/>
      <c r="L58" s="137" t="e">
        <f t="shared" si="28"/>
        <v>#NUM!</v>
      </c>
      <c r="M58" s="138">
        <f t="shared" si="29"/>
        <v>1.8229037773026034E-3</v>
      </c>
      <c r="N58" s="137" t="e">
        <f t="shared" si="30"/>
        <v>#NUM!</v>
      </c>
      <c r="O58" s="10" t="e">
        <f t="shared" si="31"/>
        <v>#NUM!</v>
      </c>
      <c r="P58" s="24" t="e">
        <f t="shared" si="32"/>
        <v>#NUM!</v>
      </c>
      <c r="Q58" s="139" t="e">
        <f>ROUND((0.8*'Side MDB'!W58+0.2*'Side Pole'!N58),3)</f>
        <v>#NUM!</v>
      </c>
      <c r="R58" s="139" t="e">
        <f t="shared" si="33"/>
        <v>#NUM!</v>
      </c>
      <c r="S58" s="24" t="e">
        <f t="shared" si="34"/>
        <v>#NUM!</v>
      </c>
      <c r="T58" s="139" t="e">
        <f>ROUND(((0.8*'Side MDB'!W58+0.2*'Side Pole'!N58)+(IF('Side MDB'!X58="N/A",(0.8*'Side MDB'!W58+0.2*'Side Pole'!N58),'Side MDB'!X58)))/2,3)</f>
        <v>#NUM!</v>
      </c>
      <c r="U58" s="139" t="e">
        <f t="shared" si="35"/>
        <v>#NUM!</v>
      </c>
      <c r="V58" s="24" t="e">
        <f t="shared" si="36"/>
        <v>#NUM!</v>
      </c>
      <c r="W58" s="22"/>
      <c r="X58" s="33"/>
      <c r="Y58" s="33"/>
      <c r="Z58" s="33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</row>
    <row r="59" spans="1:37" ht="11.25" customHeight="1">
      <c r="A59" s="132">
        <v>14088</v>
      </c>
      <c r="B59" s="132" t="s">
        <v>245</v>
      </c>
      <c r="C59" s="120" t="str">
        <f>Rollover!A59</f>
        <v>Nissan</v>
      </c>
      <c r="D59" s="120" t="str">
        <f>Rollover!B59</f>
        <v>Pathfinder SUV FWD</v>
      </c>
      <c r="E59" s="42" t="s">
        <v>187</v>
      </c>
      <c r="F59" s="134">
        <f>Rollover!C59</f>
        <v>2022</v>
      </c>
      <c r="G59" s="135">
        <v>234.13300000000001</v>
      </c>
      <c r="H59" s="19">
        <v>19.576000000000001</v>
      </c>
      <c r="I59" s="19">
        <v>37.15</v>
      </c>
      <c r="J59" s="136">
        <v>16.806999999999999</v>
      </c>
      <c r="K59" s="136">
        <v>2073.1550000000002</v>
      </c>
      <c r="L59" s="137">
        <f t="shared" si="28"/>
        <v>3.4885144773043413E-3</v>
      </c>
      <c r="M59" s="138">
        <f t="shared" si="29"/>
        <v>1.265790948669347E-2</v>
      </c>
      <c r="N59" s="137">
        <f t="shared" si="30"/>
        <v>1.6E-2</v>
      </c>
      <c r="O59" s="10">
        <f t="shared" si="31"/>
        <v>0.11</v>
      </c>
      <c r="P59" s="24">
        <f t="shared" si="32"/>
        <v>5</v>
      </c>
      <c r="Q59" s="139">
        <f>ROUND((0.8*'Side MDB'!W59+0.2*'Side Pole'!N59),3)</f>
        <v>4.1000000000000002E-2</v>
      </c>
      <c r="R59" s="139">
        <f t="shared" si="33"/>
        <v>0.27</v>
      </c>
      <c r="S59" s="24">
        <f t="shared" si="34"/>
        <v>5</v>
      </c>
      <c r="T59" s="139">
        <f>ROUND(((0.8*'Side MDB'!W59+0.2*'Side Pole'!N59)+(IF('Side MDB'!X59="N/A",(0.8*'Side MDB'!W59+0.2*'Side Pole'!N59),'Side MDB'!X59)))/2,3)</f>
        <v>2.5999999999999999E-2</v>
      </c>
      <c r="U59" s="139">
        <f t="shared" si="35"/>
        <v>0.17</v>
      </c>
      <c r="V59" s="24">
        <f t="shared" si="36"/>
        <v>5</v>
      </c>
      <c r="W59" s="22"/>
      <c r="X59" s="33"/>
      <c r="Y59" s="33"/>
      <c r="Z59" s="33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</row>
    <row r="60" spans="1:37" ht="11.25" customHeight="1">
      <c r="A60" s="143">
        <v>14088</v>
      </c>
      <c r="B60" s="143" t="s">
        <v>245</v>
      </c>
      <c r="C60" s="133" t="str">
        <f>Rollover!A60</f>
        <v>Nissan</v>
      </c>
      <c r="D60" s="133" t="str">
        <f>Rollover!B60</f>
        <v>Pathfinder SUV AWD</v>
      </c>
      <c r="E60" s="42" t="s">
        <v>187</v>
      </c>
      <c r="F60" s="134">
        <f>Rollover!C60</f>
        <v>2022</v>
      </c>
      <c r="G60" s="135">
        <v>234.13300000000001</v>
      </c>
      <c r="H60" s="19">
        <v>19.576000000000001</v>
      </c>
      <c r="I60" s="19">
        <v>37.15</v>
      </c>
      <c r="J60" s="136">
        <v>16.806999999999999</v>
      </c>
      <c r="K60" s="136">
        <v>2073.1550000000002</v>
      </c>
      <c r="L60" s="137">
        <f t="shared" ref="L60:L62" si="37">NORMDIST(LN(G60),7.45231,0.73998,1)</f>
        <v>3.4885144773043413E-3</v>
      </c>
      <c r="M60" s="138">
        <f t="shared" ref="M60:M62" si="38">1/(1+EXP(6.3055-0.00094*K60))</f>
        <v>1.265790948669347E-2</v>
      </c>
      <c r="N60" s="137">
        <f t="shared" ref="N60:N62" si="39">ROUND(1-(1-L60)*(1-M60),3)</f>
        <v>1.6E-2</v>
      </c>
      <c r="O60" s="10">
        <f t="shared" ref="O60:O62" si="40">ROUND(N60/0.15,2)</f>
        <v>0.11</v>
      </c>
      <c r="P60" s="24">
        <f t="shared" ref="P60:P62" si="41">IF(O60&lt;0.67,5,IF(O60&lt;1,4,IF(O60&lt;1.33,3,IF(O60&lt;2.67,2,1))))</f>
        <v>5</v>
      </c>
      <c r="Q60" s="139">
        <f>ROUND((0.8*'Side MDB'!W60+0.2*'Side Pole'!N60),3)</f>
        <v>4.1000000000000002E-2</v>
      </c>
      <c r="R60" s="139">
        <f t="shared" ref="R60:R62" si="42">ROUND((Q60)/0.15,2)</f>
        <v>0.27</v>
      </c>
      <c r="S60" s="24">
        <f t="shared" ref="S60:S62" si="43">IF(R60&lt;0.67,5,IF(R60&lt;1,4,IF(R60&lt;1.33,3,IF(R60&lt;2.67,2,1))))</f>
        <v>5</v>
      </c>
      <c r="T60" s="139">
        <f>ROUND(((0.8*'Side MDB'!W60+0.2*'Side Pole'!N60)+(IF('Side MDB'!X60="N/A",(0.8*'Side MDB'!W60+0.2*'Side Pole'!N60),'Side MDB'!X60)))/2,3)</f>
        <v>2.5999999999999999E-2</v>
      </c>
      <c r="U60" s="139">
        <f t="shared" ref="U60:U62" si="44">ROUND((T60)/0.15,2)</f>
        <v>0.17</v>
      </c>
      <c r="V60" s="24">
        <f t="shared" ref="V60:V62" si="45">IF(U60&lt;0.67,5,IF(U60&lt;1,4,IF(U60&lt;1.33,3,IF(U60&lt;2.67,2,1))))</f>
        <v>5</v>
      </c>
      <c r="W60" s="22"/>
      <c r="X60" s="33"/>
      <c r="Y60" s="33"/>
      <c r="Z60" s="33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</row>
    <row r="61" spans="1:37" ht="11.25" customHeight="1">
      <c r="A61" s="143">
        <v>14088</v>
      </c>
      <c r="B61" s="143" t="s">
        <v>245</v>
      </c>
      <c r="C61" s="133" t="str">
        <f>Rollover!A61</f>
        <v xml:space="preserve">Infiniti </v>
      </c>
      <c r="D61" s="133" t="str">
        <f>Rollover!B61</f>
        <v>QX60 SUV FWD</v>
      </c>
      <c r="E61" s="147" t="s">
        <v>187</v>
      </c>
      <c r="F61" s="134">
        <v>2017</v>
      </c>
      <c r="G61" s="135">
        <v>234.13300000000001</v>
      </c>
      <c r="H61" s="19">
        <v>19.576000000000001</v>
      </c>
      <c r="I61" s="19">
        <v>37.15</v>
      </c>
      <c r="J61" s="136">
        <v>16.806999999999999</v>
      </c>
      <c r="K61" s="136">
        <v>2073.1550000000002</v>
      </c>
      <c r="L61" s="137">
        <f t="shared" si="37"/>
        <v>3.4885144773043413E-3</v>
      </c>
      <c r="M61" s="138">
        <f t="shared" si="38"/>
        <v>1.265790948669347E-2</v>
      </c>
      <c r="N61" s="137">
        <f t="shared" si="39"/>
        <v>1.6E-2</v>
      </c>
      <c r="O61" s="10">
        <f t="shared" si="40"/>
        <v>0.11</v>
      </c>
      <c r="P61" s="24">
        <f t="shared" si="41"/>
        <v>5</v>
      </c>
      <c r="Q61" s="139">
        <f>ROUND((0.8*'Side MDB'!W61+0.2*'Side Pole'!N61),3)</f>
        <v>4.1000000000000002E-2</v>
      </c>
      <c r="R61" s="139">
        <f t="shared" si="42"/>
        <v>0.27</v>
      </c>
      <c r="S61" s="24">
        <f t="shared" si="43"/>
        <v>5</v>
      </c>
      <c r="T61" s="139">
        <f>ROUND(((0.8*'Side MDB'!W61+0.2*'Side Pole'!N61)+(IF('Side MDB'!X61="N/A",(0.8*'Side MDB'!W61+0.2*'Side Pole'!N61),'Side MDB'!X61)))/2,3)</f>
        <v>2.5999999999999999E-2</v>
      </c>
      <c r="U61" s="139">
        <f t="shared" si="44"/>
        <v>0.17</v>
      </c>
      <c r="V61" s="24">
        <f t="shared" si="45"/>
        <v>5</v>
      </c>
      <c r="W61" s="22"/>
      <c r="X61" s="33"/>
      <c r="Y61" s="33"/>
      <c r="Z61" s="33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</row>
    <row r="62" spans="1:37" ht="11.25" customHeight="1">
      <c r="A62" s="132">
        <v>14088</v>
      </c>
      <c r="B62" s="132" t="s">
        <v>245</v>
      </c>
      <c r="C62" s="133" t="str">
        <f>Rollover!A62</f>
        <v xml:space="preserve">Infiniti </v>
      </c>
      <c r="D62" s="133" t="str">
        <f>Rollover!B62</f>
        <v>QX60 SUV AWD</v>
      </c>
      <c r="E62" s="42" t="s">
        <v>187</v>
      </c>
      <c r="F62" s="134">
        <f>Rollover!C62</f>
        <v>2022</v>
      </c>
      <c r="G62" s="135">
        <v>234.13300000000001</v>
      </c>
      <c r="H62" s="19">
        <v>19.576000000000001</v>
      </c>
      <c r="I62" s="19">
        <v>37.15</v>
      </c>
      <c r="J62" s="136">
        <v>16.806999999999999</v>
      </c>
      <c r="K62" s="136">
        <v>2073.1550000000002</v>
      </c>
      <c r="L62" s="137">
        <f t="shared" si="37"/>
        <v>3.4885144773043413E-3</v>
      </c>
      <c r="M62" s="138">
        <f t="shared" si="38"/>
        <v>1.265790948669347E-2</v>
      </c>
      <c r="N62" s="137">
        <f t="shared" si="39"/>
        <v>1.6E-2</v>
      </c>
      <c r="O62" s="10">
        <f t="shared" si="40"/>
        <v>0.11</v>
      </c>
      <c r="P62" s="24">
        <f t="shared" si="41"/>
        <v>5</v>
      </c>
      <c r="Q62" s="139">
        <f>ROUND((0.8*'Side MDB'!W62+0.2*'Side Pole'!N62),3)</f>
        <v>4.1000000000000002E-2</v>
      </c>
      <c r="R62" s="139">
        <f t="shared" si="42"/>
        <v>0.27</v>
      </c>
      <c r="S62" s="24">
        <f t="shared" si="43"/>
        <v>5</v>
      </c>
      <c r="T62" s="139">
        <f>ROUND(((0.8*'Side MDB'!W62+0.2*'Side Pole'!N62)+(IF('Side MDB'!X62="N/A",(0.8*'Side MDB'!W62+0.2*'Side Pole'!N62),'Side MDB'!X62)))/2,3)</f>
        <v>2.5999999999999999E-2</v>
      </c>
      <c r="U62" s="139">
        <f t="shared" si="44"/>
        <v>0.17</v>
      </c>
      <c r="V62" s="24">
        <f t="shared" si="45"/>
        <v>5</v>
      </c>
      <c r="W62" s="22"/>
      <c r="X62" s="33"/>
      <c r="Y62" s="33"/>
      <c r="Z62" s="33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</row>
    <row r="63" spans="1:37" ht="11.25" customHeight="1">
      <c r="A63" s="142">
        <v>11344</v>
      </c>
      <c r="B63" s="143" t="s">
        <v>246</v>
      </c>
      <c r="C63" s="133" t="str">
        <f>Rollover!A63</f>
        <v>Nissan</v>
      </c>
      <c r="D63" s="133" t="str">
        <f>Rollover!B63</f>
        <v>Rogue AWD (Later Release)</v>
      </c>
      <c r="E63" s="42" t="s">
        <v>187</v>
      </c>
      <c r="F63" s="134">
        <f>Rollover!C63</f>
        <v>2022</v>
      </c>
      <c r="G63" s="135">
        <v>161.607</v>
      </c>
      <c r="H63" s="19">
        <v>17.387</v>
      </c>
      <c r="I63" s="19" t="s">
        <v>247</v>
      </c>
      <c r="J63" s="136">
        <v>18.036999999999999</v>
      </c>
      <c r="K63" s="20">
        <v>1770.261</v>
      </c>
      <c r="L63" s="137">
        <f t="shared" ref="L63:L64" si="46">NORMDIST(LN(G63),7.45231,0.73998,1)</f>
        <v>6.8969872624144272E-4</v>
      </c>
      <c r="M63" s="138">
        <f t="shared" ref="M63:M64" si="47">1/(1+EXP(6.3055-0.00094*K63))</f>
        <v>9.5515473073525935E-3</v>
      </c>
      <c r="N63" s="137">
        <f t="shared" ref="N63:N64" si="48">ROUND(1-(1-L63)*(1-M63),3)</f>
        <v>0.01</v>
      </c>
      <c r="O63" s="10">
        <f t="shared" ref="O63:O64" si="49">ROUND(N63/0.15,2)</f>
        <v>7.0000000000000007E-2</v>
      </c>
      <c r="P63" s="24">
        <f t="shared" ref="P63:P64" si="50">IF(O63&lt;0.67,5,IF(O63&lt;1,4,IF(O63&lt;1.33,3,IF(O63&lt;2.67,2,1))))</f>
        <v>5</v>
      </c>
      <c r="Q63" s="139">
        <f>ROUND((0.8*'Side MDB'!W63+0.2*'Side Pole'!N63),3)</f>
        <v>1.7000000000000001E-2</v>
      </c>
      <c r="R63" s="139">
        <f t="shared" ref="R63:R64" si="51">ROUND((Q63)/0.15,2)</f>
        <v>0.11</v>
      </c>
      <c r="S63" s="24">
        <f t="shared" ref="S63:S64" si="52">IF(R63&lt;0.67,5,IF(R63&lt;1,4,IF(R63&lt;1.33,3,IF(R63&lt;2.67,2,1))))</f>
        <v>5</v>
      </c>
      <c r="T63" s="139">
        <f>ROUND(((0.8*'Side MDB'!W63+0.2*'Side Pole'!N63)+(IF('Side MDB'!X63="N/A",(0.8*'Side MDB'!W63+0.2*'Side Pole'!N63),'Side MDB'!X63)))/2,3)</f>
        <v>1.7000000000000001E-2</v>
      </c>
      <c r="U63" s="139">
        <f t="shared" ref="U63:U64" si="53">ROUND((T63)/0.15,2)</f>
        <v>0.11</v>
      </c>
      <c r="V63" s="24">
        <f t="shared" ref="V63:V64" si="54">IF(U63&lt;0.67,5,IF(U63&lt;1,4,IF(U63&lt;1.33,3,IF(U63&lt;2.67,2,1))))</f>
        <v>5</v>
      </c>
      <c r="W63" s="22"/>
      <c r="X63" s="33"/>
      <c r="Y63" s="33"/>
      <c r="Z63" s="33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</row>
    <row r="64" spans="1:37" ht="11.25" customHeight="1">
      <c r="A64" s="142">
        <v>11344</v>
      </c>
      <c r="B64" s="143" t="s">
        <v>246</v>
      </c>
      <c r="C64" s="120" t="str">
        <f>Rollover!A64</f>
        <v>Nissan</v>
      </c>
      <c r="D64" s="120" t="str">
        <f>Rollover!B64</f>
        <v>Rogue FWD (Later Release)</v>
      </c>
      <c r="E64" s="42" t="s">
        <v>187</v>
      </c>
      <c r="F64" s="134">
        <f>Rollover!C64</f>
        <v>2022</v>
      </c>
      <c r="G64" s="135">
        <v>161.607</v>
      </c>
      <c r="H64" s="19">
        <v>17.387</v>
      </c>
      <c r="I64" s="19" t="s">
        <v>247</v>
      </c>
      <c r="J64" s="136">
        <v>18.036999999999999</v>
      </c>
      <c r="K64" s="20">
        <v>1770.261</v>
      </c>
      <c r="L64" s="137">
        <f t="shared" si="46"/>
        <v>6.8969872624144272E-4</v>
      </c>
      <c r="M64" s="138">
        <f t="shared" si="47"/>
        <v>9.5515473073525935E-3</v>
      </c>
      <c r="N64" s="137">
        <f t="shared" si="48"/>
        <v>0.01</v>
      </c>
      <c r="O64" s="10">
        <f t="shared" si="49"/>
        <v>7.0000000000000007E-2</v>
      </c>
      <c r="P64" s="24">
        <f t="shared" si="50"/>
        <v>5</v>
      </c>
      <c r="Q64" s="139">
        <f>ROUND((0.8*'Side MDB'!W64+0.2*'Side Pole'!N64),3)</f>
        <v>1.7000000000000001E-2</v>
      </c>
      <c r="R64" s="139">
        <f t="shared" si="51"/>
        <v>0.11</v>
      </c>
      <c r="S64" s="24">
        <f t="shared" si="52"/>
        <v>5</v>
      </c>
      <c r="T64" s="139">
        <f>ROUND(((0.8*'Side MDB'!W64+0.2*'Side Pole'!N64)+(IF('Side MDB'!X64="N/A",(0.8*'Side MDB'!W64+0.2*'Side Pole'!N64),'Side MDB'!X64)))/2,3)</f>
        <v>1.7000000000000001E-2</v>
      </c>
      <c r="U64" s="139">
        <f t="shared" si="53"/>
        <v>0.11</v>
      </c>
      <c r="V64" s="24">
        <f t="shared" si="54"/>
        <v>5</v>
      </c>
      <c r="W64" s="22"/>
      <c r="X64" s="33"/>
      <c r="Y64" s="33"/>
      <c r="Z64" s="33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</row>
    <row r="65" spans="1:37" ht="11.25" customHeight="1">
      <c r="A65" s="132">
        <v>14220</v>
      </c>
      <c r="B65" s="132" t="s">
        <v>248</v>
      </c>
      <c r="C65" s="120" t="str">
        <f>Rollover!A65</f>
        <v>Nissan</v>
      </c>
      <c r="D65" s="120" t="str">
        <f>Rollover!B65</f>
        <v>Rogue Sport SUV FWD</v>
      </c>
      <c r="E65" s="42" t="s">
        <v>134</v>
      </c>
      <c r="F65" s="134">
        <f>Rollover!C65</f>
        <v>2022</v>
      </c>
      <c r="G65" s="135">
        <v>280.45800000000003</v>
      </c>
      <c r="H65" s="19">
        <v>19.98</v>
      </c>
      <c r="I65" s="19">
        <v>45.981999999999999</v>
      </c>
      <c r="J65" s="136">
        <v>17.164000000000001</v>
      </c>
      <c r="K65" s="136">
        <v>2195.4830000000002</v>
      </c>
      <c r="L65" s="137">
        <f t="shared" ref="L65:L69" si="55">NORMDIST(LN(G65),7.45231,0.73998,1)</f>
        <v>7.0645101334061034E-3</v>
      </c>
      <c r="M65" s="138">
        <f t="shared" ref="M65:M69" si="56">1/(1+EXP(6.3055-0.00094*K65))</f>
        <v>1.4178536215883665E-2</v>
      </c>
      <c r="N65" s="137">
        <f t="shared" ref="N65:N69" si="57">ROUND(1-(1-L65)*(1-M65),3)</f>
        <v>2.1000000000000001E-2</v>
      </c>
      <c r="O65" s="10">
        <f t="shared" ref="O65:O69" si="58">ROUND(N65/0.15,2)</f>
        <v>0.14000000000000001</v>
      </c>
      <c r="P65" s="24">
        <f t="shared" ref="P65:P69" si="59">IF(O65&lt;0.67,5,IF(O65&lt;1,4,IF(O65&lt;1.33,3,IF(O65&lt;2.67,2,1))))</f>
        <v>5</v>
      </c>
      <c r="Q65" s="139">
        <f>ROUND((0.8*'Side MDB'!W65+0.2*'Side Pole'!N65),3)</f>
        <v>7.9000000000000001E-2</v>
      </c>
      <c r="R65" s="139">
        <f t="shared" ref="R65:R69" si="60">ROUND((Q65)/0.15,2)</f>
        <v>0.53</v>
      </c>
      <c r="S65" s="24">
        <f t="shared" ref="S65:S69" si="61">IF(R65&lt;0.67,5,IF(R65&lt;1,4,IF(R65&lt;1.33,3,IF(R65&lt;2.67,2,1))))</f>
        <v>5</v>
      </c>
      <c r="T65" s="139">
        <f>ROUND(((0.8*'Side MDB'!W65+0.2*'Side Pole'!N65)+(IF('Side MDB'!X65="N/A",(0.8*'Side MDB'!W65+0.2*'Side Pole'!N65),'Side MDB'!X65)))/2,3)</f>
        <v>4.8000000000000001E-2</v>
      </c>
      <c r="U65" s="139">
        <f t="shared" ref="U65:U69" si="62">ROUND((T65)/0.15,2)</f>
        <v>0.32</v>
      </c>
      <c r="V65" s="24">
        <f t="shared" ref="V65:V69" si="63">IF(U65&lt;0.67,5,IF(U65&lt;1,4,IF(U65&lt;1.33,3,IF(U65&lt;2.67,2,1))))</f>
        <v>5</v>
      </c>
      <c r="W65" s="22"/>
      <c r="X65" s="33"/>
      <c r="Y65" s="33"/>
      <c r="Z65" s="33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</row>
    <row r="66" spans="1:37" ht="11.25" customHeight="1">
      <c r="A66" s="132">
        <v>14220</v>
      </c>
      <c r="B66" s="132" t="s">
        <v>248</v>
      </c>
      <c r="C66" s="120" t="str">
        <f>Rollover!A66</f>
        <v>Nissan</v>
      </c>
      <c r="D66" s="120" t="str">
        <f>Rollover!B66</f>
        <v>Rogue Sport SUV AWD</v>
      </c>
      <c r="E66" s="42" t="s">
        <v>134</v>
      </c>
      <c r="F66" s="134">
        <f>Rollover!C66</f>
        <v>2022</v>
      </c>
      <c r="G66" s="135">
        <v>280.45800000000003</v>
      </c>
      <c r="H66" s="19">
        <v>19.98</v>
      </c>
      <c r="I66" s="19">
        <v>45.981999999999999</v>
      </c>
      <c r="J66" s="136">
        <v>17.164000000000001</v>
      </c>
      <c r="K66" s="136">
        <v>2195.4830000000002</v>
      </c>
      <c r="L66" s="137">
        <f t="shared" si="55"/>
        <v>7.0645101334061034E-3</v>
      </c>
      <c r="M66" s="138">
        <f t="shared" si="56"/>
        <v>1.4178536215883665E-2</v>
      </c>
      <c r="N66" s="137">
        <f t="shared" si="57"/>
        <v>2.1000000000000001E-2</v>
      </c>
      <c r="O66" s="10">
        <f t="shared" si="58"/>
        <v>0.14000000000000001</v>
      </c>
      <c r="P66" s="24">
        <f t="shared" si="59"/>
        <v>5</v>
      </c>
      <c r="Q66" s="139">
        <f>ROUND((0.8*'Side MDB'!W66+0.2*'Side Pole'!N66),3)</f>
        <v>7.9000000000000001E-2</v>
      </c>
      <c r="R66" s="139">
        <f t="shared" si="60"/>
        <v>0.53</v>
      </c>
      <c r="S66" s="24">
        <f t="shared" si="61"/>
        <v>5</v>
      </c>
      <c r="T66" s="139">
        <f>ROUND(((0.8*'Side MDB'!W66+0.2*'Side Pole'!N66)+(IF('Side MDB'!X66="N/A",(0.8*'Side MDB'!W66+0.2*'Side Pole'!N66),'Side MDB'!X66)))/2,3)</f>
        <v>4.8000000000000001E-2</v>
      </c>
      <c r="U66" s="139">
        <f t="shared" si="62"/>
        <v>0.32</v>
      </c>
      <c r="V66" s="24">
        <f t="shared" si="63"/>
        <v>5</v>
      </c>
      <c r="W66" s="22"/>
      <c r="X66" s="33"/>
      <c r="Y66" s="33"/>
      <c r="Z66" s="33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</row>
    <row r="67" spans="1:37" ht="11.25" customHeight="1">
      <c r="A67" s="132">
        <v>14215</v>
      </c>
      <c r="B67" s="132" t="s">
        <v>249</v>
      </c>
      <c r="C67" s="120" t="str">
        <f>Rollover!A67</f>
        <v>Polestar</v>
      </c>
      <c r="D67" s="120" t="str">
        <f>Rollover!B67</f>
        <v>Polestar 2 5HB FWD</v>
      </c>
      <c r="E67" s="42" t="s">
        <v>187</v>
      </c>
      <c r="F67" s="134">
        <f>Rollover!C67</f>
        <v>2022</v>
      </c>
      <c r="G67" s="135">
        <v>252.05099999999999</v>
      </c>
      <c r="H67" s="19">
        <v>19.645</v>
      </c>
      <c r="I67" s="19">
        <v>34.981999999999999</v>
      </c>
      <c r="J67" s="136">
        <v>17.806999999999999</v>
      </c>
      <c r="K67" s="136">
        <v>3123.8649999999998</v>
      </c>
      <c r="L67" s="137">
        <f t="shared" ref="L67" si="64">NORMDIST(LN(G67),7.45231,0.73998,1)</f>
        <v>4.6845418660868641E-3</v>
      </c>
      <c r="M67" s="138">
        <f t="shared" ref="M67" si="65">1/(1+EXP(6.3055-0.00094*K67))</f>
        <v>3.3276312664236404E-2</v>
      </c>
      <c r="N67" s="137">
        <f t="shared" ref="N67" si="66">ROUND(1-(1-L67)*(1-M67),3)</f>
        <v>3.7999999999999999E-2</v>
      </c>
      <c r="O67" s="10">
        <f t="shared" ref="O67" si="67">ROUND(N67/0.15,2)</f>
        <v>0.25</v>
      </c>
      <c r="P67" s="24">
        <f t="shared" ref="P67" si="68">IF(O67&lt;0.67,5,IF(O67&lt;1,4,IF(O67&lt;1.33,3,IF(O67&lt;2.67,2,1))))</f>
        <v>5</v>
      </c>
      <c r="Q67" s="139">
        <f>ROUND((0.8*'Side MDB'!W67+0.2*'Side Pole'!N67),3)</f>
        <v>3.5000000000000003E-2</v>
      </c>
      <c r="R67" s="139">
        <f t="shared" ref="R67" si="69">ROUND((Q67)/0.15,2)</f>
        <v>0.23</v>
      </c>
      <c r="S67" s="24">
        <f t="shared" ref="S67" si="70">IF(R67&lt;0.67,5,IF(R67&lt;1,4,IF(R67&lt;1.33,3,IF(R67&lt;2.67,2,1))))</f>
        <v>5</v>
      </c>
      <c r="T67" s="139">
        <f>ROUND(((0.8*'Side MDB'!W67+0.2*'Side Pole'!N67)+(IF('Side MDB'!X67="N/A",(0.8*'Side MDB'!W67+0.2*'Side Pole'!N67),'Side MDB'!X67)))/2,3)</f>
        <v>0.04</v>
      </c>
      <c r="U67" s="139">
        <f t="shared" ref="U67" si="71">ROUND((T67)/0.15,2)</f>
        <v>0.27</v>
      </c>
      <c r="V67" s="24">
        <f t="shared" ref="V67" si="72">IF(U67&lt;0.67,5,IF(U67&lt;1,4,IF(U67&lt;1.33,3,IF(U67&lt;2.67,2,1))))</f>
        <v>5</v>
      </c>
      <c r="W67" s="22"/>
      <c r="X67" s="33"/>
      <c r="Y67" s="33"/>
      <c r="Z67" s="33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</row>
    <row r="68" spans="1:37" ht="11.25" customHeight="1">
      <c r="A68" s="132">
        <v>14215</v>
      </c>
      <c r="B68" s="132" t="s">
        <v>249</v>
      </c>
      <c r="C68" s="120" t="str">
        <f>Rollover!A68</f>
        <v>Polestar</v>
      </c>
      <c r="D68" s="120" t="str">
        <f>Rollover!B68</f>
        <v>Polestar 2 5HB AWD</v>
      </c>
      <c r="E68" s="42" t="s">
        <v>187</v>
      </c>
      <c r="F68" s="134">
        <f>Rollover!C68</f>
        <v>2022</v>
      </c>
      <c r="G68" s="135">
        <v>252.05099999999999</v>
      </c>
      <c r="H68" s="19">
        <v>19.645</v>
      </c>
      <c r="I68" s="19">
        <v>34.981999999999999</v>
      </c>
      <c r="J68" s="136">
        <v>17.806999999999999</v>
      </c>
      <c r="K68" s="136">
        <v>3123.8649999999998</v>
      </c>
      <c r="L68" s="137">
        <f t="shared" ref="L68" si="73">NORMDIST(LN(G68),7.45231,0.73998,1)</f>
        <v>4.6845418660868641E-3</v>
      </c>
      <c r="M68" s="138">
        <f t="shared" ref="M68" si="74">1/(1+EXP(6.3055-0.00094*K68))</f>
        <v>3.3276312664236404E-2</v>
      </c>
      <c r="N68" s="137">
        <f t="shared" ref="N68" si="75">ROUND(1-(1-L68)*(1-M68),3)</f>
        <v>3.7999999999999999E-2</v>
      </c>
      <c r="O68" s="10">
        <f t="shared" ref="O68" si="76">ROUND(N68/0.15,2)</f>
        <v>0.25</v>
      </c>
      <c r="P68" s="24">
        <f t="shared" ref="P68" si="77">IF(O68&lt;0.67,5,IF(O68&lt;1,4,IF(O68&lt;1.33,3,IF(O68&lt;2.67,2,1))))</f>
        <v>5</v>
      </c>
      <c r="Q68" s="139">
        <f>ROUND((0.8*'Side MDB'!W68+0.2*'Side Pole'!N68),3)</f>
        <v>3.5000000000000003E-2</v>
      </c>
      <c r="R68" s="139">
        <f t="shared" ref="R68" si="78">ROUND((Q68)/0.15,2)</f>
        <v>0.23</v>
      </c>
      <c r="S68" s="24">
        <f t="shared" ref="S68" si="79">IF(R68&lt;0.67,5,IF(R68&lt;1,4,IF(R68&lt;1.33,3,IF(R68&lt;2.67,2,1))))</f>
        <v>5</v>
      </c>
      <c r="T68" s="139">
        <f>ROUND(((0.8*'Side MDB'!W68+0.2*'Side Pole'!N68)+(IF('Side MDB'!X68="N/A",(0.8*'Side MDB'!W68+0.2*'Side Pole'!N68),'Side MDB'!X68)))/2,3)</f>
        <v>0.04</v>
      </c>
      <c r="U68" s="139">
        <f t="shared" ref="U68" si="80">ROUND((T68)/0.15,2)</f>
        <v>0.27</v>
      </c>
      <c r="V68" s="24">
        <f t="shared" ref="V68" si="81">IF(U68&lt;0.67,5,IF(U68&lt;1,4,IF(U68&lt;1.33,3,IF(U68&lt;2.67,2,1))))</f>
        <v>5</v>
      </c>
      <c r="W68" s="22"/>
      <c r="X68" s="33"/>
      <c r="Y68" s="33"/>
      <c r="Z68" s="33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</row>
    <row r="69" spans="1:37" ht="11.25" customHeight="1">
      <c r="A69" s="132"/>
      <c r="B69" s="132"/>
      <c r="C69" s="120" t="str">
        <f>Rollover!A69</f>
        <v>Toyota</v>
      </c>
      <c r="D69" s="120" t="str">
        <f>Rollover!B69</f>
        <v>RAV4 Prime SUV AWD</v>
      </c>
      <c r="E69" s="42"/>
      <c r="F69" s="134">
        <f>Rollover!C69</f>
        <v>2022</v>
      </c>
      <c r="G69" s="135"/>
      <c r="H69" s="19"/>
      <c r="I69" s="19"/>
      <c r="J69" s="136"/>
      <c r="K69" s="136"/>
      <c r="L69" s="137" t="e">
        <f t="shared" si="55"/>
        <v>#NUM!</v>
      </c>
      <c r="M69" s="138">
        <f t="shared" si="56"/>
        <v>1.8229037773026034E-3</v>
      </c>
      <c r="N69" s="137" t="e">
        <f t="shared" si="57"/>
        <v>#NUM!</v>
      </c>
      <c r="O69" s="10" t="e">
        <f t="shared" si="58"/>
        <v>#NUM!</v>
      </c>
      <c r="P69" s="24" t="e">
        <f t="shared" si="59"/>
        <v>#NUM!</v>
      </c>
      <c r="Q69" s="139" t="e">
        <f>ROUND((0.8*'Side MDB'!W69+0.2*'Side Pole'!N69),3)</f>
        <v>#NUM!</v>
      </c>
      <c r="R69" s="139" t="e">
        <f t="shared" si="60"/>
        <v>#NUM!</v>
      </c>
      <c r="S69" s="24" t="e">
        <f t="shared" si="61"/>
        <v>#NUM!</v>
      </c>
      <c r="T69" s="139" t="e">
        <f>ROUND(((0.8*'Side MDB'!W69+0.2*'Side Pole'!N69)+(IF('Side MDB'!X69="N/A",(0.8*'Side MDB'!W69+0.2*'Side Pole'!N69),'Side MDB'!X69)))/2,3)</f>
        <v>#NUM!</v>
      </c>
      <c r="U69" s="139" t="e">
        <f t="shared" si="62"/>
        <v>#NUM!</v>
      </c>
      <c r="V69" s="24" t="e">
        <f t="shared" si="63"/>
        <v>#NUM!</v>
      </c>
      <c r="W69" s="22"/>
      <c r="X69" s="33"/>
      <c r="Y69" s="33"/>
      <c r="Z69" s="33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</row>
    <row r="70" spans="1:37" ht="11.25" customHeight="1">
      <c r="A70" s="146">
        <v>10662</v>
      </c>
      <c r="B70" s="132" t="s">
        <v>250</v>
      </c>
      <c r="C70" s="120" t="str">
        <f>Rollover!A70</f>
        <v>Volkswagen</v>
      </c>
      <c r="D70" s="120" t="str">
        <f>Rollover!B70</f>
        <v>Jetta 4DR FWD</v>
      </c>
      <c r="E70" s="42" t="s">
        <v>187</v>
      </c>
      <c r="F70" s="134">
        <f>Rollover!C70</f>
        <v>2022</v>
      </c>
      <c r="G70" s="135">
        <v>239.20500000000001</v>
      </c>
      <c r="H70" s="19">
        <v>23.585999999999999</v>
      </c>
      <c r="I70" s="19">
        <v>37.648000000000003</v>
      </c>
      <c r="J70" s="136">
        <v>28.818999999999999</v>
      </c>
      <c r="K70" s="20">
        <v>2790.1849999999999</v>
      </c>
      <c r="L70" s="137">
        <f t="shared" ref="L70:L72" si="82">NORMDIST(LN(G70),7.45231,0.73998,1)</f>
        <v>3.804141042345967E-3</v>
      </c>
      <c r="M70" s="138">
        <f t="shared" ref="M70:M72" si="83">1/(1+EXP(6.3055-0.00094*K70))</f>
        <v>2.4537094487065852E-2</v>
      </c>
      <c r="N70" s="137">
        <f t="shared" ref="N70:N72" si="84">ROUND(1-(1-L70)*(1-M70),3)</f>
        <v>2.8000000000000001E-2</v>
      </c>
      <c r="O70" s="10">
        <f t="shared" ref="O70:O73" si="85">ROUND(N70/0.15,2)</f>
        <v>0.19</v>
      </c>
      <c r="P70" s="24">
        <f t="shared" ref="P70:P73" si="86">IF(O70&lt;0.67,5,IF(O70&lt;1,4,IF(O70&lt;1.33,3,IF(O70&lt;2.67,2,1))))</f>
        <v>5</v>
      </c>
      <c r="Q70" s="139">
        <f>ROUND((0.8*'Side MDB'!W70+0.2*'Side Pole'!N70),3)</f>
        <v>0.05</v>
      </c>
      <c r="R70" s="139">
        <f t="shared" ref="R70:R73" si="87">ROUND((Q70)/0.15,2)</f>
        <v>0.33</v>
      </c>
      <c r="S70" s="24">
        <f t="shared" ref="S70:S73" si="88">IF(R70&lt;0.67,5,IF(R70&lt;1,4,IF(R70&lt;1.33,3,IF(R70&lt;2.67,2,1))))</f>
        <v>5</v>
      </c>
      <c r="T70" s="139">
        <f>ROUND(((0.8*'Side MDB'!W70+0.2*'Side Pole'!N70)+(IF('Side MDB'!X70="N/A",(0.8*'Side MDB'!W70+0.2*'Side Pole'!N70),'Side MDB'!X70)))/2,3)</f>
        <v>3.9E-2</v>
      </c>
      <c r="U70" s="139">
        <f t="shared" ref="U70:U73" si="89">ROUND((T70)/0.15,2)</f>
        <v>0.26</v>
      </c>
      <c r="V70" s="24">
        <f t="shared" ref="V70:V73" si="90">IF(U70&lt;0.67,5,IF(U70&lt;1,4,IF(U70&lt;1.33,3,IF(U70&lt;2.67,2,1))))</f>
        <v>5</v>
      </c>
      <c r="W70" s="22"/>
      <c r="X70" s="33"/>
      <c r="Y70" s="33"/>
      <c r="Z70" s="33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</row>
    <row r="71" spans="1:37" ht="11.25" customHeight="1">
      <c r="A71" s="146">
        <v>10662</v>
      </c>
      <c r="B71" s="132" t="s">
        <v>250</v>
      </c>
      <c r="C71" s="133" t="str">
        <f>Rollover!A71</f>
        <v>Volkswagen</v>
      </c>
      <c r="D71" s="133" t="str">
        <f>Rollover!B71</f>
        <v>Jetta GLI 4DR FWD</v>
      </c>
      <c r="E71" s="42" t="s">
        <v>187</v>
      </c>
      <c r="F71" s="134">
        <f>Rollover!C71</f>
        <v>2022</v>
      </c>
      <c r="G71" s="135">
        <v>239.20500000000001</v>
      </c>
      <c r="H71" s="19">
        <v>23.585999999999999</v>
      </c>
      <c r="I71" s="19">
        <v>37.648000000000003</v>
      </c>
      <c r="J71" s="136">
        <v>28.818999999999999</v>
      </c>
      <c r="K71" s="20">
        <v>2790.1849999999999</v>
      </c>
      <c r="L71" s="137">
        <f t="shared" si="82"/>
        <v>3.804141042345967E-3</v>
      </c>
      <c r="M71" s="138">
        <f t="shared" si="83"/>
        <v>2.4537094487065852E-2</v>
      </c>
      <c r="N71" s="137">
        <f t="shared" si="84"/>
        <v>2.8000000000000001E-2</v>
      </c>
      <c r="O71" s="10">
        <f t="shared" si="85"/>
        <v>0.19</v>
      </c>
      <c r="P71" s="24">
        <f t="shared" si="86"/>
        <v>5</v>
      </c>
      <c r="Q71" s="139">
        <f>ROUND((0.8*'Side MDB'!W71+0.2*'Side Pole'!N71),3)</f>
        <v>0.05</v>
      </c>
      <c r="R71" s="139">
        <f t="shared" si="87"/>
        <v>0.33</v>
      </c>
      <c r="S71" s="24">
        <f t="shared" si="88"/>
        <v>5</v>
      </c>
      <c r="T71" s="139">
        <f>ROUND(((0.8*'Side MDB'!W71+0.2*'Side Pole'!N71)+(IF('Side MDB'!X71="N/A",(0.8*'Side MDB'!W71+0.2*'Side Pole'!N71),'Side MDB'!X71)))/2,3)</f>
        <v>3.9E-2</v>
      </c>
      <c r="U71" s="139">
        <f t="shared" si="89"/>
        <v>0.26</v>
      </c>
      <c r="V71" s="24">
        <f t="shared" si="90"/>
        <v>5</v>
      </c>
      <c r="W71" s="22"/>
      <c r="X71" s="33"/>
      <c r="Y71" s="33"/>
      <c r="Z71" s="33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</row>
    <row r="72" spans="1:37" ht="11.25" customHeight="1">
      <c r="A72" s="132">
        <v>14083</v>
      </c>
      <c r="B72" s="132" t="s">
        <v>251</v>
      </c>
      <c r="C72" s="120" t="str">
        <f>Rollover!A72</f>
        <v>Volkswagen</v>
      </c>
      <c r="D72" s="120" t="str">
        <f>Rollover!B72</f>
        <v>Taos SUV FWD</v>
      </c>
      <c r="E72" s="42" t="s">
        <v>185</v>
      </c>
      <c r="F72" s="134">
        <f>Rollover!C72</f>
        <v>2022</v>
      </c>
      <c r="G72" s="135">
        <v>337.608</v>
      </c>
      <c r="H72" s="19">
        <v>26.867000000000001</v>
      </c>
      <c r="I72" s="19">
        <v>46.320999999999998</v>
      </c>
      <c r="J72" s="136">
        <v>36.298999999999999</v>
      </c>
      <c r="K72" s="136">
        <v>4175.3689999999997</v>
      </c>
      <c r="L72" s="137">
        <f t="shared" si="82"/>
        <v>1.3785539244020106E-2</v>
      </c>
      <c r="M72" s="138">
        <f t="shared" si="83"/>
        <v>8.4659938460111619E-2</v>
      </c>
      <c r="N72" s="137">
        <f t="shared" si="84"/>
        <v>9.7000000000000003E-2</v>
      </c>
      <c r="O72" s="10">
        <f t="shared" si="85"/>
        <v>0.65</v>
      </c>
      <c r="P72" s="24">
        <f t="shared" si="86"/>
        <v>5</v>
      </c>
      <c r="Q72" s="139">
        <f>ROUND((0.8*'Side MDB'!W72+0.2*'Side Pole'!N72),3)</f>
        <v>4.2999999999999997E-2</v>
      </c>
      <c r="R72" s="139">
        <f t="shared" si="87"/>
        <v>0.28999999999999998</v>
      </c>
      <c r="S72" s="24">
        <f t="shared" si="88"/>
        <v>5</v>
      </c>
      <c r="T72" s="139">
        <f>ROUND(((0.8*'Side MDB'!W72+0.2*'Side Pole'!N72)+(IF('Side MDB'!X72="N/A",(0.8*'Side MDB'!W72+0.2*'Side Pole'!N72),'Side MDB'!X72)))/2,3)</f>
        <v>4.8000000000000001E-2</v>
      </c>
      <c r="U72" s="139">
        <f t="shared" si="89"/>
        <v>0.32</v>
      </c>
      <c r="V72" s="24">
        <f t="shared" si="90"/>
        <v>5</v>
      </c>
      <c r="W72" s="22"/>
      <c r="X72" s="33"/>
      <c r="Y72" s="33"/>
      <c r="Z72" s="33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</row>
    <row r="73" spans="1:37" ht="11.25" customHeight="1">
      <c r="A73" s="132">
        <v>14083</v>
      </c>
      <c r="B73" s="132" t="s">
        <v>251</v>
      </c>
      <c r="C73" s="120" t="str">
        <f>Rollover!A73</f>
        <v>Volkswagen</v>
      </c>
      <c r="D73" s="120" t="str">
        <f>Rollover!B73</f>
        <v>Taos SUV AWD</v>
      </c>
      <c r="E73" s="42" t="s">
        <v>185</v>
      </c>
      <c r="F73" s="134">
        <f>Rollover!C73</f>
        <v>2022</v>
      </c>
      <c r="G73" s="135">
        <v>337.608</v>
      </c>
      <c r="H73" s="19">
        <v>26.867000000000001</v>
      </c>
      <c r="I73" s="19">
        <v>46.320999999999998</v>
      </c>
      <c r="J73" s="136">
        <v>36.298999999999999</v>
      </c>
      <c r="K73" s="136">
        <v>4175.3689999999997</v>
      </c>
      <c r="L73" s="137">
        <f>NORMDIST(LN(G73),7.45231,0.73998,1)</f>
        <v>1.3785539244020106E-2</v>
      </c>
      <c r="M73" s="138">
        <f>1/(1+EXP(6.3055-0.00094*K73))</f>
        <v>8.4659938460111619E-2</v>
      </c>
      <c r="N73" s="137">
        <f>ROUND(1-(1-L73)*(1-M73),3)</f>
        <v>9.7000000000000003E-2</v>
      </c>
      <c r="O73" s="10">
        <f t="shared" si="85"/>
        <v>0.65</v>
      </c>
      <c r="P73" s="24">
        <f t="shared" si="86"/>
        <v>5</v>
      </c>
      <c r="Q73" s="139">
        <f>ROUND((0.8*'Side MDB'!W73+0.2*'Side Pole'!N73),3)</f>
        <v>4.2999999999999997E-2</v>
      </c>
      <c r="R73" s="139">
        <f t="shared" si="87"/>
        <v>0.28999999999999998</v>
      </c>
      <c r="S73" s="24">
        <f t="shared" si="88"/>
        <v>5</v>
      </c>
      <c r="T73" s="139">
        <f>ROUND(((0.8*'Side MDB'!W73+0.2*'Side Pole'!N73)+(IF('Side MDB'!X73="N/A",(0.8*'Side MDB'!W73+0.2*'Side Pole'!N73),'Side MDB'!X73)))/2,3)</f>
        <v>4.8000000000000001E-2</v>
      </c>
      <c r="U73" s="139">
        <f t="shared" si="89"/>
        <v>0.32</v>
      </c>
      <c r="V73" s="24">
        <f t="shared" si="90"/>
        <v>5</v>
      </c>
      <c r="W73" s="22"/>
      <c r="X73" s="33"/>
      <c r="Y73" s="33"/>
      <c r="Z73" s="33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</row>
    <row r="74" spans="1:37" ht="11.25" customHeight="1">
      <c r="N74" s="141"/>
      <c r="O74" s="141"/>
      <c r="P74" s="148"/>
      <c r="Q74" s="141"/>
    </row>
    <row r="75" spans="1:37" ht="11.25" customHeight="1">
      <c r="N75" s="141"/>
      <c r="O75" s="141"/>
      <c r="P75" s="148"/>
      <c r="Q75" s="141"/>
    </row>
    <row r="76" spans="1:37" ht="11.25" customHeight="1">
      <c r="N76" s="141"/>
      <c r="O76" s="141"/>
      <c r="P76" s="148"/>
      <c r="Q76" s="141"/>
    </row>
    <row r="77" spans="1:37" ht="11.25" customHeight="1">
      <c r="N77" s="141"/>
      <c r="O77" s="141"/>
      <c r="P77" s="148"/>
      <c r="Q77" s="141"/>
    </row>
    <row r="78" spans="1:37" ht="11.25" customHeight="1">
      <c r="N78" s="141"/>
      <c r="O78" s="141"/>
      <c r="P78" s="148"/>
      <c r="Q78" s="141"/>
    </row>
    <row r="79" spans="1:37" ht="11.25" customHeight="1">
      <c r="N79" s="141"/>
      <c r="O79" s="141"/>
      <c r="P79" s="148"/>
      <c r="Q79" s="141"/>
    </row>
    <row r="80" spans="1:37" ht="11.25" customHeight="1">
      <c r="N80" s="141"/>
      <c r="O80" s="141"/>
      <c r="P80" s="148"/>
      <c r="Q80" s="141"/>
    </row>
    <row r="81" spans="14:17" ht="11.25" customHeight="1">
      <c r="N81" s="141"/>
      <c r="O81" s="141"/>
      <c r="P81" s="148"/>
      <c r="Q81" s="141"/>
    </row>
    <row r="82" spans="14:17" ht="11.25" customHeight="1">
      <c r="N82" s="141"/>
      <c r="O82" s="141"/>
      <c r="P82" s="148"/>
      <c r="Q82" s="141"/>
    </row>
    <row r="83" spans="14:17" ht="11.25" customHeight="1">
      <c r="N83" s="141"/>
      <c r="O83" s="141"/>
      <c r="P83" s="148"/>
      <c r="Q83" s="141"/>
    </row>
    <row r="84" spans="14:17" ht="11.25" customHeight="1">
      <c r="N84" s="141"/>
      <c r="O84" s="141"/>
      <c r="P84" s="148"/>
      <c r="Q84" s="141"/>
    </row>
    <row r="85" spans="14:17" ht="11.25" customHeight="1">
      <c r="N85" s="141"/>
      <c r="O85" s="141"/>
      <c r="P85" s="148"/>
      <c r="Q85" s="141"/>
    </row>
    <row r="86" spans="14:17" ht="11.25" customHeight="1">
      <c r="N86" s="141"/>
      <c r="O86" s="141"/>
      <c r="P86" s="148"/>
      <c r="Q86" s="141"/>
    </row>
    <row r="87" spans="14:17" ht="11.25" customHeight="1">
      <c r="N87" s="141"/>
      <c r="O87" s="141"/>
      <c r="P87" s="148"/>
      <c r="Q87" s="141"/>
    </row>
    <row r="88" spans="14:17" ht="11.25" customHeight="1">
      <c r="N88" s="141"/>
      <c r="O88" s="141"/>
      <c r="P88" s="148"/>
      <c r="Q88" s="141"/>
    </row>
    <row r="89" spans="14:17" ht="11.25" customHeight="1">
      <c r="N89" s="141"/>
      <c r="O89" s="141"/>
      <c r="P89" s="148"/>
      <c r="Q89" s="141"/>
    </row>
    <row r="90" spans="14:17" ht="11.25" customHeight="1">
      <c r="N90" s="141"/>
      <c r="O90" s="141"/>
      <c r="P90" s="148"/>
      <c r="Q90" s="141"/>
    </row>
    <row r="91" spans="14:17" ht="11.25" customHeight="1">
      <c r="N91" s="141"/>
      <c r="O91" s="141"/>
      <c r="P91" s="148"/>
      <c r="Q91" s="141"/>
    </row>
    <row r="92" spans="14:17" ht="11.25" customHeight="1">
      <c r="N92" s="141"/>
      <c r="O92" s="141"/>
      <c r="P92" s="148"/>
      <c r="Q92" s="141"/>
    </row>
    <row r="93" spans="14:17" ht="11.25" customHeight="1">
      <c r="N93" s="141"/>
      <c r="O93" s="141"/>
      <c r="P93" s="148"/>
      <c r="Q93" s="141"/>
    </row>
    <row r="94" spans="14:17" ht="11.25" customHeight="1">
      <c r="N94" s="141"/>
      <c r="O94" s="141"/>
      <c r="P94" s="148"/>
      <c r="Q94" s="141"/>
    </row>
    <row r="95" spans="14:17" ht="11.25" customHeight="1">
      <c r="N95" s="141"/>
      <c r="O95" s="141"/>
      <c r="P95" s="148"/>
      <c r="Q95" s="141"/>
    </row>
    <row r="96" spans="14:17" ht="11.25" customHeight="1">
      <c r="N96" s="141"/>
      <c r="O96" s="141"/>
      <c r="P96" s="148"/>
      <c r="Q96" s="141"/>
    </row>
    <row r="97" spans="14:17" ht="11.25" customHeight="1">
      <c r="N97" s="141"/>
      <c r="O97" s="141"/>
      <c r="P97" s="148"/>
      <c r="Q97" s="141"/>
    </row>
    <row r="98" spans="14:17" ht="11.25" customHeight="1">
      <c r="N98" s="141"/>
      <c r="O98" s="141"/>
      <c r="P98" s="148"/>
      <c r="Q98" s="141"/>
    </row>
    <row r="99" spans="14:17" ht="11.25" customHeight="1">
      <c r="N99" s="141"/>
      <c r="O99" s="141"/>
      <c r="P99" s="148"/>
      <c r="Q99" s="141"/>
    </row>
    <row r="100" spans="14:17" ht="11.25" customHeight="1">
      <c r="N100" s="141"/>
      <c r="O100" s="141"/>
      <c r="P100" s="148"/>
      <c r="Q100" s="141"/>
    </row>
    <row r="101" spans="14:17" ht="11.25" customHeight="1">
      <c r="N101" s="141"/>
      <c r="O101" s="141"/>
      <c r="P101" s="148"/>
      <c r="Q101" s="141"/>
    </row>
    <row r="102" spans="14:17" ht="11.25" customHeight="1">
      <c r="N102" s="141"/>
      <c r="O102" s="141"/>
      <c r="P102" s="148"/>
      <c r="Q102" s="141"/>
    </row>
    <row r="103" spans="14:17" ht="11.25" customHeight="1">
      <c r="N103" s="141"/>
      <c r="O103" s="141"/>
      <c r="P103" s="148"/>
      <c r="Q103" s="141"/>
    </row>
    <row r="104" spans="14:17" ht="11.25" customHeight="1">
      <c r="N104" s="141"/>
      <c r="O104" s="141"/>
      <c r="P104" s="148"/>
      <c r="Q104" s="141"/>
    </row>
    <row r="105" spans="14:17" ht="11.25" customHeight="1">
      <c r="N105" s="141"/>
      <c r="O105" s="141"/>
      <c r="P105" s="148"/>
      <c r="Q105" s="141"/>
    </row>
    <row r="106" spans="14:17" ht="11.25" customHeight="1">
      <c r="N106" s="141"/>
      <c r="O106" s="141"/>
      <c r="P106" s="148"/>
      <c r="Q106" s="141"/>
    </row>
    <row r="107" spans="14:17" ht="11.25" customHeight="1">
      <c r="N107" s="141"/>
      <c r="O107" s="141"/>
      <c r="P107" s="148"/>
      <c r="Q107" s="141"/>
    </row>
    <row r="108" spans="14:17" ht="11.25" customHeight="1">
      <c r="N108" s="141"/>
      <c r="O108" s="141"/>
      <c r="P108" s="148"/>
      <c r="Q108" s="141"/>
    </row>
    <row r="109" spans="14:17" ht="11.25" customHeight="1">
      <c r="N109" s="141"/>
      <c r="O109" s="141"/>
      <c r="P109" s="148"/>
      <c r="Q109" s="141"/>
    </row>
    <row r="110" spans="14:17" ht="11.25" customHeight="1">
      <c r="N110" s="141"/>
      <c r="O110" s="141"/>
      <c r="P110" s="148"/>
      <c r="Q110" s="141"/>
    </row>
    <row r="111" spans="14:17" ht="11.25" customHeight="1">
      <c r="N111" s="141"/>
      <c r="O111" s="141"/>
      <c r="P111" s="148"/>
      <c r="Q111" s="141"/>
    </row>
    <row r="112" spans="14:17" ht="11.25" customHeight="1">
      <c r="N112" s="141"/>
      <c r="O112" s="141"/>
      <c r="P112" s="148"/>
      <c r="Q112" s="141"/>
    </row>
    <row r="113" spans="14:17" ht="11.25" customHeight="1">
      <c r="N113" s="141"/>
      <c r="O113" s="141"/>
      <c r="P113" s="148"/>
      <c r="Q113" s="141"/>
    </row>
    <row r="114" spans="14:17" ht="11.25" customHeight="1">
      <c r="N114" s="141"/>
      <c r="O114" s="141"/>
      <c r="P114" s="148"/>
      <c r="Q114" s="141"/>
    </row>
    <row r="115" spans="14:17" ht="11.25" customHeight="1">
      <c r="N115" s="141"/>
      <c r="O115" s="141"/>
      <c r="P115" s="148"/>
      <c r="Q115" s="141"/>
    </row>
    <row r="116" spans="14:17" ht="11.25" customHeight="1">
      <c r="N116" s="141"/>
      <c r="O116" s="141"/>
      <c r="P116" s="148"/>
      <c r="Q116" s="141"/>
    </row>
    <row r="117" spans="14:17" ht="11.25" customHeight="1">
      <c r="N117" s="141"/>
      <c r="O117" s="141"/>
      <c r="P117" s="148"/>
      <c r="Q117" s="141"/>
    </row>
    <row r="118" spans="14:17" ht="11.25" customHeight="1">
      <c r="N118" s="141"/>
      <c r="O118" s="141"/>
      <c r="P118" s="148"/>
      <c r="Q118" s="141"/>
    </row>
    <row r="119" spans="14:17" ht="11.25" customHeight="1">
      <c r="N119" s="141"/>
      <c r="O119" s="141"/>
      <c r="P119" s="148"/>
      <c r="Q119" s="141"/>
    </row>
    <row r="120" spans="14:17" ht="11.25" customHeight="1">
      <c r="N120" s="141"/>
      <c r="O120" s="141"/>
      <c r="P120" s="148"/>
      <c r="Q120" s="141"/>
    </row>
    <row r="121" spans="14:17" ht="11.25" customHeight="1">
      <c r="N121" s="141"/>
      <c r="O121" s="141"/>
      <c r="P121" s="148"/>
      <c r="Q121" s="141"/>
    </row>
    <row r="122" spans="14:17" ht="11.25" customHeight="1">
      <c r="N122" s="141"/>
      <c r="O122" s="141"/>
      <c r="P122" s="148"/>
      <c r="Q122" s="141"/>
    </row>
    <row r="123" spans="14:17" ht="11.25" customHeight="1">
      <c r="N123" s="141"/>
      <c r="O123" s="141"/>
      <c r="P123" s="148"/>
      <c r="Q123" s="141"/>
    </row>
    <row r="124" spans="14:17" ht="11.25" customHeight="1">
      <c r="N124" s="141"/>
      <c r="O124" s="141"/>
      <c r="P124" s="148"/>
      <c r="Q124" s="141"/>
    </row>
    <row r="125" spans="14:17" ht="11.25" customHeight="1">
      <c r="N125" s="141"/>
      <c r="O125" s="141"/>
      <c r="P125" s="148"/>
      <c r="Q125" s="141"/>
    </row>
    <row r="126" spans="14:17" ht="11.25" customHeight="1">
      <c r="N126" s="141"/>
      <c r="O126" s="141"/>
      <c r="P126" s="148"/>
      <c r="Q126" s="141"/>
    </row>
    <row r="127" spans="14:17" ht="11.25" customHeight="1">
      <c r="N127" s="141"/>
      <c r="O127" s="141"/>
      <c r="P127" s="148"/>
      <c r="Q127" s="141"/>
    </row>
    <row r="128" spans="14:17" ht="11.25" customHeight="1">
      <c r="N128" s="141"/>
      <c r="O128" s="141"/>
      <c r="P128" s="148"/>
      <c r="Q128" s="141"/>
    </row>
    <row r="129" spans="14:17" ht="11.25" customHeight="1">
      <c r="N129" s="141"/>
      <c r="O129" s="141"/>
      <c r="P129" s="148"/>
      <c r="Q129" s="141"/>
    </row>
    <row r="130" spans="14:17" ht="11.25" customHeight="1">
      <c r="N130" s="141"/>
      <c r="O130" s="141"/>
      <c r="P130" s="148"/>
      <c r="Q130" s="141"/>
    </row>
    <row r="131" spans="14:17" ht="11.25" customHeight="1">
      <c r="N131" s="141"/>
      <c r="O131" s="141"/>
      <c r="P131" s="148"/>
      <c r="Q131" s="141"/>
    </row>
    <row r="132" spans="14:17" ht="11.25" customHeight="1">
      <c r="N132" s="141"/>
      <c r="O132" s="141"/>
      <c r="P132" s="148"/>
      <c r="Q132" s="141"/>
    </row>
    <row r="133" spans="14:17" ht="11.25" customHeight="1">
      <c r="N133" s="141"/>
      <c r="O133" s="141"/>
      <c r="P133" s="148"/>
      <c r="Q133" s="141"/>
    </row>
    <row r="134" spans="14:17" ht="11.25" customHeight="1">
      <c r="N134" s="141"/>
      <c r="O134" s="141"/>
      <c r="P134" s="148"/>
      <c r="Q134" s="141"/>
    </row>
    <row r="135" spans="14:17" ht="11.25" customHeight="1">
      <c r="N135" s="141"/>
      <c r="O135" s="141"/>
      <c r="P135" s="148"/>
      <c r="Q135" s="141"/>
    </row>
    <row r="136" spans="14:17" ht="11.25" customHeight="1">
      <c r="N136" s="141"/>
      <c r="O136" s="141"/>
      <c r="P136" s="148"/>
      <c r="Q136" s="141"/>
    </row>
    <row r="137" spans="14:17" ht="11.25" customHeight="1">
      <c r="N137" s="141"/>
      <c r="O137" s="141"/>
      <c r="P137" s="148"/>
      <c r="Q137" s="141"/>
    </row>
    <row r="138" spans="14:17" ht="11.25" customHeight="1">
      <c r="N138" s="141"/>
      <c r="O138" s="141"/>
      <c r="P138" s="148"/>
      <c r="Q138" s="141"/>
    </row>
    <row r="139" spans="14:17" ht="11.25" customHeight="1">
      <c r="N139" s="141"/>
      <c r="O139" s="141"/>
      <c r="P139" s="148"/>
      <c r="Q139" s="141"/>
    </row>
    <row r="140" spans="14:17" ht="11.25" customHeight="1">
      <c r="N140" s="141"/>
      <c r="O140" s="141"/>
      <c r="P140" s="148"/>
      <c r="Q140" s="141"/>
    </row>
    <row r="141" spans="14:17" ht="11.25" customHeight="1">
      <c r="N141" s="141"/>
      <c r="O141" s="141"/>
      <c r="P141" s="148"/>
      <c r="Q141" s="141"/>
    </row>
    <row r="142" spans="14:17" ht="11.25" customHeight="1">
      <c r="N142" s="141"/>
      <c r="O142" s="141"/>
      <c r="P142" s="148"/>
      <c r="Q142" s="141"/>
    </row>
    <row r="143" spans="14:17" ht="11.25" customHeight="1">
      <c r="N143" s="141"/>
      <c r="O143" s="141"/>
      <c r="P143" s="148"/>
      <c r="Q143" s="141"/>
    </row>
    <row r="144" spans="14:17" ht="11.25" customHeight="1">
      <c r="N144" s="141"/>
      <c r="O144" s="141"/>
      <c r="P144" s="148"/>
      <c r="Q144" s="141"/>
    </row>
    <row r="145" spans="14:17" ht="11.25" customHeight="1">
      <c r="N145" s="141"/>
      <c r="O145" s="141"/>
      <c r="P145" s="148"/>
      <c r="Q145" s="141"/>
    </row>
    <row r="146" spans="14:17" ht="11.25" customHeight="1">
      <c r="N146" s="141"/>
      <c r="O146" s="141"/>
      <c r="P146" s="148"/>
      <c r="Q146" s="141"/>
    </row>
    <row r="147" spans="14:17" ht="11.25" customHeight="1">
      <c r="N147" s="141"/>
      <c r="O147" s="141"/>
      <c r="P147" s="148"/>
      <c r="Q147" s="141"/>
    </row>
    <row r="148" spans="14:17" ht="11.25" customHeight="1">
      <c r="N148" s="141"/>
      <c r="O148" s="141"/>
      <c r="P148" s="148"/>
      <c r="Q148" s="141"/>
    </row>
    <row r="149" spans="14:17" ht="11.25" customHeight="1">
      <c r="N149" s="141"/>
      <c r="O149" s="141"/>
      <c r="P149" s="148"/>
      <c r="Q149" s="141"/>
    </row>
    <row r="150" spans="14:17" ht="11.25" customHeight="1">
      <c r="N150" s="141"/>
      <c r="O150" s="141"/>
      <c r="P150" s="148"/>
      <c r="Q150" s="141"/>
    </row>
    <row r="151" spans="14:17" ht="11.25" customHeight="1">
      <c r="N151" s="141"/>
      <c r="O151" s="141"/>
      <c r="P151" s="148"/>
      <c r="Q151" s="141"/>
    </row>
    <row r="152" spans="14:17" ht="11.25" customHeight="1">
      <c r="N152" s="141"/>
      <c r="O152" s="141"/>
      <c r="P152" s="148"/>
      <c r="Q152" s="141"/>
    </row>
    <row r="153" spans="14:17" ht="11.25" customHeight="1">
      <c r="N153" s="141"/>
      <c r="O153" s="141"/>
      <c r="P153" s="148"/>
      <c r="Q153" s="141"/>
    </row>
    <row r="154" spans="14:17" ht="11.25" customHeight="1">
      <c r="N154" s="141"/>
      <c r="O154" s="141"/>
      <c r="P154" s="148"/>
      <c r="Q154" s="141"/>
    </row>
    <row r="155" spans="14:17" ht="11.25" customHeight="1">
      <c r="N155" s="141"/>
      <c r="O155" s="141"/>
      <c r="P155" s="148"/>
      <c r="Q155" s="141"/>
    </row>
    <row r="156" spans="14:17" ht="11.25" customHeight="1">
      <c r="N156" s="141"/>
      <c r="O156" s="141"/>
      <c r="P156" s="148"/>
      <c r="Q156" s="141"/>
    </row>
    <row r="157" spans="14:17" ht="11.25" customHeight="1">
      <c r="N157" s="141"/>
      <c r="O157" s="141"/>
      <c r="P157" s="148"/>
      <c r="Q157" s="141"/>
    </row>
    <row r="158" spans="14:17" ht="11.25" customHeight="1">
      <c r="N158" s="141"/>
      <c r="O158" s="141"/>
      <c r="P158" s="148"/>
      <c r="Q158" s="141"/>
    </row>
    <row r="159" spans="14:17" ht="11.25" customHeight="1">
      <c r="N159" s="141"/>
      <c r="O159" s="141"/>
      <c r="P159" s="148"/>
      <c r="Q159" s="141"/>
    </row>
    <row r="160" spans="14:17" ht="11.25" customHeight="1">
      <c r="N160" s="141"/>
      <c r="O160" s="141"/>
      <c r="P160" s="148"/>
      <c r="Q160" s="141"/>
    </row>
    <row r="161" spans="14:17" ht="11.25" customHeight="1">
      <c r="N161" s="141"/>
      <c r="O161" s="141"/>
      <c r="P161" s="148"/>
      <c r="Q161" s="141"/>
    </row>
    <row r="162" spans="14:17" ht="11.25" customHeight="1">
      <c r="N162" s="141"/>
      <c r="O162" s="141"/>
      <c r="P162" s="148"/>
      <c r="Q162" s="141"/>
    </row>
    <row r="163" spans="14:17" ht="11.25" customHeight="1">
      <c r="N163" s="141"/>
      <c r="O163" s="141"/>
      <c r="P163" s="148"/>
      <c r="Q163" s="141"/>
    </row>
    <row r="164" spans="14:17" ht="11.25" customHeight="1">
      <c r="N164" s="141"/>
      <c r="O164" s="141"/>
      <c r="P164" s="148"/>
      <c r="Q164" s="141"/>
    </row>
    <row r="165" spans="14:17" ht="11.25" customHeight="1">
      <c r="N165" s="141"/>
      <c r="O165" s="141"/>
      <c r="P165" s="148"/>
      <c r="Q165" s="141"/>
    </row>
    <row r="166" spans="14:17" ht="11.25" customHeight="1">
      <c r="N166" s="141"/>
      <c r="O166" s="141"/>
      <c r="P166" s="148"/>
      <c r="Q166" s="141"/>
    </row>
    <row r="167" spans="14:17" ht="11.25" customHeight="1">
      <c r="N167" s="141"/>
      <c r="O167" s="141"/>
      <c r="P167" s="148"/>
      <c r="Q167" s="141"/>
    </row>
    <row r="168" spans="14:17" ht="11.25" customHeight="1">
      <c r="N168" s="141"/>
      <c r="O168" s="141"/>
      <c r="P168" s="148"/>
      <c r="Q168" s="141"/>
    </row>
    <row r="169" spans="14:17" ht="11.25" customHeight="1">
      <c r="N169" s="141"/>
      <c r="O169" s="141"/>
      <c r="P169" s="148"/>
      <c r="Q169" s="141"/>
    </row>
    <row r="170" spans="14:17" ht="11.25" customHeight="1">
      <c r="N170" s="141"/>
      <c r="O170" s="141"/>
      <c r="P170" s="148"/>
      <c r="Q170" s="141"/>
    </row>
    <row r="171" spans="14:17" ht="11.25" customHeight="1">
      <c r="N171" s="141"/>
      <c r="O171" s="141"/>
      <c r="P171" s="148"/>
      <c r="Q171" s="141"/>
    </row>
    <row r="172" spans="14:17" ht="11.25" customHeight="1">
      <c r="N172" s="141"/>
      <c r="O172" s="141"/>
      <c r="P172" s="148"/>
      <c r="Q172" s="141"/>
    </row>
    <row r="173" spans="14:17" ht="11.25" customHeight="1">
      <c r="N173" s="141"/>
      <c r="O173" s="141"/>
      <c r="P173" s="148"/>
      <c r="Q173" s="141"/>
    </row>
    <row r="174" spans="14:17" ht="11.25" customHeight="1">
      <c r="N174" s="141"/>
      <c r="O174" s="141"/>
      <c r="P174" s="148"/>
      <c r="Q174" s="141"/>
    </row>
    <row r="175" spans="14:17" ht="11.25" customHeight="1">
      <c r="N175" s="141"/>
      <c r="O175" s="141"/>
      <c r="P175" s="148"/>
      <c r="Q175" s="141"/>
    </row>
    <row r="176" spans="14:17" ht="11.25" customHeight="1">
      <c r="N176" s="141"/>
      <c r="O176" s="141"/>
      <c r="P176" s="148"/>
      <c r="Q176" s="141"/>
    </row>
    <row r="177" spans="14:17" ht="11.25" customHeight="1">
      <c r="N177" s="141"/>
      <c r="O177" s="141"/>
      <c r="P177" s="148"/>
      <c r="Q177" s="141"/>
    </row>
    <row r="178" spans="14:17" ht="11.25" customHeight="1">
      <c r="N178" s="141"/>
      <c r="O178" s="141"/>
      <c r="P178" s="148"/>
      <c r="Q178" s="141"/>
    </row>
    <row r="179" spans="14:17" ht="11.25" customHeight="1">
      <c r="N179" s="141"/>
      <c r="O179" s="141"/>
      <c r="P179" s="148"/>
      <c r="Q179" s="141"/>
    </row>
    <row r="180" spans="14:17" ht="11.25" customHeight="1">
      <c r="N180" s="141"/>
      <c r="O180" s="141"/>
      <c r="P180" s="148"/>
      <c r="Q180" s="141"/>
    </row>
    <row r="181" spans="14:17" ht="11.25" customHeight="1">
      <c r="N181" s="141"/>
      <c r="O181" s="141"/>
      <c r="P181" s="148"/>
      <c r="Q181" s="141"/>
    </row>
    <row r="182" spans="14:17" ht="11.25" customHeight="1">
      <c r="N182" s="141"/>
      <c r="O182" s="141"/>
      <c r="P182" s="148"/>
      <c r="Q182" s="141"/>
    </row>
    <row r="183" spans="14:17" ht="11.25" customHeight="1">
      <c r="N183" s="141"/>
      <c r="O183" s="141"/>
      <c r="P183" s="148"/>
      <c r="Q183" s="141"/>
    </row>
    <row r="184" spans="14:17" ht="11.25" customHeight="1">
      <c r="N184" s="141"/>
      <c r="O184" s="141"/>
      <c r="P184" s="148"/>
      <c r="Q184" s="141"/>
    </row>
    <row r="185" spans="14:17" ht="11.25" customHeight="1">
      <c r="N185" s="141"/>
      <c r="O185" s="141"/>
      <c r="P185" s="148"/>
      <c r="Q185" s="141"/>
    </row>
    <row r="186" spans="14:17" ht="11.25" customHeight="1">
      <c r="N186" s="141"/>
      <c r="O186" s="141"/>
      <c r="P186" s="148"/>
      <c r="Q186" s="141"/>
    </row>
    <row r="187" spans="14:17" ht="11.25" customHeight="1">
      <c r="N187" s="141"/>
      <c r="O187" s="141"/>
      <c r="P187" s="148"/>
      <c r="Q187" s="141"/>
    </row>
    <row r="188" spans="14:17" ht="11.25" customHeight="1">
      <c r="N188" s="141"/>
      <c r="O188" s="141"/>
      <c r="P188" s="148"/>
      <c r="Q188" s="141"/>
    </row>
    <row r="189" spans="14:17" ht="11.25" customHeight="1">
      <c r="N189" s="141"/>
      <c r="O189" s="141"/>
      <c r="P189" s="148"/>
      <c r="Q189" s="141"/>
    </row>
    <row r="190" spans="14:17" ht="11.25" customHeight="1">
      <c r="N190" s="141"/>
      <c r="O190" s="141"/>
      <c r="P190" s="148"/>
      <c r="Q190" s="141"/>
    </row>
    <row r="191" spans="14:17" ht="11.25" customHeight="1">
      <c r="N191" s="141"/>
      <c r="O191" s="141"/>
      <c r="P191" s="148"/>
      <c r="Q191" s="141"/>
    </row>
    <row r="192" spans="14:17" ht="11.25" customHeight="1">
      <c r="N192" s="141"/>
      <c r="O192" s="141"/>
      <c r="P192" s="148"/>
      <c r="Q192" s="141"/>
    </row>
    <row r="193" spans="14:17" ht="11.25" customHeight="1">
      <c r="N193" s="141"/>
      <c r="O193" s="141"/>
      <c r="P193" s="148"/>
      <c r="Q193" s="141"/>
    </row>
    <row r="194" spans="14:17" ht="11.25" customHeight="1">
      <c r="N194" s="141"/>
      <c r="O194" s="141"/>
      <c r="P194" s="148"/>
      <c r="Q194" s="141"/>
    </row>
    <row r="195" spans="14:17" ht="11.25" customHeight="1">
      <c r="N195" s="141"/>
      <c r="O195" s="141"/>
      <c r="P195" s="148"/>
      <c r="Q195" s="141"/>
    </row>
    <row r="196" spans="14:17" ht="11.25" customHeight="1">
      <c r="N196" s="141"/>
      <c r="O196" s="141"/>
      <c r="P196" s="148"/>
      <c r="Q196" s="141"/>
    </row>
    <row r="197" spans="14:17" ht="11.25" customHeight="1">
      <c r="N197" s="141"/>
      <c r="O197" s="141"/>
      <c r="P197" s="148"/>
      <c r="Q197" s="141"/>
    </row>
    <row r="198" spans="14:17" ht="11.25" customHeight="1">
      <c r="N198" s="141"/>
      <c r="O198" s="141"/>
      <c r="P198" s="148"/>
      <c r="Q198" s="141"/>
    </row>
    <row r="199" spans="14:17" ht="11.25" customHeight="1">
      <c r="N199" s="141"/>
      <c r="O199" s="141"/>
      <c r="P199" s="148"/>
      <c r="Q199" s="141"/>
    </row>
    <row r="200" spans="14:17" ht="11.25" customHeight="1">
      <c r="N200" s="141"/>
      <c r="O200" s="141"/>
      <c r="P200" s="148"/>
      <c r="Q200" s="141"/>
    </row>
    <row r="201" spans="14:17" ht="11.25" customHeight="1">
      <c r="N201" s="141"/>
      <c r="O201" s="141"/>
      <c r="P201" s="148"/>
      <c r="Q201" s="141"/>
    </row>
    <row r="202" spans="14:17" ht="11.25" customHeight="1">
      <c r="N202" s="141"/>
      <c r="O202" s="141"/>
      <c r="P202" s="148"/>
      <c r="Q202" s="141"/>
    </row>
    <row r="203" spans="14:17" ht="11.25" customHeight="1">
      <c r="N203" s="141"/>
      <c r="O203" s="141"/>
      <c r="P203" s="148"/>
      <c r="Q203" s="141"/>
    </row>
  </sheetData>
  <mergeCells count="2">
    <mergeCell ref="G1:K1"/>
    <mergeCell ref="L1:M1"/>
  </mergeCells>
  <phoneticPr fontId="2" type="noConversion"/>
  <conditionalFormatting sqref="H52">
    <cfRule type="cellIs" dxfId="0" priority="1" operator="greaterThan">
      <formula>38*0.8</formula>
    </cfRule>
  </conditionalFormatting>
  <pageMargins left="0.25" right="0.2" top="0.25" bottom="0.2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4"/>
  <sheetViews>
    <sheetView tabSelected="1" zoomScale="145" zoomScaleNormal="145" workbookViewId="0">
      <pane xSplit="4" ySplit="2" topLeftCell="E3" activePane="bottomRight" state="frozen"/>
      <selection activeCell="N20" sqref="N20"/>
      <selection pane="topRight" activeCell="N20" sqref="N20"/>
      <selection pane="bottomLeft" activeCell="N20" sqref="N20"/>
      <selection pane="bottomRight" activeCell="A11" sqref="A11:XFD14"/>
    </sheetView>
  </sheetViews>
  <sheetFormatPr defaultColWidth="9.140625" defaultRowHeight="14.45" customHeight="1"/>
  <cols>
    <col min="1" max="1" width="9.42578125" style="44" customWidth="1"/>
    <col min="2" max="2" width="11.140625" style="68" customWidth="1"/>
    <col min="3" max="3" width="31.5703125" style="68" customWidth="1"/>
    <col min="4" max="4" width="5.85546875" style="68" customWidth="1"/>
    <col min="5" max="5" width="7.42578125" style="114" customWidth="1"/>
    <col min="6" max="6" width="7.28515625" style="112" customWidth="1"/>
    <col min="7" max="8" width="6.42578125" style="112" customWidth="1"/>
    <col min="9" max="9" width="5.5703125" style="112" bestFit="1" customWidth="1"/>
    <col min="10" max="10" width="7.140625" style="112" customWidth="1"/>
    <col min="11" max="12" width="9.42578125" style="39" customWidth="1"/>
    <col min="13" max="13" width="10" style="39" customWidth="1"/>
    <col min="14" max="14" width="8.7109375" style="114" customWidth="1"/>
    <col min="15" max="15" width="9" style="115" customWidth="1"/>
    <col min="16" max="16" width="9.5703125" style="44" customWidth="1"/>
    <col min="17" max="16384" width="9.140625" style="44"/>
  </cols>
  <sheetData>
    <row r="1" spans="1:16" s="95" customFormat="1" ht="24" customHeight="1">
      <c r="A1" s="83" t="s">
        <v>252</v>
      </c>
      <c r="B1" s="84"/>
      <c r="C1" s="84"/>
      <c r="D1" s="85"/>
      <c r="E1" s="86" t="s">
        <v>253</v>
      </c>
      <c r="F1" s="87"/>
      <c r="G1" s="88"/>
      <c r="H1" s="86" t="s">
        <v>254</v>
      </c>
      <c r="I1" s="89"/>
      <c r="J1" s="90"/>
      <c r="K1" s="91" t="s">
        <v>255</v>
      </c>
      <c r="L1" s="91" t="s">
        <v>256</v>
      </c>
      <c r="M1" s="91" t="s">
        <v>257</v>
      </c>
      <c r="N1" s="92" t="s">
        <v>258</v>
      </c>
      <c r="O1" s="93" t="s">
        <v>168</v>
      </c>
      <c r="P1" s="94" t="s">
        <v>168</v>
      </c>
    </row>
    <row r="2" spans="1:16" s="102" customFormat="1" ht="20.100000000000001" customHeight="1">
      <c r="A2" s="83"/>
      <c r="B2" s="75" t="s">
        <v>1</v>
      </c>
      <c r="C2" s="75" t="s">
        <v>2</v>
      </c>
      <c r="D2" s="96" t="s">
        <v>3</v>
      </c>
      <c r="E2" s="97" t="s">
        <v>105</v>
      </c>
      <c r="F2" s="75" t="s">
        <v>259</v>
      </c>
      <c r="G2" s="74" t="s">
        <v>169</v>
      </c>
      <c r="H2" s="97" t="s">
        <v>105</v>
      </c>
      <c r="I2" s="75" t="s">
        <v>259</v>
      </c>
      <c r="J2" s="74" t="s">
        <v>169</v>
      </c>
      <c r="K2" s="98" t="s">
        <v>105</v>
      </c>
      <c r="L2" s="98" t="s">
        <v>105</v>
      </c>
      <c r="M2" s="98" t="s">
        <v>168</v>
      </c>
      <c r="N2" s="99"/>
      <c r="O2" s="100" t="s">
        <v>260</v>
      </c>
      <c r="P2" s="101" t="s">
        <v>261</v>
      </c>
    </row>
    <row r="3" spans="1:16" ht="14.45" customHeight="1">
      <c r="A3" s="103">
        <v>44523</v>
      </c>
      <c r="B3" s="17" t="str">
        <f>Rollover!A3</f>
        <v>Acura</v>
      </c>
      <c r="C3" s="17" t="str">
        <f>Rollover!B3</f>
        <v>MDX SUV AWD</v>
      </c>
      <c r="D3" s="16">
        <f>Rollover!C3</f>
        <v>2022</v>
      </c>
      <c r="E3" s="104">
        <f>Front!AW3</f>
        <v>4</v>
      </c>
      <c r="F3" s="17">
        <f>Front!AX3</f>
        <v>4</v>
      </c>
      <c r="G3" s="17">
        <f>Front!AY3</f>
        <v>4</v>
      </c>
      <c r="H3" s="104">
        <f>'Side MDB'!AC3</f>
        <v>5</v>
      </c>
      <c r="I3" s="104">
        <f>'Side MDB'!AD3</f>
        <v>5</v>
      </c>
      <c r="J3" s="104">
        <f>'Side MDB'!AE3</f>
        <v>5</v>
      </c>
      <c r="K3" s="105">
        <f>'Side Pole'!P3</f>
        <v>5</v>
      </c>
      <c r="L3" s="105">
        <f>'Side Pole'!S3</f>
        <v>5</v>
      </c>
      <c r="M3" s="105">
        <f>'Side Pole'!V3</f>
        <v>5</v>
      </c>
      <c r="N3" s="106" t="e">
        <f>Rollover!J3</f>
        <v>#NUM!</v>
      </c>
      <c r="O3" s="107" t="e">
        <f>ROUND(5/12*Front!AV3+4/12*'Side Pole'!U3+3/12*Rollover!I3,2)</f>
        <v>#NUM!</v>
      </c>
      <c r="P3" s="108" t="e">
        <f t="shared" ref="P3:P14" si="0">IF(O3&lt;0.67,5,IF(O3&lt;1,4,IF(O3&lt;1.33,3,IF(O3&lt;2.67,2,1))))</f>
        <v>#NUM!</v>
      </c>
    </row>
    <row r="4" spans="1:16" ht="14.45" customHeight="1">
      <c r="A4" s="103">
        <v>44523</v>
      </c>
      <c r="B4" s="17" t="str">
        <f>Rollover!A4</f>
        <v>Acura</v>
      </c>
      <c r="C4" s="17" t="str">
        <f>Rollover!B4</f>
        <v>MDX SUV FWD</v>
      </c>
      <c r="D4" s="16">
        <f>Rollover!C4</f>
        <v>2022</v>
      </c>
      <c r="E4" s="104">
        <f>Front!AW4</f>
        <v>4</v>
      </c>
      <c r="F4" s="17">
        <f>Front!AX4</f>
        <v>4</v>
      </c>
      <c r="G4" s="17">
        <f>Front!AY4</f>
        <v>4</v>
      </c>
      <c r="H4" s="104">
        <f>'Side MDB'!AC4</f>
        <v>5</v>
      </c>
      <c r="I4" s="104">
        <f>'Side MDB'!AD4</f>
        <v>5</v>
      </c>
      <c r="J4" s="104">
        <f>'Side MDB'!AE4</f>
        <v>5</v>
      </c>
      <c r="K4" s="105">
        <f>'Side Pole'!P4</f>
        <v>5</v>
      </c>
      <c r="L4" s="105">
        <f>'Side Pole'!S4</f>
        <v>5</v>
      </c>
      <c r="M4" s="105">
        <f>'Side Pole'!V4</f>
        <v>5</v>
      </c>
      <c r="N4" s="106">
        <f>Rollover!J4</f>
        <v>4</v>
      </c>
      <c r="O4" s="107">
        <f>ROUND(5/12*Front!AV4+4/12*'Side Pole'!U4+3/12*Rollover!I4,2)</f>
        <v>0.57999999999999996</v>
      </c>
      <c r="P4" s="108">
        <f t="shared" si="0"/>
        <v>5</v>
      </c>
    </row>
    <row r="5" spans="1:16" ht="14.45" customHeight="1">
      <c r="A5" s="109">
        <v>44862</v>
      </c>
      <c r="B5" s="17" t="str">
        <f>Rollover!A5</f>
        <v>Chevrolet</v>
      </c>
      <c r="C5" s="17" t="str">
        <f>Rollover!B5</f>
        <v>Bolt EUV SUV FWD</v>
      </c>
      <c r="D5" s="16">
        <f>Rollover!C5</f>
        <v>2022</v>
      </c>
      <c r="E5" s="104">
        <f>Front!AW5</f>
        <v>5</v>
      </c>
      <c r="F5" s="17">
        <f>Front!AX5</f>
        <v>5</v>
      </c>
      <c r="G5" s="17">
        <f>Front!AY5</f>
        <v>5</v>
      </c>
      <c r="H5" s="104">
        <f>'Side MDB'!AC5</f>
        <v>5</v>
      </c>
      <c r="I5" s="104">
        <f>'Side MDB'!AD5</f>
        <v>5</v>
      </c>
      <c r="J5" s="104">
        <f>'Side MDB'!AE5</f>
        <v>5</v>
      </c>
      <c r="K5" s="105">
        <f>'Side Pole'!P5</f>
        <v>5</v>
      </c>
      <c r="L5" s="105">
        <f>'Side Pole'!S5</f>
        <v>5</v>
      </c>
      <c r="M5" s="105">
        <f>'Side Pole'!V5</f>
        <v>5</v>
      </c>
      <c r="N5" s="106">
        <f>Rollover!J5</f>
        <v>4</v>
      </c>
      <c r="O5" s="107">
        <f>ROUND(5/12*Front!AV5+4/12*'Side Pole'!U5+3/12*Rollover!I5,2)</f>
        <v>0.49</v>
      </c>
      <c r="P5" s="108">
        <f t="shared" si="0"/>
        <v>5</v>
      </c>
    </row>
    <row r="6" spans="1:16" ht="14.45" customHeight="1">
      <c r="A6" s="109">
        <v>44917</v>
      </c>
      <c r="B6" s="17" t="str">
        <f>Rollover!A6</f>
        <v>Chevrolet</v>
      </c>
      <c r="C6" s="17" t="str">
        <f>Rollover!B6</f>
        <v>Bolt EV 5HB FWD</v>
      </c>
      <c r="D6" s="16">
        <f>Rollover!C6</f>
        <v>2022</v>
      </c>
      <c r="E6" s="104">
        <f>Front!AW6</f>
        <v>5</v>
      </c>
      <c r="F6" s="17">
        <f>Front!AX6</f>
        <v>4</v>
      </c>
      <c r="G6" s="17">
        <f>Front!AY6</f>
        <v>5</v>
      </c>
      <c r="H6" s="104">
        <f>'Side MDB'!AC6</f>
        <v>5</v>
      </c>
      <c r="I6" s="104">
        <f>'Side MDB'!AD6</f>
        <v>5</v>
      </c>
      <c r="J6" s="104">
        <f>'Side MDB'!AE6</f>
        <v>5</v>
      </c>
      <c r="K6" s="105">
        <f>'Side Pole'!P6</f>
        <v>5</v>
      </c>
      <c r="L6" s="105">
        <f>'Side Pole'!S6</f>
        <v>5</v>
      </c>
      <c r="M6" s="105">
        <f>'Side Pole'!V6</f>
        <v>5</v>
      </c>
      <c r="N6" s="106">
        <f>Rollover!J6</f>
        <v>5</v>
      </c>
      <c r="O6" s="107">
        <f>ROUND(5/12*Front!AV6+4/12*'Side Pole'!U6+3/12*Rollover!I6,2)</f>
        <v>0.56000000000000005</v>
      </c>
      <c r="P6" s="108">
        <f t="shared" si="0"/>
        <v>5</v>
      </c>
    </row>
    <row r="7" spans="1:16" ht="14.45" customHeight="1">
      <c r="A7" s="109">
        <v>44784</v>
      </c>
      <c r="B7" s="17" t="str">
        <f>Rollover!A7</f>
        <v>Chevrolet</v>
      </c>
      <c r="C7" s="17" t="str">
        <f>Rollover!B7</f>
        <v>Silverado 1500 PU/CC 2WD</v>
      </c>
      <c r="D7" s="16">
        <f>Rollover!C7</f>
        <v>2022</v>
      </c>
      <c r="E7" s="104">
        <f>Front!AW7</f>
        <v>5</v>
      </c>
      <c r="F7" s="17">
        <f>Front!AX7</f>
        <v>4</v>
      </c>
      <c r="G7" s="17">
        <f>Front!AY7</f>
        <v>4</v>
      </c>
      <c r="H7" s="104">
        <f>'Side MDB'!AC7</f>
        <v>5</v>
      </c>
      <c r="I7" s="104">
        <f>'Side MDB'!AD7</f>
        <v>5</v>
      </c>
      <c r="J7" s="104">
        <f>'Side MDB'!AE7</f>
        <v>5</v>
      </c>
      <c r="K7" s="105">
        <f>'Side Pole'!P7</f>
        <v>5</v>
      </c>
      <c r="L7" s="105">
        <f>'Side Pole'!S7</f>
        <v>5</v>
      </c>
      <c r="M7" s="105">
        <f>'Side Pole'!V7</f>
        <v>5</v>
      </c>
      <c r="N7" s="106">
        <f>Rollover!J7</f>
        <v>4</v>
      </c>
      <c r="O7" s="107">
        <f>ROUND(5/12*Front!AV7+4/12*'Side Pole'!U7+3/12*Rollover!I7,2)</f>
        <v>0.64</v>
      </c>
      <c r="P7" s="108">
        <f t="shared" si="0"/>
        <v>5</v>
      </c>
    </row>
    <row r="8" spans="1:16" ht="14.45" customHeight="1">
      <c r="A8" s="109">
        <v>44784</v>
      </c>
      <c r="B8" s="17" t="str">
        <f>Rollover!A8</f>
        <v>Chevrolet</v>
      </c>
      <c r="C8" s="17" t="str">
        <f>Rollover!B8</f>
        <v>Silverado 1500 PU/CC 4WD</v>
      </c>
      <c r="D8" s="16">
        <f>Rollover!C8</f>
        <v>2022</v>
      </c>
      <c r="E8" s="104">
        <f>Front!AW8</f>
        <v>5</v>
      </c>
      <c r="F8" s="17">
        <f>Front!AX8</f>
        <v>4</v>
      </c>
      <c r="G8" s="17">
        <f>Front!AY8</f>
        <v>4</v>
      </c>
      <c r="H8" s="104">
        <f>'Side MDB'!AC8</f>
        <v>5</v>
      </c>
      <c r="I8" s="104">
        <f>'Side MDB'!AD8</f>
        <v>5</v>
      </c>
      <c r="J8" s="104">
        <f>'Side MDB'!AE8</f>
        <v>5</v>
      </c>
      <c r="K8" s="105">
        <f>'Side Pole'!P8</f>
        <v>5</v>
      </c>
      <c r="L8" s="105">
        <f>'Side Pole'!S8</f>
        <v>5</v>
      </c>
      <c r="M8" s="105">
        <f>'Side Pole'!V8</f>
        <v>5</v>
      </c>
      <c r="N8" s="106">
        <f>Rollover!J8</f>
        <v>4</v>
      </c>
      <c r="O8" s="107">
        <f>ROUND(5/12*Front!AV8+4/12*'Side Pole'!U8+3/12*Rollover!I8,2)</f>
        <v>0.65</v>
      </c>
      <c r="P8" s="108">
        <f t="shared" si="0"/>
        <v>5</v>
      </c>
    </row>
    <row r="9" spans="1:16" ht="14.45" customHeight="1">
      <c r="A9" s="109">
        <v>44784</v>
      </c>
      <c r="B9" s="16" t="str">
        <f>Rollover!A9</f>
        <v>GMC</v>
      </c>
      <c r="C9" s="16" t="str">
        <f>Rollover!B9</f>
        <v>Sierra 1500 PU/CC 2WD</v>
      </c>
      <c r="D9" s="16">
        <f>Rollover!C9</f>
        <v>2022</v>
      </c>
      <c r="E9" s="104">
        <f>Front!AW9</f>
        <v>5</v>
      </c>
      <c r="F9" s="17">
        <f>Front!AX9</f>
        <v>4</v>
      </c>
      <c r="G9" s="17">
        <f>Front!AY9</f>
        <v>4</v>
      </c>
      <c r="H9" s="104">
        <f>'Side MDB'!AC9</f>
        <v>5</v>
      </c>
      <c r="I9" s="104">
        <f>'Side MDB'!AD9</f>
        <v>5</v>
      </c>
      <c r="J9" s="104">
        <f>'Side MDB'!AE9</f>
        <v>5</v>
      </c>
      <c r="K9" s="105">
        <f>'Side Pole'!P9</f>
        <v>5</v>
      </c>
      <c r="L9" s="105">
        <f>'Side Pole'!S9</f>
        <v>5</v>
      </c>
      <c r="M9" s="105">
        <f>'Side Pole'!V9</f>
        <v>5</v>
      </c>
      <c r="N9" s="106">
        <f>Rollover!J9</f>
        <v>4</v>
      </c>
      <c r="O9" s="107">
        <f>ROUND(5/12*Front!AV9+4/12*'Side Pole'!U9+3/12*Rollover!I9,2)</f>
        <v>0.64</v>
      </c>
      <c r="P9" s="108">
        <f t="shared" si="0"/>
        <v>5</v>
      </c>
    </row>
    <row r="10" spans="1:16" ht="14.45" customHeight="1">
      <c r="A10" s="109">
        <v>44784</v>
      </c>
      <c r="B10" s="16" t="str">
        <f>Rollover!A10</f>
        <v>GMC</v>
      </c>
      <c r="C10" s="16" t="str">
        <f>Rollover!B10</f>
        <v>Sierra 1500 PU/CC 4WD</v>
      </c>
      <c r="D10" s="16">
        <f>Rollover!C10</f>
        <v>2022</v>
      </c>
      <c r="E10" s="104">
        <f>Front!AW10</f>
        <v>5</v>
      </c>
      <c r="F10" s="17">
        <f>Front!AX10</f>
        <v>4</v>
      </c>
      <c r="G10" s="17">
        <f>Front!AY10</f>
        <v>4</v>
      </c>
      <c r="H10" s="104">
        <f>'Side MDB'!AC10</f>
        <v>5</v>
      </c>
      <c r="I10" s="104">
        <f>'Side MDB'!AD10</f>
        <v>5</v>
      </c>
      <c r="J10" s="104">
        <f>'Side MDB'!AE10</f>
        <v>5</v>
      </c>
      <c r="K10" s="105">
        <f>'Side Pole'!P10</f>
        <v>5</v>
      </c>
      <c r="L10" s="105">
        <f>'Side Pole'!S10</f>
        <v>5</v>
      </c>
      <c r="M10" s="105">
        <f>'Side Pole'!V10</f>
        <v>5</v>
      </c>
      <c r="N10" s="106">
        <f>Rollover!J10</f>
        <v>4</v>
      </c>
      <c r="O10" s="107">
        <f>ROUND(5/12*Front!AV10+4/12*'Side Pole'!U10+3/12*Rollover!I10,2)</f>
        <v>0.65</v>
      </c>
      <c r="P10" s="108">
        <f t="shared" si="0"/>
        <v>5</v>
      </c>
    </row>
    <row r="11" spans="1:16" ht="14.45" customHeight="1">
      <c r="A11" s="109">
        <v>44950</v>
      </c>
      <c r="B11" s="17" t="str">
        <f>Rollover!A11</f>
        <v>Chevrolet</v>
      </c>
      <c r="C11" s="17" t="str">
        <f>Rollover!B11</f>
        <v>Traverse SUV AWD</v>
      </c>
      <c r="D11" s="16">
        <f>Rollover!C11</f>
        <v>2022</v>
      </c>
      <c r="E11" s="104">
        <f>Front!AW11</f>
        <v>5</v>
      </c>
      <c r="F11" s="17">
        <f>Front!AX11</f>
        <v>5</v>
      </c>
      <c r="G11" s="17">
        <f>Front!AY11</f>
        <v>5</v>
      </c>
      <c r="H11" s="104">
        <f>'Side MDB'!AC11</f>
        <v>5</v>
      </c>
      <c r="I11" s="104">
        <f>'Side MDB'!AD11</f>
        <v>4</v>
      </c>
      <c r="J11" s="104">
        <f>'Side MDB'!AE11</f>
        <v>5</v>
      </c>
      <c r="K11" s="105">
        <f>'Side Pole'!P11</f>
        <v>5</v>
      </c>
      <c r="L11" s="105">
        <f>'Side Pole'!S11</f>
        <v>5</v>
      </c>
      <c r="M11" s="105">
        <f>'Side Pole'!V11</f>
        <v>5</v>
      </c>
      <c r="N11" s="106">
        <f>Rollover!J11</f>
        <v>4</v>
      </c>
      <c r="O11" s="107">
        <f>ROUND(5/12*Front!AV11+4/12*'Side Pole'!U11+3/12*Rollover!I11,2)</f>
        <v>0.66</v>
      </c>
      <c r="P11" s="108">
        <f t="shared" si="0"/>
        <v>5</v>
      </c>
    </row>
    <row r="12" spans="1:16" ht="14.45" customHeight="1">
      <c r="A12" s="109">
        <v>44950</v>
      </c>
      <c r="B12" s="17" t="str">
        <f>Rollover!A12</f>
        <v>Chevrolet</v>
      </c>
      <c r="C12" s="17" t="str">
        <f>Rollover!B12</f>
        <v>Traverse SUV FWD</v>
      </c>
      <c r="D12" s="16">
        <f>Rollover!C12</f>
        <v>2022</v>
      </c>
      <c r="E12" s="104">
        <f>Front!AW12</f>
        <v>5</v>
      </c>
      <c r="F12" s="17">
        <f>Front!AX12</f>
        <v>5</v>
      </c>
      <c r="G12" s="17">
        <f>Front!AY12</f>
        <v>5</v>
      </c>
      <c r="H12" s="104">
        <f>'Side MDB'!AC12</f>
        <v>5</v>
      </c>
      <c r="I12" s="104">
        <f>'Side MDB'!AD12</f>
        <v>4</v>
      </c>
      <c r="J12" s="104">
        <f>'Side MDB'!AE12</f>
        <v>5</v>
      </c>
      <c r="K12" s="105">
        <f>'Side Pole'!P12</f>
        <v>5</v>
      </c>
      <c r="L12" s="105">
        <f>'Side Pole'!S12</f>
        <v>5</v>
      </c>
      <c r="M12" s="105">
        <f>'Side Pole'!V12</f>
        <v>5</v>
      </c>
      <c r="N12" s="106">
        <f>Rollover!J12</f>
        <v>4</v>
      </c>
      <c r="O12" s="107">
        <f>ROUND(5/12*Front!AV12+4/12*'Side Pole'!U12+3/12*Rollover!I12,2)</f>
        <v>0.69</v>
      </c>
      <c r="P12" s="108">
        <f t="shared" si="0"/>
        <v>4</v>
      </c>
    </row>
    <row r="13" spans="1:16" ht="14.45" customHeight="1">
      <c r="A13" s="109">
        <v>44950</v>
      </c>
      <c r="B13" s="16" t="str">
        <f>Rollover!A13</f>
        <v>Buick</v>
      </c>
      <c r="C13" s="16" t="str">
        <f>Rollover!B13</f>
        <v>Enclave SUV AWD</v>
      </c>
      <c r="D13" s="16">
        <f>Rollover!C13</f>
        <v>2022</v>
      </c>
      <c r="E13" s="104">
        <f>Front!AW13</f>
        <v>5</v>
      </c>
      <c r="F13" s="17">
        <f>Front!AX13</f>
        <v>5</v>
      </c>
      <c r="G13" s="17">
        <f>Front!AY13</f>
        <v>5</v>
      </c>
      <c r="H13" s="104">
        <f>'Side MDB'!AC13</f>
        <v>5</v>
      </c>
      <c r="I13" s="104">
        <f>'Side MDB'!AD13</f>
        <v>4</v>
      </c>
      <c r="J13" s="104">
        <f>'Side MDB'!AE13</f>
        <v>5</v>
      </c>
      <c r="K13" s="105">
        <f>'Side Pole'!P13</f>
        <v>5</v>
      </c>
      <c r="L13" s="105">
        <f>'Side Pole'!S13</f>
        <v>5</v>
      </c>
      <c r="M13" s="105">
        <f>'Side Pole'!V13</f>
        <v>5</v>
      </c>
      <c r="N13" s="106">
        <f>Rollover!J13</f>
        <v>4</v>
      </c>
      <c r="O13" s="107">
        <f>ROUND(5/12*Front!AV13+4/12*'Side Pole'!U13+3/12*Rollover!I13,2)</f>
        <v>0.66</v>
      </c>
      <c r="P13" s="108">
        <f t="shared" si="0"/>
        <v>5</v>
      </c>
    </row>
    <row r="14" spans="1:16" ht="14.45" customHeight="1">
      <c r="A14" s="109">
        <v>44950</v>
      </c>
      <c r="B14" s="16" t="str">
        <f>Rollover!A14</f>
        <v>Buick</v>
      </c>
      <c r="C14" s="16" t="str">
        <f>Rollover!B14</f>
        <v>Enclave SUV FWD</v>
      </c>
      <c r="D14" s="16">
        <f>Rollover!C14</f>
        <v>2022</v>
      </c>
      <c r="E14" s="104">
        <f>Front!AW14</f>
        <v>5</v>
      </c>
      <c r="F14" s="17">
        <f>Front!AX14</f>
        <v>5</v>
      </c>
      <c r="G14" s="17">
        <f>Front!AY14</f>
        <v>5</v>
      </c>
      <c r="H14" s="104">
        <f>'Side MDB'!AC14</f>
        <v>5</v>
      </c>
      <c r="I14" s="104">
        <f>'Side MDB'!AD14</f>
        <v>4</v>
      </c>
      <c r="J14" s="104">
        <f>'Side MDB'!AE14</f>
        <v>5</v>
      </c>
      <c r="K14" s="105">
        <f>'Side Pole'!P14</f>
        <v>5</v>
      </c>
      <c r="L14" s="105">
        <f>'Side Pole'!S14</f>
        <v>5</v>
      </c>
      <c r="M14" s="105">
        <f>'Side Pole'!V14</f>
        <v>5</v>
      </c>
      <c r="N14" s="106">
        <f>Rollover!J14</f>
        <v>4</v>
      </c>
      <c r="O14" s="107">
        <f>ROUND(5/12*Front!AV14+4/12*'Side Pole'!U14+3/12*Rollover!I14,2)</f>
        <v>0.69</v>
      </c>
      <c r="P14" s="108">
        <f t="shared" si="0"/>
        <v>4</v>
      </c>
    </row>
    <row r="15" spans="1:16" ht="14.45" customHeight="1">
      <c r="A15" s="103">
        <v>44678</v>
      </c>
      <c r="B15" s="17" t="str">
        <f>Rollover!A15</f>
        <v>Ford</v>
      </c>
      <c r="C15" s="17" t="str">
        <f>Rollover!B15</f>
        <v>Bronco 4 DR SUV 4WD</v>
      </c>
      <c r="D15" s="16">
        <f>Rollover!C15</f>
        <v>2022</v>
      </c>
      <c r="E15" s="104">
        <f>Front!AW15</f>
        <v>4</v>
      </c>
      <c r="F15" s="17">
        <f>Front!AX15</f>
        <v>5</v>
      </c>
      <c r="G15" s="17">
        <f>Front!AY15</f>
        <v>4</v>
      </c>
      <c r="H15" s="104" t="e">
        <f>'Side MDB'!AC15</f>
        <v>#NUM!</v>
      </c>
      <c r="I15" s="104" t="e">
        <f>'Side MDB'!AD15</f>
        <v>#NUM!</v>
      </c>
      <c r="J15" s="104" t="e">
        <f>'Side MDB'!AE15</f>
        <v>#NUM!</v>
      </c>
      <c r="K15" s="105" t="e">
        <f>'Side Pole'!P15</f>
        <v>#NUM!</v>
      </c>
      <c r="L15" s="105" t="e">
        <f>'Side Pole'!S15</f>
        <v>#NUM!</v>
      </c>
      <c r="M15" s="105" t="e">
        <f>'Side Pole'!V15</f>
        <v>#NUM!</v>
      </c>
      <c r="N15" s="106">
        <f>Rollover!J15</f>
        <v>3</v>
      </c>
      <c r="O15" s="107" t="e">
        <f>ROUND(5/12*Front!AV15+4/12*'Side Pole'!U15+3/12*Rollover!I15,2)</f>
        <v>#NUM!</v>
      </c>
      <c r="P15" s="108" t="e">
        <f t="shared" ref="P15:P68" si="1">IF(O15&lt;0.67,5,IF(O15&lt;1,4,IF(O15&lt;1.33,3,IF(O15&lt;2.67,2,1))))</f>
        <v>#NUM!</v>
      </c>
    </row>
    <row r="16" spans="1:16" ht="14.45" customHeight="1">
      <c r="A16" s="103">
        <v>44721</v>
      </c>
      <c r="B16" s="17" t="str">
        <f>Rollover!A16</f>
        <v>Ford</v>
      </c>
      <c r="C16" s="17" t="str">
        <f>Rollover!B16</f>
        <v>Escape PHEV SUV FWD</v>
      </c>
      <c r="D16" s="16">
        <f>Rollover!C16</f>
        <v>2022</v>
      </c>
      <c r="E16" s="104">
        <f>Front!AW16</f>
        <v>4</v>
      </c>
      <c r="F16" s="17">
        <f>Front!AX16</f>
        <v>5</v>
      </c>
      <c r="G16" s="17">
        <f>Front!AY16</f>
        <v>4</v>
      </c>
      <c r="H16" s="104">
        <f>'Side MDB'!AC16</f>
        <v>5</v>
      </c>
      <c r="I16" s="104">
        <f>'Side MDB'!AD16</f>
        <v>5</v>
      </c>
      <c r="J16" s="104">
        <f>'Side MDB'!AE16</f>
        <v>5</v>
      </c>
      <c r="K16" s="105">
        <f>'Side Pole'!P16</f>
        <v>5</v>
      </c>
      <c r="L16" s="105">
        <f>'Side Pole'!S16</f>
        <v>5</v>
      </c>
      <c r="M16" s="105">
        <f>'Side Pole'!V16</f>
        <v>5</v>
      </c>
      <c r="N16" s="106">
        <f>Rollover!J16</f>
        <v>4</v>
      </c>
      <c r="O16" s="107">
        <f>ROUND(5/12*Front!AV16+4/12*'Side Pole'!U16+3/12*Rollover!I16,2)</f>
        <v>0.59</v>
      </c>
      <c r="P16" s="108">
        <f t="shared" si="1"/>
        <v>5</v>
      </c>
    </row>
    <row r="17" spans="1:16" ht="14.45" customHeight="1">
      <c r="A17" s="103">
        <v>44721</v>
      </c>
      <c r="B17" s="16" t="str">
        <f>Rollover!A17</f>
        <v>Lincoln</v>
      </c>
      <c r="C17" s="16" t="str">
        <f>Rollover!B17</f>
        <v>Corsair PHEV SUV AWD</v>
      </c>
      <c r="D17" s="16">
        <f>Rollover!C17</f>
        <v>2022</v>
      </c>
      <c r="E17" s="104">
        <f>Front!AW17</f>
        <v>4</v>
      </c>
      <c r="F17" s="17">
        <f>Front!AX17</f>
        <v>5</v>
      </c>
      <c r="G17" s="17">
        <f>Front!AY17</f>
        <v>4</v>
      </c>
      <c r="H17" s="104">
        <f>'Side MDB'!AC17</f>
        <v>5</v>
      </c>
      <c r="I17" s="104">
        <f>'Side MDB'!AD17</f>
        <v>5</v>
      </c>
      <c r="J17" s="104">
        <f>'Side MDB'!AE17</f>
        <v>5</v>
      </c>
      <c r="K17" s="105">
        <f>'Side Pole'!P17</f>
        <v>5</v>
      </c>
      <c r="L17" s="105">
        <f>'Side Pole'!S17</f>
        <v>5</v>
      </c>
      <c r="M17" s="105">
        <f>'Side Pole'!V17</f>
        <v>5</v>
      </c>
      <c r="N17" s="106" t="e">
        <f>Rollover!J17</f>
        <v>#NUM!</v>
      </c>
      <c r="O17" s="107" t="e">
        <f>ROUND(5/12*Front!AV17+4/12*'Side Pole'!U17+3/12*Rollover!I17,2)</f>
        <v>#NUM!</v>
      </c>
      <c r="P17" s="108" t="e">
        <f t="shared" si="1"/>
        <v>#NUM!</v>
      </c>
    </row>
    <row r="18" spans="1:16" ht="14.45" customHeight="1">
      <c r="A18" s="109">
        <v>44788</v>
      </c>
      <c r="B18" s="17" t="str">
        <f>Rollover!A18</f>
        <v>Ford</v>
      </c>
      <c r="C18" s="17" t="str">
        <f>Rollover!B18</f>
        <v>Expedition SUV 2WD</v>
      </c>
      <c r="D18" s="16">
        <f>Rollover!C18</f>
        <v>2022</v>
      </c>
      <c r="E18" s="104">
        <f>Front!AW18</f>
        <v>5</v>
      </c>
      <c r="F18" s="17">
        <f>Front!AX18</f>
        <v>5</v>
      </c>
      <c r="G18" s="17">
        <f>Front!AY18</f>
        <v>5</v>
      </c>
      <c r="H18" s="104">
        <f>'Side MDB'!AC18</f>
        <v>5</v>
      </c>
      <c r="I18" s="104">
        <f>'Side MDB'!AD18</f>
        <v>5</v>
      </c>
      <c r="J18" s="104">
        <f>'Side MDB'!AE18</f>
        <v>5</v>
      </c>
      <c r="K18" s="105">
        <f>'Side Pole'!P18</f>
        <v>5</v>
      </c>
      <c r="L18" s="105">
        <f>'Side Pole'!S18</f>
        <v>5</v>
      </c>
      <c r="M18" s="105">
        <f>'Side Pole'!V18</f>
        <v>5</v>
      </c>
      <c r="N18" s="106">
        <f>Rollover!J18</f>
        <v>3</v>
      </c>
      <c r="O18" s="107">
        <f>ROUND(5/12*Front!AV18+4/12*'Side Pole'!U18+3/12*Rollover!I18,2)</f>
        <v>0.6</v>
      </c>
      <c r="P18" s="108">
        <f t="shared" si="1"/>
        <v>5</v>
      </c>
    </row>
    <row r="19" spans="1:16" ht="14.45" customHeight="1">
      <c r="A19" s="109">
        <v>44788</v>
      </c>
      <c r="B19" s="17" t="str">
        <f>Rollover!A19</f>
        <v>Ford</v>
      </c>
      <c r="C19" s="17" t="str">
        <f>Rollover!B19</f>
        <v>Expedition SUV 4WD</v>
      </c>
      <c r="D19" s="16">
        <f>Rollover!C19</f>
        <v>2022</v>
      </c>
      <c r="E19" s="104">
        <f>Front!AW19</f>
        <v>5</v>
      </c>
      <c r="F19" s="17">
        <f>Front!AX19</f>
        <v>5</v>
      </c>
      <c r="G19" s="17">
        <f>Front!AY19</f>
        <v>5</v>
      </c>
      <c r="H19" s="104">
        <f>'Side MDB'!AC19</f>
        <v>5</v>
      </c>
      <c r="I19" s="104">
        <f>'Side MDB'!AD19</f>
        <v>5</v>
      </c>
      <c r="J19" s="104">
        <f>'Side MDB'!AE19</f>
        <v>5</v>
      </c>
      <c r="K19" s="105">
        <f>'Side Pole'!P19</f>
        <v>5</v>
      </c>
      <c r="L19" s="105">
        <f>'Side Pole'!S19</f>
        <v>5</v>
      </c>
      <c r="M19" s="105">
        <f>'Side Pole'!V19</f>
        <v>5</v>
      </c>
      <c r="N19" s="106">
        <f>Rollover!J19</f>
        <v>4</v>
      </c>
      <c r="O19" s="107">
        <f>ROUND(5/12*Front!AV19+4/12*'Side Pole'!U19+3/12*Rollover!I19,2)</f>
        <v>0.56999999999999995</v>
      </c>
      <c r="P19" s="108">
        <f t="shared" si="1"/>
        <v>5</v>
      </c>
    </row>
    <row r="20" spans="1:16" ht="14.45" customHeight="1">
      <c r="A20" s="109">
        <v>44788</v>
      </c>
      <c r="B20" s="16" t="str">
        <f>Rollover!A20</f>
        <v>Ford</v>
      </c>
      <c r="C20" s="16" t="str">
        <f>Rollover!B20</f>
        <v>Expedition EL SUV 2WD</v>
      </c>
      <c r="D20" s="16">
        <f>Rollover!C20</f>
        <v>2022</v>
      </c>
      <c r="E20" s="104">
        <f>Front!AW20</f>
        <v>5</v>
      </c>
      <c r="F20" s="17">
        <f>Front!AX20</f>
        <v>5</v>
      </c>
      <c r="G20" s="17">
        <f>Front!AY20</f>
        <v>5</v>
      </c>
      <c r="H20" s="104">
        <f>'Side MDB'!AC20</f>
        <v>5</v>
      </c>
      <c r="I20" s="104">
        <f>'Side MDB'!AD20</f>
        <v>5</v>
      </c>
      <c r="J20" s="104">
        <f>'Side MDB'!AE20</f>
        <v>5</v>
      </c>
      <c r="K20" s="105">
        <f>'Side Pole'!P20</f>
        <v>5</v>
      </c>
      <c r="L20" s="105">
        <f>'Side Pole'!S20</f>
        <v>5</v>
      </c>
      <c r="M20" s="105">
        <f>'Side Pole'!V20</f>
        <v>5</v>
      </c>
      <c r="N20" s="106">
        <f>Rollover!J20</f>
        <v>3</v>
      </c>
      <c r="O20" s="107">
        <f>ROUND(5/12*Front!AV20+4/12*'Side Pole'!U20+3/12*Rollover!I20,2)</f>
        <v>0.6</v>
      </c>
      <c r="P20" s="108">
        <f t="shared" si="1"/>
        <v>5</v>
      </c>
    </row>
    <row r="21" spans="1:16" ht="14.45" customHeight="1">
      <c r="A21" s="109">
        <v>44788</v>
      </c>
      <c r="B21" s="16" t="str">
        <f>Rollover!A21</f>
        <v>Ford</v>
      </c>
      <c r="C21" s="16" t="str">
        <f>Rollover!B21</f>
        <v>Expedition EL SUV 4WD</v>
      </c>
      <c r="D21" s="16">
        <f>Rollover!C21</f>
        <v>2022</v>
      </c>
      <c r="E21" s="104">
        <f>Front!AW21</f>
        <v>5</v>
      </c>
      <c r="F21" s="17">
        <f>Front!AX21</f>
        <v>5</v>
      </c>
      <c r="G21" s="17">
        <f>Front!AY21</f>
        <v>5</v>
      </c>
      <c r="H21" s="104">
        <f>'Side MDB'!AC21</f>
        <v>5</v>
      </c>
      <c r="I21" s="104">
        <f>'Side MDB'!AD21</f>
        <v>5</v>
      </c>
      <c r="J21" s="104">
        <f>'Side MDB'!AE21</f>
        <v>5</v>
      </c>
      <c r="K21" s="105">
        <f>'Side Pole'!P21</f>
        <v>5</v>
      </c>
      <c r="L21" s="105">
        <f>'Side Pole'!S21</f>
        <v>5</v>
      </c>
      <c r="M21" s="105">
        <f>'Side Pole'!V21</f>
        <v>5</v>
      </c>
      <c r="N21" s="106">
        <f>Rollover!J21</f>
        <v>4</v>
      </c>
      <c r="O21" s="107">
        <f>ROUND(5/12*Front!AV21+4/12*'Side Pole'!U21+3/12*Rollover!I21,2)</f>
        <v>0.56999999999999995</v>
      </c>
      <c r="P21" s="108">
        <f t="shared" si="1"/>
        <v>5</v>
      </c>
    </row>
    <row r="22" spans="1:16" ht="14.45" customHeight="1">
      <c r="A22" s="109">
        <v>44788</v>
      </c>
      <c r="B22" s="16" t="str">
        <f>Rollover!A22</f>
        <v>Lincoln</v>
      </c>
      <c r="C22" s="16" t="str">
        <f>Rollover!B22</f>
        <v>Navigator SUV 2WD</v>
      </c>
      <c r="D22" s="16">
        <f>Rollover!C22</f>
        <v>2022</v>
      </c>
      <c r="E22" s="104">
        <f>Front!AW22</f>
        <v>5</v>
      </c>
      <c r="F22" s="17">
        <f>Front!AX22</f>
        <v>5</v>
      </c>
      <c r="G22" s="17">
        <f>Front!AY22</f>
        <v>5</v>
      </c>
      <c r="H22" s="104">
        <f>'Side MDB'!AC22</f>
        <v>5</v>
      </c>
      <c r="I22" s="104">
        <f>'Side MDB'!AD22</f>
        <v>5</v>
      </c>
      <c r="J22" s="104">
        <f>'Side MDB'!AE22</f>
        <v>5</v>
      </c>
      <c r="K22" s="105">
        <f>'Side Pole'!P22</f>
        <v>5</v>
      </c>
      <c r="L22" s="105">
        <f>'Side Pole'!S22</f>
        <v>5</v>
      </c>
      <c r="M22" s="105">
        <f>'Side Pole'!V22</f>
        <v>5</v>
      </c>
      <c r="N22" s="106">
        <f>Rollover!J22</f>
        <v>3</v>
      </c>
      <c r="O22" s="107">
        <f>ROUND(5/12*Front!AV22+4/12*'Side Pole'!U22+3/12*Rollover!I22,2)</f>
        <v>0.6</v>
      </c>
      <c r="P22" s="108">
        <f>IF(O22&lt;0.67,5,IF(O22&lt;1,4,IF(O22&lt;1.33,3,IF(O22&lt;2.67,2,1))))</f>
        <v>5</v>
      </c>
    </row>
    <row r="23" spans="1:16" ht="14.45" customHeight="1">
      <c r="A23" s="109">
        <v>44788</v>
      </c>
      <c r="B23" s="16" t="str">
        <f>Rollover!A23</f>
        <v>Lincoln</v>
      </c>
      <c r="C23" s="16" t="str">
        <f>Rollover!B23</f>
        <v>Navigator SUV 4WD</v>
      </c>
      <c r="D23" s="16">
        <f>Rollover!C23</f>
        <v>2022</v>
      </c>
      <c r="E23" s="104">
        <f>Front!AW23</f>
        <v>5</v>
      </c>
      <c r="F23" s="17">
        <f>Front!AX23</f>
        <v>5</v>
      </c>
      <c r="G23" s="17">
        <f>Front!AY23</f>
        <v>5</v>
      </c>
      <c r="H23" s="104">
        <f>'Side MDB'!AC23</f>
        <v>5</v>
      </c>
      <c r="I23" s="104">
        <f>'Side MDB'!AD23</f>
        <v>5</v>
      </c>
      <c r="J23" s="104">
        <f>'Side MDB'!AE23</f>
        <v>5</v>
      </c>
      <c r="K23" s="105">
        <f>'Side Pole'!P23</f>
        <v>5</v>
      </c>
      <c r="L23" s="105">
        <f>'Side Pole'!S23</f>
        <v>5</v>
      </c>
      <c r="M23" s="105">
        <f>'Side Pole'!V23</f>
        <v>5</v>
      </c>
      <c r="N23" s="106">
        <f>Rollover!J23</f>
        <v>4</v>
      </c>
      <c r="O23" s="107">
        <f>ROUND(5/12*Front!AV23+4/12*'Side Pole'!U23+3/12*Rollover!I23,2)</f>
        <v>0.56999999999999995</v>
      </c>
      <c r="P23" s="108">
        <f>IF(O23&lt;0.67,5,IF(O23&lt;1,4,IF(O23&lt;1.33,3,IF(O23&lt;2.67,2,1))))</f>
        <v>5</v>
      </c>
    </row>
    <row r="24" spans="1:16" ht="14.45" customHeight="1">
      <c r="A24" s="109">
        <v>44788</v>
      </c>
      <c r="B24" s="16" t="str">
        <f>Rollover!A24</f>
        <v>Lincoln</v>
      </c>
      <c r="C24" s="16" t="str">
        <f>Rollover!B24</f>
        <v>Navigator EL 2WD</v>
      </c>
      <c r="D24" s="16">
        <f>Rollover!C24</f>
        <v>2022</v>
      </c>
      <c r="E24" s="104">
        <f>Front!AW24</f>
        <v>5</v>
      </c>
      <c r="F24" s="17">
        <f>Front!AX24</f>
        <v>5</v>
      </c>
      <c r="G24" s="17">
        <f>Front!AY24</f>
        <v>5</v>
      </c>
      <c r="H24" s="104">
        <f>'Side MDB'!AC24</f>
        <v>5</v>
      </c>
      <c r="I24" s="104">
        <f>'Side MDB'!AD24</f>
        <v>5</v>
      </c>
      <c r="J24" s="104">
        <f>'Side MDB'!AE24</f>
        <v>5</v>
      </c>
      <c r="K24" s="105">
        <f>'Side Pole'!P24</f>
        <v>5</v>
      </c>
      <c r="L24" s="105">
        <f>'Side Pole'!S24</f>
        <v>5</v>
      </c>
      <c r="M24" s="105">
        <f>'Side Pole'!V24</f>
        <v>5</v>
      </c>
      <c r="N24" s="106">
        <f>Rollover!J24</f>
        <v>3</v>
      </c>
      <c r="O24" s="107">
        <f>ROUND(5/12*Front!AV24+4/12*'Side Pole'!U24+3/12*Rollover!I24,2)</f>
        <v>0.6</v>
      </c>
      <c r="P24" s="108">
        <f>IF(O24&lt;0.67,5,IF(O24&lt;1,4,IF(O24&lt;1.33,3,IF(O24&lt;2.67,2,1))))</f>
        <v>5</v>
      </c>
    </row>
    <row r="25" spans="1:16" ht="14.45" customHeight="1">
      <c r="A25" s="109">
        <v>44788</v>
      </c>
      <c r="B25" s="16" t="str">
        <f>Rollover!A25</f>
        <v>Lincoln</v>
      </c>
      <c r="C25" s="16" t="str">
        <f>Rollover!B25</f>
        <v>Navigator EL 4WD</v>
      </c>
      <c r="D25" s="16">
        <f>Rollover!C25</f>
        <v>2022</v>
      </c>
      <c r="E25" s="104">
        <f>Front!AW25</f>
        <v>5</v>
      </c>
      <c r="F25" s="17">
        <f>Front!AX25</f>
        <v>5</v>
      </c>
      <c r="G25" s="17">
        <f>Front!AY25</f>
        <v>5</v>
      </c>
      <c r="H25" s="104">
        <f>'Side MDB'!AC25</f>
        <v>5</v>
      </c>
      <c r="I25" s="104">
        <f>'Side MDB'!AD25</f>
        <v>5</v>
      </c>
      <c r="J25" s="104">
        <f>'Side MDB'!AE25</f>
        <v>5</v>
      </c>
      <c r="K25" s="105">
        <f>'Side Pole'!P25</f>
        <v>5</v>
      </c>
      <c r="L25" s="105">
        <f>'Side Pole'!S25</f>
        <v>5</v>
      </c>
      <c r="M25" s="105">
        <f>'Side Pole'!V25</f>
        <v>5</v>
      </c>
      <c r="N25" s="106">
        <f>Rollover!J25</f>
        <v>4</v>
      </c>
      <c r="O25" s="107">
        <f>ROUND(5/12*Front!AV25+4/12*'Side Pole'!U25+3/12*Rollover!I25,2)</f>
        <v>0.56999999999999995</v>
      </c>
      <c r="P25" s="108">
        <f>IF(O25&lt;0.67,5,IF(O25&lt;1,4,IF(O25&lt;1.33,3,IF(O25&lt;2.67,2,1))))</f>
        <v>5</v>
      </c>
    </row>
    <row r="26" spans="1:16" ht="14.45" customHeight="1">
      <c r="A26" s="109">
        <v>44887</v>
      </c>
      <c r="B26" s="17" t="str">
        <f>Rollover!A26</f>
        <v>Ford</v>
      </c>
      <c r="C26" s="17" t="str">
        <f>Rollover!B26</f>
        <v>F-150 Lightning BEV PU/CC 4WD</v>
      </c>
      <c r="D26" s="16">
        <f>Rollover!C26</f>
        <v>2022</v>
      </c>
      <c r="E26" s="104" t="e">
        <f>Front!AW26</f>
        <v>#NUM!</v>
      </c>
      <c r="F26" s="17" t="e">
        <f>Front!AX26</f>
        <v>#NUM!</v>
      </c>
      <c r="G26" s="17" t="e">
        <f>Front!AY26</f>
        <v>#NUM!</v>
      </c>
      <c r="H26" s="104" t="e">
        <f>'Side MDB'!AC26</f>
        <v>#NUM!</v>
      </c>
      <c r="I26" s="104" t="e">
        <f>'Side MDB'!AD26</f>
        <v>#NUM!</v>
      </c>
      <c r="J26" s="104" t="e">
        <f>'Side MDB'!AE26</f>
        <v>#NUM!</v>
      </c>
      <c r="K26" s="105" t="e">
        <f>'Side Pole'!P26</f>
        <v>#NUM!</v>
      </c>
      <c r="L26" s="105" t="e">
        <f>'Side Pole'!S26</f>
        <v>#NUM!</v>
      </c>
      <c r="M26" s="105" t="e">
        <f>'Side Pole'!V26</f>
        <v>#NUM!</v>
      </c>
      <c r="N26" s="106">
        <f>Rollover!J26</f>
        <v>4</v>
      </c>
      <c r="O26" s="107" t="e">
        <f>ROUND(5/12*Front!AV26+4/12*'Side Pole'!U26+3/12*Rollover!I26,2)</f>
        <v>#NUM!</v>
      </c>
      <c r="P26" s="108" t="e">
        <f t="shared" si="1"/>
        <v>#NUM!</v>
      </c>
    </row>
    <row r="27" spans="1:16" ht="14.45" customHeight="1">
      <c r="A27" s="109">
        <v>44764</v>
      </c>
      <c r="B27" s="17" t="str">
        <f>Rollover!A27</f>
        <v>Ford</v>
      </c>
      <c r="C27" s="17" t="str">
        <f>Rollover!B27</f>
        <v>F-150 Super Crew HEV PU/CC 2WD</v>
      </c>
      <c r="D27" s="16">
        <f>Rollover!C27</f>
        <v>2022</v>
      </c>
      <c r="E27" s="104">
        <f>Front!AW27</f>
        <v>5</v>
      </c>
      <c r="F27" s="17">
        <f>Front!AX27</f>
        <v>5</v>
      </c>
      <c r="G27" s="17">
        <f>Front!AY27</f>
        <v>5</v>
      </c>
      <c r="H27" s="104">
        <f>'Side MDB'!AC27</f>
        <v>5</v>
      </c>
      <c r="I27" s="104">
        <f>'Side MDB'!AD27</f>
        <v>5</v>
      </c>
      <c r="J27" s="104">
        <f>'Side MDB'!AE27</f>
        <v>5</v>
      </c>
      <c r="K27" s="105" t="e">
        <f>'Side Pole'!P27</f>
        <v>#NUM!</v>
      </c>
      <c r="L27" s="105" t="e">
        <f>'Side Pole'!S27</f>
        <v>#NUM!</v>
      </c>
      <c r="M27" s="105" t="e">
        <f>'Side Pole'!V27</f>
        <v>#NUM!</v>
      </c>
      <c r="N27" s="106">
        <f>Rollover!J27</f>
        <v>4</v>
      </c>
      <c r="O27" s="107" t="e">
        <f>ROUND(5/12*Front!AV27+4/12*'Side Pole'!U27+3/12*Rollover!I27,2)</f>
        <v>#NUM!</v>
      </c>
      <c r="P27" s="108" t="e">
        <f t="shared" si="1"/>
        <v>#NUM!</v>
      </c>
    </row>
    <row r="28" spans="1:16" ht="15.75" customHeight="1">
      <c r="A28" s="109">
        <v>44764</v>
      </c>
      <c r="B28" s="17" t="str">
        <f>Rollover!A28</f>
        <v>Ford</v>
      </c>
      <c r="C28" s="17" t="str">
        <f>Rollover!B28</f>
        <v>F-150 Super Crew HEV PU/CC 4WD</v>
      </c>
      <c r="D28" s="16">
        <f>Rollover!C28</f>
        <v>2022</v>
      </c>
      <c r="E28" s="104">
        <f>Front!AW28</f>
        <v>5</v>
      </c>
      <c r="F28" s="17">
        <f>Front!AX28</f>
        <v>5</v>
      </c>
      <c r="G28" s="17">
        <f>Front!AY28</f>
        <v>5</v>
      </c>
      <c r="H28" s="104">
        <f>'Side MDB'!AC28</f>
        <v>5</v>
      </c>
      <c r="I28" s="104">
        <f>'Side MDB'!AD28</f>
        <v>5</v>
      </c>
      <c r="J28" s="104">
        <f>'Side MDB'!AE28</f>
        <v>5</v>
      </c>
      <c r="K28" s="105" t="e">
        <f>'Side Pole'!P28</f>
        <v>#NUM!</v>
      </c>
      <c r="L28" s="105" t="e">
        <f>'Side Pole'!S28</f>
        <v>#NUM!</v>
      </c>
      <c r="M28" s="105" t="e">
        <f>'Side Pole'!V28</f>
        <v>#NUM!</v>
      </c>
      <c r="N28" s="106">
        <f>Rollover!J28</f>
        <v>4</v>
      </c>
      <c r="O28" s="107" t="e">
        <f>ROUND(5/12*Front!AV28+4/12*'Side Pole'!U28+3/12*Rollover!I28,2)</f>
        <v>#NUM!</v>
      </c>
      <c r="P28" s="108" t="e">
        <f t="shared" si="1"/>
        <v>#NUM!</v>
      </c>
    </row>
    <row r="29" spans="1:16" ht="14.45" customHeight="1">
      <c r="A29" s="109">
        <v>44894</v>
      </c>
      <c r="B29" s="17" t="str">
        <f>Rollover!A29</f>
        <v>Ford</v>
      </c>
      <c r="C29" s="17" t="str">
        <f>Rollover!B29</f>
        <v>F-250 Super Cab PU/EC 2WD</v>
      </c>
      <c r="D29" s="16">
        <f>Rollover!C29</f>
        <v>2022</v>
      </c>
      <c r="E29" s="104">
        <f>Front!AW29</f>
        <v>5</v>
      </c>
      <c r="F29" s="17">
        <f>Front!AX29</f>
        <v>4</v>
      </c>
      <c r="G29" s="17">
        <f>Front!AY29</f>
        <v>4</v>
      </c>
      <c r="H29" s="104">
        <f>'Side MDB'!AC29</f>
        <v>5</v>
      </c>
      <c r="I29" s="104">
        <f>'Side MDB'!AD29</f>
        <v>5</v>
      </c>
      <c r="J29" s="104">
        <f>'Side MDB'!AE29</f>
        <v>5</v>
      </c>
      <c r="K29" s="105">
        <f>'Side Pole'!P29</f>
        <v>5</v>
      </c>
      <c r="L29" s="105">
        <f>'Side Pole'!S29</f>
        <v>5</v>
      </c>
      <c r="M29" s="105">
        <f>'Side Pole'!V29</f>
        <v>5</v>
      </c>
      <c r="N29" s="106">
        <f>Rollover!J29</f>
        <v>4</v>
      </c>
      <c r="O29" s="107">
        <f>ROUND(5/12*Front!AV29+4/12*'Side Pole'!U29+3/12*Rollover!I29,2)</f>
        <v>0.63</v>
      </c>
      <c r="P29" s="108">
        <f t="shared" si="1"/>
        <v>5</v>
      </c>
    </row>
    <row r="30" spans="1:16" ht="14.45" customHeight="1">
      <c r="A30" s="109">
        <v>44894</v>
      </c>
      <c r="B30" s="17" t="str">
        <f>Rollover!A30</f>
        <v>Ford</v>
      </c>
      <c r="C30" s="17" t="str">
        <f>Rollover!B30</f>
        <v>F-250 Super Cab PU/EC 4WD</v>
      </c>
      <c r="D30" s="16">
        <f>Rollover!C30</f>
        <v>2022</v>
      </c>
      <c r="E30" s="104">
        <f>Front!AW30</f>
        <v>5</v>
      </c>
      <c r="F30" s="17">
        <f>Front!AX30</f>
        <v>4</v>
      </c>
      <c r="G30" s="17">
        <f>Front!AY30</f>
        <v>4</v>
      </c>
      <c r="H30" s="104">
        <f>'Side MDB'!AC30</f>
        <v>5</v>
      </c>
      <c r="I30" s="104">
        <f>'Side MDB'!AD30</f>
        <v>5</v>
      </c>
      <c r="J30" s="104">
        <f>'Side MDB'!AE30</f>
        <v>5</v>
      </c>
      <c r="K30" s="105">
        <f>'Side Pole'!P30</f>
        <v>5</v>
      </c>
      <c r="L30" s="105">
        <f>'Side Pole'!S30</f>
        <v>5</v>
      </c>
      <c r="M30" s="105">
        <f>'Side Pole'!V30</f>
        <v>5</v>
      </c>
      <c r="N30" s="106">
        <f>Rollover!J30</f>
        <v>3</v>
      </c>
      <c r="O30" s="107">
        <f>ROUND(5/12*Front!AV30+4/12*'Side Pole'!U30+3/12*Rollover!I30,2)</f>
        <v>0.8</v>
      </c>
      <c r="P30" s="108">
        <f t="shared" si="1"/>
        <v>4</v>
      </c>
    </row>
    <row r="31" spans="1:16" ht="14.45" customHeight="1">
      <c r="A31" s="109">
        <v>44882</v>
      </c>
      <c r="B31" s="17" t="str">
        <f>Rollover!A31</f>
        <v>Ford</v>
      </c>
      <c r="C31" s="17" t="str">
        <f>Rollover!B31</f>
        <v>Maverick PU/CC FWD</v>
      </c>
      <c r="D31" s="16">
        <f>Rollover!C31</f>
        <v>2022</v>
      </c>
      <c r="E31" s="104">
        <f>Front!AW31</f>
        <v>5</v>
      </c>
      <c r="F31" s="17">
        <f>Front!AX31</f>
        <v>4</v>
      </c>
      <c r="G31" s="17">
        <f>Front!AY31</f>
        <v>5</v>
      </c>
      <c r="H31" s="104">
        <f>'Side MDB'!AC31</f>
        <v>5</v>
      </c>
      <c r="I31" s="104">
        <f>'Side MDB'!AD31</f>
        <v>5</v>
      </c>
      <c r="J31" s="104">
        <f>'Side MDB'!AE31</f>
        <v>5</v>
      </c>
      <c r="K31" s="105">
        <f>'Side Pole'!P31</f>
        <v>5</v>
      </c>
      <c r="L31" s="105">
        <f>'Side Pole'!S31</f>
        <v>5</v>
      </c>
      <c r="M31" s="105">
        <f>'Side Pole'!V31</f>
        <v>5</v>
      </c>
      <c r="N31" s="106">
        <f>Rollover!J31</f>
        <v>4</v>
      </c>
      <c r="O31" s="107">
        <f>ROUND(5/12*Front!AV31+4/12*'Side Pole'!U31+3/12*Rollover!I31,2)</f>
        <v>0.7</v>
      </c>
      <c r="P31" s="108">
        <f t="shared" si="1"/>
        <v>4</v>
      </c>
    </row>
    <row r="32" spans="1:16" ht="14.45" customHeight="1">
      <c r="A32" s="109">
        <v>44882</v>
      </c>
      <c r="B32" s="17" t="str">
        <f>Rollover!A32</f>
        <v>Ford</v>
      </c>
      <c r="C32" s="17" t="str">
        <f>Rollover!B32</f>
        <v>Maverick PU/CC 4WD</v>
      </c>
      <c r="D32" s="16">
        <f>Rollover!C32</f>
        <v>2022</v>
      </c>
      <c r="E32" s="104">
        <f>Front!AW32</f>
        <v>5</v>
      </c>
      <c r="F32" s="17">
        <f>Front!AX32</f>
        <v>4</v>
      </c>
      <c r="G32" s="17">
        <f>Front!AY32</f>
        <v>5</v>
      </c>
      <c r="H32" s="104">
        <f>'Side MDB'!AC32</f>
        <v>5</v>
      </c>
      <c r="I32" s="104">
        <f>'Side MDB'!AD32</f>
        <v>5</v>
      </c>
      <c r="J32" s="104">
        <f>'Side MDB'!AE32</f>
        <v>5</v>
      </c>
      <c r="K32" s="105">
        <f>'Side Pole'!P32</f>
        <v>5</v>
      </c>
      <c r="L32" s="105">
        <f>'Side Pole'!S32</f>
        <v>5</v>
      </c>
      <c r="M32" s="105">
        <f>'Side Pole'!V32</f>
        <v>5</v>
      </c>
      <c r="N32" s="106">
        <f>Rollover!J32</f>
        <v>4</v>
      </c>
      <c r="O32" s="107">
        <f>ROUND(5/12*Front!AV32+4/12*'Side Pole'!U32+3/12*Rollover!I32,2)</f>
        <v>0.67</v>
      </c>
      <c r="P32" s="108">
        <f t="shared" si="1"/>
        <v>4</v>
      </c>
    </row>
    <row r="33" spans="1:16" ht="14.45" customHeight="1">
      <c r="A33" s="109">
        <v>44882</v>
      </c>
      <c r="B33" s="16" t="str">
        <f>Rollover!A33</f>
        <v>Ford</v>
      </c>
      <c r="C33" s="16" t="str">
        <f>Rollover!B33</f>
        <v>Maverick HEV PU/CC FWD</v>
      </c>
      <c r="D33" s="16">
        <f>Rollover!C33</f>
        <v>2022</v>
      </c>
      <c r="E33" s="104">
        <f>Front!AW33</f>
        <v>5</v>
      </c>
      <c r="F33" s="17">
        <f>Front!AX33</f>
        <v>4</v>
      </c>
      <c r="G33" s="17">
        <f>Front!AY33</f>
        <v>5</v>
      </c>
      <c r="H33" s="104">
        <f>'Side MDB'!AC33</f>
        <v>5</v>
      </c>
      <c r="I33" s="104">
        <f>'Side MDB'!AD33</f>
        <v>5</v>
      </c>
      <c r="J33" s="104">
        <f>'Side MDB'!AE33</f>
        <v>5</v>
      </c>
      <c r="K33" s="105">
        <f>'Side Pole'!P33</f>
        <v>5</v>
      </c>
      <c r="L33" s="105">
        <f>'Side Pole'!S33</f>
        <v>5</v>
      </c>
      <c r="M33" s="105">
        <f>'Side Pole'!V33</f>
        <v>5</v>
      </c>
      <c r="N33" s="106">
        <f>Rollover!J33</f>
        <v>4</v>
      </c>
      <c r="O33" s="107">
        <f>ROUND(5/12*Front!AV33+4/12*'Side Pole'!U33+3/12*Rollover!I33,2)</f>
        <v>0.7</v>
      </c>
      <c r="P33" s="108">
        <f t="shared" si="1"/>
        <v>4</v>
      </c>
    </row>
    <row r="34" spans="1:16" ht="14.45" customHeight="1">
      <c r="A34" s="103">
        <v>44631</v>
      </c>
      <c r="B34" s="17" t="str">
        <f>Rollover!A34</f>
        <v>Honda</v>
      </c>
      <c r="C34" s="17" t="str">
        <f>Rollover!B34</f>
        <v>Civic 4DR FWD</v>
      </c>
      <c r="D34" s="16">
        <f>Rollover!C34</f>
        <v>2022</v>
      </c>
      <c r="E34" s="104">
        <f>Front!AW34</f>
        <v>5</v>
      </c>
      <c r="F34" s="17">
        <f>Front!AX34</f>
        <v>4</v>
      </c>
      <c r="G34" s="17">
        <f>Front!AY34</f>
        <v>4</v>
      </c>
      <c r="H34" s="104">
        <f>'Side MDB'!AC34</f>
        <v>5</v>
      </c>
      <c r="I34" s="104">
        <f>'Side MDB'!AD34</f>
        <v>5</v>
      </c>
      <c r="J34" s="104">
        <f>'Side MDB'!AE34</f>
        <v>5</v>
      </c>
      <c r="K34" s="105">
        <f>'Side Pole'!P34</f>
        <v>5</v>
      </c>
      <c r="L34" s="105">
        <f>'Side Pole'!S34</f>
        <v>5</v>
      </c>
      <c r="M34" s="105">
        <f>'Side Pole'!V34</f>
        <v>5</v>
      </c>
      <c r="N34" s="106">
        <f>Rollover!J34</f>
        <v>5</v>
      </c>
      <c r="O34" s="107">
        <f>ROUND(5/12*Front!AV34+4/12*'Side Pole'!U34+3/12*Rollover!I34,2)</f>
        <v>0.53</v>
      </c>
      <c r="P34" s="108">
        <f t="shared" si="1"/>
        <v>5</v>
      </c>
    </row>
    <row r="35" spans="1:16" ht="14.45" customHeight="1">
      <c r="A35" s="103">
        <v>44631</v>
      </c>
      <c r="B35" s="16" t="str">
        <f>Rollover!A35</f>
        <v>Honda</v>
      </c>
      <c r="C35" s="16" t="str">
        <f>Rollover!B35</f>
        <v>Civic SI 4DR FWD</v>
      </c>
      <c r="D35" s="16">
        <f>Rollover!C35</f>
        <v>2022</v>
      </c>
      <c r="E35" s="104">
        <f>Front!AW35</f>
        <v>5</v>
      </c>
      <c r="F35" s="17">
        <f>Front!AX35</f>
        <v>4</v>
      </c>
      <c r="G35" s="17">
        <f>Front!AY35</f>
        <v>4</v>
      </c>
      <c r="H35" s="104">
        <f>'Side MDB'!AC35</f>
        <v>5</v>
      </c>
      <c r="I35" s="104">
        <f>'Side MDB'!AD35</f>
        <v>5</v>
      </c>
      <c r="J35" s="104">
        <f>'Side MDB'!AE35</f>
        <v>5</v>
      </c>
      <c r="K35" s="105">
        <f>'Side Pole'!P35</f>
        <v>5</v>
      </c>
      <c r="L35" s="105">
        <f>'Side Pole'!S35</f>
        <v>5</v>
      </c>
      <c r="M35" s="105">
        <f>'Side Pole'!V35</f>
        <v>5</v>
      </c>
      <c r="N35" s="106">
        <f>Rollover!J35</f>
        <v>5</v>
      </c>
      <c r="O35" s="107">
        <f>ROUND(5/12*Front!AV35+4/12*'Side Pole'!U35+3/12*Rollover!I35,2)</f>
        <v>0.53</v>
      </c>
      <c r="P35" s="108">
        <f t="shared" si="1"/>
        <v>5</v>
      </c>
    </row>
    <row r="36" spans="1:16" ht="14.45" customHeight="1">
      <c r="A36" s="103">
        <v>44631</v>
      </c>
      <c r="B36" s="16" t="str">
        <f>Rollover!A36</f>
        <v>Honda</v>
      </c>
      <c r="C36" s="16" t="str">
        <f>Rollover!B36</f>
        <v>Civic 5HB FWD</v>
      </c>
      <c r="D36" s="16">
        <f>Rollover!C36</f>
        <v>2022</v>
      </c>
      <c r="E36" s="104">
        <f>Front!AW36</f>
        <v>5</v>
      </c>
      <c r="F36" s="17">
        <f>Front!AX36</f>
        <v>4</v>
      </c>
      <c r="G36" s="17">
        <f>Front!AY36</f>
        <v>4</v>
      </c>
      <c r="H36" s="104">
        <f>'Side MDB'!AC36</f>
        <v>5</v>
      </c>
      <c r="I36" s="104">
        <f>'Side MDB'!AD36</f>
        <v>5</v>
      </c>
      <c r="J36" s="104">
        <f>'Side MDB'!AE36</f>
        <v>5</v>
      </c>
      <c r="K36" s="105">
        <f>'Side Pole'!P36</f>
        <v>5</v>
      </c>
      <c r="L36" s="105">
        <f>'Side Pole'!S36</f>
        <v>5</v>
      </c>
      <c r="M36" s="105">
        <f>'Side Pole'!V36</f>
        <v>5</v>
      </c>
      <c r="N36" s="106">
        <f>Rollover!J36</f>
        <v>5</v>
      </c>
      <c r="O36" s="107">
        <f>ROUND(5/12*Front!AV36+4/12*'Side Pole'!U36+3/12*Rollover!I36,2)</f>
        <v>0.53</v>
      </c>
      <c r="P36" s="108">
        <f t="shared" si="1"/>
        <v>5</v>
      </c>
    </row>
    <row r="37" spans="1:16" ht="14.45" customHeight="1">
      <c r="A37" s="109">
        <v>44855</v>
      </c>
      <c r="B37" s="17" t="str">
        <f>Rollover!A37</f>
        <v>Hyundai</v>
      </c>
      <c r="C37" s="17" t="str">
        <f>Rollover!B37</f>
        <v>Ioniq 5 SUV RWD</v>
      </c>
      <c r="D37" s="16">
        <f>Rollover!C37</f>
        <v>2022</v>
      </c>
      <c r="E37" s="104">
        <f>Front!AW37</f>
        <v>4</v>
      </c>
      <c r="F37" s="17">
        <f>Front!AX37</f>
        <v>4</v>
      </c>
      <c r="G37" s="17">
        <f>Front!AY37</f>
        <v>4</v>
      </c>
      <c r="H37" s="104">
        <f>'Side MDB'!AC37</f>
        <v>4</v>
      </c>
      <c r="I37" s="104">
        <f>'Side MDB'!AD37</f>
        <v>5</v>
      </c>
      <c r="J37" s="104">
        <f>'Side MDB'!AE37</f>
        <v>5</v>
      </c>
      <c r="K37" s="105">
        <f>'Side Pole'!P37</f>
        <v>5</v>
      </c>
      <c r="L37" s="105">
        <f>'Side Pole'!S37</f>
        <v>4</v>
      </c>
      <c r="M37" s="105">
        <f>'Side Pole'!V37</f>
        <v>5</v>
      </c>
      <c r="N37" s="106" t="e">
        <f>Rollover!J37</f>
        <v>#NUM!</v>
      </c>
      <c r="O37" s="107" t="e">
        <f>ROUND(5/12*Front!AV37+4/12*'Side Pole'!U37+3/12*Rollover!I37,2)</f>
        <v>#NUM!</v>
      </c>
      <c r="P37" s="108" t="e">
        <f t="shared" si="1"/>
        <v>#NUM!</v>
      </c>
    </row>
    <row r="38" spans="1:16" ht="14.45" customHeight="1">
      <c r="A38" s="109">
        <v>44855</v>
      </c>
      <c r="B38" s="17" t="str">
        <f>Rollover!A38</f>
        <v>Hyundai</v>
      </c>
      <c r="C38" s="17" t="str">
        <f>Rollover!B38</f>
        <v>Ioniq 5 SUV AWD</v>
      </c>
      <c r="D38" s="16">
        <f>Rollover!C38</f>
        <v>2022</v>
      </c>
      <c r="E38" s="104">
        <f>Front!AW38</f>
        <v>4</v>
      </c>
      <c r="F38" s="17">
        <f>Front!AX38</f>
        <v>4</v>
      </c>
      <c r="G38" s="17">
        <f>Front!AY38</f>
        <v>4</v>
      </c>
      <c r="H38" s="104">
        <f>'Side MDB'!AC38</f>
        <v>4</v>
      </c>
      <c r="I38" s="104">
        <f>'Side MDB'!AD38</f>
        <v>5</v>
      </c>
      <c r="J38" s="104">
        <f>'Side MDB'!AE38</f>
        <v>5</v>
      </c>
      <c r="K38" s="105">
        <f>'Side Pole'!P38</f>
        <v>5</v>
      </c>
      <c r="L38" s="105">
        <f>'Side Pole'!S38</f>
        <v>4</v>
      </c>
      <c r="M38" s="105">
        <f>'Side Pole'!V38</f>
        <v>5</v>
      </c>
      <c r="N38" s="106">
        <f>Rollover!J38</f>
        <v>5</v>
      </c>
      <c r="O38" s="107">
        <f>ROUND(5/12*Front!AV38+4/12*'Side Pole'!U38+3/12*Rollover!I38,2)</f>
        <v>0.62</v>
      </c>
      <c r="P38" s="108">
        <f t="shared" si="1"/>
        <v>5</v>
      </c>
    </row>
    <row r="39" spans="1:16" ht="14.45" customHeight="1">
      <c r="A39" s="103">
        <v>44631</v>
      </c>
      <c r="B39" s="17" t="str">
        <f>Rollover!A39</f>
        <v>Hyundai</v>
      </c>
      <c r="C39" s="17" t="str">
        <f>Rollover!B39</f>
        <v>Tucson SUV FWD early release</v>
      </c>
      <c r="D39" s="16">
        <f>Rollover!C39</f>
        <v>2022</v>
      </c>
      <c r="E39" s="104">
        <f>Front!AW39</f>
        <v>4</v>
      </c>
      <c r="F39" s="17">
        <f>Front!AX39</f>
        <v>4</v>
      </c>
      <c r="G39" s="17">
        <f>Front!AY39</f>
        <v>4</v>
      </c>
      <c r="H39" s="104">
        <f>'Side MDB'!AC39</f>
        <v>5</v>
      </c>
      <c r="I39" s="104">
        <f>'Side MDB'!AD39</f>
        <v>5</v>
      </c>
      <c r="J39" s="104">
        <f>'Side MDB'!AE39</f>
        <v>5</v>
      </c>
      <c r="K39" s="105">
        <f>'Side Pole'!P39</f>
        <v>5</v>
      </c>
      <c r="L39" s="105">
        <f>'Side Pole'!S39</f>
        <v>5</v>
      </c>
      <c r="M39" s="105">
        <f>'Side Pole'!V39</f>
        <v>5</v>
      </c>
      <c r="N39" s="106">
        <f>Rollover!J39</f>
        <v>4</v>
      </c>
      <c r="O39" s="107">
        <f>ROUND(5/12*Front!AV39+4/12*'Side Pole'!U39+3/12*Rollover!I39,2)</f>
        <v>0.67</v>
      </c>
      <c r="P39" s="108">
        <f t="shared" si="1"/>
        <v>4</v>
      </c>
    </row>
    <row r="40" spans="1:16" ht="14.45" customHeight="1">
      <c r="A40" s="103">
        <v>44631</v>
      </c>
      <c r="B40" s="17" t="str">
        <f>Rollover!A40</f>
        <v>Hyundai</v>
      </c>
      <c r="C40" s="17" t="str">
        <f>Rollover!B40</f>
        <v>Tucson SUV AWD early release</v>
      </c>
      <c r="D40" s="16">
        <f>Rollover!C40</f>
        <v>2022</v>
      </c>
      <c r="E40" s="104">
        <f>Front!AW40</f>
        <v>4</v>
      </c>
      <c r="F40" s="17">
        <f>Front!AX40</f>
        <v>4</v>
      </c>
      <c r="G40" s="17">
        <f>Front!AY40</f>
        <v>4</v>
      </c>
      <c r="H40" s="104">
        <f>'Side MDB'!AC40</f>
        <v>5</v>
      </c>
      <c r="I40" s="104">
        <f>'Side MDB'!AD40</f>
        <v>5</v>
      </c>
      <c r="J40" s="104">
        <f>'Side MDB'!AE40</f>
        <v>5</v>
      </c>
      <c r="K40" s="105">
        <f>'Side Pole'!P40</f>
        <v>5</v>
      </c>
      <c r="L40" s="105">
        <f>'Side Pole'!S40</f>
        <v>5</v>
      </c>
      <c r="M40" s="105">
        <f>'Side Pole'!V40</f>
        <v>5</v>
      </c>
      <c r="N40" s="106">
        <f>Rollover!J40</f>
        <v>4</v>
      </c>
      <c r="O40" s="107">
        <f>ROUND(5/12*Front!AV40+4/12*'Side Pole'!U40+3/12*Rollover!I40,2)</f>
        <v>0.7</v>
      </c>
      <c r="P40" s="108">
        <f t="shared" si="1"/>
        <v>4</v>
      </c>
    </row>
    <row r="41" spans="1:16" ht="14.45" customHeight="1">
      <c r="A41" s="103">
        <v>44631</v>
      </c>
      <c r="B41" s="16" t="str">
        <f>Rollover!A41</f>
        <v>Hyundai</v>
      </c>
      <c r="C41" s="16" t="str">
        <f>Rollover!B41</f>
        <v>Tucson HEV SUV FWD early release</v>
      </c>
      <c r="D41" s="16">
        <f>Rollover!C41</f>
        <v>2022</v>
      </c>
      <c r="E41" s="104">
        <f>Front!AW41</f>
        <v>4</v>
      </c>
      <c r="F41" s="17">
        <f>Front!AX41</f>
        <v>4</v>
      </c>
      <c r="G41" s="17">
        <f>Front!AY41</f>
        <v>4</v>
      </c>
      <c r="H41" s="104">
        <f>'Side MDB'!AC41</f>
        <v>5</v>
      </c>
      <c r="I41" s="104">
        <f>'Side MDB'!AD41</f>
        <v>5</v>
      </c>
      <c r="J41" s="104">
        <f>'Side MDB'!AE41</f>
        <v>5</v>
      </c>
      <c r="K41" s="105">
        <f>'Side Pole'!P41</f>
        <v>5</v>
      </c>
      <c r="L41" s="105">
        <f>'Side Pole'!S41</f>
        <v>5</v>
      </c>
      <c r="M41" s="105">
        <f>'Side Pole'!V41</f>
        <v>5</v>
      </c>
      <c r="N41" s="106">
        <f>Rollover!J41</f>
        <v>4</v>
      </c>
      <c r="O41" s="107">
        <f>ROUND(5/12*Front!AV41+4/12*'Side Pole'!U41+3/12*Rollover!I41,2)</f>
        <v>0.67</v>
      </c>
      <c r="P41" s="108">
        <f t="shared" si="1"/>
        <v>4</v>
      </c>
    </row>
    <row r="42" spans="1:16" ht="14.45" customHeight="1">
      <c r="A42" s="103">
        <v>44631</v>
      </c>
      <c r="B42" s="16" t="str">
        <f>Rollover!A42</f>
        <v>Hyundai</v>
      </c>
      <c r="C42" s="16" t="str">
        <f>Rollover!B42</f>
        <v>Tucson HEV SUV AWD early release</v>
      </c>
      <c r="D42" s="16">
        <f>Rollover!C42</f>
        <v>2022</v>
      </c>
      <c r="E42" s="104">
        <f>Front!AW42</f>
        <v>4</v>
      </c>
      <c r="F42" s="17">
        <f>Front!AX42</f>
        <v>4</v>
      </c>
      <c r="G42" s="17">
        <f>Front!AY42</f>
        <v>4</v>
      </c>
      <c r="H42" s="104">
        <f>'Side MDB'!AC42</f>
        <v>5</v>
      </c>
      <c r="I42" s="104">
        <f>'Side MDB'!AD42</f>
        <v>5</v>
      </c>
      <c r="J42" s="104">
        <f>'Side MDB'!AE42</f>
        <v>5</v>
      </c>
      <c r="K42" s="105">
        <f>'Side Pole'!P42</f>
        <v>5</v>
      </c>
      <c r="L42" s="105">
        <f>'Side Pole'!S42</f>
        <v>5</v>
      </c>
      <c r="M42" s="105">
        <f>'Side Pole'!V42</f>
        <v>5</v>
      </c>
      <c r="N42" s="106">
        <f>Rollover!J42</f>
        <v>4</v>
      </c>
      <c r="O42" s="107">
        <f>ROUND(5/12*Front!AV42+4/12*'Side Pole'!U42+3/12*Rollover!I42,2)</f>
        <v>0.7</v>
      </c>
      <c r="P42" s="108">
        <f t="shared" si="1"/>
        <v>4</v>
      </c>
    </row>
    <row r="43" spans="1:16" ht="14.45" customHeight="1">
      <c r="A43" s="109">
        <v>44720</v>
      </c>
      <c r="B43" s="17" t="str">
        <f>Rollover!A43</f>
        <v>Hyundai</v>
      </c>
      <c r="C43" s="17" t="str">
        <f>Rollover!B43</f>
        <v>Tucson SUV FWD later release</v>
      </c>
      <c r="D43" s="16">
        <f>Rollover!C43</f>
        <v>2022</v>
      </c>
      <c r="E43" s="104">
        <f>Front!AW43</f>
        <v>4</v>
      </c>
      <c r="F43" s="17">
        <f>Front!AX43</f>
        <v>5</v>
      </c>
      <c r="G43" s="17">
        <f>Front!AY43</f>
        <v>5</v>
      </c>
      <c r="H43" s="104">
        <f>'Side MDB'!AC43</f>
        <v>5</v>
      </c>
      <c r="I43" s="104">
        <f>'Side MDB'!AD43</f>
        <v>5</v>
      </c>
      <c r="J43" s="104">
        <f>'Side MDB'!AE43</f>
        <v>5</v>
      </c>
      <c r="K43" s="105">
        <f>'Side Pole'!P43</f>
        <v>5</v>
      </c>
      <c r="L43" s="105">
        <f>'Side Pole'!S43</f>
        <v>5</v>
      </c>
      <c r="M43" s="105">
        <f>'Side Pole'!V43</f>
        <v>5</v>
      </c>
      <c r="N43" s="106">
        <f>Rollover!J43</f>
        <v>4</v>
      </c>
      <c r="O43" s="107">
        <f>ROUND(5/12*Front!AV43+4/12*'Side Pole'!U43+3/12*Rollover!I43,2)</f>
        <v>0.64</v>
      </c>
      <c r="P43" s="108">
        <f t="shared" si="1"/>
        <v>5</v>
      </c>
    </row>
    <row r="44" spans="1:16" ht="14.45" customHeight="1">
      <c r="A44" s="109">
        <v>44672</v>
      </c>
      <c r="B44" s="17" t="str">
        <f>Rollover!A44</f>
        <v>Hyundai</v>
      </c>
      <c r="C44" s="17" t="str">
        <f>Rollover!B44</f>
        <v>Tucson SUV AWD later release</v>
      </c>
      <c r="D44" s="16">
        <f>Rollover!C44</f>
        <v>2022</v>
      </c>
      <c r="E44" s="104">
        <f>Front!AW44</f>
        <v>4</v>
      </c>
      <c r="F44" s="17">
        <f>Front!AX44</f>
        <v>5</v>
      </c>
      <c r="G44" s="17">
        <f>Front!AY44</f>
        <v>5</v>
      </c>
      <c r="H44" s="104">
        <f>'Side MDB'!AC44</f>
        <v>5</v>
      </c>
      <c r="I44" s="104">
        <f>'Side MDB'!AD44</f>
        <v>5</v>
      </c>
      <c r="J44" s="104">
        <f>'Side MDB'!AE44</f>
        <v>5</v>
      </c>
      <c r="K44" s="105">
        <f>'Side Pole'!P44</f>
        <v>5</v>
      </c>
      <c r="L44" s="105">
        <f>'Side Pole'!S44</f>
        <v>5</v>
      </c>
      <c r="M44" s="105">
        <f>'Side Pole'!V44</f>
        <v>5</v>
      </c>
      <c r="N44" s="106">
        <f>Rollover!J44</f>
        <v>4</v>
      </c>
      <c r="O44" s="107">
        <f>ROUND(5/12*Front!AV44+4/12*'Side Pole'!U44+3/12*Rollover!I44,2)</f>
        <v>0.67</v>
      </c>
      <c r="P44" s="108">
        <f t="shared" si="1"/>
        <v>4</v>
      </c>
    </row>
    <row r="45" spans="1:16" ht="14.45" customHeight="1">
      <c r="A45" s="109">
        <v>44720</v>
      </c>
      <c r="B45" s="17" t="str">
        <f>Rollover!A45</f>
        <v>Hyundai</v>
      </c>
      <c r="C45" s="17" t="str">
        <f>Rollover!B45</f>
        <v>Tucson HEV SUV FWD later release</v>
      </c>
      <c r="D45" s="16">
        <f>Rollover!C45</f>
        <v>2022</v>
      </c>
      <c r="E45" s="104">
        <f>Front!AW45</f>
        <v>4</v>
      </c>
      <c r="F45" s="17">
        <f>Front!AX45</f>
        <v>5</v>
      </c>
      <c r="G45" s="17">
        <f>Front!AY45</f>
        <v>5</v>
      </c>
      <c r="H45" s="104">
        <f>'Side MDB'!AC45</f>
        <v>5</v>
      </c>
      <c r="I45" s="104">
        <f>'Side MDB'!AD45</f>
        <v>5</v>
      </c>
      <c r="J45" s="104">
        <f>'Side MDB'!AE45</f>
        <v>5</v>
      </c>
      <c r="K45" s="105">
        <f>'Side Pole'!P45</f>
        <v>5</v>
      </c>
      <c r="L45" s="105">
        <f>'Side Pole'!S45</f>
        <v>5</v>
      </c>
      <c r="M45" s="105">
        <f>'Side Pole'!V45</f>
        <v>5</v>
      </c>
      <c r="N45" s="106">
        <f>Rollover!J45</f>
        <v>4</v>
      </c>
      <c r="O45" s="107">
        <f>ROUND(5/12*Front!AV45+4/12*'Side Pole'!U45+3/12*Rollover!I45,2)</f>
        <v>0.64</v>
      </c>
      <c r="P45" s="108">
        <f t="shared" si="1"/>
        <v>5</v>
      </c>
    </row>
    <row r="46" spans="1:16" ht="14.45" customHeight="1">
      <c r="A46" s="109">
        <v>44672</v>
      </c>
      <c r="B46" s="17" t="str">
        <f>Rollover!A46</f>
        <v>Hyundai</v>
      </c>
      <c r="C46" s="17" t="str">
        <f>Rollover!B46</f>
        <v>Tucson HEV SUV AWD later release</v>
      </c>
      <c r="D46" s="16">
        <f>Rollover!C46</f>
        <v>2022</v>
      </c>
      <c r="E46" s="104">
        <f>Front!AW46</f>
        <v>4</v>
      </c>
      <c r="F46" s="17">
        <f>Front!AX46</f>
        <v>5</v>
      </c>
      <c r="G46" s="17">
        <f>Front!AY46</f>
        <v>5</v>
      </c>
      <c r="H46" s="104">
        <f>'Side MDB'!AC46</f>
        <v>5</v>
      </c>
      <c r="I46" s="104">
        <f>'Side MDB'!AD46</f>
        <v>5</v>
      </c>
      <c r="J46" s="104">
        <f>'Side MDB'!AE46</f>
        <v>5</v>
      </c>
      <c r="K46" s="105">
        <f>'Side Pole'!P46</f>
        <v>5</v>
      </c>
      <c r="L46" s="105">
        <f>'Side Pole'!S46</f>
        <v>5</v>
      </c>
      <c r="M46" s="105">
        <f>'Side Pole'!V46</f>
        <v>5</v>
      </c>
      <c r="N46" s="106">
        <f>Rollover!J46</f>
        <v>4</v>
      </c>
      <c r="O46" s="107">
        <f>ROUND(5/12*Front!AV46+4/12*'Side Pole'!U46+3/12*Rollover!I46,2)</f>
        <v>0.67</v>
      </c>
      <c r="P46" s="108">
        <f t="shared" si="1"/>
        <v>4</v>
      </c>
    </row>
    <row r="47" spans="1:16" ht="14.45" customHeight="1">
      <c r="A47" s="109">
        <v>44691</v>
      </c>
      <c r="B47" s="17" t="str">
        <f>Rollover!A47</f>
        <v>Jeep</v>
      </c>
      <c r="C47" s="17" t="str">
        <f>Rollover!B47</f>
        <v>Compass SUV FWD</v>
      </c>
      <c r="D47" s="16">
        <f>Rollover!C47</f>
        <v>2022</v>
      </c>
      <c r="E47" s="104">
        <f>Front!AW47</f>
        <v>4</v>
      </c>
      <c r="F47" s="17">
        <f>Front!AX47</f>
        <v>4</v>
      </c>
      <c r="G47" s="17">
        <f>Front!AY47</f>
        <v>4</v>
      </c>
      <c r="H47" s="104">
        <f>'Side MDB'!AC47</f>
        <v>5</v>
      </c>
      <c r="I47" s="104">
        <f>'Side MDB'!AD47</f>
        <v>5</v>
      </c>
      <c r="J47" s="104">
        <f>'Side MDB'!AE47</f>
        <v>5</v>
      </c>
      <c r="K47" s="105">
        <f>'Side Pole'!P47</f>
        <v>5</v>
      </c>
      <c r="L47" s="105">
        <f>'Side Pole'!S47</f>
        <v>5</v>
      </c>
      <c r="M47" s="105">
        <f>'Side Pole'!V47</f>
        <v>5</v>
      </c>
      <c r="N47" s="106">
        <f>Rollover!J47</f>
        <v>3</v>
      </c>
      <c r="O47" s="107">
        <f>ROUND(5/12*Front!AV47+4/12*'Side Pole'!U47+3/12*Rollover!I47,2)</f>
        <v>0.75</v>
      </c>
      <c r="P47" s="108">
        <f t="shared" si="1"/>
        <v>4</v>
      </c>
    </row>
    <row r="48" spans="1:16" ht="14.45" customHeight="1">
      <c r="A48" s="109">
        <v>44691</v>
      </c>
      <c r="B48" s="17" t="str">
        <f>Rollover!A48</f>
        <v>Jeep</v>
      </c>
      <c r="C48" s="17" t="str">
        <f>Rollover!B48</f>
        <v>Compass SUV AWD</v>
      </c>
      <c r="D48" s="16">
        <f>Rollover!C48</f>
        <v>2022</v>
      </c>
      <c r="E48" s="104">
        <f>Front!AW48</f>
        <v>4</v>
      </c>
      <c r="F48" s="17">
        <f>Front!AX48</f>
        <v>4</v>
      </c>
      <c r="G48" s="17">
        <f>Front!AY48</f>
        <v>4</v>
      </c>
      <c r="H48" s="104">
        <f>'Side MDB'!AC48</f>
        <v>5</v>
      </c>
      <c r="I48" s="104">
        <f>'Side MDB'!AD48</f>
        <v>5</v>
      </c>
      <c r="J48" s="104">
        <f>'Side MDB'!AE48</f>
        <v>5</v>
      </c>
      <c r="K48" s="105">
        <f>'Side Pole'!P48</f>
        <v>5</v>
      </c>
      <c r="L48" s="105">
        <f>'Side Pole'!S48</f>
        <v>5</v>
      </c>
      <c r="M48" s="105">
        <f>'Side Pole'!V48</f>
        <v>5</v>
      </c>
      <c r="N48" s="106">
        <f>Rollover!J48</f>
        <v>3</v>
      </c>
      <c r="O48" s="107">
        <f>ROUND(5/12*Front!AV48+4/12*'Side Pole'!U48+3/12*Rollover!I48,2)</f>
        <v>0.75</v>
      </c>
      <c r="P48" s="108">
        <f t="shared" si="1"/>
        <v>4</v>
      </c>
    </row>
    <row r="49" spans="1:16" ht="14.45" customHeight="1">
      <c r="A49" s="103">
        <v>44656</v>
      </c>
      <c r="B49" s="17" t="str">
        <f>Rollover!A49</f>
        <v>Kia</v>
      </c>
      <c r="C49" s="17" t="str">
        <f>Rollover!B49</f>
        <v>Niro Electric SUV FWD</v>
      </c>
      <c r="D49" s="16">
        <f>Rollover!C49</f>
        <v>2022</v>
      </c>
      <c r="E49" s="104">
        <f>Front!AW49</f>
        <v>4</v>
      </c>
      <c r="F49" s="17">
        <f>Front!AX49</f>
        <v>4</v>
      </c>
      <c r="G49" s="17">
        <f>Front!AY49</f>
        <v>4</v>
      </c>
      <c r="H49" s="104">
        <f>'Side MDB'!AC49</f>
        <v>5</v>
      </c>
      <c r="I49" s="104">
        <f>'Side MDB'!AD49</f>
        <v>5</v>
      </c>
      <c r="J49" s="104">
        <f>'Side MDB'!AE49</f>
        <v>5</v>
      </c>
      <c r="K49" s="105">
        <f>'Side Pole'!P49</f>
        <v>5</v>
      </c>
      <c r="L49" s="105">
        <f>'Side Pole'!S49</f>
        <v>5</v>
      </c>
      <c r="M49" s="105">
        <f>'Side Pole'!V49</f>
        <v>5</v>
      </c>
      <c r="N49" s="106">
        <f>Rollover!J49</f>
        <v>5</v>
      </c>
      <c r="O49" s="107">
        <f>ROUND(5/12*Front!AV49+4/12*'Side Pole'!U49+3/12*Rollover!I49,2)</f>
        <v>0.54</v>
      </c>
      <c r="P49" s="108">
        <f t="shared" si="1"/>
        <v>5</v>
      </c>
    </row>
    <row r="50" spans="1:16" ht="14.45" customHeight="1">
      <c r="A50" s="109">
        <v>44645</v>
      </c>
      <c r="B50" s="17" t="str">
        <f>Rollover!A50</f>
        <v>Mazda</v>
      </c>
      <c r="C50" s="17" t="str">
        <f>Rollover!B50</f>
        <v>MX-30 5HB FWD</v>
      </c>
      <c r="D50" s="16">
        <f>Rollover!C50</f>
        <v>2022</v>
      </c>
      <c r="E50" s="104">
        <f>Front!AW50</f>
        <v>5</v>
      </c>
      <c r="F50" s="17">
        <f>Front!AX50</f>
        <v>5</v>
      </c>
      <c r="G50" s="17">
        <f>Front!AY50</f>
        <v>5</v>
      </c>
      <c r="H50" s="104">
        <f>'Side MDB'!AC50</f>
        <v>5</v>
      </c>
      <c r="I50" s="104">
        <f>'Side MDB'!AD50</f>
        <v>5</v>
      </c>
      <c r="J50" s="104">
        <f>'Side MDB'!AE50</f>
        <v>5</v>
      </c>
      <c r="K50" s="105">
        <f>'Side Pole'!P50</f>
        <v>5</v>
      </c>
      <c r="L50" s="105">
        <f>'Side Pole'!S50</f>
        <v>5</v>
      </c>
      <c r="M50" s="105">
        <f>'Side Pole'!V50</f>
        <v>5</v>
      </c>
      <c r="N50" s="106">
        <f>Rollover!J50</f>
        <v>4</v>
      </c>
      <c r="O50" s="107">
        <f>ROUND(5/12*Front!AV50+4/12*'Side Pole'!U50+3/12*Rollover!I50,2)</f>
        <v>0.56000000000000005</v>
      </c>
      <c r="P50" s="108">
        <f t="shared" si="1"/>
        <v>5</v>
      </c>
    </row>
    <row r="51" spans="1:16" ht="14.45" customHeight="1">
      <c r="A51" s="109">
        <v>44372</v>
      </c>
      <c r="B51" s="17" t="str">
        <f>Rollover!A51</f>
        <v xml:space="preserve">Mitsubishi </v>
      </c>
      <c r="C51" s="17" t="str">
        <f>Rollover!B51</f>
        <v>Eclipse Cross SUV AWD</v>
      </c>
      <c r="D51" s="16">
        <f>Rollover!C51</f>
        <v>2022</v>
      </c>
      <c r="E51" s="104">
        <f>Front!AW51</f>
        <v>4</v>
      </c>
      <c r="F51" s="17">
        <f>Front!AX51</f>
        <v>4</v>
      </c>
      <c r="G51" s="17">
        <f>Front!AY51</f>
        <v>4</v>
      </c>
      <c r="H51" s="104">
        <f>'Side MDB'!AC51</f>
        <v>5</v>
      </c>
      <c r="I51" s="104">
        <f>'Side MDB'!AD51</f>
        <v>5</v>
      </c>
      <c r="J51" s="104">
        <f>'Side MDB'!AE51</f>
        <v>5</v>
      </c>
      <c r="K51" s="105">
        <f>'Side Pole'!P51</f>
        <v>5</v>
      </c>
      <c r="L51" s="105">
        <f>'Side Pole'!S51</f>
        <v>5</v>
      </c>
      <c r="M51" s="105">
        <f>'Side Pole'!V51</f>
        <v>5</v>
      </c>
      <c r="N51" s="106">
        <f>Rollover!J51</f>
        <v>4</v>
      </c>
      <c r="O51" s="107">
        <f>ROUND(5/12*Front!AV51+4/12*'Side Pole'!U51+3/12*Rollover!I51,2)</f>
        <v>0.66</v>
      </c>
      <c r="P51" s="108">
        <f t="shared" si="1"/>
        <v>5</v>
      </c>
    </row>
    <row r="52" spans="1:16" ht="14.45" customHeight="1">
      <c r="A52" s="109">
        <v>44372</v>
      </c>
      <c r="B52" s="17" t="str">
        <f>Rollover!A52</f>
        <v xml:space="preserve">Mitsubishi </v>
      </c>
      <c r="C52" s="17" t="str">
        <f>Rollover!B52</f>
        <v>Eclipse Cross SUV FWD</v>
      </c>
      <c r="D52" s="16">
        <f>Rollover!C52</f>
        <v>2022</v>
      </c>
      <c r="E52" s="104">
        <f>Front!AW52</f>
        <v>4</v>
      </c>
      <c r="F52" s="17">
        <f>Front!AX52</f>
        <v>4</v>
      </c>
      <c r="G52" s="17">
        <f>Front!AY52</f>
        <v>4</v>
      </c>
      <c r="H52" s="104">
        <f>'Side MDB'!AC52</f>
        <v>5</v>
      </c>
      <c r="I52" s="104">
        <f>'Side MDB'!AD52</f>
        <v>5</v>
      </c>
      <c r="J52" s="104">
        <f>'Side MDB'!AE52</f>
        <v>5</v>
      </c>
      <c r="K52" s="105">
        <f>'Side Pole'!P52</f>
        <v>5</v>
      </c>
      <c r="L52" s="105">
        <f>'Side Pole'!S52</f>
        <v>5</v>
      </c>
      <c r="M52" s="105">
        <f>'Side Pole'!V52</f>
        <v>5</v>
      </c>
      <c r="N52" s="106">
        <f>Rollover!J52</f>
        <v>4</v>
      </c>
      <c r="O52" s="107">
        <f>ROUND(5/12*Front!AV52+4/12*'Side Pole'!U52+3/12*Rollover!I52,2)</f>
        <v>0.66</v>
      </c>
      <c r="P52" s="108">
        <f t="shared" si="1"/>
        <v>5</v>
      </c>
    </row>
    <row r="53" spans="1:16" ht="14.45" customHeight="1">
      <c r="A53" s="103">
        <v>44685</v>
      </c>
      <c r="B53" s="17" t="str">
        <f>Rollover!A53</f>
        <v>Nissan</v>
      </c>
      <c r="C53" s="17" t="str">
        <f>Rollover!B53</f>
        <v>Altima 4DR FWD</v>
      </c>
      <c r="D53" s="16">
        <f>Rollover!C53</f>
        <v>2022</v>
      </c>
      <c r="E53" s="104">
        <f>Front!AW53</f>
        <v>5</v>
      </c>
      <c r="F53" s="17">
        <f>Front!AX53</f>
        <v>4</v>
      </c>
      <c r="G53" s="17">
        <f>Front!AY53</f>
        <v>4</v>
      </c>
      <c r="H53" s="104">
        <f>'Side MDB'!AC53</f>
        <v>4</v>
      </c>
      <c r="I53" s="104">
        <f>'Side MDB'!AD53</f>
        <v>5</v>
      </c>
      <c r="J53" s="104">
        <f>'Side MDB'!AE53</f>
        <v>5</v>
      </c>
      <c r="K53" s="105">
        <f>'Side Pole'!P53</f>
        <v>5</v>
      </c>
      <c r="L53" s="105">
        <f>'Side Pole'!S53</f>
        <v>5</v>
      </c>
      <c r="M53" s="105">
        <f>'Side Pole'!V53</f>
        <v>5</v>
      </c>
      <c r="N53" s="106">
        <f>Rollover!J53</f>
        <v>5</v>
      </c>
      <c r="O53" s="107">
        <f>ROUND(5/12*Front!AV53+4/12*'Side Pole'!U53+3/12*Rollover!I53,2)</f>
        <v>0.56999999999999995</v>
      </c>
      <c r="P53" s="108">
        <f t="shared" ref="P53:P54" si="2">IF(O53&lt;0.67,5,IF(O53&lt;1,4,IF(O53&lt;1.33,3,IF(O53&lt;2.67,2,1))))</f>
        <v>5</v>
      </c>
    </row>
    <row r="54" spans="1:16" ht="14.45" customHeight="1">
      <c r="A54" s="103">
        <v>44685</v>
      </c>
      <c r="B54" s="17" t="str">
        <f>Rollover!A54</f>
        <v>Nissan</v>
      </c>
      <c r="C54" s="17" t="str">
        <f>Rollover!B54</f>
        <v>Altima 4DR AWD</v>
      </c>
      <c r="D54" s="16">
        <f>Rollover!C54</f>
        <v>2022</v>
      </c>
      <c r="E54" s="104">
        <f>Front!AW54</f>
        <v>5</v>
      </c>
      <c r="F54" s="17">
        <f>Front!AX54</f>
        <v>4</v>
      </c>
      <c r="G54" s="17">
        <f>Front!AY54</f>
        <v>4</v>
      </c>
      <c r="H54" s="104">
        <f>'Side MDB'!AC54</f>
        <v>4</v>
      </c>
      <c r="I54" s="104">
        <f>'Side MDB'!AD54</f>
        <v>5</v>
      </c>
      <c r="J54" s="104">
        <f>'Side MDB'!AE54</f>
        <v>5</v>
      </c>
      <c r="K54" s="105">
        <f>'Side Pole'!P54</f>
        <v>5</v>
      </c>
      <c r="L54" s="105">
        <f>'Side Pole'!S54</f>
        <v>5</v>
      </c>
      <c r="M54" s="105">
        <f>'Side Pole'!V54</f>
        <v>5</v>
      </c>
      <c r="N54" s="106">
        <f>Rollover!J54</f>
        <v>5</v>
      </c>
      <c r="O54" s="107">
        <f>ROUND(5/12*Front!AV54+4/12*'Side Pole'!U54+3/12*Rollover!I54,2)</f>
        <v>0.56999999999999995</v>
      </c>
      <c r="P54" s="108">
        <f t="shared" si="2"/>
        <v>5</v>
      </c>
    </row>
    <row r="55" spans="1:16" ht="14.45" customHeight="1">
      <c r="A55" s="103">
        <v>44666</v>
      </c>
      <c r="B55" s="17" t="str">
        <f>Rollover!A55</f>
        <v>Nissan</v>
      </c>
      <c r="C55" s="17" t="str">
        <f>Rollover!B55</f>
        <v>Frontier Crew Cab PU/CC RWD</v>
      </c>
      <c r="D55" s="16">
        <f>Rollover!C55</f>
        <v>2022</v>
      </c>
      <c r="E55" s="104">
        <f>Front!AW55</f>
        <v>3</v>
      </c>
      <c r="F55" s="17">
        <f>Front!AX55</f>
        <v>4</v>
      </c>
      <c r="G55" s="17">
        <f>Front!AY55</f>
        <v>4</v>
      </c>
      <c r="H55" s="104">
        <f>'Side MDB'!AC55</f>
        <v>5</v>
      </c>
      <c r="I55" s="104">
        <f>'Side MDB'!AD55</f>
        <v>5</v>
      </c>
      <c r="J55" s="104">
        <f>'Side MDB'!AE55</f>
        <v>5</v>
      </c>
      <c r="K55" s="105">
        <f>'Side Pole'!P55</f>
        <v>5</v>
      </c>
      <c r="L55" s="105">
        <f>'Side Pole'!S55</f>
        <v>5</v>
      </c>
      <c r="M55" s="105">
        <f>'Side Pole'!V55</f>
        <v>5</v>
      </c>
      <c r="N55" s="106">
        <f>Rollover!J55</f>
        <v>3</v>
      </c>
      <c r="O55" s="107">
        <f>ROUND(5/12*Front!AV55+4/12*'Side Pole'!U55+3/12*Rollover!I55,2)</f>
        <v>0.83</v>
      </c>
      <c r="P55" s="108">
        <f t="shared" si="1"/>
        <v>4</v>
      </c>
    </row>
    <row r="56" spans="1:16" ht="14.45" customHeight="1">
      <c r="A56" s="103">
        <v>44666</v>
      </c>
      <c r="B56" s="17" t="str">
        <f>Rollover!A56</f>
        <v>Nissan</v>
      </c>
      <c r="C56" s="17" t="str">
        <f>Rollover!B56</f>
        <v>Frontier Crew Cab PU/CC 4WD</v>
      </c>
      <c r="D56" s="16">
        <f>Rollover!C56</f>
        <v>2022</v>
      </c>
      <c r="E56" s="104">
        <f>Front!AW56</f>
        <v>3</v>
      </c>
      <c r="F56" s="17">
        <f>Front!AX56</f>
        <v>4</v>
      </c>
      <c r="G56" s="17">
        <f>Front!AY56</f>
        <v>4</v>
      </c>
      <c r="H56" s="104">
        <f>'Side MDB'!AC56</f>
        <v>5</v>
      </c>
      <c r="I56" s="104">
        <f>'Side MDB'!AD56</f>
        <v>5</v>
      </c>
      <c r="J56" s="104">
        <f>'Side MDB'!AE56</f>
        <v>5</v>
      </c>
      <c r="K56" s="105">
        <f>'Side Pole'!P56</f>
        <v>5</v>
      </c>
      <c r="L56" s="105">
        <f>'Side Pole'!S56</f>
        <v>5</v>
      </c>
      <c r="M56" s="105">
        <f>'Side Pole'!V56</f>
        <v>5</v>
      </c>
      <c r="N56" s="106">
        <f>Rollover!J56</f>
        <v>3</v>
      </c>
      <c r="O56" s="107">
        <f>ROUND(5/12*Front!AV56+4/12*'Side Pole'!U56+3/12*Rollover!I56,2)</f>
        <v>0.83</v>
      </c>
      <c r="P56" s="108">
        <f t="shared" si="1"/>
        <v>4</v>
      </c>
    </row>
    <row r="57" spans="1:16" ht="14.45" customHeight="1">
      <c r="A57" s="103"/>
      <c r="B57" s="16" t="str">
        <f>Rollover!A57</f>
        <v>Nissan</v>
      </c>
      <c r="C57" s="16" t="str">
        <f>Rollover!B57</f>
        <v>Frontier King Cab PU/EC RWD</v>
      </c>
      <c r="D57" s="16">
        <f>Rollover!C57</f>
        <v>2022</v>
      </c>
      <c r="E57" s="104" t="e">
        <f>Front!AW57</f>
        <v>#NUM!</v>
      </c>
      <c r="F57" s="17" t="e">
        <f>Front!AX57</f>
        <v>#NUM!</v>
      </c>
      <c r="G57" s="17" t="e">
        <f>Front!AY57</f>
        <v>#NUM!</v>
      </c>
      <c r="H57" s="104" t="e">
        <f>'Side MDB'!AC57</f>
        <v>#NUM!</v>
      </c>
      <c r="I57" s="104" t="e">
        <f>'Side MDB'!AD57</f>
        <v>#NUM!</v>
      </c>
      <c r="J57" s="104" t="e">
        <f>'Side MDB'!AE57</f>
        <v>#NUM!</v>
      </c>
      <c r="K57" s="105" t="e">
        <f>'Side Pole'!P57</f>
        <v>#NUM!</v>
      </c>
      <c r="L57" s="105" t="e">
        <f>'Side Pole'!S57</f>
        <v>#NUM!</v>
      </c>
      <c r="M57" s="105" t="e">
        <f>'Side Pole'!V57</f>
        <v>#NUM!</v>
      </c>
      <c r="N57" s="106">
        <f>Rollover!J57</f>
        <v>3</v>
      </c>
      <c r="O57" s="107" t="e">
        <f>ROUND(5/12*Front!AV57+4/12*'Side Pole'!U57+3/12*Rollover!I57,2)</f>
        <v>#NUM!</v>
      </c>
      <c r="P57" s="108" t="e">
        <f t="shared" si="1"/>
        <v>#NUM!</v>
      </c>
    </row>
    <row r="58" spans="1:16" ht="14.45" customHeight="1">
      <c r="A58" s="103"/>
      <c r="B58" s="16" t="str">
        <f>Rollover!A58</f>
        <v>Nissan</v>
      </c>
      <c r="C58" s="16" t="str">
        <f>Rollover!B58</f>
        <v>Frontier King Cab PU/EC 4WD</v>
      </c>
      <c r="D58" s="16">
        <f>Rollover!C58</f>
        <v>2022</v>
      </c>
      <c r="E58" s="104" t="e">
        <f>Front!AW58</f>
        <v>#NUM!</v>
      </c>
      <c r="F58" s="17" t="e">
        <f>Front!AX58</f>
        <v>#NUM!</v>
      </c>
      <c r="G58" s="17" t="e">
        <f>Front!AY58</f>
        <v>#NUM!</v>
      </c>
      <c r="H58" s="104" t="e">
        <f>'Side MDB'!AC58</f>
        <v>#NUM!</v>
      </c>
      <c r="I58" s="104" t="e">
        <f>'Side MDB'!AD58</f>
        <v>#NUM!</v>
      </c>
      <c r="J58" s="104" t="e">
        <f>'Side MDB'!AE58</f>
        <v>#NUM!</v>
      </c>
      <c r="K58" s="105" t="e">
        <f>'Side Pole'!P58</f>
        <v>#NUM!</v>
      </c>
      <c r="L58" s="105" t="e">
        <f>'Side Pole'!S58</f>
        <v>#NUM!</v>
      </c>
      <c r="M58" s="105" t="e">
        <f>'Side Pole'!V58</f>
        <v>#NUM!</v>
      </c>
      <c r="N58" s="106">
        <f>Rollover!J58</f>
        <v>3</v>
      </c>
      <c r="O58" s="107" t="e">
        <f>ROUND(5/12*Front!AV58+4/12*'Side Pole'!U58+3/12*Rollover!I58,2)</f>
        <v>#NUM!</v>
      </c>
      <c r="P58" s="108" t="e">
        <f t="shared" si="1"/>
        <v>#NUM!</v>
      </c>
    </row>
    <row r="59" spans="1:16" ht="14.45" customHeight="1">
      <c r="A59" s="103">
        <v>44811</v>
      </c>
      <c r="B59" s="17" t="str">
        <f>Rollover!A59</f>
        <v>Nissan</v>
      </c>
      <c r="C59" s="17" t="str">
        <f>Rollover!B59</f>
        <v>Pathfinder SUV FWD</v>
      </c>
      <c r="D59" s="16">
        <f>Rollover!C59</f>
        <v>2022</v>
      </c>
      <c r="E59" s="104">
        <f>Front!AW59</f>
        <v>4</v>
      </c>
      <c r="F59" s="17">
        <f>Front!AX59</f>
        <v>4</v>
      </c>
      <c r="G59" s="17">
        <f>Front!AY59</f>
        <v>4</v>
      </c>
      <c r="H59" s="104">
        <f>'Side MDB'!AC59</f>
        <v>5</v>
      </c>
      <c r="I59" s="104">
        <f>'Side MDB'!AD59</f>
        <v>5</v>
      </c>
      <c r="J59" s="104">
        <f>'Side MDB'!AE59</f>
        <v>5</v>
      </c>
      <c r="K59" s="105">
        <f>'Side Pole'!P59</f>
        <v>5</v>
      </c>
      <c r="L59" s="105">
        <f>'Side Pole'!S59</f>
        <v>5</v>
      </c>
      <c r="M59" s="105">
        <f>'Side Pole'!V59</f>
        <v>5</v>
      </c>
      <c r="N59" s="106" t="e">
        <f>Rollover!J59</f>
        <v>#NUM!</v>
      </c>
      <c r="O59" s="107" t="e">
        <f>ROUND(5/12*Front!AV59+4/12*'Side Pole'!U59+3/12*Rollover!I59,2)</f>
        <v>#NUM!</v>
      </c>
      <c r="P59" s="108" t="e">
        <f t="shared" si="1"/>
        <v>#NUM!</v>
      </c>
    </row>
    <row r="60" spans="1:16" ht="14.45" customHeight="1">
      <c r="A60" s="103">
        <v>44811</v>
      </c>
      <c r="B60" s="17" t="str">
        <f>Rollover!A60</f>
        <v>Nissan</v>
      </c>
      <c r="C60" s="17" t="str">
        <f>Rollover!B60</f>
        <v>Pathfinder SUV AWD</v>
      </c>
      <c r="D60" s="16">
        <f>Rollover!C60</f>
        <v>2022</v>
      </c>
      <c r="E60" s="104">
        <f>Front!AW60</f>
        <v>4</v>
      </c>
      <c r="F60" s="17">
        <f>Front!AX60</f>
        <v>4</v>
      </c>
      <c r="G60" s="17">
        <f>Front!AY60</f>
        <v>4</v>
      </c>
      <c r="H60" s="104">
        <f>'Side MDB'!AC60</f>
        <v>5</v>
      </c>
      <c r="I60" s="104">
        <f>'Side MDB'!AD60</f>
        <v>5</v>
      </c>
      <c r="J60" s="104">
        <f>'Side MDB'!AE60</f>
        <v>5</v>
      </c>
      <c r="K60" s="105">
        <f>'Side Pole'!P60</f>
        <v>5</v>
      </c>
      <c r="L60" s="105">
        <f>'Side Pole'!S60</f>
        <v>5</v>
      </c>
      <c r="M60" s="105">
        <f>'Side Pole'!V60</f>
        <v>5</v>
      </c>
      <c r="N60" s="106">
        <f>Rollover!J60</f>
        <v>4</v>
      </c>
      <c r="O60" s="107">
        <f>ROUND(5/12*Front!AV60+4/12*'Side Pole'!U60+3/12*Rollover!I60,2)</f>
        <v>0.62</v>
      </c>
      <c r="P60" s="108">
        <f t="shared" si="1"/>
        <v>5</v>
      </c>
    </row>
    <row r="61" spans="1:16" ht="14.45" customHeight="1">
      <c r="A61" s="103">
        <v>44811</v>
      </c>
      <c r="B61" s="16" t="str">
        <f>Rollover!A61</f>
        <v xml:space="preserve">Infiniti </v>
      </c>
      <c r="C61" s="16" t="str">
        <f>Rollover!B61</f>
        <v>QX60 SUV FWD</v>
      </c>
      <c r="D61" s="16">
        <f>Rollover!C61</f>
        <v>2022</v>
      </c>
      <c r="E61" s="104">
        <f>Front!AW61</f>
        <v>4</v>
      </c>
      <c r="F61" s="17">
        <f>Front!AX61</f>
        <v>4</v>
      </c>
      <c r="G61" s="17">
        <f>Front!AY61</f>
        <v>4</v>
      </c>
      <c r="H61" s="104">
        <f>'Side MDB'!AC61</f>
        <v>5</v>
      </c>
      <c r="I61" s="104">
        <f>'Side MDB'!AD61</f>
        <v>5</v>
      </c>
      <c r="J61" s="104">
        <f>'Side MDB'!AE61</f>
        <v>5</v>
      </c>
      <c r="K61" s="105">
        <f>'Side Pole'!P61</f>
        <v>5</v>
      </c>
      <c r="L61" s="105">
        <f>'Side Pole'!S61</f>
        <v>5</v>
      </c>
      <c r="M61" s="105">
        <f>'Side Pole'!V61</f>
        <v>5</v>
      </c>
      <c r="N61" s="106" t="e">
        <f>Rollover!J61</f>
        <v>#NUM!</v>
      </c>
      <c r="O61" s="107" t="e">
        <f>ROUND(5/12*Front!AV61+4/12*'Side Pole'!U61+3/12*Rollover!I61,2)</f>
        <v>#NUM!</v>
      </c>
      <c r="P61" s="108" t="e">
        <f t="shared" si="1"/>
        <v>#NUM!</v>
      </c>
    </row>
    <row r="62" spans="1:16" ht="14.45" customHeight="1">
      <c r="A62" s="103">
        <v>44811</v>
      </c>
      <c r="B62" s="16" t="str">
        <f>Rollover!A62</f>
        <v xml:space="preserve">Infiniti </v>
      </c>
      <c r="C62" s="16" t="str">
        <f>Rollover!B62</f>
        <v>QX60 SUV AWD</v>
      </c>
      <c r="D62" s="16">
        <f>Rollover!C62</f>
        <v>2022</v>
      </c>
      <c r="E62" s="104">
        <f>Front!AW62</f>
        <v>4</v>
      </c>
      <c r="F62" s="17">
        <f>Front!AX62</f>
        <v>4</v>
      </c>
      <c r="G62" s="17">
        <f>Front!AY62</f>
        <v>4</v>
      </c>
      <c r="H62" s="104">
        <f>'Side MDB'!AC62</f>
        <v>5</v>
      </c>
      <c r="I62" s="104">
        <f>'Side MDB'!AD62</f>
        <v>5</v>
      </c>
      <c r="J62" s="104">
        <f>'Side MDB'!AE62</f>
        <v>5</v>
      </c>
      <c r="K62" s="105">
        <f>'Side Pole'!P62</f>
        <v>5</v>
      </c>
      <c r="L62" s="105">
        <f>'Side Pole'!S62</f>
        <v>5</v>
      </c>
      <c r="M62" s="105">
        <f>'Side Pole'!V62</f>
        <v>5</v>
      </c>
      <c r="N62" s="106">
        <f>Rollover!J62</f>
        <v>4</v>
      </c>
      <c r="O62" s="107">
        <f>ROUND(5/12*Front!AV62+4/12*'Side Pole'!U62+3/12*Rollover!I62,2)</f>
        <v>0.62</v>
      </c>
      <c r="P62" s="108">
        <f t="shared" si="1"/>
        <v>5</v>
      </c>
    </row>
    <row r="63" spans="1:16" ht="14.45" customHeight="1">
      <c r="A63" s="103">
        <v>44715</v>
      </c>
      <c r="B63" s="17" t="str">
        <f>Rollover!A63</f>
        <v>Nissan</v>
      </c>
      <c r="C63" s="17" t="str">
        <f>Rollover!B63</f>
        <v>Rogue AWD (Later Release)</v>
      </c>
      <c r="D63" s="16">
        <f>Rollover!C63</f>
        <v>2022</v>
      </c>
      <c r="E63" s="104">
        <f>Front!AW63</f>
        <v>4</v>
      </c>
      <c r="F63" s="17">
        <f>Front!AX63</f>
        <v>4</v>
      </c>
      <c r="G63" s="17">
        <f>Front!AY63</f>
        <v>4</v>
      </c>
      <c r="H63" s="104">
        <f>'Side MDB'!AC63</f>
        <v>5</v>
      </c>
      <c r="I63" s="104">
        <f>'Side MDB'!AD63</f>
        <v>5</v>
      </c>
      <c r="J63" s="104">
        <f>'Side MDB'!AE63</f>
        <v>5</v>
      </c>
      <c r="K63" s="105">
        <f>'Side Pole'!P63</f>
        <v>5</v>
      </c>
      <c r="L63" s="105">
        <f>'Side Pole'!S63</f>
        <v>5</v>
      </c>
      <c r="M63" s="105">
        <f>'Side Pole'!V63</f>
        <v>5</v>
      </c>
      <c r="N63" s="106">
        <f>Rollover!J63</f>
        <v>4</v>
      </c>
      <c r="O63" s="107">
        <f>ROUND(5/12*Front!AV63+4/12*'Side Pole'!U63+3/12*Rollover!I63,2)</f>
        <v>0.66</v>
      </c>
      <c r="P63" s="108">
        <f t="shared" ref="P63:P64" si="3">IF(O63&lt;0.67,5,IF(O63&lt;1,4,IF(O63&lt;1.33,3,IF(O63&lt;2.67,2,1))))</f>
        <v>5</v>
      </c>
    </row>
    <row r="64" spans="1:16" ht="14.45" customHeight="1">
      <c r="A64" s="103">
        <v>44715</v>
      </c>
      <c r="B64" s="17" t="str">
        <f>Rollover!A64</f>
        <v>Nissan</v>
      </c>
      <c r="C64" s="17" t="str">
        <f>Rollover!B64</f>
        <v>Rogue FWD (Later Release)</v>
      </c>
      <c r="D64" s="16">
        <f>Rollover!C64</f>
        <v>2022</v>
      </c>
      <c r="E64" s="104">
        <f>Front!AW64</f>
        <v>4</v>
      </c>
      <c r="F64" s="17">
        <f>Front!AX64</f>
        <v>4</v>
      </c>
      <c r="G64" s="17">
        <f>Front!AY64</f>
        <v>4</v>
      </c>
      <c r="H64" s="104">
        <f>'Side MDB'!AC64</f>
        <v>5</v>
      </c>
      <c r="I64" s="104">
        <f>'Side MDB'!AD64</f>
        <v>5</v>
      </c>
      <c r="J64" s="104">
        <f>'Side MDB'!AE64</f>
        <v>5</v>
      </c>
      <c r="K64" s="105">
        <f>'Side Pole'!P64</f>
        <v>5</v>
      </c>
      <c r="L64" s="105">
        <f>'Side Pole'!S64</f>
        <v>5</v>
      </c>
      <c r="M64" s="105">
        <f>'Side Pole'!V64</f>
        <v>5</v>
      </c>
      <c r="N64" s="106">
        <f>Rollover!J64</f>
        <v>4</v>
      </c>
      <c r="O64" s="107">
        <f>ROUND(5/12*Front!AV64+4/12*'Side Pole'!U64+3/12*Rollover!I64,2)</f>
        <v>0.66</v>
      </c>
      <c r="P64" s="108">
        <f t="shared" si="3"/>
        <v>5</v>
      </c>
    </row>
    <row r="65" spans="1:16" ht="14.45" customHeight="1">
      <c r="A65" s="103">
        <v>44944</v>
      </c>
      <c r="B65" s="17" t="str">
        <f>Rollover!A65</f>
        <v>Nissan</v>
      </c>
      <c r="C65" s="17" t="str">
        <f>Rollover!B65</f>
        <v>Rogue Sport SUV FWD</v>
      </c>
      <c r="D65" s="16">
        <f>Rollover!C65</f>
        <v>2022</v>
      </c>
      <c r="E65" s="104">
        <f>Front!AW65</f>
        <v>4</v>
      </c>
      <c r="F65" s="17">
        <f>Front!AX65</f>
        <v>5</v>
      </c>
      <c r="G65" s="17">
        <f>Front!AY65</f>
        <v>4</v>
      </c>
      <c r="H65" s="104">
        <f>'Side MDB'!AC65</f>
        <v>5</v>
      </c>
      <c r="I65" s="104">
        <f>'Side MDB'!AD65</f>
        <v>5</v>
      </c>
      <c r="J65" s="104">
        <f>'Side MDB'!AE65</f>
        <v>5</v>
      </c>
      <c r="K65" s="105">
        <f>'Side Pole'!P65</f>
        <v>5</v>
      </c>
      <c r="L65" s="105">
        <f>'Side Pole'!S65</f>
        <v>5</v>
      </c>
      <c r="M65" s="105">
        <f>'Side Pole'!V65</f>
        <v>5</v>
      </c>
      <c r="N65" s="106">
        <f>Rollover!J65</f>
        <v>4</v>
      </c>
      <c r="O65" s="107">
        <f>ROUND(5/12*Front!AV65+4/12*'Side Pole'!U65+3/12*Rollover!I65,2)</f>
        <v>0.68</v>
      </c>
      <c r="P65" s="108">
        <f t="shared" si="1"/>
        <v>4</v>
      </c>
    </row>
    <row r="66" spans="1:16" ht="14.45" customHeight="1">
      <c r="A66" s="103">
        <v>44944</v>
      </c>
      <c r="B66" s="17" t="str">
        <f>Rollover!A66</f>
        <v>Nissan</v>
      </c>
      <c r="C66" s="17" t="str">
        <f>Rollover!B66</f>
        <v>Rogue Sport SUV AWD</v>
      </c>
      <c r="D66" s="16">
        <f>Rollover!C66</f>
        <v>2022</v>
      </c>
      <c r="E66" s="104">
        <f>Front!AW66</f>
        <v>4</v>
      </c>
      <c r="F66" s="17">
        <f>Front!AX66</f>
        <v>5</v>
      </c>
      <c r="G66" s="17">
        <f>Front!AY66</f>
        <v>4</v>
      </c>
      <c r="H66" s="104">
        <f>'Side MDB'!AC66</f>
        <v>5</v>
      </c>
      <c r="I66" s="104">
        <f>'Side MDB'!AD66</f>
        <v>5</v>
      </c>
      <c r="J66" s="104">
        <f>'Side MDB'!AE66</f>
        <v>5</v>
      </c>
      <c r="K66" s="105">
        <f>'Side Pole'!P66</f>
        <v>5</v>
      </c>
      <c r="L66" s="105">
        <f>'Side Pole'!S66</f>
        <v>5</v>
      </c>
      <c r="M66" s="105">
        <f>'Side Pole'!V66</f>
        <v>5</v>
      </c>
      <c r="N66" s="106">
        <f>Rollover!J66</f>
        <v>4</v>
      </c>
      <c r="O66" s="107">
        <f>ROUND(5/12*Front!AV66+4/12*'Side Pole'!U66+3/12*Rollover!I66,2)</f>
        <v>0.65</v>
      </c>
      <c r="P66" s="108">
        <f t="shared" si="1"/>
        <v>5</v>
      </c>
    </row>
    <row r="67" spans="1:16" ht="14.45" customHeight="1">
      <c r="A67" s="109">
        <v>44888</v>
      </c>
      <c r="B67" s="17" t="str">
        <f>Rollover!A67</f>
        <v>Polestar</v>
      </c>
      <c r="C67" s="17" t="str">
        <f>Rollover!B67</f>
        <v>Polestar 2 5HB FWD</v>
      </c>
      <c r="D67" s="16">
        <f>Rollover!C67</f>
        <v>2022</v>
      </c>
      <c r="E67" s="104">
        <f>Front!AW67</f>
        <v>5</v>
      </c>
      <c r="F67" s="17">
        <f>Front!AX67</f>
        <v>5</v>
      </c>
      <c r="G67" s="17">
        <f>Front!AY67</f>
        <v>5</v>
      </c>
      <c r="H67" s="104">
        <f>'Side MDB'!AC67</f>
        <v>5</v>
      </c>
      <c r="I67" s="104">
        <f>'Side MDB'!AD67</f>
        <v>5</v>
      </c>
      <c r="J67" s="104">
        <f>'Side MDB'!AE67</f>
        <v>5</v>
      </c>
      <c r="K67" s="105">
        <f>'Side Pole'!P67</f>
        <v>5</v>
      </c>
      <c r="L67" s="105">
        <f>'Side Pole'!S67</f>
        <v>5</v>
      </c>
      <c r="M67" s="105">
        <f>'Side Pole'!V67</f>
        <v>5</v>
      </c>
      <c r="N67" s="106">
        <f>Rollover!J67</f>
        <v>5</v>
      </c>
      <c r="O67" s="107">
        <f>ROUND(5/12*Front!AV67+4/12*'Side Pole'!U67+3/12*Rollover!I67,2)</f>
        <v>0.47</v>
      </c>
      <c r="P67" s="108">
        <f t="shared" si="1"/>
        <v>5</v>
      </c>
    </row>
    <row r="68" spans="1:16" ht="14.45" customHeight="1">
      <c r="A68" s="109">
        <v>44888</v>
      </c>
      <c r="B68" s="17" t="str">
        <f>Rollover!A68</f>
        <v>Polestar</v>
      </c>
      <c r="C68" s="17" t="str">
        <f>Rollover!B68</f>
        <v>Polestar 2 5HB AWD</v>
      </c>
      <c r="D68" s="16">
        <f>Rollover!C68</f>
        <v>2022</v>
      </c>
      <c r="E68" s="104">
        <f>Front!AW68</f>
        <v>5</v>
      </c>
      <c r="F68" s="17">
        <f>Front!AX68</f>
        <v>5</v>
      </c>
      <c r="G68" s="17">
        <f>Front!AY68</f>
        <v>5</v>
      </c>
      <c r="H68" s="104">
        <f>'Side MDB'!AC68</f>
        <v>5</v>
      </c>
      <c r="I68" s="104">
        <f>'Side MDB'!AD68</f>
        <v>5</v>
      </c>
      <c r="J68" s="104">
        <f>'Side MDB'!AE68</f>
        <v>5</v>
      </c>
      <c r="K68" s="105">
        <f>'Side Pole'!P68</f>
        <v>5</v>
      </c>
      <c r="L68" s="105">
        <f>'Side Pole'!S68</f>
        <v>5</v>
      </c>
      <c r="M68" s="105">
        <f>'Side Pole'!V68</f>
        <v>5</v>
      </c>
      <c r="N68" s="106">
        <f>Rollover!J68</f>
        <v>5</v>
      </c>
      <c r="O68" s="107">
        <f>ROUND(5/12*Front!AV68+4/12*'Side Pole'!U68+3/12*Rollover!I68,2)</f>
        <v>0.47</v>
      </c>
      <c r="P68" s="108">
        <f t="shared" si="1"/>
        <v>5</v>
      </c>
    </row>
    <row r="69" spans="1:16" ht="14.45" customHeight="1">
      <c r="A69" s="103">
        <v>44887</v>
      </c>
      <c r="B69" s="17" t="str">
        <f>Rollover!A69</f>
        <v>Toyota</v>
      </c>
      <c r="C69" s="17" t="str">
        <f>Rollover!B69</f>
        <v>RAV4 Prime SUV AWD</v>
      </c>
      <c r="D69" s="16">
        <f>Rollover!C69</f>
        <v>2022</v>
      </c>
      <c r="E69" s="104" t="e">
        <f>Front!AW69</f>
        <v>#NUM!</v>
      </c>
      <c r="F69" s="17" t="e">
        <f>Front!AX69</f>
        <v>#NUM!</v>
      </c>
      <c r="G69" s="17" t="e">
        <f>Front!AY69</f>
        <v>#NUM!</v>
      </c>
      <c r="H69" s="104" t="e">
        <f>'Side MDB'!AC69</f>
        <v>#NUM!</v>
      </c>
      <c r="I69" s="104" t="e">
        <f>'Side MDB'!AD69</f>
        <v>#NUM!</v>
      </c>
      <c r="J69" s="104" t="e">
        <f>'Side MDB'!AE69</f>
        <v>#NUM!</v>
      </c>
      <c r="K69" s="105" t="e">
        <f>'Side Pole'!P69</f>
        <v>#NUM!</v>
      </c>
      <c r="L69" s="105" t="e">
        <f>'Side Pole'!S69</f>
        <v>#NUM!</v>
      </c>
      <c r="M69" s="105" t="e">
        <f>'Side Pole'!V69</f>
        <v>#NUM!</v>
      </c>
      <c r="N69" s="106">
        <f>Rollover!J69</f>
        <v>4</v>
      </c>
      <c r="O69" s="107" t="e">
        <f>ROUND(5/12*Front!AV69+4/12*'Side Pole'!U69+3/12*Rollover!I69,2)</f>
        <v>#NUM!</v>
      </c>
      <c r="P69" s="108" t="e">
        <f t="shared" ref="P69" si="4">IF(O69&lt;0.67,5,IF(O69&lt;1,4,IF(O69&lt;1.33,3,IF(O69&lt;2.67,2,1))))</f>
        <v>#NUM!</v>
      </c>
    </row>
    <row r="70" spans="1:16" ht="14.45" customHeight="1">
      <c r="A70" s="103">
        <v>44742</v>
      </c>
      <c r="B70" s="17" t="str">
        <f>Rollover!A70</f>
        <v>Volkswagen</v>
      </c>
      <c r="C70" s="17" t="str">
        <f>Rollover!B70</f>
        <v>Jetta 4DR FWD</v>
      </c>
      <c r="D70" s="16">
        <f>Rollover!C70</f>
        <v>2022</v>
      </c>
      <c r="E70" s="104">
        <f>Front!AW70</f>
        <v>4</v>
      </c>
      <c r="F70" s="17">
        <f>Front!AX70</f>
        <v>4</v>
      </c>
      <c r="G70" s="17">
        <f>Front!AY70</f>
        <v>4</v>
      </c>
      <c r="H70" s="104">
        <f>'Side MDB'!AC70</f>
        <v>5</v>
      </c>
      <c r="I70" s="104">
        <f>'Side MDB'!AD70</f>
        <v>5</v>
      </c>
      <c r="J70" s="104">
        <f>'Side MDB'!AE70</f>
        <v>5</v>
      </c>
      <c r="K70" s="105">
        <f>'Side Pole'!P70</f>
        <v>5</v>
      </c>
      <c r="L70" s="105">
        <f>'Side Pole'!S70</f>
        <v>5</v>
      </c>
      <c r="M70" s="105">
        <f>'Side Pole'!V70</f>
        <v>5</v>
      </c>
      <c r="N70" s="106">
        <f>Rollover!J70</f>
        <v>4</v>
      </c>
      <c r="O70" s="107">
        <f>ROUND(5/12*Front!AV70+4/12*'Side Pole'!U70+3/12*Rollover!I70,2)</f>
        <v>0.64</v>
      </c>
      <c r="P70" s="108">
        <f t="shared" ref="P70:P73" si="5">IF(O70&lt;0.67,5,IF(O70&lt;1,4,IF(O70&lt;1.33,3,IF(O70&lt;2.67,2,1))))</f>
        <v>5</v>
      </c>
    </row>
    <row r="71" spans="1:16" ht="14.45" customHeight="1">
      <c r="A71" s="103">
        <v>44742</v>
      </c>
      <c r="B71" s="16" t="str">
        <f>Rollover!A71</f>
        <v>Volkswagen</v>
      </c>
      <c r="C71" s="16" t="str">
        <f>Rollover!B71</f>
        <v>Jetta GLI 4DR FWD</v>
      </c>
      <c r="D71" s="16">
        <f>Rollover!C71</f>
        <v>2022</v>
      </c>
      <c r="E71" s="104">
        <f>Front!AW71</f>
        <v>4</v>
      </c>
      <c r="F71" s="17">
        <f>Front!AX71</f>
        <v>4</v>
      </c>
      <c r="G71" s="17">
        <f>Front!AY71</f>
        <v>4</v>
      </c>
      <c r="H71" s="104">
        <f>'Side MDB'!AC71</f>
        <v>5</v>
      </c>
      <c r="I71" s="104">
        <f>'Side MDB'!AD71</f>
        <v>5</v>
      </c>
      <c r="J71" s="104">
        <f>'Side MDB'!AE71</f>
        <v>5</v>
      </c>
      <c r="K71" s="105">
        <f>'Side Pole'!P71</f>
        <v>5</v>
      </c>
      <c r="L71" s="105">
        <f>'Side Pole'!S71</f>
        <v>5</v>
      </c>
      <c r="M71" s="105">
        <f>'Side Pole'!V71</f>
        <v>5</v>
      </c>
      <c r="N71" s="106">
        <f>Rollover!J71</f>
        <v>4</v>
      </c>
      <c r="O71" s="107">
        <f>ROUND(5/12*Front!AV71+4/12*'Side Pole'!U71+3/12*Rollover!I71,2)</f>
        <v>0.64</v>
      </c>
      <c r="P71" s="108">
        <f t="shared" si="5"/>
        <v>5</v>
      </c>
    </row>
    <row r="72" spans="1:16" ht="14.45" customHeight="1">
      <c r="A72" s="103">
        <v>44783</v>
      </c>
      <c r="B72" s="17" t="str">
        <f>Rollover!A72</f>
        <v>Volkswagen</v>
      </c>
      <c r="C72" s="17" t="str">
        <f>Rollover!B72</f>
        <v>Taos SUV FWD</v>
      </c>
      <c r="D72" s="16">
        <f>Rollover!C72</f>
        <v>2022</v>
      </c>
      <c r="E72" s="104">
        <f>Front!AW72</f>
        <v>4</v>
      </c>
      <c r="F72" s="17">
        <f>Front!AX72</f>
        <v>4</v>
      </c>
      <c r="G72" s="17">
        <f>Front!AY72</f>
        <v>4</v>
      </c>
      <c r="H72" s="104">
        <f>'Side MDB'!AC72</f>
        <v>5</v>
      </c>
      <c r="I72" s="104">
        <f>'Side MDB'!AD72</f>
        <v>5</v>
      </c>
      <c r="J72" s="104">
        <f>'Side MDB'!AE72</f>
        <v>5</v>
      </c>
      <c r="K72" s="105">
        <f>'Side Pole'!P72</f>
        <v>5</v>
      </c>
      <c r="L72" s="105">
        <f>'Side Pole'!S72</f>
        <v>5</v>
      </c>
      <c r="M72" s="105">
        <f>'Side Pole'!V72</f>
        <v>5</v>
      </c>
      <c r="N72" s="106">
        <f>Rollover!J72</f>
        <v>4</v>
      </c>
      <c r="O72" s="107">
        <f>ROUND(5/12*Front!AV72+4/12*'Side Pole'!U72+3/12*Rollover!I72,2)</f>
        <v>0.76</v>
      </c>
      <c r="P72" s="108">
        <f t="shared" si="5"/>
        <v>4</v>
      </c>
    </row>
    <row r="73" spans="1:16" ht="14.45" customHeight="1">
      <c r="A73" s="103">
        <v>44783</v>
      </c>
      <c r="B73" s="17" t="str">
        <f>Rollover!A73</f>
        <v>Volkswagen</v>
      </c>
      <c r="C73" s="17" t="str">
        <f>Rollover!B73</f>
        <v>Taos SUV AWD</v>
      </c>
      <c r="D73" s="16">
        <f>Rollover!C73</f>
        <v>2022</v>
      </c>
      <c r="E73" s="104">
        <f>Front!AW73</f>
        <v>4</v>
      </c>
      <c r="F73" s="17">
        <f>Front!AX73</f>
        <v>4</v>
      </c>
      <c r="G73" s="17">
        <f>Front!AY73</f>
        <v>4</v>
      </c>
      <c r="H73" s="104">
        <f>'Side MDB'!AC73</f>
        <v>5</v>
      </c>
      <c r="I73" s="104">
        <f>'Side MDB'!AD73</f>
        <v>5</v>
      </c>
      <c r="J73" s="104">
        <f>'Side MDB'!AE73</f>
        <v>5</v>
      </c>
      <c r="K73" s="105">
        <f>'Side Pole'!P73</f>
        <v>5</v>
      </c>
      <c r="L73" s="105">
        <f>'Side Pole'!S73</f>
        <v>5</v>
      </c>
      <c r="M73" s="105">
        <f>'Side Pole'!V73</f>
        <v>5</v>
      </c>
      <c r="N73" s="106">
        <f>Rollover!J73</f>
        <v>4</v>
      </c>
      <c r="O73" s="107">
        <f>ROUND(5/12*Front!AV73+4/12*'Side Pole'!U73+3/12*Rollover!I73,2)</f>
        <v>0.71</v>
      </c>
      <c r="P73" s="108">
        <f t="shared" si="5"/>
        <v>4</v>
      </c>
    </row>
    <row r="74" spans="1:16" ht="14.45" customHeight="1">
      <c r="E74" s="110"/>
      <c r="F74" s="111"/>
      <c r="G74" s="111"/>
      <c r="K74" s="113"/>
      <c r="L74" s="113"/>
      <c r="M74" s="113"/>
    </row>
    <row r="75" spans="1:16" ht="14.45" customHeight="1">
      <c r="B75" s="111"/>
      <c r="K75" s="113"/>
      <c r="L75" s="113"/>
      <c r="M75" s="113"/>
    </row>
    <row r="76" spans="1:16" ht="14.45" customHeight="1">
      <c r="B76" s="111"/>
    </row>
    <row r="77" spans="1:16" ht="14.45" customHeight="1">
      <c r="B77" s="111"/>
    </row>
    <row r="78" spans="1:16" ht="14.45" customHeight="1">
      <c r="B78" s="111"/>
    </row>
    <row r="79" spans="1:16" ht="14.45" customHeight="1">
      <c r="B79" s="111"/>
      <c r="C79" s="111"/>
      <c r="D79" s="111"/>
    </row>
    <row r="80" spans="1:16" ht="14.45" customHeight="1">
      <c r="B80" s="111"/>
      <c r="C80" s="111"/>
      <c r="D80" s="111"/>
    </row>
    <row r="81" spans="2:10" ht="14.45" customHeight="1">
      <c r="B81" s="111"/>
      <c r="C81" s="111"/>
      <c r="D81" s="111"/>
    </row>
    <row r="82" spans="2:10" ht="14.45" customHeight="1">
      <c r="B82" s="111"/>
      <c r="C82" s="111"/>
      <c r="D82" s="111"/>
    </row>
    <row r="83" spans="2:10" ht="14.45" customHeight="1">
      <c r="B83" s="111"/>
      <c r="C83" s="111"/>
      <c r="D83" s="111"/>
    </row>
    <row r="84" spans="2:10" ht="14.45" customHeight="1">
      <c r="B84" s="111"/>
      <c r="C84" s="111"/>
      <c r="D84" s="111"/>
    </row>
    <row r="85" spans="2:10" ht="14.45" customHeight="1">
      <c r="B85" s="111"/>
      <c r="C85" s="111"/>
      <c r="D85" s="111"/>
      <c r="H85" s="39"/>
      <c r="I85" s="39"/>
      <c r="J85" s="39"/>
    </row>
    <row r="86" spans="2:10" ht="14.45" customHeight="1">
      <c r="H86" s="39"/>
      <c r="I86" s="39"/>
      <c r="J86" s="39"/>
    </row>
    <row r="87" spans="2:10" ht="14.45" customHeight="1">
      <c r="H87" s="39"/>
      <c r="I87" s="39"/>
      <c r="J87" s="39"/>
    </row>
    <row r="88" spans="2:10" ht="14.45" customHeight="1">
      <c r="B88" s="116"/>
      <c r="C88" s="116"/>
      <c r="D88" s="116"/>
      <c r="E88" s="110"/>
      <c r="F88" s="111"/>
      <c r="H88" s="39"/>
      <c r="I88" s="39"/>
      <c r="J88" s="39"/>
    </row>
    <row r="89" spans="2:10" ht="14.45" customHeight="1">
      <c r="B89" s="116"/>
      <c r="C89" s="116"/>
      <c r="D89" s="116"/>
      <c r="E89" s="110"/>
      <c r="F89" s="111"/>
      <c r="H89" s="39"/>
      <c r="I89" s="39"/>
      <c r="J89" s="39"/>
    </row>
    <row r="90" spans="2:10" ht="14.45" customHeight="1">
      <c r="B90" s="116"/>
      <c r="C90" s="116"/>
      <c r="D90" s="116"/>
      <c r="E90" s="110"/>
      <c r="F90" s="111"/>
      <c r="H90" s="39"/>
      <c r="I90" s="39"/>
      <c r="J90" s="39"/>
    </row>
    <row r="91" spans="2:10" ht="14.45" customHeight="1">
      <c r="B91" s="116"/>
      <c r="C91" s="116"/>
      <c r="D91" s="116"/>
      <c r="E91" s="110"/>
      <c r="F91" s="111"/>
      <c r="H91" s="39"/>
      <c r="I91" s="39"/>
      <c r="J91" s="39"/>
    </row>
    <row r="92" spans="2:10" ht="14.45" customHeight="1">
      <c r="B92" s="116"/>
      <c r="C92" s="116"/>
      <c r="D92" s="116"/>
      <c r="E92" s="110"/>
      <c r="F92" s="111"/>
      <c r="H92" s="39"/>
      <c r="I92" s="39"/>
      <c r="J92" s="39"/>
    </row>
    <row r="93" spans="2:10" ht="14.45" customHeight="1">
      <c r="B93" s="116"/>
      <c r="C93" s="116"/>
      <c r="D93" s="116"/>
      <c r="E93" s="110"/>
      <c r="F93" s="111"/>
      <c r="H93" s="39"/>
      <c r="I93" s="39"/>
      <c r="J93" s="39"/>
    </row>
    <row r="94" spans="2:10" ht="14.45" customHeight="1">
      <c r="B94" s="116"/>
      <c r="C94" s="116"/>
      <c r="D94" s="116"/>
      <c r="E94" s="110"/>
      <c r="F94" s="111"/>
    </row>
    <row r="95" spans="2:10" ht="14.45" customHeight="1">
      <c r="B95" s="116"/>
      <c r="C95" s="116"/>
      <c r="D95" s="116"/>
      <c r="E95" s="110"/>
      <c r="F95" s="111"/>
    </row>
    <row r="96" spans="2:10" ht="14.45" customHeight="1">
      <c r="B96" s="116"/>
      <c r="C96" s="116"/>
      <c r="D96" s="116"/>
      <c r="E96" s="110"/>
      <c r="F96" s="111"/>
    </row>
    <row r="97" spans="2:10" ht="14.45" customHeight="1">
      <c r="B97" s="116"/>
      <c r="C97" s="116"/>
      <c r="D97" s="116"/>
      <c r="E97" s="110"/>
      <c r="F97" s="111"/>
    </row>
    <row r="98" spans="2:10" ht="14.45" customHeight="1">
      <c r="E98" s="110"/>
      <c r="F98" s="111"/>
    </row>
    <row r="99" spans="2:10" ht="14.45" customHeight="1">
      <c r="E99" s="110"/>
      <c r="F99" s="111"/>
    </row>
    <row r="100" spans="2:10" ht="14.45" customHeight="1">
      <c r="B100" s="116"/>
      <c r="C100" s="116"/>
      <c r="D100" s="116"/>
      <c r="E100" s="110"/>
      <c r="F100" s="111"/>
    </row>
    <row r="101" spans="2:10" ht="14.45" customHeight="1">
      <c r="B101" s="116"/>
      <c r="C101" s="116"/>
      <c r="D101" s="116"/>
      <c r="E101" s="110"/>
      <c r="F101" s="111"/>
    </row>
    <row r="102" spans="2:10" ht="14.45" customHeight="1">
      <c r="B102" s="116"/>
      <c r="C102" s="116"/>
      <c r="D102" s="116"/>
      <c r="E102" s="110"/>
      <c r="F102" s="111"/>
    </row>
    <row r="103" spans="2:10" ht="14.45" customHeight="1">
      <c r="B103" s="116"/>
      <c r="C103" s="116"/>
      <c r="D103" s="116"/>
      <c r="E103" s="110"/>
      <c r="F103" s="111"/>
      <c r="H103" s="117"/>
      <c r="I103" s="117"/>
      <c r="J103" s="117"/>
    </row>
    <row r="104" spans="2:10" ht="14.45" customHeight="1">
      <c r="B104" s="116"/>
      <c r="C104" s="116"/>
      <c r="D104" s="116"/>
      <c r="F104" s="39"/>
      <c r="G104" s="39"/>
      <c r="H104" s="117"/>
      <c r="I104" s="117"/>
      <c r="J104" s="117"/>
    </row>
    <row r="105" spans="2:10" ht="14.45" customHeight="1">
      <c r="B105" s="116"/>
      <c r="C105" s="116"/>
      <c r="D105" s="116"/>
      <c r="F105" s="39"/>
      <c r="G105" s="39"/>
      <c r="H105" s="117"/>
      <c r="I105" s="117"/>
      <c r="J105" s="117"/>
    </row>
    <row r="106" spans="2:10" ht="14.45" customHeight="1">
      <c r="B106" s="118"/>
      <c r="C106" s="118"/>
      <c r="D106" s="118"/>
      <c r="E106" s="119"/>
      <c r="F106" s="39"/>
      <c r="G106" s="39"/>
      <c r="H106" s="117"/>
      <c r="I106" s="117"/>
      <c r="J106" s="117"/>
    </row>
    <row r="107" spans="2:10" ht="14.45" customHeight="1">
      <c r="B107" s="111"/>
      <c r="C107" s="111"/>
      <c r="D107" s="111"/>
      <c r="F107" s="39"/>
      <c r="G107" s="39"/>
      <c r="H107" s="117"/>
      <c r="I107" s="117"/>
      <c r="J107" s="117"/>
    </row>
    <row r="108" spans="2:10" ht="14.45" customHeight="1">
      <c r="B108" s="116"/>
      <c r="C108" s="116"/>
      <c r="D108" s="116"/>
      <c r="F108" s="39"/>
      <c r="G108" s="39"/>
      <c r="H108" s="117"/>
      <c r="I108" s="117"/>
      <c r="J108" s="117"/>
    </row>
    <row r="109" spans="2:10" ht="14.45" customHeight="1">
      <c r="B109" s="116"/>
      <c r="C109" s="116"/>
      <c r="D109" s="116"/>
      <c r="F109" s="39"/>
      <c r="G109" s="39"/>
      <c r="H109" s="117"/>
      <c r="I109" s="117"/>
      <c r="J109" s="117"/>
    </row>
    <row r="110" spans="2:10" ht="14.45" customHeight="1">
      <c r="B110" s="116"/>
      <c r="C110" s="116"/>
      <c r="D110" s="116"/>
      <c r="F110" s="39"/>
      <c r="G110" s="39"/>
      <c r="H110" s="117"/>
      <c r="I110" s="117"/>
      <c r="J110" s="117"/>
    </row>
    <row r="111" spans="2:10" ht="14.45" customHeight="1">
      <c r="B111" s="116"/>
      <c r="C111" s="116"/>
      <c r="D111" s="116"/>
      <c r="F111" s="39"/>
      <c r="G111" s="39"/>
      <c r="H111" s="117"/>
      <c r="I111" s="117"/>
      <c r="J111" s="117"/>
    </row>
    <row r="112" spans="2:10" ht="14.45" customHeight="1">
      <c r="B112" s="111"/>
      <c r="C112" s="111"/>
      <c r="D112" s="111"/>
      <c r="F112" s="39"/>
      <c r="G112" s="39"/>
      <c r="H112" s="117"/>
      <c r="I112" s="117"/>
      <c r="J112" s="117"/>
    </row>
    <row r="113" spans="6:10" ht="14.45" customHeight="1">
      <c r="F113" s="39"/>
      <c r="G113" s="39"/>
      <c r="H113" s="117"/>
      <c r="I113" s="117"/>
      <c r="J113" s="117"/>
    </row>
    <row r="114" spans="6:10" ht="14.45" customHeight="1">
      <c r="F114" s="39"/>
      <c r="G114" s="39"/>
      <c r="H114" s="117"/>
      <c r="I114" s="117"/>
      <c r="J114" s="117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Manager/>
  <Company>USDOT\NHTSA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 McKoy</dc:creator>
  <cp:keywords/>
  <dc:description/>
  <cp:lastModifiedBy>Moore, Vanessa (NHTSA)</cp:lastModifiedBy>
  <cp:revision/>
  <dcterms:created xsi:type="dcterms:W3CDTF">2007-06-14T17:31:50Z</dcterms:created>
  <dcterms:modified xsi:type="dcterms:W3CDTF">2023-01-24T19:45:12Z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