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htsa-nvsfile.ad.dot.gov\NVS\data\Rulemaking\NCAPDATA\Web Database and media files\2022 web and docket data\"/>
    </mc:Choice>
  </mc:AlternateContent>
  <xr:revisionPtr revIDLastSave="0" documentId="8_{883D65CC-1E85-40DC-A750-2CC58F7CB586}" xr6:coauthVersionLast="47" xr6:coauthVersionMax="47" xr10:uidLastSave="{00000000-0000-0000-0000-000000000000}"/>
  <bookViews>
    <workbookView xWindow="3420" yWindow="180" windowWidth="26715" windowHeight="19860" tabRatio="454" activeTab="4" xr2:uid="{00000000-000D-0000-FFFF-FFFF00000000}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4" l="1"/>
  <c r="H13" i="24" s="1"/>
  <c r="I13" i="24" s="1"/>
  <c r="G12" i="24"/>
  <c r="H12" i="24" s="1"/>
  <c r="I12" i="24" s="1"/>
  <c r="D13" i="31"/>
  <c r="C13" i="31"/>
  <c r="B13" i="31"/>
  <c r="D12" i="31"/>
  <c r="C12" i="31"/>
  <c r="B12" i="31"/>
  <c r="M13" i="29"/>
  <c r="L13" i="29"/>
  <c r="N13" i="29" s="1"/>
  <c r="O13" i="29" s="1"/>
  <c r="P13" i="29" s="1"/>
  <c r="K13" i="31" s="1"/>
  <c r="F13" i="29"/>
  <c r="D13" i="29"/>
  <c r="C13" i="29"/>
  <c r="M12" i="29"/>
  <c r="L12" i="29"/>
  <c r="F12" i="29"/>
  <c r="D12" i="29"/>
  <c r="C12" i="29"/>
  <c r="V13" i="22"/>
  <c r="U13" i="22"/>
  <c r="T13" i="22"/>
  <c r="S13" i="22"/>
  <c r="R13" i="22"/>
  <c r="Q13" i="22"/>
  <c r="F13" i="22"/>
  <c r="D13" i="22"/>
  <c r="C13" i="22"/>
  <c r="V12" i="22"/>
  <c r="U12" i="22"/>
  <c r="T12" i="22"/>
  <c r="S12" i="22"/>
  <c r="R12" i="22"/>
  <c r="Q12" i="22"/>
  <c r="F12" i="22"/>
  <c r="D12" i="22"/>
  <c r="C12" i="22"/>
  <c r="AO13" i="21"/>
  <c r="AN13" i="21"/>
  <c r="AL13" i="21"/>
  <c r="AM13" i="21" s="1"/>
  <c r="AJ13" i="21"/>
  <c r="AI13" i="21"/>
  <c r="AH13" i="21"/>
  <c r="AG13" i="21"/>
  <c r="AE13" i="21"/>
  <c r="AD13" i="21"/>
  <c r="AB13" i="21"/>
  <c r="AC13" i="21" s="1"/>
  <c r="Z13" i="21"/>
  <c r="Y13" i="21"/>
  <c r="X13" i="21"/>
  <c r="W13" i="21"/>
  <c r="F13" i="21"/>
  <c r="D13" i="21"/>
  <c r="C13" i="21"/>
  <c r="AO12" i="21"/>
  <c r="AN12" i="21"/>
  <c r="AL12" i="21"/>
  <c r="AM12" i="21" s="1"/>
  <c r="AJ12" i="21"/>
  <c r="AI12" i="21"/>
  <c r="AH12" i="21"/>
  <c r="AG12" i="21"/>
  <c r="AE12" i="21"/>
  <c r="AD12" i="21"/>
  <c r="AB12" i="21"/>
  <c r="AC12" i="21" s="1"/>
  <c r="Z12" i="21"/>
  <c r="Y12" i="21"/>
  <c r="X12" i="21"/>
  <c r="W12" i="21"/>
  <c r="F12" i="21"/>
  <c r="D12" i="21"/>
  <c r="C12" i="21"/>
  <c r="D8" i="31"/>
  <c r="C8" i="31"/>
  <c r="B8" i="31"/>
  <c r="D7" i="31"/>
  <c r="C7" i="31"/>
  <c r="B7" i="31"/>
  <c r="D6" i="31"/>
  <c r="C6" i="31"/>
  <c r="B6" i="31"/>
  <c r="D5" i="31"/>
  <c r="C5" i="31"/>
  <c r="B5" i="31"/>
  <c r="M8" i="29"/>
  <c r="L8" i="29"/>
  <c r="F8" i="29"/>
  <c r="D8" i="29"/>
  <c r="C8" i="29"/>
  <c r="M7" i="29"/>
  <c r="L7" i="29"/>
  <c r="F7" i="29"/>
  <c r="D7" i="29"/>
  <c r="C7" i="29"/>
  <c r="M6" i="29"/>
  <c r="L6" i="29"/>
  <c r="F6" i="29"/>
  <c r="D6" i="29"/>
  <c r="C6" i="29"/>
  <c r="M5" i="29"/>
  <c r="L5" i="29"/>
  <c r="F5" i="29"/>
  <c r="D5" i="29"/>
  <c r="C5" i="29"/>
  <c r="V8" i="22"/>
  <c r="U8" i="22"/>
  <c r="T8" i="22"/>
  <c r="S8" i="22"/>
  <c r="R8" i="22"/>
  <c r="Q8" i="22"/>
  <c r="F8" i="22"/>
  <c r="D8" i="22"/>
  <c r="C8" i="22"/>
  <c r="V7" i="22"/>
  <c r="U7" i="22"/>
  <c r="T7" i="22"/>
  <c r="S7" i="22"/>
  <c r="R7" i="22"/>
  <c r="Q7" i="22"/>
  <c r="F7" i="22"/>
  <c r="D7" i="22"/>
  <c r="C7" i="22"/>
  <c r="V6" i="22"/>
  <c r="U6" i="22"/>
  <c r="T6" i="22"/>
  <c r="S6" i="22"/>
  <c r="R6" i="22"/>
  <c r="Q6" i="22"/>
  <c r="F6" i="22"/>
  <c r="D6" i="22"/>
  <c r="C6" i="22"/>
  <c r="V5" i="22"/>
  <c r="U5" i="22"/>
  <c r="T5" i="22"/>
  <c r="S5" i="22"/>
  <c r="R5" i="22"/>
  <c r="Q5" i="22"/>
  <c r="F5" i="22"/>
  <c r="D5" i="22"/>
  <c r="C5" i="22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C8" i="21"/>
  <c r="AO7" i="21"/>
  <c r="AN7" i="21"/>
  <c r="AL7" i="21"/>
  <c r="AM7" i="21" s="1"/>
  <c r="AJ7" i="21"/>
  <c r="AI7" i="21"/>
  <c r="AH7" i="21"/>
  <c r="AG7" i="21"/>
  <c r="AE7" i="21"/>
  <c r="AD7" i="21"/>
  <c r="AB7" i="21"/>
  <c r="AC7" i="21" s="1"/>
  <c r="Z7" i="21"/>
  <c r="Y7" i="21"/>
  <c r="X7" i="21"/>
  <c r="W7" i="21"/>
  <c r="F7" i="21"/>
  <c r="D7" i="21"/>
  <c r="C7" i="21"/>
  <c r="AO6" i="21"/>
  <c r="AN6" i="21"/>
  <c r="AL6" i="21"/>
  <c r="AM6" i="21" s="1"/>
  <c r="AJ6" i="21"/>
  <c r="AI6" i="21"/>
  <c r="AH6" i="21"/>
  <c r="AG6" i="21"/>
  <c r="AE6" i="21"/>
  <c r="AD6" i="21"/>
  <c r="AB6" i="21"/>
  <c r="AC6" i="21" s="1"/>
  <c r="Z6" i="21"/>
  <c r="Y6" i="21"/>
  <c r="X6" i="21"/>
  <c r="W6" i="21"/>
  <c r="F6" i="21"/>
  <c r="D6" i="21"/>
  <c r="C6" i="21"/>
  <c r="AO5" i="21"/>
  <c r="AN5" i="21"/>
  <c r="AL5" i="21"/>
  <c r="AM5" i="21" s="1"/>
  <c r="AJ5" i="21"/>
  <c r="AI5" i="21"/>
  <c r="AH5" i="21"/>
  <c r="AG5" i="21"/>
  <c r="AE5" i="21"/>
  <c r="AD5" i="21"/>
  <c r="AB5" i="21"/>
  <c r="AC5" i="21" s="1"/>
  <c r="Z5" i="21"/>
  <c r="Y5" i="21"/>
  <c r="X5" i="21"/>
  <c r="W5" i="21"/>
  <c r="F5" i="21"/>
  <c r="D5" i="21"/>
  <c r="C5" i="21"/>
  <c r="G8" i="24"/>
  <c r="H8" i="24" s="1"/>
  <c r="I8" i="24" s="1"/>
  <c r="J8" i="24" s="1"/>
  <c r="N8" i="31" s="1"/>
  <c r="G7" i="24"/>
  <c r="H7" i="24" s="1"/>
  <c r="I7" i="24" s="1"/>
  <c r="J7" i="24" s="1"/>
  <c r="N7" i="31" s="1"/>
  <c r="G6" i="24"/>
  <c r="H6" i="24" s="1"/>
  <c r="I6" i="24" s="1"/>
  <c r="J6" i="24" s="1"/>
  <c r="N6" i="31" s="1"/>
  <c r="G5" i="24"/>
  <c r="H5" i="24" s="1"/>
  <c r="I5" i="24" s="1"/>
  <c r="J5" i="24" s="1"/>
  <c r="N5" i="31" s="1"/>
  <c r="N12" i="29" l="1"/>
  <c r="O12" i="29" s="1"/>
  <c r="P12" i="29" s="1"/>
  <c r="K12" i="31" s="1"/>
  <c r="X6" i="22"/>
  <c r="AA6" i="22" s="1"/>
  <c r="AD6" i="22" s="1"/>
  <c r="I6" i="31" s="1"/>
  <c r="W13" i="22"/>
  <c r="Q13" i="29" s="1"/>
  <c r="R13" i="29" s="1"/>
  <c r="S13" i="29" s="1"/>
  <c r="L13" i="31" s="1"/>
  <c r="X12" i="22"/>
  <c r="AA12" i="22" s="1"/>
  <c r="AD12" i="22" s="1"/>
  <c r="I12" i="31" s="1"/>
  <c r="X13" i="22"/>
  <c r="AA13" i="22" s="1"/>
  <c r="AD13" i="22" s="1"/>
  <c r="I13" i="31" s="1"/>
  <c r="W12" i="22"/>
  <c r="AP12" i="21"/>
  <c r="AF12" i="21"/>
  <c r="AP13" i="21"/>
  <c r="AF13" i="21"/>
  <c r="AA12" i="21"/>
  <c r="AK12" i="21"/>
  <c r="AA13" i="21"/>
  <c r="AK13" i="21"/>
  <c r="J13" i="24"/>
  <c r="N13" i="31" s="1"/>
  <c r="J12" i="24"/>
  <c r="N12" i="31" s="1"/>
  <c r="N8" i="29"/>
  <c r="X5" i="22"/>
  <c r="AA5" i="22" s="1"/>
  <c r="AD5" i="22" s="1"/>
  <c r="I5" i="31" s="1"/>
  <c r="W5" i="22"/>
  <c r="Z5" i="22" s="1"/>
  <c r="AC5" i="22" s="1"/>
  <c r="H5" i="31" s="1"/>
  <c r="AF6" i="21"/>
  <c r="AP7" i="21"/>
  <c r="AF8" i="21"/>
  <c r="AA6" i="21"/>
  <c r="AF5" i="21"/>
  <c r="AP6" i="21"/>
  <c r="AK8" i="21"/>
  <c r="N5" i="29"/>
  <c r="O5" i="29" s="1"/>
  <c r="P5" i="29" s="1"/>
  <c r="K5" i="31" s="1"/>
  <c r="X7" i="22"/>
  <c r="AA7" i="22" s="1"/>
  <c r="AD7" i="22" s="1"/>
  <c r="I7" i="31" s="1"/>
  <c r="X8" i="22"/>
  <c r="AA8" i="22" s="1"/>
  <c r="AD8" i="22" s="1"/>
  <c r="I8" i="31" s="1"/>
  <c r="AA5" i="21"/>
  <c r="AK5" i="21"/>
  <c r="AK6" i="21"/>
  <c r="AA7" i="21"/>
  <c r="AP5" i="21"/>
  <c r="AK7" i="21"/>
  <c r="AA8" i="21"/>
  <c r="AF7" i="21"/>
  <c r="AP8" i="21"/>
  <c r="N7" i="29"/>
  <c r="O7" i="29" s="1"/>
  <c r="P7" i="29" s="1"/>
  <c r="K7" i="31" s="1"/>
  <c r="N6" i="29"/>
  <c r="W6" i="22"/>
  <c r="W7" i="22"/>
  <c r="Z7" i="22" s="1"/>
  <c r="AC7" i="22" s="1"/>
  <c r="H7" i="31" s="1"/>
  <c r="W8" i="22"/>
  <c r="Z8" i="22" s="1"/>
  <c r="AC8" i="22" s="1"/>
  <c r="H8" i="31" s="1"/>
  <c r="Z13" i="22" l="1"/>
  <c r="AC13" i="22" s="1"/>
  <c r="H13" i="31" s="1"/>
  <c r="Y13" i="22"/>
  <c r="AB13" i="22" s="1"/>
  <c r="AE13" i="22" s="1"/>
  <c r="J13" i="31" s="1"/>
  <c r="AR12" i="21"/>
  <c r="AS12" i="21" s="1"/>
  <c r="AV12" i="21" s="1"/>
  <c r="Y6" i="22"/>
  <c r="AB6" i="22" s="1"/>
  <c r="AE6" i="22" s="1"/>
  <c r="J6" i="31" s="1"/>
  <c r="Q8" i="29"/>
  <c r="R8" i="29" s="1"/>
  <c r="S8" i="29" s="1"/>
  <c r="L8" i="31" s="1"/>
  <c r="T12" i="29"/>
  <c r="U12" i="29" s="1"/>
  <c r="V12" i="29" s="1"/>
  <c r="M12" i="31" s="1"/>
  <c r="Y12" i="22"/>
  <c r="AB12" i="22" s="1"/>
  <c r="AE12" i="22" s="1"/>
  <c r="J12" i="31" s="1"/>
  <c r="Z12" i="22"/>
  <c r="AC12" i="22" s="1"/>
  <c r="H12" i="31" s="1"/>
  <c r="Q12" i="29"/>
  <c r="R12" i="29" s="1"/>
  <c r="S12" i="29" s="1"/>
  <c r="L12" i="31" s="1"/>
  <c r="T13" i="29"/>
  <c r="U13" i="29" s="1"/>
  <c r="V13" i="29" s="1"/>
  <c r="M13" i="31" s="1"/>
  <c r="AQ12" i="21"/>
  <c r="AT12" i="21" s="1"/>
  <c r="AW12" i="21" s="1"/>
  <c r="E12" i="31" s="1"/>
  <c r="AQ13" i="21"/>
  <c r="AT13" i="21" s="1"/>
  <c r="AW13" i="21" s="1"/>
  <c r="E13" i="31" s="1"/>
  <c r="AR13" i="21"/>
  <c r="AS13" i="21" s="1"/>
  <c r="AV13" i="21" s="1"/>
  <c r="AQ7" i="21"/>
  <c r="AT7" i="21" s="1"/>
  <c r="AW7" i="21" s="1"/>
  <c r="E7" i="31" s="1"/>
  <c r="O8" i="29"/>
  <c r="P8" i="29" s="1"/>
  <c r="K8" i="31" s="1"/>
  <c r="T5" i="29"/>
  <c r="U5" i="29" s="1"/>
  <c r="V5" i="29" s="1"/>
  <c r="M5" i="31" s="1"/>
  <c r="Q5" i="29"/>
  <c r="R5" i="29" s="1"/>
  <c r="S5" i="29" s="1"/>
  <c r="L5" i="31" s="1"/>
  <c r="Y5" i="22"/>
  <c r="AB5" i="22" s="1"/>
  <c r="AE5" i="22" s="1"/>
  <c r="J5" i="31" s="1"/>
  <c r="T8" i="29"/>
  <c r="U8" i="29" s="1"/>
  <c r="V8" i="29" s="1"/>
  <c r="M8" i="31" s="1"/>
  <c r="AQ6" i="21"/>
  <c r="AT6" i="21" s="1"/>
  <c r="AW6" i="21" s="1"/>
  <c r="E6" i="31" s="1"/>
  <c r="AR6" i="21"/>
  <c r="AU6" i="21" s="1"/>
  <c r="AX6" i="21" s="1"/>
  <c r="F6" i="31" s="1"/>
  <c r="AR7" i="21"/>
  <c r="AU7" i="21" s="1"/>
  <c r="AX7" i="21" s="1"/>
  <c r="F7" i="31" s="1"/>
  <c r="AQ8" i="21"/>
  <c r="AT8" i="21" s="1"/>
  <c r="AW8" i="21" s="1"/>
  <c r="E8" i="31" s="1"/>
  <c r="AQ5" i="21"/>
  <c r="AT5" i="21" s="1"/>
  <c r="AW5" i="21" s="1"/>
  <c r="E5" i="31" s="1"/>
  <c r="AR5" i="21"/>
  <c r="AR8" i="21"/>
  <c r="AU8" i="21" s="1"/>
  <c r="AX8" i="21" s="1"/>
  <c r="F8" i="31" s="1"/>
  <c r="Y8" i="22"/>
  <c r="AB8" i="22" s="1"/>
  <c r="AE8" i="22" s="1"/>
  <c r="J8" i="31" s="1"/>
  <c r="T6" i="29"/>
  <c r="U6" i="29" s="1"/>
  <c r="V6" i="29" s="1"/>
  <c r="M6" i="31" s="1"/>
  <c r="O6" i="29"/>
  <c r="P6" i="29" s="1"/>
  <c r="K6" i="31" s="1"/>
  <c r="Q6" i="29"/>
  <c r="R6" i="29" s="1"/>
  <c r="S6" i="29" s="1"/>
  <c r="L6" i="31" s="1"/>
  <c r="Y7" i="22"/>
  <c r="AB7" i="22" s="1"/>
  <c r="AE7" i="22" s="1"/>
  <c r="J7" i="31" s="1"/>
  <c r="Z6" i="22"/>
  <c r="AC6" i="22" s="1"/>
  <c r="H6" i="31" s="1"/>
  <c r="Q7" i="29"/>
  <c r="R7" i="29" s="1"/>
  <c r="S7" i="29" s="1"/>
  <c r="L7" i="31" s="1"/>
  <c r="T7" i="29"/>
  <c r="U7" i="29" s="1"/>
  <c r="AU13" i="21" l="1"/>
  <c r="AX13" i="21" s="1"/>
  <c r="F13" i="31" s="1"/>
  <c r="AU12" i="21"/>
  <c r="AX12" i="21" s="1"/>
  <c r="F12" i="31" s="1"/>
  <c r="AS5" i="21"/>
  <c r="AV5" i="21" s="1"/>
  <c r="AY5" i="21" s="1"/>
  <c r="G5" i="31" s="1"/>
  <c r="AY13" i="21"/>
  <c r="G13" i="31" s="1"/>
  <c r="O13" i="31"/>
  <c r="P13" i="31" s="1"/>
  <c r="AY12" i="21"/>
  <c r="G12" i="31" s="1"/>
  <c r="O12" i="31"/>
  <c r="P12" i="31" s="1"/>
  <c r="AS6" i="21"/>
  <c r="AV6" i="21" s="1"/>
  <c r="AY6" i="21" s="1"/>
  <c r="G6" i="31" s="1"/>
  <c r="AS7" i="21"/>
  <c r="AV7" i="21" s="1"/>
  <c r="AY7" i="21" s="1"/>
  <c r="G7" i="31" s="1"/>
  <c r="AU5" i="21"/>
  <c r="AX5" i="21" s="1"/>
  <c r="F5" i="31" s="1"/>
  <c r="AS8" i="21"/>
  <c r="AV8" i="21" s="1"/>
  <c r="AY8" i="21" s="1"/>
  <c r="G8" i="31" s="1"/>
  <c r="V7" i="29"/>
  <c r="M7" i="31" s="1"/>
  <c r="O5" i="31" l="1"/>
  <c r="P5" i="31" s="1"/>
  <c r="O6" i="31"/>
  <c r="P6" i="31" s="1"/>
  <c r="O7" i="31"/>
  <c r="P7" i="31" s="1"/>
  <c r="O8" i="31"/>
  <c r="P8" i="31" s="1"/>
  <c r="M38" i="29" l="1"/>
  <c r="L38" i="29"/>
  <c r="M37" i="29"/>
  <c r="L37" i="29"/>
  <c r="V38" i="22"/>
  <c r="U38" i="22"/>
  <c r="T38" i="22"/>
  <c r="S38" i="22"/>
  <c r="R38" i="22"/>
  <c r="Q38" i="22"/>
  <c r="V37" i="22"/>
  <c r="U37" i="22"/>
  <c r="T37" i="22"/>
  <c r="S37" i="22"/>
  <c r="R37" i="22"/>
  <c r="Q37" i="22"/>
  <c r="N38" i="29" l="1"/>
  <c r="O38" i="29" s="1"/>
  <c r="P38" i="29" s="1"/>
  <c r="K38" i="31" s="1"/>
  <c r="X38" i="22"/>
  <c r="AA38" i="22" s="1"/>
  <c r="AD38" i="22" s="1"/>
  <c r="I38" i="31" s="1"/>
  <c r="N37" i="29"/>
  <c r="O37" i="29" s="1"/>
  <c r="P37" i="29" s="1"/>
  <c r="K37" i="31" s="1"/>
  <c r="W38" i="22"/>
  <c r="W37" i="22"/>
  <c r="X37" i="22"/>
  <c r="AA37" i="22" s="1"/>
  <c r="AD37" i="22" s="1"/>
  <c r="I37" i="31" s="1"/>
  <c r="Y38" i="22" l="1"/>
  <c r="AB38" i="22" s="1"/>
  <c r="AE38" i="22" s="1"/>
  <c r="J38" i="31" s="1"/>
  <c r="Q37" i="29"/>
  <c r="R37" i="29" s="1"/>
  <c r="S37" i="29" s="1"/>
  <c r="L37" i="31" s="1"/>
  <c r="Z37" i="22"/>
  <c r="AC37" i="22" s="1"/>
  <c r="H37" i="31" s="1"/>
  <c r="Y37" i="22"/>
  <c r="AB37" i="22" s="1"/>
  <c r="AE37" i="22" s="1"/>
  <c r="J37" i="31" s="1"/>
  <c r="Q38" i="29"/>
  <c r="R38" i="29" s="1"/>
  <c r="S38" i="29" s="1"/>
  <c r="L38" i="31" s="1"/>
  <c r="T38" i="29"/>
  <c r="U38" i="29" s="1"/>
  <c r="V38" i="29" s="1"/>
  <c r="M38" i="31" s="1"/>
  <c r="Z38" i="22"/>
  <c r="AC38" i="22" s="1"/>
  <c r="H38" i="31" s="1"/>
  <c r="T37" i="29"/>
  <c r="U37" i="29" s="1"/>
  <c r="V37" i="29" s="1"/>
  <c r="M37" i="31" s="1"/>
  <c r="G37" i="24" l="1"/>
  <c r="H37" i="24" s="1"/>
  <c r="I37" i="24" s="1"/>
  <c r="J37" i="24" s="1"/>
  <c r="N37" i="31" s="1"/>
  <c r="G38" i="24"/>
  <c r="H38" i="24" s="1"/>
  <c r="I38" i="24" s="1"/>
  <c r="J38" i="24" s="1"/>
  <c r="N38" i="31" s="1"/>
  <c r="B37" i="31"/>
  <c r="C37" i="31"/>
  <c r="D37" i="31"/>
  <c r="B38" i="31"/>
  <c r="C38" i="31"/>
  <c r="D38" i="31"/>
  <c r="C37" i="29"/>
  <c r="D37" i="29"/>
  <c r="F37" i="29"/>
  <c r="C38" i="29"/>
  <c r="D38" i="29"/>
  <c r="F38" i="29"/>
  <c r="C37" i="22"/>
  <c r="D37" i="22"/>
  <c r="F37" i="22"/>
  <c r="C38" i="22"/>
  <c r="D38" i="22"/>
  <c r="F38" i="22"/>
  <c r="W37" i="21"/>
  <c r="X37" i="21"/>
  <c r="Y37" i="21"/>
  <c r="Z37" i="21"/>
  <c r="AB37" i="21"/>
  <c r="AC37" i="21" s="1"/>
  <c r="AD37" i="21"/>
  <c r="AE37" i="21"/>
  <c r="AG37" i="21"/>
  <c r="AH37" i="21"/>
  <c r="AI37" i="21"/>
  <c r="AJ37" i="21"/>
  <c r="AL37" i="21"/>
  <c r="AM37" i="21" s="1"/>
  <c r="AN37" i="21"/>
  <c r="AO37" i="21"/>
  <c r="W38" i="21"/>
  <c r="X38" i="21"/>
  <c r="Y38" i="21"/>
  <c r="Z38" i="21"/>
  <c r="AB38" i="21"/>
  <c r="AC38" i="21" s="1"/>
  <c r="AD38" i="21"/>
  <c r="AE38" i="21"/>
  <c r="AG38" i="21"/>
  <c r="AH38" i="21"/>
  <c r="AI38" i="21"/>
  <c r="AJ38" i="21"/>
  <c r="AL38" i="21"/>
  <c r="AM38" i="21" s="1"/>
  <c r="AN38" i="21"/>
  <c r="AO38" i="21"/>
  <c r="F37" i="21"/>
  <c r="F38" i="21"/>
  <c r="C37" i="21"/>
  <c r="D37" i="21"/>
  <c r="C38" i="21"/>
  <c r="D38" i="21"/>
  <c r="D36" i="31"/>
  <c r="C36" i="31"/>
  <c r="B36" i="31"/>
  <c r="D35" i="31"/>
  <c r="C35" i="31"/>
  <c r="B35" i="31"/>
  <c r="M36" i="29"/>
  <c r="L36" i="29"/>
  <c r="F36" i="29"/>
  <c r="D36" i="29"/>
  <c r="C36" i="29"/>
  <c r="M35" i="29"/>
  <c r="L35" i="29"/>
  <c r="F35" i="29"/>
  <c r="D35" i="29"/>
  <c r="C35" i="29"/>
  <c r="V36" i="22"/>
  <c r="U36" i="22"/>
  <c r="T36" i="22"/>
  <c r="S36" i="22"/>
  <c r="R36" i="22"/>
  <c r="Q36" i="22"/>
  <c r="F36" i="22"/>
  <c r="D36" i="22"/>
  <c r="C36" i="22"/>
  <c r="V35" i="22"/>
  <c r="U35" i="22"/>
  <c r="T35" i="22"/>
  <c r="S35" i="22"/>
  <c r="R35" i="22"/>
  <c r="Q35" i="22"/>
  <c r="F35" i="22"/>
  <c r="D35" i="22"/>
  <c r="C35" i="22"/>
  <c r="AO36" i="21"/>
  <c r="AN36" i="21"/>
  <c r="AL36" i="21"/>
  <c r="AM36" i="21" s="1"/>
  <c r="AJ36" i="21"/>
  <c r="AI36" i="21"/>
  <c r="AH36" i="21"/>
  <c r="AG36" i="21"/>
  <c r="AE36" i="21"/>
  <c r="AD36" i="21"/>
  <c r="AB36" i="21"/>
  <c r="AC36" i="21" s="1"/>
  <c r="Z36" i="21"/>
  <c r="Y36" i="21"/>
  <c r="X36" i="21"/>
  <c r="W36" i="21"/>
  <c r="F36" i="21"/>
  <c r="D36" i="21"/>
  <c r="C36" i="21"/>
  <c r="AO35" i="21"/>
  <c r="AN35" i="21"/>
  <c r="AL35" i="21"/>
  <c r="AM35" i="21" s="1"/>
  <c r="AJ35" i="21"/>
  <c r="AI35" i="21"/>
  <c r="AH35" i="21"/>
  <c r="AG35" i="21"/>
  <c r="AE35" i="21"/>
  <c r="AD35" i="21"/>
  <c r="AB35" i="21"/>
  <c r="AC35" i="21" s="1"/>
  <c r="Z35" i="21"/>
  <c r="Y35" i="21"/>
  <c r="X35" i="21"/>
  <c r="W35" i="21"/>
  <c r="F35" i="21"/>
  <c r="D35" i="21"/>
  <c r="C35" i="21"/>
  <c r="G36" i="24"/>
  <c r="H36" i="24" s="1"/>
  <c r="I36" i="24" s="1"/>
  <c r="J36" i="24" s="1"/>
  <c r="N36" i="31" s="1"/>
  <c r="G35" i="24"/>
  <c r="H35" i="24" s="1"/>
  <c r="I35" i="24" s="1"/>
  <c r="J35" i="24" s="1"/>
  <c r="N35" i="31" s="1"/>
  <c r="W36" i="22" l="1"/>
  <c r="Z36" i="22" s="1"/>
  <c r="AC36" i="22" s="1"/>
  <c r="H36" i="31" s="1"/>
  <c r="AK38" i="21"/>
  <c r="AP37" i="21"/>
  <c r="AP36" i="21"/>
  <c r="AA36" i="21"/>
  <c r="AP35" i="21"/>
  <c r="AK37" i="21"/>
  <c r="X36" i="22"/>
  <c r="AA36" i="22" s="1"/>
  <c r="AD36" i="22" s="1"/>
  <c r="I36" i="31" s="1"/>
  <c r="AF38" i="21"/>
  <c r="AA35" i="21"/>
  <c r="AF37" i="21"/>
  <c r="AP38" i="21"/>
  <c r="AA38" i="21"/>
  <c r="AA37" i="21"/>
  <c r="AF36" i="21"/>
  <c r="X35" i="22"/>
  <c r="AA35" i="22" s="1"/>
  <c r="AD35" i="22" s="1"/>
  <c r="I35" i="31" s="1"/>
  <c r="AK36" i="21"/>
  <c r="AF35" i="21"/>
  <c r="W35" i="22"/>
  <c r="N36" i="29"/>
  <c r="AK35" i="21"/>
  <c r="N35" i="29"/>
  <c r="O35" i="29" s="1"/>
  <c r="P35" i="29" s="1"/>
  <c r="K35" i="31" s="1"/>
  <c r="D24" i="31"/>
  <c r="C24" i="31"/>
  <c r="B24" i="31"/>
  <c r="D23" i="31"/>
  <c r="C23" i="31"/>
  <c r="B23" i="31"/>
  <c r="D22" i="31"/>
  <c r="C22" i="31"/>
  <c r="B22" i="31"/>
  <c r="D21" i="31"/>
  <c r="C21" i="31"/>
  <c r="B21" i="31"/>
  <c r="M24" i="29"/>
  <c r="L24" i="29"/>
  <c r="F24" i="29"/>
  <c r="D24" i="29"/>
  <c r="C24" i="29"/>
  <c r="M23" i="29"/>
  <c r="L23" i="29"/>
  <c r="F23" i="29"/>
  <c r="D23" i="29"/>
  <c r="C23" i="29"/>
  <c r="M22" i="29"/>
  <c r="L22" i="29"/>
  <c r="F22" i="29"/>
  <c r="D22" i="29"/>
  <c r="C22" i="29"/>
  <c r="M21" i="29"/>
  <c r="L21" i="29"/>
  <c r="F21" i="29"/>
  <c r="D21" i="29"/>
  <c r="C21" i="29"/>
  <c r="V24" i="22"/>
  <c r="U24" i="22"/>
  <c r="T24" i="22"/>
  <c r="S24" i="22"/>
  <c r="R24" i="22"/>
  <c r="Q24" i="22"/>
  <c r="F24" i="22"/>
  <c r="D24" i="22"/>
  <c r="C24" i="22"/>
  <c r="V23" i="22"/>
  <c r="U23" i="22"/>
  <c r="T23" i="22"/>
  <c r="S23" i="22"/>
  <c r="R23" i="22"/>
  <c r="Q23" i="22"/>
  <c r="F23" i="22"/>
  <c r="D23" i="22"/>
  <c r="C23" i="22"/>
  <c r="V22" i="22"/>
  <c r="U22" i="22"/>
  <c r="T22" i="22"/>
  <c r="S22" i="22"/>
  <c r="R22" i="22"/>
  <c r="Q22" i="22"/>
  <c r="F22" i="22"/>
  <c r="D22" i="22"/>
  <c r="C22" i="22"/>
  <c r="V21" i="22"/>
  <c r="U21" i="22"/>
  <c r="T21" i="22"/>
  <c r="S21" i="22"/>
  <c r="R21" i="22"/>
  <c r="Q21" i="22"/>
  <c r="F21" i="22"/>
  <c r="D21" i="22"/>
  <c r="C21" i="22"/>
  <c r="AO24" i="21"/>
  <c r="AN24" i="21"/>
  <c r="AL24" i="21"/>
  <c r="AM24" i="21" s="1"/>
  <c r="AJ24" i="21"/>
  <c r="AI24" i="21"/>
  <c r="AH24" i="21"/>
  <c r="AG24" i="21"/>
  <c r="AE24" i="21"/>
  <c r="AD24" i="21"/>
  <c r="AB24" i="21"/>
  <c r="AC24" i="21" s="1"/>
  <c r="Z24" i="21"/>
  <c r="Y24" i="21"/>
  <c r="X24" i="21"/>
  <c r="W24" i="21"/>
  <c r="F24" i="21"/>
  <c r="D24" i="21"/>
  <c r="C24" i="21"/>
  <c r="AO23" i="21"/>
  <c r="AN23" i="21"/>
  <c r="AL23" i="21"/>
  <c r="AM23" i="21" s="1"/>
  <c r="AJ23" i="21"/>
  <c r="AI23" i="21"/>
  <c r="AH23" i="21"/>
  <c r="AG23" i="21"/>
  <c r="AE23" i="21"/>
  <c r="AD23" i="21"/>
  <c r="AB23" i="21"/>
  <c r="AC23" i="21" s="1"/>
  <c r="Z23" i="21"/>
  <c r="Y23" i="21"/>
  <c r="X23" i="21"/>
  <c r="W23" i="21"/>
  <c r="F23" i="21"/>
  <c r="D23" i="21"/>
  <c r="C23" i="21"/>
  <c r="AO22" i="21"/>
  <c r="AN22" i="21"/>
  <c r="AL22" i="21"/>
  <c r="AM22" i="21" s="1"/>
  <c r="AJ22" i="21"/>
  <c r="AI22" i="21"/>
  <c r="AH22" i="21"/>
  <c r="AG22" i="21"/>
  <c r="AE22" i="21"/>
  <c r="AD22" i="21"/>
  <c r="AB22" i="21"/>
  <c r="AC22" i="21" s="1"/>
  <c r="Z22" i="21"/>
  <c r="Y22" i="21"/>
  <c r="X22" i="21"/>
  <c r="W22" i="21"/>
  <c r="F22" i="21"/>
  <c r="D22" i="21"/>
  <c r="C22" i="21"/>
  <c r="AO21" i="21"/>
  <c r="AN21" i="21"/>
  <c r="AL21" i="21"/>
  <c r="AM21" i="21" s="1"/>
  <c r="AJ21" i="21"/>
  <c r="AI21" i="21"/>
  <c r="AH21" i="21"/>
  <c r="AG21" i="21"/>
  <c r="AE21" i="21"/>
  <c r="AD21" i="21"/>
  <c r="AB21" i="21"/>
  <c r="AC21" i="21" s="1"/>
  <c r="Z21" i="21"/>
  <c r="Y21" i="21"/>
  <c r="X21" i="21"/>
  <c r="W21" i="21"/>
  <c r="F21" i="21"/>
  <c r="D21" i="21"/>
  <c r="C21" i="21"/>
  <c r="G24" i="24"/>
  <c r="H24" i="24" s="1"/>
  <c r="I24" i="24" s="1"/>
  <c r="J24" i="24" s="1"/>
  <c r="N24" i="31" s="1"/>
  <c r="G23" i="24"/>
  <c r="H23" i="24" s="1"/>
  <c r="I23" i="24" s="1"/>
  <c r="J23" i="24" s="1"/>
  <c r="N23" i="31" s="1"/>
  <c r="G22" i="24"/>
  <c r="H22" i="24" s="1"/>
  <c r="I22" i="24" s="1"/>
  <c r="J22" i="24" s="1"/>
  <c r="N22" i="31" s="1"/>
  <c r="G21" i="24"/>
  <c r="H21" i="24" s="1"/>
  <c r="I21" i="24" s="1"/>
  <c r="J21" i="24" s="1"/>
  <c r="N21" i="31" s="1"/>
  <c r="AR37" i="21" l="1"/>
  <c r="AU37" i="21" s="1"/>
  <c r="AX37" i="21" s="1"/>
  <c r="F37" i="31" s="1"/>
  <c r="Y36" i="22"/>
  <c r="AB36" i="22" s="1"/>
  <c r="AE36" i="22" s="1"/>
  <c r="J36" i="31" s="1"/>
  <c r="AR38" i="21"/>
  <c r="N24" i="29"/>
  <c r="O24" i="29" s="1"/>
  <c r="P24" i="29" s="1"/>
  <c r="K24" i="31" s="1"/>
  <c r="AR36" i="21"/>
  <c r="AS36" i="21" s="1"/>
  <c r="AV36" i="21" s="1"/>
  <c r="AY36" i="21" s="1"/>
  <c r="G36" i="31" s="1"/>
  <c r="Q35" i="29"/>
  <c r="R35" i="29" s="1"/>
  <c r="S35" i="29" s="1"/>
  <c r="L35" i="31" s="1"/>
  <c r="AQ38" i="21"/>
  <c r="AT38" i="21" s="1"/>
  <c r="AW38" i="21" s="1"/>
  <c r="E38" i="31" s="1"/>
  <c r="AQ36" i="21"/>
  <c r="AT36" i="21" s="1"/>
  <c r="AW36" i="21" s="1"/>
  <c r="E36" i="31" s="1"/>
  <c r="AF22" i="21"/>
  <c r="AF24" i="21"/>
  <c r="N21" i="29"/>
  <c r="O21" i="29" s="1"/>
  <c r="P21" i="29" s="1"/>
  <c r="K21" i="31" s="1"/>
  <c r="AQ37" i="21"/>
  <c r="AT37" i="21" s="1"/>
  <c r="AW37" i="21" s="1"/>
  <c r="E37" i="31" s="1"/>
  <c r="AQ35" i="21"/>
  <c r="AT35" i="21" s="1"/>
  <c r="AW35" i="21" s="1"/>
  <c r="E35" i="31" s="1"/>
  <c r="N23" i="29"/>
  <c r="O23" i="29" s="1"/>
  <c r="P23" i="29" s="1"/>
  <c r="K23" i="31" s="1"/>
  <c r="AR35" i="21"/>
  <c r="AU35" i="21" s="1"/>
  <c r="AX35" i="21" s="1"/>
  <c r="F35" i="31" s="1"/>
  <c r="T36" i="29"/>
  <c r="U36" i="29" s="1"/>
  <c r="V36" i="29" s="1"/>
  <c r="M36" i="31" s="1"/>
  <c r="AP23" i="21"/>
  <c r="AF23" i="21"/>
  <c r="AK21" i="21"/>
  <c r="Z35" i="22"/>
  <c r="AC35" i="22" s="1"/>
  <c r="H35" i="31" s="1"/>
  <c r="Y35" i="22"/>
  <c r="AB35" i="22" s="1"/>
  <c r="AE35" i="22" s="1"/>
  <c r="J35" i="31" s="1"/>
  <c r="AF21" i="21"/>
  <c r="AP21" i="21"/>
  <c r="X22" i="22"/>
  <c r="AA22" i="22" s="1"/>
  <c r="AD22" i="22" s="1"/>
  <c r="I22" i="31" s="1"/>
  <c r="X23" i="22"/>
  <c r="AA23" i="22" s="1"/>
  <c r="AD23" i="22" s="1"/>
  <c r="I23" i="31" s="1"/>
  <c r="Q36" i="29"/>
  <c r="R36" i="29" s="1"/>
  <c r="S36" i="29" s="1"/>
  <c r="L36" i="31" s="1"/>
  <c r="T35" i="29"/>
  <c r="U35" i="29" s="1"/>
  <c r="V35" i="29" s="1"/>
  <c r="M35" i="31" s="1"/>
  <c r="AP24" i="21"/>
  <c r="AK22" i="21"/>
  <c r="AA23" i="21"/>
  <c r="AP22" i="21"/>
  <c r="O36" i="29"/>
  <c r="P36" i="29" s="1"/>
  <c r="K36" i="31" s="1"/>
  <c r="X24" i="22"/>
  <c r="AA24" i="22" s="1"/>
  <c r="AD24" i="22" s="1"/>
  <c r="I24" i="31" s="1"/>
  <c r="N22" i="29"/>
  <c r="O22" i="29" s="1"/>
  <c r="P22" i="29" s="1"/>
  <c r="K22" i="31" s="1"/>
  <c r="AA24" i="21"/>
  <c r="AK24" i="21"/>
  <c r="AK23" i="21"/>
  <c r="AA22" i="21"/>
  <c r="AA21" i="21"/>
  <c r="W24" i="22"/>
  <c r="W23" i="22"/>
  <c r="W22" i="22"/>
  <c r="Z22" i="22" s="1"/>
  <c r="AC22" i="22" s="1"/>
  <c r="H22" i="31" s="1"/>
  <c r="X21" i="22"/>
  <c r="AA21" i="22" s="1"/>
  <c r="AD21" i="22" s="1"/>
  <c r="I21" i="31" s="1"/>
  <c r="W21" i="22"/>
  <c r="Z21" i="22" s="1"/>
  <c r="AC21" i="22" s="1"/>
  <c r="H21" i="31" s="1"/>
  <c r="D28" i="31"/>
  <c r="C28" i="31"/>
  <c r="B28" i="31"/>
  <c r="M28" i="29"/>
  <c r="L28" i="29"/>
  <c r="F28" i="29"/>
  <c r="D28" i="29"/>
  <c r="C28" i="29"/>
  <c r="V28" i="22"/>
  <c r="U28" i="22"/>
  <c r="T28" i="22"/>
  <c r="S28" i="22"/>
  <c r="R28" i="22"/>
  <c r="Q28" i="22"/>
  <c r="F28" i="22"/>
  <c r="D28" i="22"/>
  <c r="C28" i="22"/>
  <c r="AO28" i="21"/>
  <c r="AN28" i="21"/>
  <c r="AL28" i="21"/>
  <c r="AM28" i="21" s="1"/>
  <c r="AJ28" i="21"/>
  <c r="AI28" i="21"/>
  <c r="AH28" i="21"/>
  <c r="AG28" i="21"/>
  <c r="AE28" i="21"/>
  <c r="AD28" i="21"/>
  <c r="AB28" i="21"/>
  <c r="AC28" i="21" s="1"/>
  <c r="Z28" i="21"/>
  <c r="Y28" i="21"/>
  <c r="X28" i="21"/>
  <c r="W28" i="21"/>
  <c r="F28" i="21"/>
  <c r="D28" i="21"/>
  <c r="C28" i="21"/>
  <c r="G28" i="24"/>
  <c r="H28" i="24" s="1"/>
  <c r="I28" i="24" s="1"/>
  <c r="J28" i="24" s="1"/>
  <c r="N28" i="31" s="1"/>
  <c r="Y23" i="22" l="1"/>
  <c r="AB23" i="22" s="1"/>
  <c r="AE23" i="22" s="1"/>
  <c r="J23" i="31" s="1"/>
  <c r="AR21" i="21"/>
  <c r="AU21" i="21" s="1"/>
  <c r="AX21" i="21" s="1"/>
  <c r="F21" i="31" s="1"/>
  <c r="AS38" i="21"/>
  <c r="AV38" i="21" s="1"/>
  <c r="AY38" i="21" s="1"/>
  <c r="G38" i="31" s="1"/>
  <c r="AU38" i="21"/>
  <c r="AX38" i="21" s="1"/>
  <c r="F38" i="31" s="1"/>
  <c r="AQ23" i="21"/>
  <c r="AT23" i="21" s="1"/>
  <c r="AW23" i="21" s="1"/>
  <c r="E23" i="31" s="1"/>
  <c r="AU36" i="21"/>
  <c r="AX36" i="21" s="1"/>
  <c r="F36" i="31" s="1"/>
  <c r="O36" i="31"/>
  <c r="P36" i="31" s="1"/>
  <c r="AQ24" i="21"/>
  <c r="AT24" i="21" s="1"/>
  <c r="AW24" i="21" s="1"/>
  <c r="E24" i="31" s="1"/>
  <c r="AQ22" i="21"/>
  <c r="AT22" i="21" s="1"/>
  <c r="AW22" i="21" s="1"/>
  <c r="E22" i="31" s="1"/>
  <c r="AR23" i="21"/>
  <c r="AU23" i="21" s="1"/>
  <c r="AX23" i="21" s="1"/>
  <c r="F23" i="31" s="1"/>
  <c r="AP28" i="21"/>
  <c r="AQ21" i="21"/>
  <c r="AT21" i="21" s="1"/>
  <c r="AW21" i="21" s="1"/>
  <c r="E21" i="31" s="1"/>
  <c r="AS37" i="21"/>
  <c r="AV37" i="21" s="1"/>
  <c r="AY37" i="21" s="1"/>
  <c r="G37" i="31" s="1"/>
  <c r="AS35" i="21"/>
  <c r="AV35" i="21" s="1"/>
  <c r="AY35" i="21" s="1"/>
  <c r="G35" i="31" s="1"/>
  <c r="AR22" i="21"/>
  <c r="AU22" i="21" s="1"/>
  <c r="AX22" i="21" s="1"/>
  <c r="F22" i="31" s="1"/>
  <c r="AR24" i="21"/>
  <c r="AU24" i="21" s="1"/>
  <c r="AX24" i="21" s="1"/>
  <c r="F24" i="31" s="1"/>
  <c r="AF28" i="21"/>
  <c r="T24" i="29"/>
  <c r="U24" i="29" s="1"/>
  <c r="V24" i="29" s="1"/>
  <c r="M24" i="31" s="1"/>
  <c r="X28" i="22"/>
  <c r="AA28" i="22" s="1"/>
  <c r="AD28" i="22" s="1"/>
  <c r="I28" i="31" s="1"/>
  <c r="AA28" i="21"/>
  <c r="Y24" i="22"/>
  <c r="AB24" i="22" s="1"/>
  <c r="AE24" i="22" s="1"/>
  <c r="J24" i="31" s="1"/>
  <c r="Z24" i="22"/>
  <c r="AC24" i="22" s="1"/>
  <c r="H24" i="31" s="1"/>
  <c r="Q24" i="29"/>
  <c r="R24" i="29" s="1"/>
  <c r="S24" i="29" s="1"/>
  <c r="L24" i="31" s="1"/>
  <c r="T23" i="29"/>
  <c r="U23" i="29" s="1"/>
  <c r="Q23" i="29"/>
  <c r="R23" i="29" s="1"/>
  <c r="S23" i="29" s="1"/>
  <c r="L23" i="31" s="1"/>
  <c r="Z23" i="22"/>
  <c r="AC23" i="22" s="1"/>
  <c r="H23" i="31" s="1"/>
  <c r="T22" i="29"/>
  <c r="Q22" i="29"/>
  <c r="R22" i="29" s="1"/>
  <c r="S22" i="29" s="1"/>
  <c r="L22" i="31" s="1"/>
  <c r="Y22" i="22"/>
  <c r="AB22" i="22" s="1"/>
  <c r="AE22" i="22" s="1"/>
  <c r="J22" i="31" s="1"/>
  <c r="Q21" i="29"/>
  <c r="R21" i="29" s="1"/>
  <c r="S21" i="29" s="1"/>
  <c r="L21" i="31" s="1"/>
  <c r="Y21" i="22"/>
  <c r="AB21" i="22" s="1"/>
  <c r="AE21" i="22" s="1"/>
  <c r="J21" i="31" s="1"/>
  <c r="T21" i="29"/>
  <c r="U21" i="29" s="1"/>
  <c r="AK28" i="21"/>
  <c r="N28" i="29"/>
  <c r="O28" i="29" s="1"/>
  <c r="P28" i="29" s="1"/>
  <c r="K28" i="31" s="1"/>
  <c r="W28" i="22"/>
  <c r="Z28" i="22" s="1"/>
  <c r="AC28" i="22" s="1"/>
  <c r="H28" i="31" s="1"/>
  <c r="C4" i="21"/>
  <c r="C9" i="21"/>
  <c r="C10" i="21"/>
  <c r="C11" i="21"/>
  <c r="C14" i="21"/>
  <c r="C15" i="21"/>
  <c r="C16" i="21"/>
  <c r="C17" i="21"/>
  <c r="C18" i="21"/>
  <c r="C19" i="21"/>
  <c r="C20" i="21"/>
  <c r="C25" i="21"/>
  <c r="C26" i="21"/>
  <c r="C27" i="21"/>
  <c r="C29" i="21"/>
  <c r="C30" i="21"/>
  <c r="C31" i="21"/>
  <c r="C32" i="21"/>
  <c r="C33" i="21"/>
  <c r="C34" i="21"/>
  <c r="C39" i="21"/>
  <c r="C40" i="21"/>
  <c r="C41" i="21"/>
  <c r="C42" i="21"/>
  <c r="O38" i="31" l="1"/>
  <c r="P38" i="31" s="1"/>
  <c r="AS23" i="21"/>
  <c r="AV23" i="21" s="1"/>
  <c r="AY23" i="21" s="1"/>
  <c r="G23" i="31" s="1"/>
  <c r="AS21" i="21"/>
  <c r="AV21" i="21" s="1"/>
  <c r="AY21" i="21" s="1"/>
  <c r="G21" i="31" s="1"/>
  <c r="O37" i="31"/>
  <c r="P37" i="31" s="1"/>
  <c r="AR28" i="21"/>
  <c r="AU28" i="21" s="1"/>
  <c r="AX28" i="21" s="1"/>
  <c r="F28" i="31" s="1"/>
  <c r="AS24" i="21"/>
  <c r="AV24" i="21" s="1"/>
  <c r="AY24" i="21" s="1"/>
  <c r="G24" i="31" s="1"/>
  <c r="O35" i="31"/>
  <c r="P35" i="31" s="1"/>
  <c r="AS22" i="21"/>
  <c r="AV22" i="21" s="1"/>
  <c r="AY22" i="21" s="1"/>
  <c r="G22" i="31" s="1"/>
  <c r="AQ28" i="21"/>
  <c r="AT28" i="21" s="1"/>
  <c r="AW28" i="21" s="1"/>
  <c r="E28" i="31" s="1"/>
  <c r="Y28" i="22"/>
  <c r="AB28" i="22" s="1"/>
  <c r="AE28" i="22" s="1"/>
  <c r="J28" i="31" s="1"/>
  <c r="V23" i="29"/>
  <c r="M23" i="31" s="1"/>
  <c r="U22" i="29"/>
  <c r="V21" i="29"/>
  <c r="M21" i="31" s="1"/>
  <c r="T28" i="29"/>
  <c r="U28" i="29" s="1"/>
  <c r="V28" i="29" s="1"/>
  <c r="M28" i="31" s="1"/>
  <c r="Q28" i="29"/>
  <c r="R28" i="29" s="1"/>
  <c r="S28" i="29" s="1"/>
  <c r="L28" i="31" s="1"/>
  <c r="O21" i="31" l="1"/>
  <c r="P21" i="31" s="1"/>
  <c r="O23" i="31"/>
  <c r="P23" i="31" s="1"/>
  <c r="O22" i="31"/>
  <c r="P22" i="31" s="1"/>
  <c r="O24" i="31"/>
  <c r="P24" i="31" s="1"/>
  <c r="AS28" i="21"/>
  <c r="AV28" i="21" s="1"/>
  <c r="AY28" i="21" s="1"/>
  <c r="G28" i="31" s="1"/>
  <c r="V22" i="29"/>
  <c r="M22" i="31" s="1"/>
  <c r="F20" i="21"/>
  <c r="D20" i="31"/>
  <c r="C20" i="31"/>
  <c r="B20" i="31"/>
  <c r="B25" i="31"/>
  <c r="C25" i="31"/>
  <c r="D25" i="31"/>
  <c r="M20" i="29"/>
  <c r="L20" i="29"/>
  <c r="F20" i="29"/>
  <c r="D20" i="29"/>
  <c r="C20" i="29"/>
  <c r="V20" i="22"/>
  <c r="U20" i="22"/>
  <c r="T20" i="22"/>
  <c r="S20" i="22"/>
  <c r="R20" i="22"/>
  <c r="Q20" i="22"/>
  <c r="F20" i="22"/>
  <c r="D20" i="22"/>
  <c r="C20" i="22"/>
  <c r="AO20" i="21"/>
  <c r="AN20" i="21"/>
  <c r="AL20" i="21"/>
  <c r="AM20" i="21" s="1"/>
  <c r="AJ20" i="21"/>
  <c r="AI20" i="21"/>
  <c r="AH20" i="21"/>
  <c r="AG20" i="21"/>
  <c r="AE20" i="21"/>
  <c r="AD20" i="21"/>
  <c r="AB20" i="21"/>
  <c r="AC20" i="21" s="1"/>
  <c r="Z20" i="21"/>
  <c r="Y20" i="21"/>
  <c r="X20" i="21"/>
  <c r="W20" i="21"/>
  <c r="D20" i="21"/>
  <c r="G20" i="24"/>
  <c r="H20" i="24" s="1"/>
  <c r="I20" i="24" s="1"/>
  <c r="J20" i="24" s="1"/>
  <c r="N20" i="31" s="1"/>
  <c r="O28" i="31" l="1"/>
  <c r="P28" i="31" s="1"/>
  <c r="N20" i="29"/>
  <c r="O20" i="29" s="1"/>
  <c r="P20" i="29" s="1"/>
  <c r="K20" i="31" s="1"/>
  <c r="AF20" i="21"/>
  <c r="W20" i="22"/>
  <c r="X20" i="22"/>
  <c r="AA20" i="22" s="1"/>
  <c r="AD20" i="22" s="1"/>
  <c r="I20" i="31" s="1"/>
  <c r="AP20" i="21"/>
  <c r="AK20" i="21"/>
  <c r="AA20" i="21"/>
  <c r="D30" i="21"/>
  <c r="Q20" i="29" l="1"/>
  <c r="R20" i="29" s="1"/>
  <c r="S20" i="29" s="1"/>
  <c r="L20" i="31" s="1"/>
  <c r="AQ20" i="21"/>
  <c r="AT20" i="21" s="1"/>
  <c r="AW20" i="21" s="1"/>
  <c r="E20" i="31" s="1"/>
  <c r="Z20" i="22"/>
  <c r="AC20" i="22" s="1"/>
  <c r="H20" i="31" s="1"/>
  <c r="T20" i="29"/>
  <c r="U20" i="29" s="1"/>
  <c r="V20" i="29" s="1"/>
  <c r="M20" i="31" s="1"/>
  <c r="Y20" i="22"/>
  <c r="AB20" i="22" s="1"/>
  <c r="AE20" i="22" s="1"/>
  <c r="J20" i="31" s="1"/>
  <c r="AR20" i="21"/>
  <c r="AU20" i="21" s="1"/>
  <c r="AX20" i="21" s="1"/>
  <c r="F20" i="31" s="1"/>
  <c r="AS20" i="21" l="1"/>
  <c r="AV20" i="21" s="1"/>
  <c r="AY20" i="21" l="1"/>
  <c r="G20" i="31" s="1"/>
  <c r="O20" i="31"/>
  <c r="P20" i="31" s="1"/>
  <c r="D32" i="31"/>
  <c r="C32" i="31"/>
  <c r="B32" i="31"/>
  <c r="D31" i="31"/>
  <c r="C31" i="31"/>
  <c r="B31" i="31"/>
  <c r="M32" i="29"/>
  <c r="L32" i="29"/>
  <c r="F32" i="29"/>
  <c r="D32" i="29"/>
  <c r="C32" i="29"/>
  <c r="M31" i="29"/>
  <c r="L31" i="29"/>
  <c r="F31" i="29"/>
  <c r="D31" i="29"/>
  <c r="C31" i="29"/>
  <c r="V32" i="22"/>
  <c r="U32" i="22"/>
  <c r="T32" i="22"/>
  <c r="S32" i="22"/>
  <c r="R32" i="22"/>
  <c r="Q32" i="22"/>
  <c r="F32" i="22"/>
  <c r="D32" i="22"/>
  <c r="C32" i="22"/>
  <c r="V31" i="22"/>
  <c r="U31" i="22"/>
  <c r="T31" i="22"/>
  <c r="S31" i="22"/>
  <c r="R31" i="22"/>
  <c r="Q31" i="22"/>
  <c r="F31" i="22"/>
  <c r="D31" i="22"/>
  <c r="C31" i="22"/>
  <c r="AO32" i="21"/>
  <c r="AN32" i="21"/>
  <c r="AL32" i="21"/>
  <c r="AM32" i="21" s="1"/>
  <c r="AJ32" i="21"/>
  <c r="AI32" i="21"/>
  <c r="AH32" i="21"/>
  <c r="AG32" i="21"/>
  <c r="AE32" i="21"/>
  <c r="AD32" i="21"/>
  <c r="AB32" i="21"/>
  <c r="AC32" i="21" s="1"/>
  <c r="Z32" i="21"/>
  <c r="Y32" i="21"/>
  <c r="X32" i="21"/>
  <c r="W32" i="21"/>
  <c r="F32" i="21"/>
  <c r="D32" i="21"/>
  <c r="AO31" i="21"/>
  <c r="AN31" i="21"/>
  <c r="AL31" i="21"/>
  <c r="AM31" i="21" s="1"/>
  <c r="AJ31" i="21"/>
  <c r="AI31" i="21"/>
  <c r="AH31" i="21"/>
  <c r="AG31" i="21"/>
  <c r="AE31" i="21"/>
  <c r="AD31" i="21"/>
  <c r="AB31" i="21"/>
  <c r="AC31" i="21" s="1"/>
  <c r="Z31" i="21"/>
  <c r="Y31" i="21"/>
  <c r="X31" i="21"/>
  <c r="W31" i="21"/>
  <c r="F31" i="21"/>
  <c r="D31" i="21"/>
  <c r="G32" i="24"/>
  <c r="H32" i="24" s="1"/>
  <c r="I32" i="24" s="1"/>
  <c r="J32" i="24" s="1"/>
  <c r="N32" i="31" s="1"/>
  <c r="G31" i="24"/>
  <c r="H31" i="24" s="1"/>
  <c r="I31" i="24" s="1"/>
  <c r="J31" i="24" s="1"/>
  <c r="N31" i="31" s="1"/>
  <c r="D4" i="31"/>
  <c r="C4" i="31"/>
  <c r="B4" i="31"/>
  <c r="D3" i="31"/>
  <c r="C3" i="31"/>
  <c r="B3" i="31"/>
  <c r="M4" i="29"/>
  <c r="L4" i="29"/>
  <c r="F4" i="29"/>
  <c r="D4" i="29"/>
  <c r="C4" i="29"/>
  <c r="M3" i="29"/>
  <c r="L3" i="29"/>
  <c r="F3" i="29"/>
  <c r="D3" i="29"/>
  <c r="C3" i="29"/>
  <c r="V4" i="22"/>
  <c r="U4" i="22"/>
  <c r="T4" i="22"/>
  <c r="S4" i="22"/>
  <c r="R4" i="22"/>
  <c r="Q4" i="22"/>
  <c r="F4" i="22"/>
  <c r="D4" i="22"/>
  <c r="C4" i="22"/>
  <c r="V3" i="22"/>
  <c r="U3" i="22"/>
  <c r="T3" i="22"/>
  <c r="S3" i="22"/>
  <c r="R3" i="22"/>
  <c r="Q3" i="22"/>
  <c r="F3" i="22"/>
  <c r="D3" i="22"/>
  <c r="C3" i="22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C3" i="21"/>
  <c r="G4" i="24"/>
  <c r="H4" i="24" s="1"/>
  <c r="I4" i="24" s="1"/>
  <c r="J4" i="24" s="1"/>
  <c r="N4" i="31" s="1"/>
  <c r="G3" i="24"/>
  <c r="H3" i="24" s="1"/>
  <c r="I3" i="24" s="1"/>
  <c r="J3" i="24" s="1"/>
  <c r="N3" i="31" s="1"/>
  <c r="G9" i="24"/>
  <c r="H9" i="24" s="1"/>
  <c r="I9" i="24" s="1"/>
  <c r="J9" i="24" s="1"/>
  <c r="N9" i="31" s="1"/>
  <c r="G10" i="24"/>
  <c r="H10" i="24" s="1"/>
  <c r="I10" i="24" s="1"/>
  <c r="J10" i="24" s="1"/>
  <c r="N10" i="31" s="1"/>
  <c r="G11" i="24"/>
  <c r="H11" i="24" s="1"/>
  <c r="I11" i="24" s="1"/>
  <c r="J11" i="24" s="1"/>
  <c r="N11" i="31" s="1"/>
  <c r="D39" i="21"/>
  <c r="D40" i="21"/>
  <c r="D41" i="21"/>
  <c r="D42" i="21"/>
  <c r="D9" i="21"/>
  <c r="D10" i="21"/>
  <c r="D11" i="21"/>
  <c r="D14" i="21"/>
  <c r="D15" i="21"/>
  <c r="D16" i="21"/>
  <c r="D17" i="21"/>
  <c r="D18" i="21"/>
  <c r="D19" i="21"/>
  <c r="D25" i="21"/>
  <c r="D26" i="21"/>
  <c r="D27" i="21"/>
  <c r="D29" i="21"/>
  <c r="D33" i="21"/>
  <c r="D34" i="21"/>
  <c r="M42" i="29"/>
  <c r="L42" i="29"/>
  <c r="C39" i="22"/>
  <c r="D42" i="31"/>
  <c r="C42" i="31"/>
  <c r="B42" i="31"/>
  <c r="F42" i="29"/>
  <c r="D42" i="29"/>
  <c r="C42" i="29"/>
  <c r="V42" i="22"/>
  <c r="U42" i="22"/>
  <c r="T42" i="22"/>
  <c r="S42" i="22"/>
  <c r="R42" i="22"/>
  <c r="Q42" i="22"/>
  <c r="F42" i="22"/>
  <c r="D42" i="22"/>
  <c r="C42" i="22"/>
  <c r="AO42" i="21"/>
  <c r="AN42" i="21"/>
  <c r="AL42" i="21"/>
  <c r="AM42" i="21" s="1"/>
  <c r="AJ42" i="21"/>
  <c r="AI42" i="21"/>
  <c r="AH42" i="21"/>
  <c r="AG42" i="21"/>
  <c r="AE42" i="21"/>
  <c r="AD42" i="21"/>
  <c r="AB42" i="21"/>
  <c r="AC42" i="21" s="1"/>
  <c r="Z42" i="21"/>
  <c r="Y42" i="21"/>
  <c r="X42" i="21"/>
  <c r="W42" i="21"/>
  <c r="F42" i="21"/>
  <c r="G42" i="24"/>
  <c r="H42" i="24" s="1"/>
  <c r="D11" i="31"/>
  <c r="C11" i="31"/>
  <c r="B11" i="31"/>
  <c r="M11" i="29"/>
  <c r="L11" i="29"/>
  <c r="F11" i="29"/>
  <c r="D11" i="29"/>
  <c r="C11" i="29"/>
  <c r="V11" i="22"/>
  <c r="U11" i="22"/>
  <c r="T11" i="22"/>
  <c r="S11" i="22"/>
  <c r="R11" i="22"/>
  <c r="Q11" i="22"/>
  <c r="F11" i="22"/>
  <c r="D11" i="22"/>
  <c r="C11" i="22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F11" i="21"/>
  <c r="D41" i="31"/>
  <c r="C41" i="31"/>
  <c r="B41" i="31"/>
  <c r="D40" i="31"/>
  <c r="C40" i="31"/>
  <c r="B40" i="31"/>
  <c r="D39" i="31"/>
  <c r="C39" i="31"/>
  <c r="B39" i="31"/>
  <c r="M41" i="29"/>
  <c r="L41" i="29"/>
  <c r="F41" i="29"/>
  <c r="D41" i="29"/>
  <c r="C41" i="29"/>
  <c r="M40" i="29"/>
  <c r="L40" i="29"/>
  <c r="F40" i="29"/>
  <c r="D40" i="29"/>
  <c r="C40" i="29"/>
  <c r="M39" i="29"/>
  <c r="L39" i="29"/>
  <c r="F39" i="29"/>
  <c r="D39" i="29"/>
  <c r="C39" i="29"/>
  <c r="V41" i="22"/>
  <c r="U41" i="22"/>
  <c r="T41" i="22"/>
  <c r="S41" i="22"/>
  <c r="R41" i="22"/>
  <c r="Q41" i="22"/>
  <c r="F41" i="22"/>
  <c r="D41" i="22"/>
  <c r="C41" i="22"/>
  <c r="V40" i="22"/>
  <c r="U40" i="22"/>
  <c r="T40" i="22"/>
  <c r="S40" i="22"/>
  <c r="R40" i="22"/>
  <c r="Q40" i="22"/>
  <c r="F40" i="22"/>
  <c r="D40" i="22"/>
  <c r="C40" i="22"/>
  <c r="V39" i="22"/>
  <c r="U39" i="22"/>
  <c r="T39" i="22"/>
  <c r="S39" i="22"/>
  <c r="R39" i="22"/>
  <c r="Q39" i="22"/>
  <c r="F39" i="22"/>
  <c r="D39" i="22"/>
  <c r="AO41" i="21"/>
  <c r="AN41" i="21"/>
  <c r="AL41" i="21"/>
  <c r="AM41" i="21" s="1"/>
  <c r="AJ41" i="21"/>
  <c r="AI41" i="21"/>
  <c r="AH41" i="21"/>
  <c r="AG41" i="21"/>
  <c r="AE41" i="21"/>
  <c r="AD41" i="21"/>
  <c r="AB41" i="21"/>
  <c r="AC41" i="21" s="1"/>
  <c r="Z41" i="21"/>
  <c r="Y41" i="21"/>
  <c r="X41" i="21"/>
  <c r="W41" i="21"/>
  <c r="F41" i="21"/>
  <c r="AO40" i="21"/>
  <c r="AN40" i="21"/>
  <c r="AL40" i="21"/>
  <c r="AM40" i="21" s="1"/>
  <c r="AJ40" i="21"/>
  <c r="AI40" i="21"/>
  <c r="AH40" i="21"/>
  <c r="AG40" i="21"/>
  <c r="AE40" i="21"/>
  <c r="AD40" i="21"/>
  <c r="AB40" i="21"/>
  <c r="AC40" i="21" s="1"/>
  <c r="Z40" i="21"/>
  <c r="Y40" i="21"/>
  <c r="X40" i="21"/>
  <c r="W40" i="21"/>
  <c r="F40" i="21"/>
  <c r="AO39" i="21"/>
  <c r="AN39" i="21"/>
  <c r="AL39" i="21"/>
  <c r="AM39" i="21" s="1"/>
  <c r="AJ39" i="21"/>
  <c r="AI39" i="21"/>
  <c r="AH39" i="21"/>
  <c r="AG39" i="21"/>
  <c r="AE39" i="21"/>
  <c r="AD39" i="21"/>
  <c r="AB39" i="21"/>
  <c r="AC39" i="21" s="1"/>
  <c r="Z39" i="21"/>
  <c r="Y39" i="21"/>
  <c r="X39" i="21"/>
  <c r="W39" i="21"/>
  <c r="F39" i="21"/>
  <c r="G41" i="24"/>
  <c r="H41" i="24" s="1"/>
  <c r="G40" i="24"/>
  <c r="H40" i="24" s="1"/>
  <c r="I40" i="24" s="1"/>
  <c r="J40" i="24" s="1"/>
  <c r="N40" i="31" s="1"/>
  <c r="G39" i="24"/>
  <c r="H39" i="24" s="1"/>
  <c r="I39" i="24" s="1"/>
  <c r="J39" i="24" s="1"/>
  <c r="N39" i="31" s="1"/>
  <c r="D29" i="31"/>
  <c r="C29" i="31"/>
  <c r="B29" i="31"/>
  <c r="M29" i="29"/>
  <c r="L29" i="29"/>
  <c r="F29" i="29"/>
  <c r="D29" i="29"/>
  <c r="C29" i="29"/>
  <c r="V29" i="22"/>
  <c r="U29" i="22"/>
  <c r="T29" i="22"/>
  <c r="S29" i="22"/>
  <c r="R29" i="22"/>
  <c r="Q29" i="22"/>
  <c r="F29" i="22"/>
  <c r="D29" i="22"/>
  <c r="C29" i="22"/>
  <c r="AO29" i="21"/>
  <c r="AN29" i="21"/>
  <c r="AL29" i="21"/>
  <c r="AM29" i="21" s="1"/>
  <c r="AJ29" i="21"/>
  <c r="AI29" i="21"/>
  <c r="AH29" i="21"/>
  <c r="AG29" i="21"/>
  <c r="AE29" i="21"/>
  <c r="AD29" i="21"/>
  <c r="AB29" i="21"/>
  <c r="AC29" i="21" s="1"/>
  <c r="Z29" i="21"/>
  <c r="Y29" i="21"/>
  <c r="X29" i="21"/>
  <c r="W29" i="21"/>
  <c r="F29" i="21"/>
  <c r="G29" i="24"/>
  <c r="H29" i="24" s="1"/>
  <c r="I29" i="24" s="1"/>
  <c r="J29" i="24" s="1"/>
  <c r="N29" i="31" s="1"/>
  <c r="D16" i="31"/>
  <c r="C16" i="31"/>
  <c r="B16" i="31"/>
  <c r="D15" i="31"/>
  <c r="C15" i="31"/>
  <c r="B15" i="31"/>
  <c r="D14" i="31"/>
  <c r="C14" i="31"/>
  <c r="B14" i="31"/>
  <c r="M16" i="29"/>
  <c r="L16" i="29"/>
  <c r="F16" i="29"/>
  <c r="D16" i="29"/>
  <c r="C16" i="29"/>
  <c r="M15" i="29"/>
  <c r="L15" i="29"/>
  <c r="F15" i="29"/>
  <c r="D15" i="29"/>
  <c r="C15" i="29"/>
  <c r="M14" i="29"/>
  <c r="L14" i="29"/>
  <c r="F14" i="29"/>
  <c r="D14" i="29"/>
  <c r="C14" i="29"/>
  <c r="V16" i="22"/>
  <c r="U16" i="22"/>
  <c r="T16" i="22"/>
  <c r="S16" i="22"/>
  <c r="R16" i="22"/>
  <c r="Q16" i="22"/>
  <c r="F16" i="22"/>
  <c r="D16" i="22"/>
  <c r="C16" i="22"/>
  <c r="V15" i="22"/>
  <c r="U15" i="22"/>
  <c r="T15" i="22"/>
  <c r="S15" i="22"/>
  <c r="R15" i="22"/>
  <c r="Q15" i="22"/>
  <c r="F15" i="22"/>
  <c r="D15" i="22"/>
  <c r="C15" i="22"/>
  <c r="V14" i="22"/>
  <c r="U14" i="22"/>
  <c r="T14" i="22"/>
  <c r="S14" i="22"/>
  <c r="R14" i="22"/>
  <c r="Q14" i="22"/>
  <c r="F14" i="22"/>
  <c r="D14" i="22"/>
  <c r="C14" i="22"/>
  <c r="AO16" i="21"/>
  <c r="AN16" i="21"/>
  <c r="AL16" i="21"/>
  <c r="AM16" i="21" s="1"/>
  <c r="AJ16" i="21"/>
  <c r="AI16" i="21"/>
  <c r="AH16" i="21"/>
  <c r="AG16" i="21"/>
  <c r="AE16" i="21"/>
  <c r="AD16" i="21"/>
  <c r="AB16" i="21"/>
  <c r="AC16" i="21" s="1"/>
  <c r="Z16" i="21"/>
  <c r="Y16" i="21"/>
  <c r="X16" i="21"/>
  <c r="W16" i="21"/>
  <c r="F16" i="21"/>
  <c r="AO15" i="21"/>
  <c r="AN15" i="21"/>
  <c r="AL15" i="21"/>
  <c r="AM15" i="21" s="1"/>
  <c r="AJ15" i="21"/>
  <c r="AI15" i="21"/>
  <c r="AH15" i="21"/>
  <c r="AG15" i="21"/>
  <c r="AE15" i="21"/>
  <c r="AD15" i="21"/>
  <c r="AB15" i="21"/>
  <c r="AC15" i="21" s="1"/>
  <c r="Z15" i="21"/>
  <c r="Y15" i="21"/>
  <c r="X15" i="21"/>
  <c r="W15" i="21"/>
  <c r="F15" i="21"/>
  <c r="AO14" i="21"/>
  <c r="AN14" i="21"/>
  <c r="AL14" i="21"/>
  <c r="AM14" i="21" s="1"/>
  <c r="AJ14" i="21"/>
  <c r="AI14" i="21"/>
  <c r="AH14" i="21"/>
  <c r="AG14" i="21"/>
  <c r="AE14" i="21"/>
  <c r="AD14" i="21"/>
  <c r="AB14" i="21"/>
  <c r="AC14" i="21" s="1"/>
  <c r="Z14" i="21"/>
  <c r="Y14" i="21"/>
  <c r="X14" i="21"/>
  <c r="W14" i="21"/>
  <c r="F14" i="21"/>
  <c r="G16" i="24"/>
  <c r="H16" i="24" s="1"/>
  <c r="I16" i="24" s="1"/>
  <c r="J16" i="24" s="1"/>
  <c r="N16" i="31" s="1"/>
  <c r="G15" i="24"/>
  <c r="H15" i="24" s="1"/>
  <c r="I15" i="24" s="1"/>
  <c r="J15" i="24" s="1"/>
  <c r="N15" i="31" s="1"/>
  <c r="G14" i="24"/>
  <c r="H14" i="24" s="1"/>
  <c r="I14" i="24" s="1"/>
  <c r="J14" i="24" s="1"/>
  <c r="N14" i="31" s="1"/>
  <c r="D33" i="31"/>
  <c r="C33" i="31"/>
  <c r="B33" i="31"/>
  <c r="D30" i="31"/>
  <c r="C30" i="31"/>
  <c r="B30" i="31"/>
  <c r="M33" i="29"/>
  <c r="L33" i="29"/>
  <c r="F33" i="29"/>
  <c r="D33" i="29"/>
  <c r="C33" i="29"/>
  <c r="M30" i="29"/>
  <c r="L30" i="29"/>
  <c r="F30" i="29"/>
  <c r="D30" i="29"/>
  <c r="C30" i="29"/>
  <c r="V33" i="22"/>
  <c r="U33" i="22"/>
  <c r="T33" i="22"/>
  <c r="S33" i="22"/>
  <c r="R33" i="22"/>
  <c r="Q33" i="22"/>
  <c r="F33" i="22"/>
  <c r="D33" i="22"/>
  <c r="C33" i="22"/>
  <c r="V30" i="22"/>
  <c r="U30" i="22"/>
  <c r="T30" i="22"/>
  <c r="S30" i="22"/>
  <c r="R30" i="22"/>
  <c r="Q30" i="22"/>
  <c r="F30" i="22"/>
  <c r="D30" i="22"/>
  <c r="C30" i="22"/>
  <c r="AO33" i="21"/>
  <c r="AN33" i="21"/>
  <c r="AL33" i="21"/>
  <c r="AM33" i="21" s="1"/>
  <c r="AJ33" i="21"/>
  <c r="AI33" i="21"/>
  <c r="AH33" i="21"/>
  <c r="AG33" i="21"/>
  <c r="AE33" i="21"/>
  <c r="AD33" i="21"/>
  <c r="AB33" i="21"/>
  <c r="AC33" i="21" s="1"/>
  <c r="Z33" i="21"/>
  <c r="Y33" i="21"/>
  <c r="X33" i="21"/>
  <c r="W33" i="21"/>
  <c r="F33" i="21"/>
  <c r="AO30" i="21"/>
  <c r="AN30" i="21"/>
  <c r="AL30" i="21"/>
  <c r="AM30" i="21" s="1"/>
  <c r="AJ30" i="21"/>
  <c r="AI30" i="21"/>
  <c r="AH30" i="21"/>
  <c r="AG30" i="21"/>
  <c r="AE30" i="21"/>
  <c r="AD30" i="21"/>
  <c r="AB30" i="21"/>
  <c r="AC30" i="21" s="1"/>
  <c r="Z30" i="21"/>
  <c r="Y30" i="21"/>
  <c r="X30" i="21"/>
  <c r="W30" i="21"/>
  <c r="F30" i="21"/>
  <c r="G33" i="24"/>
  <c r="H33" i="24" s="1"/>
  <c r="I33" i="24" s="1"/>
  <c r="J33" i="24" s="1"/>
  <c r="N33" i="31" s="1"/>
  <c r="G30" i="24"/>
  <c r="H30" i="24" s="1"/>
  <c r="I30" i="24" s="1"/>
  <c r="J30" i="24" s="1"/>
  <c r="N30" i="31" s="1"/>
  <c r="D27" i="31"/>
  <c r="C27" i="31"/>
  <c r="B27" i="31"/>
  <c r="M27" i="29"/>
  <c r="L27" i="29"/>
  <c r="F27" i="29"/>
  <c r="D27" i="29"/>
  <c r="C27" i="29"/>
  <c r="V27" i="22"/>
  <c r="U27" i="22"/>
  <c r="T27" i="22"/>
  <c r="S27" i="22"/>
  <c r="R27" i="22"/>
  <c r="Q27" i="22"/>
  <c r="F27" i="22"/>
  <c r="D27" i="22"/>
  <c r="C27" i="22"/>
  <c r="AO27" i="21"/>
  <c r="AN27" i="21"/>
  <c r="AL27" i="21"/>
  <c r="AM27" i="21" s="1"/>
  <c r="AJ27" i="21"/>
  <c r="AI27" i="21"/>
  <c r="AH27" i="21"/>
  <c r="AG27" i="21"/>
  <c r="AE27" i="21"/>
  <c r="AD27" i="21"/>
  <c r="AB27" i="21"/>
  <c r="AC27" i="21" s="1"/>
  <c r="Z27" i="21"/>
  <c r="Y27" i="21"/>
  <c r="X27" i="21"/>
  <c r="W27" i="21"/>
  <c r="F27" i="21"/>
  <c r="G27" i="24"/>
  <c r="H27" i="24" s="1"/>
  <c r="I27" i="24" s="1"/>
  <c r="J27" i="24" s="1"/>
  <c r="N27" i="31" s="1"/>
  <c r="D26" i="31"/>
  <c r="C26" i="31"/>
  <c r="B26" i="31"/>
  <c r="D19" i="31"/>
  <c r="C19" i="31"/>
  <c r="B19" i="31"/>
  <c r="D18" i="31"/>
  <c r="C18" i="31"/>
  <c r="B18" i="31"/>
  <c r="D17" i="31"/>
  <c r="C17" i="31"/>
  <c r="B17" i="31"/>
  <c r="M26" i="29"/>
  <c r="L26" i="29"/>
  <c r="F26" i="29"/>
  <c r="D26" i="29"/>
  <c r="C26" i="29"/>
  <c r="M25" i="29"/>
  <c r="L25" i="29"/>
  <c r="F25" i="29"/>
  <c r="D25" i="29"/>
  <c r="C25" i="29"/>
  <c r="M19" i="29"/>
  <c r="L19" i="29"/>
  <c r="F19" i="29"/>
  <c r="D19" i="29"/>
  <c r="C19" i="29"/>
  <c r="M18" i="29"/>
  <c r="L18" i="29"/>
  <c r="F18" i="29"/>
  <c r="D18" i="29"/>
  <c r="C18" i="29"/>
  <c r="M17" i="29"/>
  <c r="L17" i="29"/>
  <c r="F17" i="29"/>
  <c r="D17" i="29"/>
  <c r="C17" i="29"/>
  <c r="V26" i="22"/>
  <c r="U26" i="22"/>
  <c r="T26" i="22"/>
  <c r="S26" i="22"/>
  <c r="R26" i="22"/>
  <c r="Q26" i="22"/>
  <c r="F26" i="22"/>
  <c r="D26" i="22"/>
  <c r="C26" i="22"/>
  <c r="V25" i="22"/>
  <c r="U25" i="22"/>
  <c r="T25" i="22"/>
  <c r="S25" i="22"/>
  <c r="R25" i="22"/>
  <c r="Q25" i="22"/>
  <c r="F25" i="22"/>
  <c r="D25" i="22"/>
  <c r="C25" i="22"/>
  <c r="V19" i="22"/>
  <c r="U19" i="22"/>
  <c r="T19" i="22"/>
  <c r="S19" i="22"/>
  <c r="R19" i="22"/>
  <c r="Q19" i="22"/>
  <c r="F19" i="22"/>
  <c r="D19" i="22"/>
  <c r="C19" i="22"/>
  <c r="V18" i="22"/>
  <c r="U18" i="22"/>
  <c r="T18" i="22"/>
  <c r="S18" i="22"/>
  <c r="R18" i="22"/>
  <c r="Q18" i="22"/>
  <c r="F18" i="22"/>
  <c r="D18" i="22"/>
  <c r="C18" i="22"/>
  <c r="V17" i="22"/>
  <c r="U17" i="22"/>
  <c r="T17" i="22"/>
  <c r="S17" i="22"/>
  <c r="R17" i="22"/>
  <c r="Q17" i="22"/>
  <c r="F17" i="22"/>
  <c r="D17" i="22"/>
  <c r="C17" i="22"/>
  <c r="AO26" i="21"/>
  <c r="AN26" i="21"/>
  <c r="AL26" i="21"/>
  <c r="AM26" i="21" s="1"/>
  <c r="AJ26" i="21"/>
  <c r="AI26" i="21"/>
  <c r="AH26" i="21"/>
  <c r="AG26" i="21"/>
  <c r="AE26" i="21"/>
  <c r="AD26" i="21"/>
  <c r="AB26" i="21"/>
  <c r="AC26" i="21" s="1"/>
  <c r="Z26" i="21"/>
  <c r="Y26" i="21"/>
  <c r="X26" i="21"/>
  <c r="W26" i="21"/>
  <c r="F26" i="21"/>
  <c r="AO25" i="21"/>
  <c r="AN25" i="21"/>
  <c r="AL25" i="21"/>
  <c r="AM25" i="21" s="1"/>
  <c r="AJ25" i="21"/>
  <c r="AI25" i="21"/>
  <c r="AH25" i="21"/>
  <c r="AG25" i="21"/>
  <c r="AE25" i="21"/>
  <c r="AD25" i="21"/>
  <c r="AB25" i="21"/>
  <c r="AC25" i="21" s="1"/>
  <c r="Z25" i="21"/>
  <c r="Y25" i="21"/>
  <c r="X25" i="21"/>
  <c r="W25" i="21"/>
  <c r="F25" i="21"/>
  <c r="AO19" i="21"/>
  <c r="AN19" i="21"/>
  <c r="AL19" i="21"/>
  <c r="AM19" i="21" s="1"/>
  <c r="AJ19" i="21"/>
  <c r="AI19" i="21"/>
  <c r="AH19" i="21"/>
  <c r="AG19" i="21"/>
  <c r="AE19" i="21"/>
  <c r="AD19" i="21"/>
  <c r="AB19" i="21"/>
  <c r="AC19" i="21" s="1"/>
  <c r="Z19" i="21"/>
  <c r="Y19" i="21"/>
  <c r="X19" i="21"/>
  <c r="W19" i="21"/>
  <c r="F19" i="21"/>
  <c r="AO18" i="21"/>
  <c r="AN18" i="21"/>
  <c r="AL18" i="21"/>
  <c r="AM18" i="21" s="1"/>
  <c r="AJ18" i="21"/>
  <c r="AI18" i="21"/>
  <c r="AH18" i="21"/>
  <c r="AG18" i="21"/>
  <c r="AE18" i="21"/>
  <c r="AD18" i="21"/>
  <c r="AB18" i="21"/>
  <c r="AC18" i="21" s="1"/>
  <c r="Z18" i="21"/>
  <c r="Y18" i="21"/>
  <c r="X18" i="21"/>
  <c r="W18" i="21"/>
  <c r="F18" i="21"/>
  <c r="AO17" i="21"/>
  <c r="AN17" i="21"/>
  <c r="AL17" i="21"/>
  <c r="AM17" i="21" s="1"/>
  <c r="AJ17" i="21"/>
  <c r="AI17" i="21"/>
  <c r="AH17" i="21"/>
  <c r="AG17" i="21"/>
  <c r="AE17" i="21"/>
  <c r="AD17" i="21"/>
  <c r="AB17" i="21"/>
  <c r="AC17" i="21" s="1"/>
  <c r="Z17" i="21"/>
  <c r="Y17" i="21"/>
  <c r="X17" i="21"/>
  <c r="W17" i="21"/>
  <c r="F17" i="21"/>
  <c r="G26" i="24"/>
  <c r="H26" i="24" s="1"/>
  <c r="I26" i="24" s="1"/>
  <c r="J26" i="24" s="1"/>
  <c r="N26" i="31" s="1"/>
  <c r="G25" i="24"/>
  <c r="H25" i="24" s="1"/>
  <c r="I25" i="24" s="1"/>
  <c r="J25" i="24" s="1"/>
  <c r="N25" i="31" s="1"/>
  <c r="G19" i="24"/>
  <c r="H19" i="24" s="1"/>
  <c r="I19" i="24" s="1"/>
  <c r="J19" i="24" s="1"/>
  <c r="N19" i="31" s="1"/>
  <c r="G18" i="24"/>
  <c r="H18" i="24" s="1"/>
  <c r="I18" i="24" s="1"/>
  <c r="J18" i="24" s="1"/>
  <c r="N18" i="31" s="1"/>
  <c r="G17" i="24"/>
  <c r="H17" i="24" s="1"/>
  <c r="I17" i="24" s="1"/>
  <c r="J17" i="24" s="1"/>
  <c r="N17" i="31" s="1"/>
  <c r="D10" i="31"/>
  <c r="C10" i="31"/>
  <c r="B10" i="31"/>
  <c r="D9" i="31"/>
  <c r="C9" i="31"/>
  <c r="B9" i="31"/>
  <c r="M10" i="29"/>
  <c r="L10" i="29"/>
  <c r="F10" i="29"/>
  <c r="D10" i="29"/>
  <c r="C10" i="29"/>
  <c r="M9" i="29"/>
  <c r="L9" i="29"/>
  <c r="F9" i="29"/>
  <c r="D9" i="29"/>
  <c r="C9" i="29"/>
  <c r="V10" i="22"/>
  <c r="U10" i="22"/>
  <c r="T10" i="22"/>
  <c r="S10" i="22"/>
  <c r="R10" i="22"/>
  <c r="Q10" i="22"/>
  <c r="F10" i="22"/>
  <c r="D10" i="22"/>
  <c r="C10" i="22"/>
  <c r="V9" i="22"/>
  <c r="U9" i="22"/>
  <c r="T9" i="22"/>
  <c r="S9" i="22"/>
  <c r="R9" i="22"/>
  <c r="Q9" i="22"/>
  <c r="F9" i="22"/>
  <c r="D9" i="22"/>
  <c r="C9" i="22"/>
  <c r="F9" i="21"/>
  <c r="AO10" i="21"/>
  <c r="AN10" i="21"/>
  <c r="AL10" i="21"/>
  <c r="AM10" i="21" s="1"/>
  <c r="AJ10" i="21"/>
  <c r="AI10" i="21"/>
  <c r="AH10" i="21"/>
  <c r="AG10" i="21"/>
  <c r="AE10" i="21"/>
  <c r="AD10" i="21"/>
  <c r="AB10" i="21"/>
  <c r="AC10" i="21" s="1"/>
  <c r="Z10" i="21"/>
  <c r="Y10" i="21"/>
  <c r="X10" i="21"/>
  <c r="W10" i="21"/>
  <c r="F10" i="21"/>
  <c r="AO9" i="21"/>
  <c r="AN9" i="21"/>
  <c r="AL9" i="21"/>
  <c r="AM9" i="21" s="1"/>
  <c r="AJ9" i="21"/>
  <c r="AI9" i="21"/>
  <c r="AH9" i="21"/>
  <c r="AG9" i="21"/>
  <c r="AE9" i="21"/>
  <c r="AD9" i="21"/>
  <c r="AB9" i="21"/>
  <c r="AC9" i="21" s="1"/>
  <c r="Z9" i="21"/>
  <c r="Y9" i="21"/>
  <c r="X9" i="21"/>
  <c r="W9" i="21"/>
  <c r="D34" i="31"/>
  <c r="C34" i="31"/>
  <c r="B34" i="31"/>
  <c r="M34" i="29"/>
  <c r="L34" i="29"/>
  <c r="F34" i="29"/>
  <c r="D34" i="29"/>
  <c r="C34" i="29"/>
  <c r="V34" i="22"/>
  <c r="U34" i="22"/>
  <c r="T34" i="22"/>
  <c r="S34" i="22"/>
  <c r="R34" i="22"/>
  <c r="Q34" i="22"/>
  <c r="F34" i="22"/>
  <c r="D34" i="22"/>
  <c r="C34" i="22"/>
  <c r="AO34" i="21"/>
  <c r="AN34" i="21"/>
  <c r="AL34" i="21"/>
  <c r="AM34" i="21" s="1"/>
  <c r="AJ34" i="21"/>
  <c r="AI34" i="21"/>
  <c r="AH34" i="21"/>
  <c r="AG34" i="21"/>
  <c r="AE34" i="21"/>
  <c r="AD34" i="21"/>
  <c r="AB34" i="21"/>
  <c r="AC34" i="21" s="1"/>
  <c r="Z34" i="21"/>
  <c r="Y34" i="21"/>
  <c r="X34" i="21"/>
  <c r="W34" i="21"/>
  <c r="F34" i="21"/>
  <c r="G34" i="24"/>
  <c r="H34" i="24" s="1"/>
  <c r="I34" i="24" s="1"/>
  <c r="J34" i="24" s="1"/>
  <c r="N34" i="31" s="1"/>
  <c r="I41" i="24" l="1"/>
  <c r="J41" i="24" s="1"/>
  <c r="N41" i="31" s="1"/>
  <c r="I42" i="24"/>
  <c r="J42" i="24" s="1"/>
  <c r="N42" i="31" s="1"/>
  <c r="X42" i="22"/>
  <c r="AA42" i="22" s="1"/>
  <c r="AD42" i="22" s="1"/>
  <c r="I42" i="31" s="1"/>
  <c r="X32" i="22"/>
  <c r="AA32" i="22" s="1"/>
  <c r="AD32" i="22" s="1"/>
  <c r="I32" i="31" s="1"/>
  <c r="AK4" i="21"/>
  <c r="N30" i="29"/>
  <c r="O30" i="29" s="1"/>
  <c r="P30" i="29" s="1"/>
  <c r="K30" i="31" s="1"/>
  <c r="AF42" i="21"/>
  <c r="X19" i="22"/>
  <c r="AA19" i="22" s="1"/>
  <c r="AD19" i="22" s="1"/>
  <c r="I19" i="31" s="1"/>
  <c r="N27" i="29"/>
  <c r="O27" i="29" s="1"/>
  <c r="P27" i="29" s="1"/>
  <c r="K27" i="31" s="1"/>
  <c r="AP14" i="21"/>
  <c r="AF15" i="21"/>
  <c r="AF9" i="21"/>
  <c r="AA42" i="21"/>
  <c r="AP42" i="21"/>
  <c r="AF30" i="21"/>
  <c r="N33" i="29"/>
  <c r="O33" i="29" s="1"/>
  <c r="P33" i="29" s="1"/>
  <c r="K33" i="31" s="1"/>
  <c r="AF32" i="21"/>
  <c r="AF26" i="21"/>
  <c r="AP18" i="21"/>
  <c r="AK26" i="21"/>
  <c r="N29" i="29"/>
  <c r="O29" i="29" s="1"/>
  <c r="P29" i="29" s="1"/>
  <c r="K29" i="31" s="1"/>
  <c r="AA29" i="21"/>
  <c r="X29" i="22"/>
  <c r="AA29" i="22" s="1"/>
  <c r="AD29" i="22" s="1"/>
  <c r="I29" i="31" s="1"/>
  <c r="AP39" i="21"/>
  <c r="X25" i="22"/>
  <c r="AA25" i="22" s="1"/>
  <c r="AD25" i="22" s="1"/>
  <c r="I25" i="31" s="1"/>
  <c r="N18" i="29"/>
  <c r="O18" i="29" s="1"/>
  <c r="P18" i="29" s="1"/>
  <c r="K18" i="31" s="1"/>
  <c r="AP27" i="21"/>
  <c r="AP30" i="21"/>
  <c r="AF33" i="21"/>
  <c r="W33" i="22"/>
  <c r="X33" i="22"/>
  <c r="AA33" i="22" s="1"/>
  <c r="AD33" i="22" s="1"/>
  <c r="I33" i="31" s="1"/>
  <c r="AA17" i="21"/>
  <c r="AA9" i="21"/>
  <c r="AF29" i="21"/>
  <c r="N10" i="29"/>
  <c r="O10" i="29" s="1"/>
  <c r="P10" i="29" s="1"/>
  <c r="K10" i="31" s="1"/>
  <c r="AP25" i="21"/>
  <c r="W27" i="22"/>
  <c r="AK33" i="21"/>
  <c r="AP33" i="21"/>
  <c r="X30" i="22"/>
  <c r="AA30" i="22" s="1"/>
  <c r="AD30" i="22" s="1"/>
  <c r="I30" i="31" s="1"/>
  <c r="AA10" i="21"/>
  <c r="X10" i="22"/>
  <c r="AA10" i="22" s="1"/>
  <c r="AD10" i="22" s="1"/>
  <c r="I10" i="31" s="1"/>
  <c r="AK15" i="21"/>
  <c r="AP15" i="21"/>
  <c r="AA16" i="21"/>
  <c r="AF16" i="21"/>
  <c r="AK16" i="21"/>
  <c r="W15" i="22"/>
  <c r="X16" i="22"/>
  <c r="AA16" i="22" s="1"/>
  <c r="AD16" i="22" s="1"/>
  <c r="I16" i="31" s="1"/>
  <c r="N16" i="29"/>
  <c r="O16" i="29" s="1"/>
  <c r="P16" i="29" s="1"/>
  <c r="K16" i="31" s="1"/>
  <c r="AP34" i="21"/>
  <c r="X18" i="22"/>
  <c r="AA18" i="22" s="1"/>
  <c r="AD18" i="22" s="1"/>
  <c r="I18" i="31" s="1"/>
  <c r="N17" i="29"/>
  <c r="O17" i="29" s="1"/>
  <c r="P17" i="29" s="1"/>
  <c r="K17" i="31" s="1"/>
  <c r="N26" i="29"/>
  <c r="O26" i="29" s="1"/>
  <c r="P26" i="29" s="1"/>
  <c r="K26" i="31" s="1"/>
  <c r="AK14" i="21"/>
  <c r="X11" i="22"/>
  <c r="AA11" i="22" s="1"/>
  <c r="AD11" i="22" s="1"/>
  <c r="I11" i="31" s="1"/>
  <c r="AP3" i="21"/>
  <c r="AA31" i="21"/>
  <c r="N3" i="29"/>
  <c r="O3" i="29" s="1"/>
  <c r="P3" i="29" s="1"/>
  <c r="K3" i="31" s="1"/>
  <c r="AK17" i="21"/>
  <c r="AF18" i="21"/>
  <c r="AK18" i="21"/>
  <c r="AF19" i="21"/>
  <c r="AP19" i="21"/>
  <c r="AA14" i="21"/>
  <c r="AF14" i="21"/>
  <c r="X14" i="22"/>
  <c r="AA14" i="22" s="1"/>
  <c r="AD14" i="22" s="1"/>
  <c r="I14" i="31" s="1"/>
  <c r="N14" i="29"/>
  <c r="O14" i="29" s="1"/>
  <c r="P14" i="29" s="1"/>
  <c r="K14" i="31" s="1"/>
  <c r="AK29" i="21"/>
  <c r="AP29" i="21"/>
  <c r="W29" i="22"/>
  <c r="AP40" i="21"/>
  <c r="AA41" i="21"/>
  <c r="X40" i="22"/>
  <c r="AA40" i="22" s="1"/>
  <c r="AD40" i="22" s="1"/>
  <c r="I40" i="31" s="1"/>
  <c r="N41" i="29"/>
  <c r="O41" i="29" s="1"/>
  <c r="P41" i="29" s="1"/>
  <c r="K41" i="31" s="1"/>
  <c r="AA4" i="21"/>
  <c r="AF4" i="21"/>
  <c r="AA32" i="21"/>
  <c r="AK32" i="21"/>
  <c r="N32" i="29"/>
  <c r="O32" i="29" s="1"/>
  <c r="P32" i="29" s="1"/>
  <c r="K32" i="31" s="1"/>
  <c r="AK34" i="21"/>
  <c r="AP9" i="21"/>
  <c r="AF10" i="21"/>
  <c r="W10" i="22"/>
  <c r="Z10" i="22" s="1"/>
  <c r="AC10" i="22" s="1"/>
  <c r="H10" i="31" s="1"/>
  <c r="N9" i="29"/>
  <c r="O9" i="29" s="1"/>
  <c r="P9" i="29" s="1"/>
  <c r="K9" i="31" s="1"/>
  <c r="AF34" i="21"/>
  <c r="AK9" i="21"/>
  <c r="X9" i="22"/>
  <c r="AA9" i="22" s="1"/>
  <c r="AD9" i="22" s="1"/>
  <c r="I9" i="31" s="1"/>
  <c r="W17" i="22"/>
  <c r="X17" i="22"/>
  <c r="AA17" i="22" s="1"/>
  <c r="AD17" i="22" s="1"/>
  <c r="I17" i="31" s="1"/>
  <c r="W18" i="22"/>
  <c r="W26" i="22"/>
  <c r="X26" i="22"/>
  <c r="N25" i="29"/>
  <c r="O25" i="29" s="1"/>
  <c r="P25" i="29" s="1"/>
  <c r="K25" i="31" s="1"/>
  <c r="AP41" i="21"/>
  <c r="X39" i="22"/>
  <c r="AA39" i="22" s="1"/>
  <c r="AD39" i="22" s="1"/>
  <c r="I39" i="31" s="1"/>
  <c r="N40" i="29"/>
  <c r="O40" i="29" s="1"/>
  <c r="P40" i="29" s="1"/>
  <c r="K40" i="31" s="1"/>
  <c r="W30" i="22"/>
  <c r="AP16" i="21"/>
  <c r="AF17" i="21"/>
  <c r="AP17" i="21"/>
  <c r="AA19" i="21"/>
  <c r="AK19" i="21"/>
  <c r="AF25" i="21"/>
  <c r="AK25" i="21"/>
  <c r="AA26" i="21"/>
  <c r="AP26" i="21"/>
  <c r="N19" i="29"/>
  <c r="O19" i="29" s="1"/>
  <c r="P19" i="29" s="1"/>
  <c r="K19" i="31" s="1"/>
  <c r="W14" i="22"/>
  <c r="X15" i="22"/>
  <c r="AA15" i="22" s="1"/>
  <c r="AD15" i="22" s="1"/>
  <c r="I15" i="31" s="1"/>
  <c r="W16" i="22"/>
  <c r="Z16" i="22" s="1"/>
  <c r="AC16" i="22" s="1"/>
  <c r="H16" i="31" s="1"/>
  <c r="N15" i="29"/>
  <c r="O15" i="29" s="1"/>
  <c r="P15" i="29" s="1"/>
  <c r="K15" i="31" s="1"/>
  <c r="AF39" i="21"/>
  <c r="AK39" i="21"/>
  <c r="AA40" i="21"/>
  <c r="AP11" i="21"/>
  <c r="W31" i="22"/>
  <c r="W32" i="22"/>
  <c r="AA3" i="21"/>
  <c r="AP32" i="21"/>
  <c r="N31" i="29"/>
  <c r="O31" i="29" s="1"/>
  <c r="P31" i="29" s="1"/>
  <c r="K31" i="31" s="1"/>
  <c r="AF27" i="21"/>
  <c r="X27" i="22"/>
  <c r="AA30" i="21"/>
  <c r="AK30" i="21"/>
  <c r="AA33" i="21"/>
  <c r="AF40" i="21"/>
  <c r="AK40" i="21"/>
  <c r="X4" i="22"/>
  <c r="AA4" i="22" s="1"/>
  <c r="AD4" i="22" s="1"/>
  <c r="I4" i="31" s="1"/>
  <c r="AK31" i="21"/>
  <c r="AP31" i="21"/>
  <c r="AA27" i="21"/>
  <c r="AA11" i="21"/>
  <c r="AK10" i="21"/>
  <c r="AP10" i="21"/>
  <c r="AA34" i="21"/>
  <c r="AK27" i="21"/>
  <c r="W9" i="22"/>
  <c r="Z9" i="22" s="1"/>
  <c r="AC9" i="22" s="1"/>
  <c r="H9" i="31" s="1"/>
  <c r="W34" i="22"/>
  <c r="X34" i="22"/>
  <c r="AA34" i="22" s="1"/>
  <c r="AD34" i="22" s="1"/>
  <c r="I34" i="31" s="1"/>
  <c r="N34" i="29"/>
  <c r="O34" i="29" s="1"/>
  <c r="P34" i="29" s="1"/>
  <c r="K34" i="31" s="1"/>
  <c r="AA18" i="21"/>
  <c r="AA25" i="21"/>
  <c r="W19" i="22"/>
  <c r="W25" i="22"/>
  <c r="AA15" i="21"/>
  <c r="AK41" i="21"/>
  <c r="W42" i="22"/>
  <c r="Z42" i="22" s="1"/>
  <c r="AC42" i="22" s="1"/>
  <c r="H42" i="31" s="1"/>
  <c r="AF41" i="21"/>
  <c r="W40" i="22"/>
  <c r="W41" i="22"/>
  <c r="Z41" i="22" s="1"/>
  <c r="AC41" i="22" s="1"/>
  <c r="H41" i="31" s="1"/>
  <c r="X41" i="22"/>
  <c r="AA41" i="22" s="1"/>
  <c r="AD41" i="22" s="1"/>
  <c r="I41" i="31" s="1"/>
  <c r="N39" i="29"/>
  <c r="O39" i="29" s="1"/>
  <c r="P39" i="29" s="1"/>
  <c r="K39" i="31" s="1"/>
  <c r="AF11" i="21"/>
  <c r="AK11" i="21"/>
  <c r="N11" i="29"/>
  <c r="O11" i="29" s="1"/>
  <c r="P11" i="29" s="1"/>
  <c r="K11" i="31" s="1"/>
  <c r="N42" i="29"/>
  <c r="N4" i="29"/>
  <c r="X31" i="22"/>
  <c r="AA31" i="22" s="1"/>
  <c r="AD31" i="22" s="1"/>
  <c r="I31" i="31" s="1"/>
  <c r="AK42" i="21"/>
  <c r="AK3" i="21"/>
  <c r="AF31" i="21"/>
  <c r="W11" i="22"/>
  <c r="X3" i="22"/>
  <c r="AA3" i="22" s="1"/>
  <c r="AD3" i="22" s="1"/>
  <c r="I3" i="31" s="1"/>
  <c r="AP4" i="21"/>
  <c r="AF3" i="21"/>
  <c r="AA39" i="21"/>
  <c r="W39" i="22"/>
  <c r="W3" i="22"/>
  <c r="Z3" i="22" s="1"/>
  <c r="AC3" i="22" s="1"/>
  <c r="H3" i="31" s="1"/>
  <c r="W4" i="22"/>
  <c r="Y32" i="22" l="1"/>
  <c r="AB32" i="22" s="1"/>
  <c r="AE32" i="22" s="1"/>
  <c r="J32" i="31" s="1"/>
  <c r="Y40" i="22"/>
  <c r="AB40" i="22" s="1"/>
  <c r="AE40" i="22" s="1"/>
  <c r="J40" i="31" s="1"/>
  <c r="AR4" i="21"/>
  <c r="AU4" i="21" s="1"/>
  <c r="AX4" i="21" s="1"/>
  <c r="F4" i="31" s="1"/>
  <c r="AQ39" i="21"/>
  <c r="AT39" i="21" s="1"/>
  <c r="AW39" i="21" s="1"/>
  <c r="E39" i="31" s="1"/>
  <c r="AR27" i="21"/>
  <c r="AU27" i="21" s="1"/>
  <c r="AX27" i="21" s="1"/>
  <c r="F27" i="31" s="1"/>
  <c r="AQ42" i="21"/>
  <c r="AT42" i="21" s="1"/>
  <c r="AW42" i="21" s="1"/>
  <c r="E42" i="31" s="1"/>
  <c r="Q26" i="29"/>
  <c r="R26" i="29" s="1"/>
  <c r="S26" i="29" s="1"/>
  <c r="L26" i="31" s="1"/>
  <c r="Q27" i="29"/>
  <c r="R27" i="29" s="1"/>
  <c r="S27" i="29" s="1"/>
  <c r="L27" i="31" s="1"/>
  <c r="T30" i="29"/>
  <c r="U30" i="29" s="1"/>
  <c r="V30" i="29" s="1"/>
  <c r="M30" i="31" s="1"/>
  <c r="AQ26" i="21"/>
  <c r="AT26" i="21" s="1"/>
  <c r="AW26" i="21" s="1"/>
  <c r="E26" i="31" s="1"/>
  <c r="AQ4" i="21"/>
  <c r="AT4" i="21" s="1"/>
  <c r="AW4" i="21" s="1"/>
  <c r="E4" i="31" s="1"/>
  <c r="AR42" i="21"/>
  <c r="Q18" i="29"/>
  <c r="R18" i="29" s="1"/>
  <c r="S18" i="29" s="1"/>
  <c r="L18" i="31" s="1"/>
  <c r="AQ15" i="21"/>
  <c r="AT15" i="21" s="1"/>
  <c r="AW15" i="21" s="1"/>
  <c r="E15" i="31" s="1"/>
  <c r="AQ19" i="21"/>
  <c r="AT19" i="21" s="1"/>
  <c r="AW19" i="21" s="1"/>
  <c r="E19" i="31" s="1"/>
  <c r="Z26" i="22"/>
  <c r="AC26" i="22" s="1"/>
  <c r="H26" i="31" s="1"/>
  <c r="Z27" i="22"/>
  <c r="AC27" i="22" s="1"/>
  <c r="H27" i="31" s="1"/>
  <c r="AR32" i="21"/>
  <c r="AU32" i="21" s="1"/>
  <c r="AX32" i="21" s="1"/>
  <c r="F32" i="31" s="1"/>
  <c r="AQ30" i="21"/>
  <c r="AT30" i="21" s="1"/>
  <c r="AW30" i="21" s="1"/>
  <c r="E30" i="31" s="1"/>
  <c r="AR16" i="21"/>
  <c r="AU16" i="21" s="1"/>
  <c r="AX16" i="21" s="1"/>
  <c r="F16" i="31" s="1"/>
  <c r="AR19" i="21"/>
  <c r="AQ10" i="21"/>
  <c r="AT10" i="21" s="1"/>
  <c r="AW10" i="21" s="1"/>
  <c r="E10" i="31" s="1"/>
  <c r="Z18" i="22"/>
  <c r="AC18" i="22" s="1"/>
  <c r="H18" i="31" s="1"/>
  <c r="Q14" i="29"/>
  <c r="R14" i="29" s="1"/>
  <c r="S14" i="29" s="1"/>
  <c r="L14" i="31" s="1"/>
  <c r="AQ14" i="21"/>
  <c r="AT14" i="21" s="1"/>
  <c r="AW14" i="21" s="1"/>
  <c r="E14" i="31" s="1"/>
  <c r="AR18" i="21"/>
  <c r="AU18" i="21" s="1"/>
  <c r="AX18" i="21" s="1"/>
  <c r="F18" i="31" s="1"/>
  <c r="AR14" i="21"/>
  <c r="AU14" i="21" s="1"/>
  <c r="AX14" i="21" s="1"/>
  <c r="F14" i="31" s="1"/>
  <c r="AQ29" i="21"/>
  <c r="AT29" i="21" s="1"/>
  <c r="AW29" i="21" s="1"/>
  <c r="E29" i="31" s="1"/>
  <c r="AQ17" i="21"/>
  <c r="AT17" i="21" s="1"/>
  <c r="AW17" i="21" s="1"/>
  <c r="E17" i="31" s="1"/>
  <c r="AR9" i="21"/>
  <c r="AR39" i="21"/>
  <c r="AQ9" i="21"/>
  <c r="AT9" i="21" s="1"/>
  <c r="AW9" i="21" s="1"/>
  <c r="E9" i="31" s="1"/>
  <c r="AQ32" i="21"/>
  <c r="AT32" i="21" s="1"/>
  <c r="AW32" i="21" s="1"/>
  <c r="E32" i="31" s="1"/>
  <c r="Q11" i="29"/>
  <c r="R11" i="29" s="1"/>
  <c r="S11" i="29" s="1"/>
  <c r="L11" i="31" s="1"/>
  <c r="AQ11" i="21"/>
  <c r="AT11" i="21" s="1"/>
  <c r="AW11" i="21" s="1"/>
  <c r="E11" i="31" s="1"/>
  <c r="AR30" i="21"/>
  <c r="Z32" i="22"/>
  <c r="AC32" i="22" s="1"/>
  <c r="H32" i="31" s="1"/>
  <c r="Y31" i="22"/>
  <c r="AB31" i="22" s="1"/>
  <c r="AE31" i="22" s="1"/>
  <c r="J31" i="31" s="1"/>
  <c r="Y42" i="22"/>
  <c r="AB42" i="22" s="1"/>
  <c r="AE42" i="22" s="1"/>
  <c r="J42" i="31" s="1"/>
  <c r="T10" i="29"/>
  <c r="U10" i="29" s="1"/>
  <c r="V10" i="29" s="1"/>
  <c r="M10" i="31" s="1"/>
  <c r="AQ31" i="21"/>
  <c r="AT31" i="21" s="1"/>
  <c r="AW31" i="21" s="1"/>
  <c r="E31" i="31" s="1"/>
  <c r="Z14" i="22"/>
  <c r="AC14" i="22" s="1"/>
  <c r="H14" i="31" s="1"/>
  <c r="AQ34" i="21"/>
  <c r="AT34" i="21" s="1"/>
  <c r="AW34" i="21" s="1"/>
  <c r="E34" i="31" s="1"/>
  <c r="Y18" i="22"/>
  <c r="AB18" i="22" s="1"/>
  <c r="AE18" i="22" s="1"/>
  <c r="J18" i="31" s="1"/>
  <c r="AR29" i="21"/>
  <c r="AU29" i="21" s="1"/>
  <c r="AX29" i="21" s="1"/>
  <c r="F29" i="31" s="1"/>
  <c r="AR34" i="21"/>
  <c r="Q15" i="29"/>
  <c r="R15" i="29" s="1"/>
  <c r="S15" i="29" s="1"/>
  <c r="L15" i="31" s="1"/>
  <c r="AQ16" i="21"/>
  <c r="AT16" i="21" s="1"/>
  <c r="AW16" i="21" s="1"/>
  <c r="E16" i="31" s="1"/>
  <c r="AR33" i="21"/>
  <c r="T18" i="29"/>
  <c r="U18" i="29" s="1"/>
  <c r="V18" i="29" s="1"/>
  <c r="M18" i="31" s="1"/>
  <c r="Q17" i="29"/>
  <c r="R17" i="29" s="1"/>
  <c r="S17" i="29" s="1"/>
  <c r="L17" i="31" s="1"/>
  <c r="Q32" i="29"/>
  <c r="R32" i="29" s="1"/>
  <c r="S32" i="29" s="1"/>
  <c r="L32" i="31" s="1"/>
  <c r="AR10" i="21"/>
  <c r="AR40" i="21"/>
  <c r="AU40" i="21" s="1"/>
  <c r="AX40" i="21" s="1"/>
  <c r="F40" i="31" s="1"/>
  <c r="AQ33" i="21"/>
  <c r="AT33" i="21" s="1"/>
  <c r="AW33" i="21" s="1"/>
  <c r="E33" i="31" s="1"/>
  <c r="AR26" i="21"/>
  <c r="Y34" i="22"/>
  <c r="AB34" i="22" s="1"/>
  <c r="AE34" i="22" s="1"/>
  <c r="J34" i="31" s="1"/>
  <c r="Q34" i="29"/>
  <c r="R34" i="29" s="1"/>
  <c r="S34" i="29" s="1"/>
  <c r="L34" i="31" s="1"/>
  <c r="Z34" i="22"/>
  <c r="AC34" i="22" s="1"/>
  <c r="H34" i="31" s="1"/>
  <c r="O42" i="29"/>
  <c r="P42" i="29" s="1"/>
  <c r="K42" i="31" s="1"/>
  <c r="Q42" i="29"/>
  <c r="R42" i="29" s="1"/>
  <c r="S42" i="29" s="1"/>
  <c r="L42" i="31" s="1"/>
  <c r="Y41" i="22"/>
  <c r="AB41" i="22" s="1"/>
  <c r="AE41" i="22" s="1"/>
  <c r="J41" i="31" s="1"/>
  <c r="Q41" i="29"/>
  <c r="R41" i="29" s="1"/>
  <c r="S41" i="29" s="1"/>
  <c r="L41" i="31" s="1"/>
  <c r="T41" i="29"/>
  <c r="U41" i="29" s="1"/>
  <c r="V41" i="29" s="1"/>
  <c r="M41" i="31" s="1"/>
  <c r="T15" i="29"/>
  <c r="U15" i="29" s="1"/>
  <c r="V15" i="29" s="1"/>
  <c r="M15" i="31" s="1"/>
  <c r="AA26" i="22"/>
  <c r="AD26" i="22" s="1"/>
  <c r="I26" i="31" s="1"/>
  <c r="Y26" i="22"/>
  <c r="AB26" i="22" s="1"/>
  <c r="AE26" i="22" s="1"/>
  <c r="J26" i="31" s="1"/>
  <c r="AA27" i="22"/>
  <c r="AD27" i="22" s="1"/>
  <c r="I27" i="31" s="1"/>
  <c r="T27" i="29"/>
  <c r="U27" i="29" s="1"/>
  <c r="V27" i="29" s="1"/>
  <c r="M27" i="31" s="1"/>
  <c r="Y33" i="22"/>
  <c r="AB33" i="22" s="1"/>
  <c r="AE33" i="22" s="1"/>
  <c r="J33" i="31" s="1"/>
  <c r="Z33" i="22"/>
  <c r="AC33" i="22" s="1"/>
  <c r="H33" i="31" s="1"/>
  <c r="Q33" i="29"/>
  <c r="R33" i="29" s="1"/>
  <c r="S33" i="29" s="1"/>
  <c r="L33" i="31" s="1"/>
  <c r="T33" i="29"/>
  <c r="U33" i="29" s="1"/>
  <c r="V33" i="29" s="1"/>
  <c r="M33" i="31" s="1"/>
  <c r="AR3" i="21"/>
  <c r="AU3" i="21" s="1"/>
  <c r="AX3" i="21" s="1"/>
  <c r="F3" i="31" s="1"/>
  <c r="T4" i="29"/>
  <c r="U4" i="29" s="1"/>
  <c r="T42" i="29"/>
  <c r="U42" i="29" s="1"/>
  <c r="V42" i="29" s="1"/>
  <c r="M42" i="31" s="1"/>
  <c r="AR41" i="21"/>
  <c r="AQ18" i="21"/>
  <c r="AT18" i="21" s="1"/>
  <c r="AW18" i="21" s="1"/>
  <c r="E18" i="31" s="1"/>
  <c r="AR31" i="21"/>
  <c r="AQ27" i="21"/>
  <c r="AT27" i="21" s="1"/>
  <c r="AW27" i="21" s="1"/>
  <c r="E27" i="31" s="1"/>
  <c r="AR11" i="21"/>
  <c r="AU11" i="21" s="1"/>
  <c r="AX11" i="21" s="1"/>
  <c r="F11" i="31" s="1"/>
  <c r="AQ40" i="21"/>
  <c r="AT40" i="21" s="1"/>
  <c r="AW40" i="21" s="1"/>
  <c r="E40" i="31" s="1"/>
  <c r="AR15" i="21"/>
  <c r="Z11" i="22"/>
  <c r="AC11" i="22" s="1"/>
  <c r="H11" i="31" s="1"/>
  <c r="T11" i="29"/>
  <c r="U11" i="29" s="1"/>
  <c r="V11" i="29" s="1"/>
  <c r="M11" i="31" s="1"/>
  <c r="Q40" i="29"/>
  <c r="R40" i="29" s="1"/>
  <c r="S40" i="29" s="1"/>
  <c r="L40" i="31" s="1"/>
  <c r="T40" i="29"/>
  <c r="U40" i="29" s="1"/>
  <c r="V40" i="29" s="1"/>
  <c r="M40" i="31" s="1"/>
  <c r="Z40" i="22"/>
  <c r="AC40" i="22" s="1"/>
  <c r="H40" i="31" s="1"/>
  <c r="T9" i="29"/>
  <c r="U9" i="29" s="1"/>
  <c r="V9" i="29" s="1"/>
  <c r="M9" i="31" s="1"/>
  <c r="Q9" i="29"/>
  <c r="R9" i="29" s="1"/>
  <c r="S9" i="29" s="1"/>
  <c r="L9" i="31" s="1"/>
  <c r="Y9" i="22"/>
  <c r="AB9" i="22" s="1"/>
  <c r="AE9" i="22" s="1"/>
  <c r="J9" i="31" s="1"/>
  <c r="Y3" i="22"/>
  <c r="AB3" i="22" s="1"/>
  <c r="AE3" i="22" s="1"/>
  <c r="J3" i="31" s="1"/>
  <c r="T3" i="29"/>
  <c r="U3" i="29" s="1"/>
  <c r="V3" i="29" s="1"/>
  <c r="M3" i="31" s="1"/>
  <c r="Q3" i="29"/>
  <c r="R3" i="29" s="1"/>
  <c r="S3" i="29" s="1"/>
  <c r="L3" i="31" s="1"/>
  <c r="O4" i="29"/>
  <c r="P4" i="29" s="1"/>
  <c r="K4" i="31" s="1"/>
  <c r="Q4" i="29"/>
  <c r="R4" i="29" s="1"/>
  <c r="S4" i="29" s="1"/>
  <c r="L4" i="31" s="1"/>
  <c r="Y16" i="22"/>
  <c r="AB16" i="22" s="1"/>
  <c r="AE16" i="22" s="1"/>
  <c r="J16" i="31" s="1"/>
  <c r="T34" i="29"/>
  <c r="U34" i="29" s="1"/>
  <c r="V34" i="29" s="1"/>
  <c r="M34" i="31" s="1"/>
  <c r="Z31" i="22"/>
  <c r="AC31" i="22" s="1"/>
  <c r="H31" i="31" s="1"/>
  <c r="Q16" i="29"/>
  <c r="R16" i="29" s="1"/>
  <c r="S16" i="29" s="1"/>
  <c r="L16" i="31" s="1"/>
  <c r="T14" i="29"/>
  <c r="U14" i="29" s="1"/>
  <c r="V14" i="29" s="1"/>
  <c r="M14" i="31" s="1"/>
  <c r="Z15" i="22"/>
  <c r="AC15" i="22" s="1"/>
  <c r="H15" i="31" s="1"/>
  <c r="Y10" i="22"/>
  <c r="AB10" i="22" s="1"/>
  <c r="AE10" i="22" s="1"/>
  <c r="J10" i="31" s="1"/>
  <c r="Y29" i="22"/>
  <c r="AB29" i="22" s="1"/>
  <c r="AE29" i="22" s="1"/>
  <c r="J29" i="31" s="1"/>
  <c r="Z29" i="22"/>
  <c r="AC29" i="22" s="1"/>
  <c r="H29" i="31" s="1"/>
  <c r="T29" i="29"/>
  <c r="U29" i="29" s="1"/>
  <c r="V29" i="29" s="1"/>
  <c r="M29" i="31" s="1"/>
  <c r="Q29" i="29"/>
  <c r="R29" i="29" s="1"/>
  <c r="S29" i="29" s="1"/>
  <c r="L29" i="31" s="1"/>
  <c r="T31" i="29"/>
  <c r="U31" i="29" s="1"/>
  <c r="V31" i="29" s="1"/>
  <c r="M31" i="31" s="1"/>
  <c r="AQ3" i="21"/>
  <c r="Q31" i="29"/>
  <c r="R31" i="29" s="1"/>
  <c r="S31" i="29" s="1"/>
  <c r="L31" i="31" s="1"/>
  <c r="Y4" i="22"/>
  <c r="AB4" i="22" s="1"/>
  <c r="AE4" i="22" s="1"/>
  <c r="J4" i="31" s="1"/>
  <c r="T32" i="29"/>
  <c r="U32" i="29" s="1"/>
  <c r="V32" i="29" s="1"/>
  <c r="M32" i="31" s="1"/>
  <c r="T16" i="29"/>
  <c r="U16" i="29" s="1"/>
  <c r="V16" i="29" s="1"/>
  <c r="M16" i="31" s="1"/>
  <c r="AQ41" i="21"/>
  <c r="AT41" i="21" s="1"/>
  <c r="AW41" i="21" s="1"/>
  <c r="E41" i="31" s="1"/>
  <c r="AQ25" i="21"/>
  <c r="AT25" i="21" s="1"/>
  <c r="AW25" i="21" s="1"/>
  <c r="E25" i="31" s="1"/>
  <c r="Y14" i="22"/>
  <c r="AB14" i="22" s="1"/>
  <c r="AE14" i="22" s="1"/>
  <c r="J14" i="31" s="1"/>
  <c r="Q10" i="29"/>
  <c r="R10" i="29" s="1"/>
  <c r="S10" i="29" s="1"/>
  <c r="L10" i="31" s="1"/>
  <c r="Y27" i="22"/>
  <c r="AB27" i="22" s="1"/>
  <c r="AE27" i="22" s="1"/>
  <c r="J27" i="31" s="1"/>
  <c r="AR25" i="21"/>
  <c r="AU25" i="21" s="1"/>
  <c r="AX25" i="21" s="1"/>
  <c r="F25" i="31" s="1"/>
  <c r="AR17" i="21"/>
  <c r="AU17" i="21" s="1"/>
  <c r="AX17" i="21" s="1"/>
  <c r="F17" i="31" s="1"/>
  <c r="Z17" i="22"/>
  <c r="AC17" i="22" s="1"/>
  <c r="H17" i="31" s="1"/>
  <c r="T17" i="29"/>
  <c r="U17" i="29" s="1"/>
  <c r="V17" i="29" s="1"/>
  <c r="M17" i="31" s="1"/>
  <c r="Y17" i="22"/>
  <c r="AB17" i="22" s="1"/>
  <c r="AE17" i="22" s="1"/>
  <c r="J17" i="31" s="1"/>
  <c r="Y15" i="22"/>
  <c r="AB15" i="22" s="1"/>
  <c r="AE15" i="22" s="1"/>
  <c r="J15" i="31" s="1"/>
  <c r="Z30" i="22"/>
  <c r="AC30" i="22" s="1"/>
  <c r="H30" i="31" s="1"/>
  <c r="Y30" i="22"/>
  <c r="AB30" i="22" s="1"/>
  <c r="AE30" i="22" s="1"/>
  <c r="J30" i="31" s="1"/>
  <c r="Q30" i="29"/>
  <c r="R30" i="29" s="1"/>
  <c r="S30" i="29" s="1"/>
  <c r="L30" i="31" s="1"/>
  <c r="T26" i="29"/>
  <c r="U26" i="29" s="1"/>
  <c r="V26" i="29" s="1"/>
  <c r="M26" i="31" s="1"/>
  <c r="Z25" i="22"/>
  <c r="AC25" i="22" s="1"/>
  <c r="H25" i="31" s="1"/>
  <c r="Y25" i="22"/>
  <c r="AB25" i="22" s="1"/>
  <c r="AE25" i="22" s="1"/>
  <c r="J25" i="31" s="1"/>
  <c r="Q25" i="29"/>
  <c r="R25" i="29" s="1"/>
  <c r="S25" i="29" s="1"/>
  <c r="L25" i="31" s="1"/>
  <c r="T25" i="29"/>
  <c r="U25" i="29" s="1"/>
  <c r="Z19" i="22"/>
  <c r="AC19" i="22" s="1"/>
  <c r="H19" i="31" s="1"/>
  <c r="T19" i="29"/>
  <c r="U19" i="29" s="1"/>
  <c r="Q19" i="29"/>
  <c r="R19" i="29" s="1"/>
  <c r="S19" i="29" s="1"/>
  <c r="L19" i="31" s="1"/>
  <c r="Y19" i="22"/>
  <c r="AB19" i="22" s="1"/>
  <c r="AE19" i="22" s="1"/>
  <c r="J19" i="31" s="1"/>
  <c r="Y11" i="22"/>
  <c r="AB11" i="22" s="1"/>
  <c r="AE11" i="22" s="1"/>
  <c r="J11" i="31" s="1"/>
  <c r="Z4" i="22"/>
  <c r="AC4" i="22" s="1"/>
  <c r="H4" i="31" s="1"/>
  <c r="T39" i="29"/>
  <c r="U39" i="29" s="1"/>
  <c r="V39" i="29" s="1"/>
  <c r="M39" i="31" s="1"/>
  <c r="Y39" i="22"/>
  <c r="AB39" i="22" s="1"/>
  <c r="AE39" i="22" s="1"/>
  <c r="J39" i="31" s="1"/>
  <c r="Q39" i="29"/>
  <c r="R39" i="29" s="1"/>
  <c r="S39" i="29" s="1"/>
  <c r="L39" i="31" s="1"/>
  <c r="Z39" i="22"/>
  <c r="AC39" i="22" s="1"/>
  <c r="H39" i="31" s="1"/>
  <c r="AS39" i="21" l="1"/>
  <c r="AV39" i="21" s="1"/>
  <c r="AY39" i="21" s="1"/>
  <c r="G39" i="31" s="1"/>
  <c r="AS42" i="21"/>
  <c r="AV42" i="21" s="1"/>
  <c r="O42" i="31" s="1"/>
  <c r="P42" i="31" s="1"/>
  <c r="AS9" i="21"/>
  <c r="AV9" i="21" s="1"/>
  <c r="O9" i="31" s="1"/>
  <c r="P9" i="31" s="1"/>
  <c r="AS41" i="21"/>
  <c r="AV41" i="21" s="1"/>
  <c r="AY41" i="21" s="1"/>
  <c r="G41" i="31" s="1"/>
  <c r="AS4" i="21"/>
  <c r="AV4" i="21" s="1"/>
  <c r="AY4" i="21" s="1"/>
  <c r="G4" i="31" s="1"/>
  <c r="AS15" i="21"/>
  <c r="AV15" i="21" s="1"/>
  <c r="AY15" i="21" s="1"/>
  <c r="G15" i="31" s="1"/>
  <c r="V25" i="29"/>
  <c r="M25" i="31" s="1"/>
  <c r="AS27" i="21"/>
  <c r="AV27" i="21" s="1"/>
  <c r="O27" i="31" s="1"/>
  <c r="P27" i="31" s="1"/>
  <c r="AU39" i="21"/>
  <c r="AX39" i="21" s="1"/>
  <c r="F39" i="31" s="1"/>
  <c r="AS26" i="21"/>
  <c r="AV26" i="21" s="1"/>
  <c r="AY26" i="21" s="1"/>
  <c r="G26" i="31" s="1"/>
  <c r="AS19" i="21"/>
  <c r="AV19" i="21" s="1"/>
  <c r="AY19" i="21" s="1"/>
  <c r="G19" i="31" s="1"/>
  <c r="AU19" i="21"/>
  <c r="AX19" i="21" s="1"/>
  <c r="F19" i="31" s="1"/>
  <c r="AU15" i="21"/>
  <c r="AX15" i="21" s="1"/>
  <c r="F15" i="31" s="1"/>
  <c r="AU42" i="21"/>
  <c r="AX42" i="21" s="1"/>
  <c r="F42" i="31" s="1"/>
  <c r="AS16" i="21"/>
  <c r="AV16" i="21" s="1"/>
  <c r="AY16" i="21" s="1"/>
  <c r="G16" i="31" s="1"/>
  <c r="AS32" i="21"/>
  <c r="AV32" i="21" s="1"/>
  <c r="AY32" i="21" s="1"/>
  <c r="G32" i="31" s="1"/>
  <c r="AU9" i="21"/>
  <c r="AX9" i="21" s="1"/>
  <c r="F9" i="31" s="1"/>
  <c r="AS34" i="21"/>
  <c r="AV34" i="21" s="1"/>
  <c r="O34" i="31" s="1"/>
  <c r="P34" i="31" s="1"/>
  <c r="AS30" i="21"/>
  <c r="AV30" i="21" s="1"/>
  <c r="O30" i="31" s="1"/>
  <c r="P30" i="31" s="1"/>
  <c r="AS14" i="21"/>
  <c r="AV14" i="21" s="1"/>
  <c r="AY14" i="21" s="1"/>
  <c r="G14" i="31" s="1"/>
  <c r="AS18" i="21"/>
  <c r="AV18" i="21" s="1"/>
  <c r="AY18" i="21" s="1"/>
  <c r="G18" i="31" s="1"/>
  <c r="AU30" i="21"/>
  <c r="AX30" i="21" s="1"/>
  <c r="F30" i="31" s="1"/>
  <c r="AU41" i="21"/>
  <c r="AX41" i="21" s="1"/>
  <c r="F41" i="31" s="1"/>
  <c r="AS11" i="21"/>
  <c r="AV11" i="21" s="1"/>
  <c r="O11" i="31" s="1"/>
  <c r="P11" i="31" s="1"/>
  <c r="AU34" i="21"/>
  <c r="AX34" i="21" s="1"/>
  <c r="F34" i="31" s="1"/>
  <c r="AS10" i="21"/>
  <c r="AV10" i="21" s="1"/>
  <c r="AU10" i="21"/>
  <c r="AX10" i="21" s="1"/>
  <c r="F10" i="31" s="1"/>
  <c r="V4" i="29"/>
  <c r="M4" i="31" s="1"/>
  <c r="AS17" i="21"/>
  <c r="AV17" i="21" s="1"/>
  <c r="O17" i="31" s="1"/>
  <c r="P17" i="31" s="1"/>
  <c r="AU26" i="21"/>
  <c r="AX26" i="21" s="1"/>
  <c r="F26" i="31" s="1"/>
  <c r="AS40" i="21"/>
  <c r="AV40" i="21" s="1"/>
  <c r="AY40" i="21" s="1"/>
  <c r="G40" i="31" s="1"/>
  <c r="AS29" i="21"/>
  <c r="AV29" i="21" s="1"/>
  <c r="O29" i="31" s="1"/>
  <c r="P29" i="31" s="1"/>
  <c r="AU33" i="21"/>
  <c r="AX33" i="21" s="1"/>
  <c r="F33" i="31" s="1"/>
  <c r="AS33" i="21"/>
  <c r="AV33" i="21" s="1"/>
  <c r="AU31" i="21"/>
  <c r="AX31" i="21" s="1"/>
  <c r="F31" i="31" s="1"/>
  <c r="AS31" i="21"/>
  <c r="AV31" i="21" s="1"/>
  <c r="AY31" i="21" s="1"/>
  <c r="G31" i="31" s="1"/>
  <c r="AS25" i="21"/>
  <c r="AV25" i="21" s="1"/>
  <c r="AY25" i="21" s="1"/>
  <c r="G25" i="31" s="1"/>
  <c r="AT3" i="21"/>
  <c r="AW3" i="21" s="1"/>
  <c r="E3" i="31" s="1"/>
  <c r="AS3" i="21"/>
  <c r="AV3" i="21" s="1"/>
  <c r="V19" i="29"/>
  <c r="M19" i="31" s="1"/>
  <c r="AY42" i="21"/>
  <c r="G42" i="31" s="1"/>
  <c r="O39" i="31" l="1"/>
  <c r="P39" i="31" s="1"/>
  <c r="AY9" i="21"/>
  <c r="G9" i="31" s="1"/>
  <c r="AY27" i="21"/>
  <c r="G27" i="31" s="1"/>
  <c r="O41" i="31"/>
  <c r="P41" i="31" s="1"/>
  <c r="O15" i="31"/>
  <c r="P15" i="31" s="1"/>
  <c r="O4" i="31"/>
  <c r="P4" i="31" s="1"/>
  <c r="AY34" i="21"/>
  <c r="G34" i="31" s="1"/>
  <c r="O26" i="31"/>
  <c r="P26" i="31" s="1"/>
  <c r="O25" i="31"/>
  <c r="P25" i="31" s="1"/>
  <c r="O19" i="31"/>
  <c r="P19" i="31" s="1"/>
  <c r="O32" i="31"/>
  <c r="P32" i="31" s="1"/>
  <c r="AY30" i="21"/>
  <c r="G30" i="31" s="1"/>
  <c r="O16" i="31"/>
  <c r="P16" i="31" s="1"/>
  <c r="O14" i="31"/>
  <c r="P14" i="31" s="1"/>
  <c r="AY11" i="21"/>
  <c r="G11" i="31" s="1"/>
  <c r="O18" i="31"/>
  <c r="P18" i="31" s="1"/>
  <c r="O40" i="31"/>
  <c r="P40" i="31" s="1"/>
  <c r="AY29" i="21"/>
  <c r="G29" i="31" s="1"/>
  <c r="AY17" i="21"/>
  <c r="G17" i="31" s="1"/>
  <c r="AY33" i="21"/>
  <c r="G33" i="31" s="1"/>
  <c r="O33" i="31"/>
  <c r="P33" i="31" s="1"/>
  <c r="O31" i="31"/>
  <c r="P31" i="31" s="1"/>
  <c r="O10" i="31"/>
  <c r="P10" i="31" s="1"/>
  <c r="AY10" i="21"/>
  <c r="G10" i="31" s="1"/>
  <c r="AY3" i="21"/>
  <c r="G3" i="31" s="1"/>
  <c r="O3" i="31"/>
  <c r="P3" i="31" s="1"/>
</calcChain>
</file>

<file path=xl/sharedStrings.xml><?xml version="1.0" encoding="utf-8"?>
<sst xmlns="http://schemas.openxmlformats.org/spreadsheetml/2006/main" count="537" uniqueCount="195">
  <si>
    <t>rollover</t>
  </si>
  <si>
    <t>Make</t>
  </si>
  <si>
    <t>Model</t>
  </si>
  <si>
    <t>Year</t>
  </si>
  <si>
    <t>SSF</t>
  </si>
  <si>
    <t>Dynamic Test (Y or N)</t>
  </si>
  <si>
    <t>TIP UP? (Y or N)</t>
  </si>
  <si>
    <t>P(roll)</t>
  </si>
  <si>
    <t>P(AIS3+)</t>
  </si>
  <si>
    <t>RRS(roll)</t>
  </si>
  <si>
    <t>stars</t>
  </si>
  <si>
    <t>Acura</t>
  </si>
  <si>
    <t>MDX SUV AWD</t>
  </si>
  <si>
    <t>MDX SUV FWD</t>
  </si>
  <si>
    <t>Y</t>
  </si>
  <si>
    <t>N</t>
  </si>
  <si>
    <t>Chevrolet</t>
  </si>
  <si>
    <t>Silverado 1500 PU/CC 2WD</t>
  </si>
  <si>
    <t>Silverado 1500 PU/CC 4WD</t>
  </si>
  <si>
    <t>GMC</t>
  </si>
  <si>
    <t>Sierra 1500 PU/CC 2WD</t>
  </si>
  <si>
    <t>Sierra 1500 PU/CC 4WD</t>
  </si>
  <si>
    <t>Ford</t>
  </si>
  <si>
    <t>Bronco 4 DR SUV 4WD</t>
  </si>
  <si>
    <t>Escape PHEV SUV FWD</t>
  </si>
  <si>
    <t>Lincoln</t>
  </si>
  <si>
    <t>Corsair PHEV SUV AWD</t>
  </si>
  <si>
    <t>F-150 Super Crew HEV PU/CC 2WD</t>
  </si>
  <si>
    <t>F-150 Super Crew HEV PU/CC 4WD</t>
  </si>
  <si>
    <t>Honda</t>
  </si>
  <si>
    <t>Civic 4DR FWD</t>
  </si>
  <si>
    <t>Civic SI 4DR FWD</t>
  </si>
  <si>
    <t>Civic 5HB FWD</t>
  </si>
  <si>
    <t>Hyundai</t>
  </si>
  <si>
    <t>Tucson SUV FWD early release</t>
  </si>
  <si>
    <t>Tucson SUV AWD early release</t>
  </si>
  <si>
    <t>Tucson HEV SUV FWD early release</t>
  </si>
  <si>
    <t>Tucson HEV SUV AWD early release</t>
  </si>
  <si>
    <t>Tucson SUV FWD later release</t>
  </si>
  <si>
    <t>Tucson SUV AWD later release</t>
  </si>
  <si>
    <t>Tucson HEV SUV FWD later release</t>
  </si>
  <si>
    <t>Tucson HEV SUV AWD later release</t>
  </si>
  <si>
    <t>Jeep</t>
  </si>
  <si>
    <t>Compass SUV FWD</t>
  </si>
  <si>
    <t>Compass SUV AWD</t>
  </si>
  <si>
    <t>Kia</t>
  </si>
  <si>
    <t>Niro Electric SUV FWD</t>
  </si>
  <si>
    <t>Mazda</t>
  </si>
  <si>
    <t>MX-30 5HB FWD</t>
  </si>
  <si>
    <t xml:space="preserve">Mitsubishi </t>
  </si>
  <si>
    <t>Eclipse Cross SUV AWD</t>
  </si>
  <si>
    <t>Eclipse Cross SUV FWD</t>
  </si>
  <si>
    <t>Nissan</t>
  </si>
  <si>
    <t>Altima 4DR FWD</t>
  </si>
  <si>
    <t>Altima 4DR AWD</t>
  </si>
  <si>
    <t>Frontier Crew Cab PU/CC RWD</t>
  </si>
  <si>
    <t>Frontier Crew Cab PU/CC 4WD</t>
  </si>
  <si>
    <t>Frontier King Cab PU/EC RWD</t>
  </si>
  <si>
    <t>Frontier King Cab PU/EC 4WD</t>
  </si>
  <si>
    <t>Rogue AWD (Later Release)</t>
  </si>
  <si>
    <t>Rogue FWD (Later Release)</t>
  </si>
  <si>
    <t>Volkswagen</t>
  </si>
  <si>
    <t>Jetta 4DR FWD</t>
  </si>
  <si>
    <t>Jetta GLI 4DR FWD</t>
  </si>
  <si>
    <t>Taos SUV FWD</t>
  </si>
  <si>
    <t>Taos SUV AWD</t>
  </si>
  <si>
    <t>Driver HIII 50M</t>
  </si>
  <si>
    <t>Front Passenger HIII 5F</t>
  </si>
  <si>
    <t>Driver AIS 3+ injury to different body regions</t>
  </si>
  <si>
    <t>Front Passenger AIS 3+ injury to different body regions</t>
  </si>
  <si>
    <t>Driver</t>
  </si>
  <si>
    <t>Passenger</t>
  </si>
  <si>
    <t>Average</t>
  </si>
  <si>
    <t>comb.</t>
  </si>
  <si>
    <t>Test No.</t>
  </si>
  <si>
    <t>NHTSA No.</t>
  </si>
  <si>
    <t>Lab</t>
  </si>
  <si>
    <t>HIC15</t>
  </si>
  <si>
    <t>Nij</t>
  </si>
  <si>
    <t>Neck Tension N</t>
  </si>
  <si>
    <t>Neck Comprsn N</t>
  </si>
  <si>
    <t>Chest Deflection mm</t>
  </si>
  <si>
    <t>3 ms clip gs</t>
  </si>
  <si>
    <t>Left Femur Force N</t>
  </si>
  <si>
    <t>Right Femur Force N</t>
  </si>
  <si>
    <t>P(HIC15)</t>
  </si>
  <si>
    <t>P(Nij)</t>
  </si>
  <si>
    <t>P(Ntension)</t>
  </si>
  <si>
    <t>P(Ncomprsn)</t>
  </si>
  <si>
    <t>P(Neck)</t>
  </si>
  <si>
    <t>P(chest)</t>
  </si>
  <si>
    <t>P(Lfemur)</t>
  </si>
  <si>
    <t>P(Rfemur)</t>
  </si>
  <si>
    <t>P(femur)</t>
  </si>
  <si>
    <t>P(NComprsn)</t>
  </si>
  <si>
    <t>p(AIS 3+)</t>
  </si>
  <si>
    <t>RRS (front)</t>
  </si>
  <si>
    <t>Stars</t>
  </si>
  <si>
    <t>O20225300</t>
  </si>
  <si>
    <t>MGA</t>
  </si>
  <si>
    <t>Karco</t>
  </si>
  <si>
    <t>Calspan</t>
  </si>
  <si>
    <t>M20220106</t>
  </si>
  <si>
    <t>TRC</t>
  </si>
  <si>
    <t>M20220215</t>
  </si>
  <si>
    <t>M20220200</t>
  </si>
  <si>
    <t>O20225303</t>
  </si>
  <si>
    <t>M20224206</t>
  </si>
  <si>
    <t>O20224200</t>
  </si>
  <si>
    <t>M20220300</t>
  </si>
  <si>
    <t>M20224209</t>
  </si>
  <si>
    <t>O20225400</t>
  </si>
  <si>
    <t>O20225600</t>
  </si>
  <si>
    <t>O20195200</t>
  </si>
  <si>
    <t>M20225202</t>
  </si>
  <si>
    <t>O20225200</t>
  </si>
  <si>
    <t>M20225806</t>
  </si>
  <si>
    <t>M20225803</t>
  </si>
  <si>
    <t>Driver ES-2re</t>
  </si>
  <si>
    <t>Rear Passenger SID-IIs</t>
  </si>
  <si>
    <t>Driver Es-2re</t>
  </si>
  <si>
    <t>Passenger*</t>
  </si>
  <si>
    <t>Combined</t>
  </si>
  <si>
    <t>Comb.</t>
  </si>
  <si>
    <t>Side MDB</t>
  </si>
  <si>
    <t>HIC36</t>
  </si>
  <si>
    <t>Rib Defl
(mm)</t>
  </si>
  <si>
    <t>Lower Spine (G's)</t>
  </si>
  <si>
    <t>Abd'm Force (N)</t>
  </si>
  <si>
    <t>Pubic Force (N)</t>
  </si>
  <si>
    <t>Abd'm defl (mm)</t>
  </si>
  <si>
    <t>Iliac+acet Force (N)</t>
  </si>
  <si>
    <t>P(head)</t>
  </si>
  <si>
    <t>P(abdm)</t>
  </si>
  <si>
    <t>P(pelvs)</t>
  </si>
  <si>
    <t>P(AIS 3+)</t>
  </si>
  <si>
    <t>RRS (MDB)</t>
  </si>
  <si>
    <t>O20225302</t>
  </si>
  <si>
    <t>KAR</t>
  </si>
  <si>
    <t>CAL</t>
  </si>
  <si>
    <t>M20190108</t>
  </si>
  <si>
    <t>M20220202</t>
  </si>
  <si>
    <t>O20225305</t>
  </si>
  <si>
    <t>M20224208</t>
  </si>
  <si>
    <t>O20224202</t>
  </si>
  <si>
    <t>M20220302</t>
  </si>
  <si>
    <t>M20224211</t>
  </si>
  <si>
    <t>O20225402</t>
  </si>
  <si>
    <t>M20205602</t>
  </si>
  <si>
    <t>M20225201</t>
  </si>
  <si>
    <t>M20225204</t>
  </si>
  <si>
    <t>data loss</t>
  </si>
  <si>
    <t>M20215204</t>
  </si>
  <si>
    <t>M20195802</t>
  </si>
  <si>
    <t>M20225805</t>
  </si>
  <si>
    <t>Driver SID-IIs</t>
  </si>
  <si>
    <t>Side pole</t>
  </si>
  <si>
    <t>Overall Side</t>
  </si>
  <si>
    <t xml:space="preserve">RRS </t>
  </si>
  <si>
    <t>Max. Thor. rib defl
(mm)</t>
  </si>
  <si>
    <t>Lower Spine result. (G's)</t>
  </si>
  <si>
    <t>Max. Abd'm rib defl (mm)</t>
  </si>
  <si>
    <t>RRS(pole)</t>
  </si>
  <si>
    <t>P(Overall MDB+pole Driver)</t>
  </si>
  <si>
    <t>RRS(Overall MDB+pole Driver)</t>
  </si>
  <si>
    <t>overall Driver stars</t>
  </si>
  <si>
    <t>P(Overall side)</t>
  </si>
  <si>
    <t>RRS(Overall side)</t>
  </si>
  <si>
    <t>Overall Side stars</t>
  </si>
  <si>
    <t>O20225301</t>
  </si>
  <si>
    <t>M20190107</t>
  </si>
  <si>
    <t>M20220201</t>
  </si>
  <si>
    <t>O20225304</t>
  </si>
  <si>
    <t>M20224207</t>
  </si>
  <si>
    <t>O20224201</t>
  </si>
  <si>
    <t>M20220301</t>
  </si>
  <si>
    <t>M20224210</t>
  </si>
  <si>
    <t>O20225401</t>
  </si>
  <si>
    <t>M20205601</t>
  </si>
  <si>
    <t>M20225200</t>
  </si>
  <si>
    <t>M20225203</t>
  </si>
  <si>
    <t>M20215203</t>
  </si>
  <si>
    <t>lost data</t>
  </si>
  <si>
    <t>M20195801</t>
  </si>
  <si>
    <t>M20225804</t>
  </si>
  <si>
    <t>Date on Web</t>
  </si>
  <si>
    <t>Front (STARS)</t>
  </si>
  <si>
    <t>Side MDB (STARS)</t>
  </si>
  <si>
    <t>Side Pole (STARS)</t>
  </si>
  <si>
    <t>Overall Driver Star</t>
  </si>
  <si>
    <t>Overall Side Star</t>
  </si>
  <si>
    <t>Rollover (STARS)</t>
  </si>
  <si>
    <t>Pass</t>
  </si>
  <si>
    <t>VSS</t>
  </si>
  <si>
    <t>STARS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</si>
</sst>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8"/>
      <name val="Cambria"/>
      <family val="1"/>
      <scheme val="maj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</cellStyleXfs>
  <cellXfs count="194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4" fillId="0" borderId="1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quotePrefix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4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/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/>
    <xf numFmtId="2" fontId="0" fillId="0" borderId="0" xfId="0" applyNumberFormat="1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5" fillId="0" borderId="0" xfId="0" applyFont="1" applyFill="1"/>
    <xf numFmtId="0" fontId="2" fillId="0" borderId="5" xfId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0" fontId="3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1" fontId="4" fillId="0" borderId="7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" fontId="5" fillId="0" borderId="1" xfId="0" applyNumberFormat="1" applyFont="1" applyFill="1" applyBorder="1"/>
    <xf numFmtId="1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5" fillId="0" borderId="1" xfId="0" applyNumberFormat="1" applyFont="1" applyFill="1" applyBorder="1"/>
    <xf numFmtId="0" fontId="4" fillId="0" borderId="0" xfId="0" applyFont="1" applyFill="1" applyAlignment="1">
      <alignment horizontal="center"/>
    </xf>
    <xf numFmtId="1" fontId="4" fillId="0" borderId="0" xfId="0" applyNumberFormat="1" applyFont="1" applyFill="1"/>
    <xf numFmtId="0" fontId="4" fillId="0" borderId="0" xfId="0" applyFont="1" applyFill="1"/>
    <xf numFmtId="2" fontId="5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/>
    <xf numFmtId="0" fontId="4" fillId="0" borderId="1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" fontId="4" fillId="0" borderId="3" xfId="0" applyNumberFormat="1" applyFont="1" applyFill="1" applyBorder="1" applyAlignment="1" applyProtection="1">
      <alignment horizont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4" fillId="0" borderId="4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/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2" fillId="0" borderId="1" xfId="1" applyNumberFormat="1" applyFon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/>
    <xf numFmtId="0" fontId="0" fillId="0" borderId="0" xfId="0" applyNumberFormat="1" applyFont="1" applyFill="1" applyProtection="1"/>
    <xf numFmtId="164" fontId="0" fillId="0" borderId="0" xfId="0" applyNumberFormat="1" applyFont="1" applyFill="1" applyProtection="1"/>
    <xf numFmtId="1" fontId="0" fillId="0" borderId="0" xfId="0" applyNumberFormat="1" applyFont="1" applyFill="1" applyProtection="1"/>
    <xf numFmtId="164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 wrapText="1"/>
    </xf>
    <xf numFmtId="0" fontId="0" fillId="0" borderId="0" xfId="0" applyFont="1" applyFill="1"/>
    <xf numFmtId="164" fontId="2" fillId="0" borderId="2" xfId="0" applyNumberFormat="1" applyFont="1" applyFill="1" applyBorder="1" applyAlignment="1">
      <alignment horizontal="center"/>
    </xf>
    <xf numFmtId="0" fontId="2" fillId="0" borderId="3" xfId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>
      <alignment horizontal="center"/>
    </xf>
    <xf numFmtId="0" fontId="0" fillId="0" borderId="0" xfId="0" applyFont="1" applyFill="1" applyProtection="1">
      <protection locked="0"/>
    </xf>
    <xf numFmtId="0" fontId="0" fillId="0" borderId="0" xfId="0" applyFont="1" applyFill="1" applyAlignment="1">
      <alignment horizontal="center"/>
    </xf>
    <xf numFmtId="0" fontId="4" fillId="0" borderId="1" xfId="0" applyFont="1" applyFill="1" applyBorder="1"/>
    <xf numFmtId="0" fontId="4" fillId="0" borderId="3" xfId="0" applyFont="1" applyFill="1" applyBorder="1"/>
    <xf numFmtId="164" fontId="4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164" fontId="11" fillId="0" borderId="6" xfId="0" applyNumberFormat="1" applyFont="1" applyFill="1" applyBorder="1" applyAlignment="1" applyProtection="1">
      <alignment horizontal="center"/>
      <protection locked="0"/>
    </xf>
    <xf numFmtId="164" fontId="11" fillId="0" borderId="1" xfId="0" applyNumberFormat="1" applyFont="1" applyFill="1" applyBorder="1" applyAlignment="1" applyProtection="1">
      <alignment horizontal="center"/>
      <protection locked="0"/>
    </xf>
    <xf numFmtId="164" fontId="11" fillId="0" borderId="9" xfId="0" applyNumberFormat="1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11" fillId="0" borderId="8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/>
    <xf numFmtId="2" fontId="0" fillId="0" borderId="0" xfId="0" applyNumberFormat="1" applyFont="1" applyFill="1"/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/>
  </cellXfs>
  <cellStyles count="16">
    <cellStyle name="Normal" xfId="0" builtinId="0"/>
    <cellStyle name="Normal 10 2" xfId="8" xr:uid="{00000000-0005-0000-0000-000001000000}"/>
    <cellStyle name="Normal 2" xfId="1" xr:uid="{00000000-0005-0000-0000-000002000000}"/>
    <cellStyle name="Normal 3" xfId="2" xr:uid="{00000000-0005-0000-0000-000003000000}"/>
    <cellStyle name="Normal 3 2" xfId="3" xr:uid="{00000000-0005-0000-0000-000004000000}"/>
    <cellStyle name="Normal 71" xfId="9" xr:uid="{00000000-0005-0000-0000-000005000000}"/>
    <cellStyle name="Normal 74" xfId="15" xr:uid="{00000000-0005-0000-0000-000006000000}"/>
    <cellStyle name="Normal 75" xfId="5" xr:uid="{00000000-0005-0000-0000-000007000000}"/>
    <cellStyle name="Normal 77" xfId="13" xr:uid="{00000000-0005-0000-0000-000008000000}"/>
    <cellStyle name="Normal 78" xfId="4" xr:uid="{00000000-0005-0000-0000-000009000000}"/>
    <cellStyle name="Normal 81" xfId="6" xr:uid="{00000000-0005-0000-0000-00000A000000}"/>
    <cellStyle name="Normal 82" xfId="10" xr:uid="{00000000-0005-0000-0000-00000B000000}"/>
    <cellStyle name="Standard 3 3" xfId="14" xr:uid="{00000000-0005-0000-0000-00000C000000}"/>
    <cellStyle name="쉼표 [0] 2 4" xfId="12" xr:uid="{00000000-0005-0000-0000-00000D000000}"/>
    <cellStyle name="표준 10" xfId="7" xr:uid="{00000000-0005-0000-0000-00000E000000}"/>
    <cellStyle name="표준_Sheet1" xfId="11" xr:uid="{00000000-0005-0000-0000-00000F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zoomScale="130" zoomScaleNormal="130" workbookViewId="0">
      <selection activeCell="A5" sqref="A5:XFD8"/>
    </sheetView>
  </sheetViews>
  <sheetFormatPr defaultColWidth="9.140625" defaultRowHeight="13.35" customHeight="1"/>
  <cols>
    <col min="1" max="1" width="15.5703125" style="74" customWidth="1"/>
    <col min="2" max="2" width="29.7109375" style="74" customWidth="1"/>
    <col min="3" max="3" width="4.5703125" style="69" bestFit="1" customWidth="1"/>
    <col min="4" max="4" width="4.42578125" style="69" bestFit="1" customWidth="1"/>
    <col min="5" max="5" width="18" style="69" bestFit="1" customWidth="1"/>
    <col min="6" max="6" width="13.140625" style="69" bestFit="1" customWidth="1"/>
    <col min="7" max="7" width="7.5703125" style="75" customWidth="1"/>
    <col min="8" max="8" width="7.42578125" style="75" bestFit="1" customWidth="1"/>
    <col min="9" max="9" width="7.5703125" style="76" bestFit="1" customWidth="1"/>
    <col min="10" max="10" width="7.140625" style="75" bestFit="1" customWidth="1"/>
    <col min="11" max="16384" width="9.140625" style="69"/>
  </cols>
  <sheetData>
    <row r="1" spans="1:10" s="63" customFormat="1" ht="13.35" customHeight="1">
      <c r="A1" s="17"/>
      <c r="B1" s="17"/>
      <c r="C1" s="17"/>
      <c r="D1" s="17"/>
      <c r="E1" s="17"/>
      <c r="F1" s="17"/>
      <c r="G1" s="61"/>
      <c r="H1" s="61"/>
      <c r="I1" s="62"/>
      <c r="J1" s="61" t="s">
        <v>0</v>
      </c>
    </row>
    <row r="2" spans="1:10" s="63" customFormat="1" ht="13.3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61" t="s">
        <v>7</v>
      </c>
      <c r="H2" s="61" t="s">
        <v>8</v>
      </c>
      <c r="I2" s="62" t="s">
        <v>9</v>
      </c>
      <c r="J2" s="61" t="s">
        <v>10</v>
      </c>
    </row>
    <row r="3" spans="1:10" ht="13.35" customHeight="1">
      <c r="A3" s="43" t="s">
        <v>11</v>
      </c>
      <c r="B3" s="64" t="s">
        <v>12</v>
      </c>
      <c r="C3" s="65">
        <v>2022</v>
      </c>
      <c r="D3" s="66"/>
      <c r="E3" s="66"/>
      <c r="F3" s="66"/>
      <c r="G3" s="67" t="e">
        <f t="shared" ref="G3:G8" si="0">IF(F3="Y",((1/(1+EXP(2.6968+(1.1686*LN(D3-0.9)))))),((1/(1+EXP(2.8891+(1.1686*(LN(D3-0.9))))))))</f>
        <v>#NUM!</v>
      </c>
      <c r="H3" s="67" t="e">
        <f t="shared" ref="H3:H8" si="1">ROUND(G3,3)</f>
        <v>#NUM!</v>
      </c>
      <c r="I3" s="68" t="e">
        <f t="shared" ref="I3:I8" si="2">ROUND(H3/0.15,2)</f>
        <v>#NUM!</v>
      </c>
      <c r="J3" s="61" t="e">
        <f t="shared" ref="J3:J8" si="3">IF(I3&lt;0.673,5,IF(I3&lt;1.33,4,IF(I3&lt;2,3,IF(I3&lt;2.67,2,1))))</f>
        <v>#NUM!</v>
      </c>
    </row>
    <row r="4" spans="1:10" ht="13.35" customHeight="1">
      <c r="A4" s="43" t="s">
        <v>11</v>
      </c>
      <c r="B4" s="64" t="s">
        <v>13</v>
      </c>
      <c r="C4" s="65">
        <v>2022</v>
      </c>
      <c r="D4" s="40">
        <v>1.27</v>
      </c>
      <c r="E4" s="40" t="s">
        <v>14</v>
      </c>
      <c r="F4" s="40" t="s">
        <v>15</v>
      </c>
      <c r="G4" s="67">
        <f t="shared" si="0"/>
        <v>0.15094392869398887</v>
      </c>
      <c r="H4" s="67">
        <f t="shared" si="1"/>
        <v>0.151</v>
      </c>
      <c r="I4" s="68">
        <f t="shared" si="2"/>
        <v>1.01</v>
      </c>
      <c r="J4" s="61">
        <f t="shared" si="3"/>
        <v>4</v>
      </c>
    </row>
    <row r="5" spans="1:10" ht="13.35" customHeight="1">
      <c r="A5" s="43" t="s">
        <v>16</v>
      </c>
      <c r="B5" s="14" t="s">
        <v>17</v>
      </c>
      <c r="C5" s="65">
        <v>2022</v>
      </c>
      <c r="D5" s="66">
        <v>1.19</v>
      </c>
      <c r="E5" s="66" t="s">
        <v>14</v>
      </c>
      <c r="F5" s="70" t="s">
        <v>15</v>
      </c>
      <c r="G5" s="10">
        <f t="shared" si="0"/>
        <v>0.19115541116675627</v>
      </c>
      <c r="H5" s="10">
        <f t="shared" si="1"/>
        <v>0.191</v>
      </c>
      <c r="I5" s="24">
        <f t="shared" si="2"/>
        <v>1.27</v>
      </c>
      <c r="J5" s="17">
        <f t="shared" si="3"/>
        <v>4</v>
      </c>
    </row>
    <row r="6" spans="1:10" ht="13.35" customHeight="1">
      <c r="A6" s="43" t="s">
        <v>16</v>
      </c>
      <c r="B6" s="14" t="s">
        <v>18</v>
      </c>
      <c r="C6" s="65">
        <v>2022</v>
      </c>
      <c r="D6" s="66">
        <v>1.18</v>
      </c>
      <c r="E6" s="66" t="s">
        <v>14</v>
      </c>
      <c r="F6" s="70" t="s">
        <v>15</v>
      </c>
      <c r="G6" s="10">
        <f t="shared" si="0"/>
        <v>0.19757624015247355</v>
      </c>
      <c r="H6" s="10">
        <f t="shared" si="1"/>
        <v>0.19800000000000001</v>
      </c>
      <c r="I6" s="24">
        <f t="shared" si="2"/>
        <v>1.32</v>
      </c>
      <c r="J6" s="17">
        <f t="shared" si="3"/>
        <v>4</v>
      </c>
    </row>
    <row r="7" spans="1:10" ht="13.35" customHeight="1">
      <c r="A7" s="40" t="s">
        <v>19</v>
      </c>
      <c r="B7" s="40" t="s">
        <v>20</v>
      </c>
      <c r="C7" s="65">
        <v>2022</v>
      </c>
      <c r="D7" s="66">
        <v>1.19</v>
      </c>
      <c r="E7" s="66" t="s">
        <v>14</v>
      </c>
      <c r="F7" s="70" t="s">
        <v>15</v>
      </c>
      <c r="G7" s="10">
        <f t="shared" si="0"/>
        <v>0.19115541116675627</v>
      </c>
      <c r="H7" s="10">
        <f t="shared" si="1"/>
        <v>0.191</v>
      </c>
      <c r="I7" s="24">
        <f t="shared" si="2"/>
        <v>1.27</v>
      </c>
      <c r="J7" s="17">
        <f t="shared" si="3"/>
        <v>4</v>
      </c>
    </row>
    <row r="8" spans="1:10" ht="13.35" customHeight="1">
      <c r="A8" s="40" t="s">
        <v>19</v>
      </c>
      <c r="B8" s="40" t="s">
        <v>21</v>
      </c>
      <c r="C8" s="65">
        <v>2022</v>
      </c>
      <c r="D8" s="66">
        <v>1.18</v>
      </c>
      <c r="E8" s="66" t="s">
        <v>14</v>
      </c>
      <c r="F8" s="70" t="s">
        <v>15</v>
      </c>
      <c r="G8" s="10">
        <f t="shared" si="0"/>
        <v>0.19757624015247355</v>
      </c>
      <c r="H8" s="10">
        <f t="shared" si="1"/>
        <v>0.19800000000000001</v>
      </c>
      <c r="I8" s="24">
        <f t="shared" si="2"/>
        <v>1.32</v>
      </c>
      <c r="J8" s="17">
        <f t="shared" si="3"/>
        <v>4</v>
      </c>
    </row>
    <row r="9" spans="1:10" ht="13.35" customHeight="1">
      <c r="A9" s="43" t="s">
        <v>22</v>
      </c>
      <c r="B9" s="64" t="s">
        <v>23</v>
      </c>
      <c r="C9" s="65">
        <v>2022</v>
      </c>
      <c r="D9" s="40">
        <v>1.1100000000000001</v>
      </c>
      <c r="E9" s="40" t="s">
        <v>14</v>
      </c>
      <c r="F9" s="40" t="s">
        <v>15</v>
      </c>
      <c r="G9" s="67">
        <f t="shared" ref="G9:G26" si="4">IF(F9="Y",((1/(1+EXP(2.6968+(1.1686*LN(D9-0.9)))))),((1/(1+EXP(2.8891+(1.1686*(LN(D9-0.9))))))))</f>
        <v>0.25629276697008341</v>
      </c>
      <c r="H9" s="67">
        <f t="shared" ref="H9:H26" si="5">ROUND(G9,3)</f>
        <v>0.25600000000000001</v>
      </c>
      <c r="I9" s="68">
        <f t="shared" ref="I9:I26" si="6">ROUND(H9/0.15,2)</f>
        <v>1.71</v>
      </c>
      <c r="J9" s="61">
        <f t="shared" ref="J9:J26" si="7">IF(I9&lt;0.673,5,IF(I9&lt;1.33,4,IF(I9&lt;2,3,IF(I9&lt;2.67,2,1))))</f>
        <v>3</v>
      </c>
    </row>
    <row r="10" spans="1:10" ht="13.35" customHeight="1">
      <c r="A10" s="43" t="s">
        <v>22</v>
      </c>
      <c r="B10" s="64" t="s">
        <v>24</v>
      </c>
      <c r="C10" s="65">
        <v>2022</v>
      </c>
      <c r="D10" s="66"/>
      <c r="E10" s="40"/>
      <c r="F10" s="40"/>
      <c r="G10" s="67" t="e">
        <f t="shared" si="4"/>
        <v>#NUM!</v>
      </c>
      <c r="H10" s="67" t="e">
        <f t="shared" si="5"/>
        <v>#NUM!</v>
      </c>
      <c r="I10" s="68" t="e">
        <f t="shared" si="6"/>
        <v>#NUM!</v>
      </c>
      <c r="J10" s="61" t="e">
        <f t="shared" si="7"/>
        <v>#NUM!</v>
      </c>
    </row>
    <row r="11" spans="1:10" ht="13.35" customHeight="1">
      <c r="A11" s="44" t="s">
        <v>25</v>
      </c>
      <c r="B11" s="66" t="s">
        <v>26</v>
      </c>
      <c r="C11" s="65">
        <v>2022</v>
      </c>
      <c r="D11" s="40"/>
      <c r="E11" s="40"/>
      <c r="F11" s="40"/>
      <c r="G11" s="67" t="e">
        <f t="shared" si="4"/>
        <v>#NUM!</v>
      </c>
      <c r="H11" s="67" t="e">
        <f t="shared" si="5"/>
        <v>#NUM!</v>
      </c>
      <c r="I11" s="68" t="e">
        <f t="shared" si="6"/>
        <v>#NUM!</v>
      </c>
      <c r="J11" s="61" t="e">
        <f t="shared" si="7"/>
        <v>#NUM!</v>
      </c>
    </row>
    <row r="12" spans="1:10" ht="13.35" customHeight="1">
      <c r="A12" s="43" t="s">
        <v>22</v>
      </c>
      <c r="B12" s="43" t="s">
        <v>27</v>
      </c>
      <c r="C12" s="65">
        <v>2022</v>
      </c>
      <c r="D12" s="40">
        <v>1.21</v>
      </c>
      <c r="E12" s="40"/>
      <c r="F12" s="40"/>
      <c r="G12" s="10">
        <f t="shared" si="4"/>
        <v>0.17939444452697093</v>
      </c>
      <c r="H12" s="10">
        <f t="shared" si="5"/>
        <v>0.17899999999999999</v>
      </c>
      <c r="I12" s="24">
        <f t="shared" si="6"/>
        <v>1.19</v>
      </c>
      <c r="J12" s="17">
        <f t="shared" si="7"/>
        <v>4</v>
      </c>
    </row>
    <row r="13" spans="1:10" ht="13.35" customHeight="1">
      <c r="A13" s="43" t="s">
        <v>22</v>
      </c>
      <c r="B13" s="43" t="s">
        <v>28</v>
      </c>
      <c r="C13" s="65">
        <v>2022</v>
      </c>
      <c r="D13" s="40">
        <v>1.2</v>
      </c>
      <c r="E13" s="40"/>
      <c r="F13" s="40"/>
      <c r="G13" s="10">
        <f t="shared" si="4"/>
        <v>0.1851047975833634</v>
      </c>
      <c r="H13" s="10">
        <f t="shared" si="5"/>
        <v>0.185</v>
      </c>
      <c r="I13" s="24">
        <f t="shared" si="6"/>
        <v>1.23</v>
      </c>
      <c r="J13" s="17">
        <f t="shared" si="7"/>
        <v>4</v>
      </c>
    </row>
    <row r="14" spans="1:10" ht="13.35" customHeight="1">
      <c r="A14" s="43" t="s">
        <v>29</v>
      </c>
      <c r="B14" s="43" t="s">
        <v>30</v>
      </c>
      <c r="C14" s="65">
        <v>2022</v>
      </c>
      <c r="D14" s="40">
        <v>1.48</v>
      </c>
      <c r="E14" s="40" t="s">
        <v>14</v>
      </c>
      <c r="F14" s="40" t="s">
        <v>15</v>
      </c>
      <c r="G14" s="67">
        <f t="shared" si="4"/>
        <v>9.5131298699074329E-2</v>
      </c>
      <c r="H14" s="67">
        <f t="shared" si="5"/>
        <v>9.5000000000000001E-2</v>
      </c>
      <c r="I14" s="68">
        <f t="shared" si="6"/>
        <v>0.63</v>
      </c>
      <c r="J14" s="61">
        <f t="shared" si="7"/>
        <v>5</v>
      </c>
    </row>
    <row r="15" spans="1:10" ht="13.35" customHeight="1">
      <c r="A15" s="44" t="s">
        <v>29</v>
      </c>
      <c r="B15" s="44" t="s">
        <v>31</v>
      </c>
      <c r="C15" s="65">
        <v>2022</v>
      </c>
      <c r="D15" s="40">
        <v>1.48</v>
      </c>
      <c r="E15" s="40" t="s">
        <v>14</v>
      </c>
      <c r="F15" s="40" t="s">
        <v>15</v>
      </c>
      <c r="G15" s="67">
        <f t="shared" si="4"/>
        <v>9.5131298699074329E-2</v>
      </c>
      <c r="H15" s="67">
        <f t="shared" si="5"/>
        <v>9.5000000000000001E-2</v>
      </c>
      <c r="I15" s="68">
        <f t="shared" si="6"/>
        <v>0.63</v>
      </c>
      <c r="J15" s="61">
        <f t="shared" si="7"/>
        <v>5</v>
      </c>
    </row>
    <row r="16" spans="1:10" ht="13.35" customHeight="1">
      <c r="A16" s="44" t="s">
        <v>29</v>
      </c>
      <c r="B16" s="44" t="s">
        <v>32</v>
      </c>
      <c r="C16" s="65">
        <v>2022</v>
      </c>
      <c r="D16" s="40">
        <v>1.48</v>
      </c>
      <c r="E16" s="40" t="s">
        <v>14</v>
      </c>
      <c r="F16" s="40" t="s">
        <v>15</v>
      </c>
      <c r="G16" s="67">
        <f t="shared" si="4"/>
        <v>9.5131298699074329E-2</v>
      </c>
      <c r="H16" s="67">
        <f t="shared" si="5"/>
        <v>9.5000000000000001E-2</v>
      </c>
      <c r="I16" s="68">
        <f t="shared" si="6"/>
        <v>0.63</v>
      </c>
      <c r="J16" s="61">
        <f t="shared" si="7"/>
        <v>5</v>
      </c>
    </row>
    <row r="17" spans="1:10" ht="13.35" customHeight="1">
      <c r="A17" s="41" t="s">
        <v>33</v>
      </c>
      <c r="B17" s="64" t="s">
        <v>34</v>
      </c>
      <c r="C17" s="65">
        <v>2022</v>
      </c>
      <c r="D17" s="66">
        <v>1.25</v>
      </c>
      <c r="E17" s="66" t="s">
        <v>14</v>
      </c>
      <c r="F17" s="66" t="s">
        <v>15</v>
      </c>
      <c r="G17" s="67">
        <f t="shared" si="4"/>
        <v>0.15945645755950677</v>
      </c>
      <c r="H17" s="67">
        <f t="shared" si="5"/>
        <v>0.159</v>
      </c>
      <c r="I17" s="68">
        <f t="shared" si="6"/>
        <v>1.06</v>
      </c>
      <c r="J17" s="61">
        <f t="shared" si="7"/>
        <v>4</v>
      </c>
    </row>
    <row r="18" spans="1:10" ht="13.35" customHeight="1">
      <c r="A18" s="41" t="s">
        <v>33</v>
      </c>
      <c r="B18" s="64" t="s">
        <v>35</v>
      </c>
      <c r="C18" s="65">
        <v>2022</v>
      </c>
      <c r="D18" s="66">
        <v>1.22</v>
      </c>
      <c r="E18" s="66" t="s">
        <v>14</v>
      </c>
      <c r="F18" s="66" t="s">
        <v>15</v>
      </c>
      <c r="G18" s="67">
        <f t="shared" si="4"/>
        <v>0.17399746725853527</v>
      </c>
      <c r="H18" s="67">
        <f t="shared" si="5"/>
        <v>0.17399999999999999</v>
      </c>
      <c r="I18" s="68">
        <f t="shared" si="6"/>
        <v>1.1599999999999999</v>
      </c>
      <c r="J18" s="61">
        <f t="shared" si="7"/>
        <v>4</v>
      </c>
    </row>
    <row r="19" spans="1:10" ht="13.35" customHeight="1">
      <c r="A19" s="42" t="s">
        <v>33</v>
      </c>
      <c r="B19" s="71" t="s">
        <v>36</v>
      </c>
      <c r="C19" s="65">
        <v>2022</v>
      </c>
      <c r="D19" s="66">
        <v>1.25</v>
      </c>
      <c r="E19" s="66" t="s">
        <v>14</v>
      </c>
      <c r="F19" s="66" t="s">
        <v>15</v>
      </c>
      <c r="G19" s="67">
        <f t="shared" si="4"/>
        <v>0.15945645755950677</v>
      </c>
      <c r="H19" s="67">
        <f t="shared" si="5"/>
        <v>0.159</v>
      </c>
      <c r="I19" s="68">
        <f t="shared" si="6"/>
        <v>1.06</v>
      </c>
      <c r="J19" s="61">
        <f t="shared" si="7"/>
        <v>4</v>
      </c>
    </row>
    <row r="20" spans="1:10" ht="13.35" customHeight="1">
      <c r="A20" s="42" t="s">
        <v>33</v>
      </c>
      <c r="B20" s="71" t="s">
        <v>37</v>
      </c>
      <c r="C20" s="65">
        <v>2022</v>
      </c>
      <c r="D20" s="66">
        <v>1.22</v>
      </c>
      <c r="E20" s="66" t="s">
        <v>14</v>
      </c>
      <c r="F20" s="66" t="s">
        <v>15</v>
      </c>
      <c r="G20" s="67">
        <f t="shared" si="4"/>
        <v>0.17399746725853527</v>
      </c>
      <c r="H20" s="67">
        <f t="shared" si="5"/>
        <v>0.17399999999999999</v>
      </c>
      <c r="I20" s="68">
        <f t="shared" si="6"/>
        <v>1.1599999999999999</v>
      </c>
      <c r="J20" s="61">
        <f t="shared" si="7"/>
        <v>4</v>
      </c>
    </row>
    <row r="21" spans="1:10" ht="13.35" customHeight="1">
      <c r="A21" s="41" t="s">
        <v>33</v>
      </c>
      <c r="B21" s="64" t="s">
        <v>38</v>
      </c>
      <c r="C21" s="65">
        <v>2022</v>
      </c>
      <c r="D21" s="40">
        <v>1.25</v>
      </c>
      <c r="E21" s="66" t="s">
        <v>14</v>
      </c>
      <c r="F21" s="66" t="s">
        <v>15</v>
      </c>
      <c r="G21" s="67">
        <f t="shared" si="4"/>
        <v>0.15945645755950677</v>
      </c>
      <c r="H21" s="67">
        <f t="shared" si="5"/>
        <v>0.159</v>
      </c>
      <c r="I21" s="68">
        <f t="shared" si="6"/>
        <v>1.06</v>
      </c>
      <c r="J21" s="61">
        <f t="shared" si="7"/>
        <v>4</v>
      </c>
    </row>
    <row r="22" spans="1:10" ht="13.35" customHeight="1">
      <c r="A22" s="41" t="s">
        <v>33</v>
      </c>
      <c r="B22" s="64" t="s">
        <v>39</v>
      </c>
      <c r="C22" s="65">
        <v>2022</v>
      </c>
      <c r="D22" s="40">
        <v>1.22</v>
      </c>
      <c r="E22" s="40" t="s">
        <v>14</v>
      </c>
      <c r="F22" s="40" t="s">
        <v>15</v>
      </c>
      <c r="G22" s="67">
        <f t="shared" si="4"/>
        <v>0.17399746725853527</v>
      </c>
      <c r="H22" s="67">
        <f t="shared" si="5"/>
        <v>0.17399999999999999</v>
      </c>
      <c r="I22" s="68">
        <f t="shared" si="6"/>
        <v>1.1599999999999999</v>
      </c>
      <c r="J22" s="61">
        <f t="shared" si="7"/>
        <v>4</v>
      </c>
    </row>
    <row r="23" spans="1:10" ht="13.35" customHeight="1">
      <c r="A23" s="42" t="s">
        <v>33</v>
      </c>
      <c r="B23" s="71" t="s">
        <v>40</v>
      </c>
      <c r="C23" s="65">
        <v>2022</v>
      </c>
      <c r="D23" s="40">
        <v>1.25</v>
      </c>
      <c r="E23" s="66" t="s">
        <v>14</v>
      </c>
      <c r="F23" s="66" t="s">
        <v>15</v>
      </c>
      <c r="G23" s="67">
        <f t="shared" si="4"/>
        <v>0.15945645755950677</v>
      </c>
      <c r="H23" s="67">
        <f t="shared" si="5"/>
        <v>0.159</v>
      </c>
      <c r="I23" s="68">
        <f t="shared" si="6"/>
        <v>1.06</v>
      </c>
      <c r="J23" s="61">
        <f t="shared" si="7"/>
        <v>4</v>
      </c>
    </row>
    <row r="24" spans="1:10" ht="13.35" customHeight="1">
      <c r="A24" s="42" t="s">
        <v>33</v>
      </c>
      <c r="B24" s="71" t="s">
        <v>41</v>
      </c>
      <c r="C24" s="65">
        <v>2022</v>
      </c>
      <c r="D24" s="40">
        <v>1.22</v>
      </c>
      <c r="E24" s="40" t="s">
        <v>14</v>
      </c>
      <c r="F24" s="40" t="s">
        <v>15</v>
      </c>
      <c r="G24" s="67">
        <f t="shared" si="4"/>
        <v>0.17399746725853527</v>
      </c>
      <c r="H24" s="67">
        <f t="shared" si="5"/>
        <v>0.17399999999999999</v>
      </c>
      <c r="I24" s="68">
        <f t="shared" si="6"/>
        <v>1.1599999999999999</v>
      </c>
      <c r="J24" s="61">
        <f t="shared" si="7"/>
        <v>4</v>
      </c>
    </row>
    <row r="25" spans="1:10" ht="13.35" customHeight="1">
      <c r="A25" s="41" t="s">
        <v>42</v>
      </c>
      <c r="B25" s="64" t="s">
        <v>43</v>
      </c>
      <c r="C25" s="65">
        <v>2022</v>
      </c>
      <c r="D25" s="66">
        <v>1.17</v>
      </c>
      <c r="E25" s="66" t="s">
        <v>14</v>
      </c>
      <c r="F25" s="66" t="s">
        <v>15</v>
      </c>
      <c r="G25" s="67">
        <f t="shared" si="4"/>
        <v>0.20440074909401917</v>
      </c>
      <c r="H25" s="67">
        <f t="shared" si="5"/>
        <v>0.20399999999999999</v>
      </c>
      <c r="I25" s="68">
        <f t="shared" si="6"/>
        <v>1.36</v>
      </c>
      <c r="J25" s="61">
        <f t="shared" si="7"/>
        <v>3</v>
      </c>
    </row>
    <row r="26" spans="1:10" ht="13.35" customHeight="1">
      <c r="A26" s="41" t="s">
        <v>42</v>
      </c>
      <c r="B26" s="64" t="s">
        <v>44</v>
      </c>
      <c r="C26" s="65">
        <v>2022</v>
      </c>
      <c r="D26" s="66">
        <v>1.17</v>
      </c>
      <c r="E26" s="66" t="s">
        <v>14</v>
      </c>
      <c r="F26" s="66" t="s">
        <v>15</v>
      </c>
      <c r="G26" s="67">
        <f t="shared" si="4"/>
        <v>0.20440074909401917</v>
      </c>
      <c r="H26" s="67">
        <f t="shared" si="5"/>
        <v>0.20399999999999999</v>
      </c>
      <c r="I26" s="68">
        <f t="shared" si="6"/>
        <v>1.36</v>
      </c>
      <c r="J26" s="61">
        <f t="shared" si="7"/>
        <v>3</v>
      </c>
    </row>
    <row r="27" spans="1:10" ht="13.35" customHeight="1">
      <c r="A27" s="32" t="s">
        <v>45</v>
      </c>
      <c r="B27" s="14" t="s">
        <v>46</v>
      </c>
      <c r="C27" s="65">
        <v>2022</v>
      </c>
      <c r="D27" s="66">
        <v>1.45</v>
      </c>
      <c r="E27" s="66" t="s">
        <v>14</v>
      </c>
      <c r="F27" s="66" t="s">
        <v>15</v>
      </c>
      <c r="G27" s="67">
        <f t="shared" ref="G27:G28" si="8">IF(F27="Y",((1/(1+EXP(2.6968+(1.1686*LN(D27-0.9)))))),((1/(1+EXP(2.8891+(1.1686*(LN(D27-0.9))))))))</f>
        <v>0.10060976640917974</v>
      </c>
      <c r="H27" s="67">
        <f t="shared" ref="H27:H28" si="9">ROUND(G27,3)</f>
        <v>0.10100000000000001</v>
      </c>
      <c r="I27" s="68">
        <f t="shared" ref="I27:I28" si="10">ROUND(H27/0.15,2)</f>
        <v>0.67</v>
      </c>
      <c r="J27" s="61">
        <f t="shared" ref="J27:J28" si="11">IF(I27&lt;0.673,5,IF(I27&lt;1.33,4,IF(I27&lt;2,3,IF(I27&lt;2.67,2,1))))</f>
        <v>5</v>
      </c>
    </row>
    <row r="28" spans="1:10" ht="13.35" customHeight="1">
      <c r="A28" s="14" t="s">
        <v>47</v>
      </c>
      <c r="B28" s="14" t="s">
        <v>48</v>
      </c>
      <c r="C28" s="65">
        <v>2022</v>
      </c>
      <c r="D28" s="40">
        <v>1.38</v>
      </c>
      <c r="E28" s="40" t="s">
        <v>15</v>
      </c>
      <c r="F28" s="40" t="s">
        <v>15</v>
      </c>
      <c r="G28" s="67">
        <f t="shared" si="8"/>
        <v>0.11594702085375087</v>
      </c>
      <c r="H28" s="67">
        <f t="shared" si="9"/>
        <v>0.11600000000000001</v>
      </c>
      <c r="I28" s="68">
        <f t="shared" si="10"/>
        <v>0.77</v>
      </c>
      <c r="J28" s="61">
        <f t="shared" si="11"/>
        <v>4</v>
      </c>
    </row>
    <row r="29" spans="1:10" ht="13.35" customHeight="1">
      <c r="A29" s="43" t="s">
        <v>49</v>
      </c>
      <c r="B29" s="64" t="s">
        <v>50</v>
      </c>
      <c r="C29" s="65">
        <v>2022</v>
      </c>
      <c r="D29" s="40">
        <v>1.2</v>
      </c>
      <c r="E29" s="40" t="s">
        <v>14</v>
      </c>
      <c r="F29" s="40" t="s">
        <v>15</v>
      </c>
      <c r="G29" s="67">
        <f t="shared" ref="G29:G36" si="12">IF(F29="Y",((1/(1+EXP(2.6968+(1.1686*LN(D29-0.9)))))),((1/(1+EXP(2.8891+(1.1686*(LN(D29-0.9))))))))</f>
        <v>0.1851047975833634</v>
      </c>
      <c r="H29" s="67">
        <f t="shared" ref="H29:H36" si="13">ROUND(G29,3)</f>
        <v>0.185</v>
      </c>
      <c r="I29" s="68">
        <f t="shared" ref="I29:I36" si="14">ROUND(H29/0.15,2)</f>
        <v>1.23</v>
      </c>
      <c r="J29" s="61">
        <f t="shared" ref="J29:J36" si="15">IF(I29&lt;0.673,5,IF(I29&lt;1.33,4,IF(I29&lt;2,3,IF(I29&lt;2.67,2,1))))</f>
        <v>4</v>
      </c>
    </row>
    <row r="30" spans="1:10" ht="13.35" customHeight="1">
      <c r="A30" s="43" t="s">
        <v>49</v>
      </c>
      <c r="B30" s="64" t="s">
        <v>51</v>
      </c>
      <c r="C30" s="65">
        <v>2022</v>
      </c>
      <c r="D30" s="40">
        <v>1.2</v>
      </c>
      <c r="E30" s="40" t="s">
        <v>14</v>
      </c>
      <c r="F30" s="40" t="s">
        <v>15</v>
      </c>
      <c r="G30" s="67">
        <f t="shared" si="12"/>
        <v>0.1851047975833634</v>
      </c>
      <c r="H30" s="67">
        <f t="shared" si="13"/>
        <v>0.185</v>
      </c>
      <c r="I30" s="68">
        <f t="shared" si="14"/>
        <v>1.23</v>
      </c>
      <c r="J30" s="61">
        <f t="shared" si="15"/>
        <v>4</v>
      </c>
    </row>
    <row r="31" spans="1:10" ht="13.35" customHeight="1">
      <c r="A31" s="43" t="s">
        <v>52</v>
      </c>
      <c r="B31" s="64" t="s">
        <v>53</v>
      </c>
      <c r="C31" s="65">
        <v>2022</v>
      </c>
      <c r="D31" s="66">
        <v>1.5</v>
      </c>
      <c r="E31" s="40" t="s">
        <v>15</v>
      </c>
      <c r="F31" s="72" t="s">
        <v>15</v>
      </c>
      <c r="G31" s="67">
        <f t="shared" si="12"/>
        <v>9.1775253375741772E-2</v>
      </c>
      <c r="H31" s="67">
        <f t="shared" si="13"/>
        <v>9.1999999999999998E-2</v>
      </c>
      <c r="I31" s="68">
        <f t="shared" si="14"/>
        <v>0.61</v>
      </c>
      <c r="J31" s="61">
        <f t="shared" si="15"/>
        <v>5</v>
      </c>
    </row>
    <row r="32" spans="1:10" ht="13.35" customHeight="1">
      <c r="A32" s="43" t="s">
        <v>52</v>
      </c>
      <c r="B32" s="64" t="s">
        <v>54</v>
      </c>
      <c r="C32" s="65">
        <v>2022</v>
      </c>
      <c r="D32" s="40">
        <v>1.5</v>
      </c>
      <c r="E32" s="40" t="s">
        <v>15</v>
      </c>
      <c r="F32" s="72" t="s">
        <v>15</v>
      </c>
      <c r="G32" s="67">
        <f t="shared" si="12"/>
        <v>9.1775253375741772E-2</v>
      </c>
      <c r="H32" s="67">
        <f t="shared" si="13"/>
        <v>9.1999999999999998E-2</v>
      </c>
      <c r="I32" s="68">
        <f t="shared" si="14"/>
        <v>0.61</v>
      </c>
      <c r="J32" s="61">
        <f t="shared" si="15"/>
        <v>5</v>
      </c>
    </row>
    <row r="33" spans="1:10" ht="13.35" customHeight="1">
      <c r="A33" s="43" t="s">
        <v>52</v>
      </c>
      <c r="B33" s="43" t="s">
        <v>55</v>
      </c>
      <c r="C33" s="65">
        <v>2022</v>
      </c>
      <c r="D33" s="66"/>
      <c r="E33" s="40"/>
      <c r="F33" s="40"/>
      <c r="G33" s="67" t="e">
        <f t="shared" si="12"/>
        <v>#NUM!</v>
      </c>
      <c r="H33" s="67" t="e">
        <f t="shared" si="13"/>
        <v>#NUM!</v>
      </c>
      <c r="I33" s="68" t="e">
        <f t="shared" si="14"/>
        <v>#NUM!</v>
      </c>
      <c r="J33" s="61" t="e">
        <f t="shared" si="15"/>
        <v>#NUM!</v>
      </c>
    </row>
    <row r="34" spans="1:10" ht="13.35" customHeight="1">
      <c r="A34" s="43" t="s">
        <v>52</v>
      </c>
      <c r="B34" s="43" t="s">
        <v>56</v>
      </c>
      <c r="C34" s="65">
        <v>2022</v>
      </c>
      <c r="D34" s="66">
        <v>1.17</v>
      </c>
      <c r="E34" s="66" t="s">
        <v>14</v>
      </c>
      <c r="F34" s="66" t="s">
        <v>15</v>
      </c>
      <c r="G34" s="67">
        <f t="shared" si="12"/>
        <v>0.20440074909401917</v>
      </c>
      <c r="H34" s="67">
        <f t="shared" si="13"/>
        <v>0.20399999999999999</v>
      </c>
      <c r="I34" s="68">
        <f t="shared" si="14"/>
        <v>1.36</v>
      </c>
      <c r="J34" s="61">
        <f t="shared" si="15"/>
        <v>3</v>
      </c>
    </row>
    <row r="35" spans="1:10" ht="13.35" customHeight="1">
      <c r="A35" s="44" t="s">
        <v>52</v>
      </c>
      <c r="B35" s="44" t="s">
        <v>57</v>
      </c>
      <c r="C35" s="65">
        <v>2022</v>
      </c>
      <c r="D35" s="40"/>
      <c r="E35" s="40"/>
      <c r="F35" s="40"/>
      <c r="G35" s="67" t="e">
        <f t="shared" si="12"/>
        <v>#NUM!</v>
      </c>
      <c r="H35" s="67" t="e">
        <f t="shared" si="13"/>
        <v>#NUM!</v>
      </c>
      <c r="I35" s="68" t="e">
        <f t="shared" si="14"/>
        <v>#NUM!</v>
      </c>
      <c r="J35" s="61" t="e">
        <f t="shared" si="15"/>
        <v>#NUM!</v>
      </c>
    </row>
    <row r="36" spans="1:10" ht="13.35" customHeight="1">
      <c r="A36" s="44" t="s">
        <v>52</v>
      </c>
      <c r="B36" s="44" t="s">
        <v>58</v>
      </c>
      <c r="C36" s="65">
        <v>2022</v>
      </c>
      <c r="D36" s="40">
        <v>1.17</v>
      </c>
      <c r="E36" s="40" t="s">
        <v>14</v>
      </c>
      <c r="F36" s="40" t="s">
        <v>15</v>
      </c>
      <c r="G36" s="67">
        <f t="shared" si="12"/>
        <v>0.20440074909401917</v>
      </c>
      <c r="H36" s="67">
        <f t="shared" si="13"/>
        <v>0.20399999999999999</v>
      </c>
      <c r="I36" s="68">
        <f t="shared" si="14"/>
        <v>1.36</v>
      </c>
      <c r="J36" s="61">
        <f t="shared" si="15"/>
        <v>3</v>
      </c>
    </row>
    <row r="37" spans="1:10" ht="13.35" customHeight="1">
      <c r="A37" s="33" t="s">
        <v>52</v>
      </c>
      <c r="B37" s="40" t="s">
        <v>59</v>
      </c>
      <c r="C37" s="65">
        <v>2022</v>
      </c>
      <c r="D37" s="40">
        <v>1.21</v>
      </c>
      <c r="E37" s="40" t="s">
        <v>14</v>
      </c>
      <c r="F37" s="40" t="s">
        <v>15</v>
      </c>
      <c r="G37" s="67">
        <f t="shared" ref="G37:G38" si="16">IF(F37="Y",((1/(1+EXP(2.6968+(1.1686*LN(D37-0.9)))))),((1/(1+EXP(2.8891+(1.1686*(LN(D37-0.9))))))))</f>
        <v>0.17939444452697093</v>
      </c>
      <c r="H37" s="67">
        <f t="shared" ref="H37:H38" si="17">ROUND(G37,3)</f>
        <v>0.17899999999999999</v>
      </c>
      <c r="I37" s="68">
        <f t="shared" ref="I37:I38" si="18">ROUND(H37/0.15,2)</f>
        <v>1.19</v>
      </c>
      <c r="J37" s="61">
        <f t="shared" ref="J37:J38" si="19">IF(I37&lt;0.673,5,IF(I37&lt;1.33,4,IF(I37&lt;2,3,IF(I37&lt;2.67,2,1))))</f>
        <v>4</v>
      </c>
    </row>
    <row r="38" spans="1:10" ht="13.35" customHeight="1">
      <c r="A38" s="33" t="s">
        <v>52</v>
      </c>
      <c r="B38" s="40" t="s">
        <v>60</v>
      </c>
      <c r="C38" s="65">
        <v>2022</v>
      </c>
      <c r="D38" s="66">
        <v>1.21</v>
      </c>
      <c r="E38" s="40" t="s">
        <v>14</v>
      </c>
      <c r="F38" s="40" t="s">
        <v>15</v>
      </c>
      <c r="G38" s="67">
        <f t="shared" si="16"/>
        <v>0.17939444452697093</v>
      </c>
      <c r="H38" s="67">
        <f t="shared" si="17"/>
        <v>0.17899999999999999</v>
      </c>
      <c r="I38" s="68">
        <f t="shared" si="18"/>
        <v>1.19</v>
      </c>
      <c r="J38" s="61">
        <f t="shared" si="19"/>
        <v>4</v>
      </c>
    </row>
    <row r="39" spans="1:10" ht="13.35" customHeight="1">
      <c r="A39" s="14" t="s">
        <v>61</v>
      </c>
      <c r="B39" s="14" t="s">
        <v>62</v>
      </c>
      <c r="C39" s="65">
        <v>2022</v>
      </c>
      <c r="D39" s="40">
        <v>1.33</v>
      </c>
      <c r="E39" s="40" t="s">
        <v>15</v>
      </c>
      <c r="F39" s="72" t="s">
        <v>15</v>
      </c>
      <c r="G39" s="67">
        <f t="shared" ref="G39:G42" si="20">IF(F39="Y",((1/(1+EXP(2.6968+(1.1686*LN(D39-0.9)))))),((1/(1+EXP(2.8891+(1.1686*(LN(D39-0.9))))))))</f>
        <v>0.12978776668212111</v>
      </c>
      <c r="H39" s="67">
        <f t="shared" ref="H39:H42" si="21">ROUND(G39,3)</f>
        <v>0.13</v>
      </c>
      <c r="I39" s="68">
        <f t="shared" ref="I39:I40" si="22">ROUND(H39/0.15,2)</f>
        <v>0.87</v>
      </c>
      <c r="J39" s="61">
        <f t="shared" ref="J39:J42" si="23">IF(I39&lt;0.673,5,IF(I39&lt;1.33,4,IF(I39&lt;2,3,IF(I39&lt;2.67,2,1))))</f>
        <v>4</v>
      </c>
    </row>
    <row r="40" spans="1:10" ht="13.35" customHeight="1">
      <c r="A40" s="40" t="s">
        <v>61</v>
      </c>
      <c r="B40" s="40" t="s">
        <v>63</v>
      </c>
      <c r="C40" s="65">
        <v>2022</v>
      </c>
      <c r="D40" s="40">
        <v>1.33</v>
      </c>
      <c r="E40" s="40" t="s">
        <v>15</v>
      </c>
      <c r="F40" s="72" t="s">
        <v>15</v>
      </c>
      <c r="G40" s="67">
        <f t="shared" si="20"/>
        <v>0.12978776668212111</v>
      </c>
      <c r="H40" s="67">
        <f t="shared" si="21"/>
        <v>0.13</v>
      </c>
      <c r="I40" s="68">
        <f t="shared" si="22"/>
        <v>0.87</v>
      </c>
      <c r="J40" s="61">
        <f t="shared" si="23"/>
        <v>4</v>
      </c>
    </row>
    <row r="41" spans="1:10" ht="13.35" customHeight="1">
      <c r="A41" s="73" t="s">
        <v>61</v>
      </c>
      <c r="B41" s="73" t="s">
        <v>64</v>
      </c>
      <c r="C41" s="65">
        <v>2022</v>
      </c>
      <c r="D41" s="66">
        <v>1.22</v>
      </c>
      <c r="E41" s="40" t="s">
        <v>14</v>
      </c>
      <c r="F41" s="40" t="s">
        <v>15</v>
      </c>
      <c r="G41" s="67">
        <f t="shared" si="20"/>
        <v>0.17399746725853527</v>
      </c>
      <c r="H41" s="67">
        <f t="shared" si="21"/>
        <v>0.17399999999999999</v>
      </c>
      <c r="I41" s="68">
        <f>ROUND(H41/0.15,2)</f>
        <v>1.1599999999999999</v>
      </c>
      <c r="J41" s="61">
        <f t="shared" si="23"/>
        <v>4</v>
      </c>
    </row>
    <row r="42" spans="1:10" ht="13.35" customHeight="1">
      <c r="A42" s="73" t="s">
        <v>61</v>
      </c>
      <c r="B42" s="73" t="s">
        <v>65</v>
      </c>
      <c r="C42" s="65">
        <v>2022</v>
      </c>
      <c r="D42" s="40">
        <v>1.28</v>
      </c>
      <c r="E42" s="66" t="s">
        <v>14</v>
      </c>
      <c r="F42" s="66" t="s">
        <v>15</v>
      </c>
      <c r="G42" s="67">
        <f t="shared" si="20"/>
        <v>0.14699318560666366</v>
      </c>
      <c r="H42" s="67">
        <f t="shared" si="21"/>
        <v>0.14699999999999999</v>
      </c>
      <c r="I42" s="68">
        <f>ROUND(H42/0.15,2)</f>
        <v>0.98</v>
      </c>
      <c r="J42" s="61">
        <f t="shared" si="23"/>
        <v>4</v>
      </c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77"/>
  <sheetViews>
    <sheetView zoomScaleNormal="100" workbookViewId="0">
      <pane xSplit="6" ySplit="2" topLeftCell="G3" activePane="bottomRight" state="frozen"/>
      <selection activeCell="L19" sqref="L19"/>
      <selection pane="topRight" activeCell="L19" sqref="L19"/>
      <selection pane="bottomLeft" activeCell="L19" sqref="L19"/>
      <selection pane="bottomRight" activeCell="A5" sqref="A5:XFD8"/>
    </sheetView>
  </sheetViews>
  <sheetFormatPr defaultRowHeight="12.75"/>
  <cols>
    <col min="1" max="1" width="8.140625" style="109" customWidth="1"/>
    <col min="2" max="2" width="9.85546875" style="109" bestFit="1" customWidth="1"/>
    <col min="3" max="3" width="13.5703125" style="108" bestFit="1" customWidth="1"/>
    <col min="4" max="4" width="48.42578125" style="108" customWidth="1"/>
    <col min="5" max="5" width="7.42578125" style="108" customWidth="1"/>
    <col min="6" max="6" width="4.42578125" style="108" bestFit="1" customWidth="1"/>
    <col min="7" max="9" width="8.5703125" style="187" customWidth="1"/>
    <col min="10" max="10" width="8.42578125" style="187" bestFit="1" customWidth="1"/>
    <col min="11" max="22" width="8.5703125" style="187" customWidth="1"/>
    <col min="23" max="23" width="7" style="182" customWidth="1"/>
    <col min="24" max="24" width="5.42578125" style="182" customWidth="1"/>
    <col min="25" max="25" width="9" style="182" customWidth="1"/>
    <col min="26" max="26" width="10" style="182" customWidth="1"/>
    <col min="27" max="27" width="7.42578125" style="182" customWidth="1"/>
    <col min="28" max="28" width="6.85546875" style="182" customWidth="1"/>
    <col min="29" max="29" width="6.85546875" style="147" customWidth="1"/>
    <col min="30" max="30" width="7.85546875" style="147" customWidth="1"/>
    <col min="31" max="31" width="8" style="147" customWidth="1"/>
    <col min="32" max="33" width="7" style="147" customWidth="1"/>
    <col min="34" max="34" width="4.85546875" style="147" customWidth="1"/>
    <col min="35" max="35" width="9" style="147" customWidth="1"/>
    <col min="36" max="36" width="10.140625" style="147" customWidth="1"/>
    <col min="37" max="37" width="6.42578125" style="147" customWidth="1"/>
    <col min="38" max="39" width="6.85546875" style="147" customWidth="1"/>
    <col min="40" max="40" width="7.85546875" style="147" customWidth="1"/>
    <col min="41" max="41" width="8" style="147" customWidth="1"/>
    <col min="42" max="42" width="7" style="147" customWidth="1"/>
    <col min="43" max="43" width="7.5703125" style="147" customWidth="1"/>
    <col min="44" max="44" width="9.5703125" style="147" bestFit="1" customWidth="1"/>
    <col min="45" max="45" width="7.140625" style="147" bestFit="1" customWidth="1"/>
    <col min="46" max="46" width="5.5703125" style="182" bestFit="1" customWidth="1"/>
    <col min="47" max="47" width="9.5703125" style="182" bestFit="1" customWidth="1"/>
    <col min="48" max="48" width="5.85546875" style="182" bestFit="1" customWidth="1"/>
    <col min="49" max="49" width="5.5703125" style="183" bestFit="1" customWidth="1"/>
    <col min="50" max="50" width="9.5703125" style="183" bestFit="1" customWidth="1"/>
    <col min="51" max="51" width="5.85546875" style="184" bestFit="1" customWidth="1"/>
    <col min="52" max="16384" width="9.140625" style="147"/>
  </cols>
  <sheetData>
    <row r="1" spans="1:51" s="63" customFormat="1" ht="18.75" customHeight="1">
      <c r="A1" s="17"/>
      <c r="B1" s="17"/>
      <c r="C1" s="154"/>
      <c r="D1" s="154"/>
      <c r="E1" s="155"/>
      <c r="F1" s="155"/>
      <c r="G1" s="156" t="s">
        <v>66</v>
      </c>
      <c r="H1" s="157"/>
      <c r="I1" s="157"/>
      <c r="J1" s="157"/>
      <c r="K1" s="157"/>
      <c r="L1" s="157"/>
      <c r="M1" s="157"/>
      <c r="N1" s="158"/>
      <c r="O1" s="120" t="s">
        <v>67</v>
      </c>
      <c r="P1" s="159"/>
      <c r="Q1" s="159"/>
      <c r="R1" s="159"/>
      <c r="S1" s="159"/>
      <c r="T1" s="159"/>
      <c r="U1" s="159"/>
      <c r="V1" s="159"/>
      <c r="W1" s="160" t="s">
        <v>68</v>
      </c>
      <c r="X1" s="161"/>
      <c r="Y1" s="161"/>
      <c r="Z1" s="161"/>
      <c r="AA1" s="161"/>
      <c r="AB1" s="161"/>
      <c r="AC1" s="161"/>
      <c r="AD1" s="161"/>
      <c r="AE1" s="161"/>
      <c r="AF1" s="162"/>
      <c r="AG1" s="163" t="s">
        <v>69</v>
      </c>
      <c r="AH1" s="164"/>
      <c r="AI1" s="164"/>
      <c r="AJ1" s="164"/>
      <c r="AK1" s="164"/>
      <c r="AL1" s="164"/>
      <c r="AM1" s="164"/>
      <c r="AN1" s="164"/>
      <c r="AO1" s="164"/>
      <c r="AP1" s="165"/>
      <c r="AQ1" s="166" t="s">
        <v>70</v>
      </c>
      <c r="AR1" s="17" t="s">
        <v>71</v>
      </c>
      <c r="AS1" s="17" t="s">
        <v>72</v>
      </c>
      <c r="AT1" s="5" t="s">
        <v>70</v>
      </c>
      <c r="AU1" s="5" t="s">
        <v>71</v>
      </c>
      <c r="AV1" s="5" t="s">
        <v>73</v>
      </c>
      <c r="AW1" s="25" t="s">
        <v>70</v>
      </c>
      <c r="AX1" s="25" t="s">
        <v>71</v>
      </c>
      <c r="AY1" s="25" t="s">
        <v>73</v>
      </c>
    </row>
    <row r="2" spans="1:51" s="63" customFormat="1" ht="33.75">
      <c r="A2" s="17" t="s">
        <v>74</v>
      </c>
      <c r="B2" s="17" t="s">
        <v>75</v>
      </c>
      <c r="C2" s="17" t="s">
        <v>1</v>
      </c>
      <c r="D2" s="17" t="s">
        <v>2</v>
      </c>
      <c r="E2" s="37" t="s">
        <v>76</v>
      </c>
      <c r="F2" s="155" t="s">
        <v>3</v>
      </c>
      <c r="G2" s="46" t="s">
        <v>77</v>
      </c>
      <c r="H2" s="11" t="s">
        <v>78</v>
      </c>
      <c r="I2" s="49" t="s">
        <v>79</v>
      </c>
      <c r="J2" s="49" t="s">
        <v>80</v>
      </c>
      <c r="K2" s="49" t="s">
        <v>81</v>
      </c>
      <c r="L2" s="48" t="s">
        <v>82</v>
      </c>
      <c r="M2" s="49" t="s">
        <v>83</v>
      </c>
      <c r="N2" s="167" t="s">
        <v>84</v>
      </c>
      <c r="O2" s="46" t="s">
        <v>77</v>
      </c>
      <c r="P2" s="11" t="s">
        <v>78</v>
      </c>
      <c r="Q2" s="49" t="s">
        <v>79</v>
      </c>
      <c r="R2" s="49" t="s">
        <v>80</v>
      </c>
      <c r="S2" s="49" t="s">
        <v>81</v>
      </c>
      <c r="T2" s="48" t="s">
        <v>82</v>
      </c>
      <c r="U2" s="49" t="s">
        <v>83</v>
      </c>
      <c r="V2" s="168" t="s">
        <v>84</v>
      </c>
      <c r="W2" s="169" t="s">
        <v>85</v>
      </c>
      <c r="X2" s="170" t="s">
        <v>86</v>
      </c>
      <c r="Y2" s="5" t="s">
        <v>87</v>
      </c>
      <c r="Z2" s="5" t="s">
        <v>88</v>
      </c>
      <c r="AA2" s="170" t="s">
        <v>89</v>
      </c>
      <c r="AB2" s="5" t="s">
        <v>90</v>
      </c>
      <c r="AC2" s="17" t="s">
        <v>90</v>
      </c>
      <c r="AD2" s="17" t="s">
        <v>91</v>
      </c>
      <c r="AE2" s="17" t="s">
        <v>92</v>
      </c>
      <c r="AF2" s="102" t="s">
        <v>93</v>
      </c>
      <c r="AG2" s="46" t="s">
        <v>85</v>
      </c>
      <c r="AH2" s="11" t="s">
        <v>86</v>
      </c>
      <c r="AI2" s="11" t="s">
        <v>87</v>
      </c>
      <c r="AJ2" s="11" t="s">
        <v>94</v>
      </c>
      <c r="AK2" s="11" t="s">
        <v>89</v>
      </c>
      <c r="AL2" s="11" t="s">
        <v>90</v>
      </c>
      <c r="AM2" s="11" t="s">
        <v>90</v>
      </c>
      <c r="AN2" s="11" t="s">
        <v>91</v>
      </c>
      <c r="AO2" s="11" t="s">
        <v>92</v>
      </c>
      <c r="AP2" s="171" t="s">
        <v>93</v>
      </c>
      <c r="AQ2" s="166" t="s">
        <v>95</v>
      </c>
      <c r="AR2" s="17" t="s">
        <v>8</v>
      </c>
      <c r="AS2" s="17" t="s">
        <v>8</v>
      </c>
      <c r="AT2" s="7" t="s">
        <v>96</v>
      </c>
      <c r="AU2" s="7" t="s">
        <v>96</v>
      </c>
      <c r="AV2" s="7" t="s">
        <v>96</v>
      </c>
      <c r="AW2" s="9" t="s">
        <v>10</v>
      </c>
      <c r="AX2" s="9" t="s">
        <v>10</v>
      </c>
      <c r="AY2" s="25" t="s">
        <v>97</v>
      </c>
    </row>
    <row r="3" spans="1:51" s="69" customFormat="1">
      <c r="A3" s="66">
        <v>11663</v>
      </c>
      <c r="B3" s="66" t="s">
        <v>98</v>
      </c>
      <c r="C3" s="61" t="str">
        <f>Rollover!A3</f>
        <v>Acura</v>
      </c>
      <c r="D3" s="61" t="str">
        <f>Rollover!B3</f>
        <v>MDX SUV AWD</v>
      </c>
      <c r="E3" s="150" t="s">
        <v>99</v>
      </c>
      <c r="F3" s="172">
        <f>Rollover!C3</f>
        <v>2022</v>
      </c>
      <c r="G3" s="27">
        <v>243.75200000000001</v>
      </c>
      <c r="H3" s="28">
        <v>0.29199999999999998</v>
      </c>
      <c r="I3" s="28">
        <v>1354.183</v>
      </c>
      <c r="J3" s="28">
        <v>261.06200000000001</v>
      </c>
      <c r="K3" s="28">
        <v>23.920999999999999</v>
      </c>
      <c r="L3" s="28">
        <v>46.091000000000001</v>
      </c>
      <c r="M3" s="28">
        <v>2061.1570000000002</v>
      </c>
      <c r="N3" s="29">
        <v>2317.652</v>
      </c>
      <c r="O3" s="27">
        <v>288.27</v>
      </c>
      <c r="P3" s="28">
        <v>0.30299999999999999</v>
      </c>
      <c r="Q3" s="28">
        <v>544.15899999999999</v>
      </c>
      <c r="R3" s="28">
        <v>333.11</v>
      </c>
      <c r="S3" s="28">
        <v>17.196000000000002</v>
      </c>
      <c r="T3" s="28">
        <v>39.555</v>
      </c>
      <c r="U3" s="28">
        <v>1744.402</v>
      </c>
      <c r="V3" s="56">
        <v>2037.548</v>
      </c>
      <c r="W3" s="52">
        <f t="shared" ref="W3:W8" si="0">NORMDIST(LN(G3),7.45231,0.73998,1)</f>
        <v>4.1023352797599074E-3</v>
      </c>
      <c r="X3" s="10">
        <f t="shared" ref="X3:X8" si="1">1/(1+EXP(3.2269-1.9688*H3))</f>
        <v>6.5865207635833936E-2</v>
      </c>
      <c r="Y3" s="10">
        <f t="shared" ref="Y3:Y8" si="2">1/(1+EXP(10.9745-2.375*I3/1000))</f>
        <v>4.2699320449578985E-4</v>
      </c>
      <c r="Z3" s="10">
        <f t="shared" ref="Z3:Z8" si="3">1/(1+EXP(10.9745-2.375*J3/1000))</f>
        <v>3.1848839935804378E-5</v>
      </c>
      <c r="AA3" s="10">
        <f t="shared" ref="AA3:AA8" si="4">MAX(X3,Y3,Z3)</f>
        <v>6.5865207635833936E-2</v>
      </c>
      <c r="AB3" s="10">
        <f t="shared" ref="AB3:AB8" si="5">1/(1+EXP(12.597-0.05861*35-1.568*(K3^0.4612)))</f>
        <v>2.2631890173337867E-2</v>
      </c>
      <c r="AC3" s="10">
        <f t="shared" ref="AC3:AC8" si="6">AB3</f>
        <v>2.2631890173337867E-2</v>
      </c>
      <c r="AD3" s="10">
        <f t="shared" ref="AD3:AD8" si="7">1/(1+EXP(5.7949-0.5196*M3/1000))</f>
        <v>8.8021092436552408E-3</v>
      </c>
      <c r="AE3" s="10">
        <f t="shared" ref="AE3:AE8" si="8">1/(1+EXP(5.7949-0.5196*N3/1000))</f>
        <v>1.0044368256037261E-2</v>
      </c>
      <c r="AF3" s="59">
        <f t="shared" ref="AF3:AF8" si="9">MAX(AD3,AE3)</f>
        <v>1.0044368256037261E-2</v>
      </c>
      <c r="AG3" s="52">
        <f t="shared" ref="AG3:AG8" si="10">NORMDIST(LN(O3),7.45231,0.73998,1)</f>
        <v>7.8279719756118738E-3</v>
      </c>
      <c r="AH3" s="10">
        <f t="shared" ref="AH3:AH8" si="11">1/(1+EXP(3.2269-1.9688*P3))</f>
        <v>6.7210278929979619E-2</v>
      </c>
      <c r="AI3" s="10">
        <f t="shared" ref="AI3:AI8" si="12">1/(1+EXP(10.958-3.77*Q3/1000))</f>
        <v>1.3548412769250599E-4</v>
      </c>
      <c r="AJ3" s="10">
        <f t="shared" ref="AJ3:AJ8" si="13">1/(1+EXP(10.958-3.77*R3/1000))</f>
        <v>6.1146590821757051E-5</v>
      </c>
      <c r="AK3" s="10">
        <f t="shared" ref="AK3:AK8" si="14">MAX(AH3,AI3,AJ3)</f>
        <v>6.7210278929979619E-2</v>
      </c>
      <c r="AL3" s="10">
        <f t="shared" ref="AL3:AL8" si="15">1/(1+EXP(12.597-0.05861*35-1.568*((S3/0.817)^0.4612)))</f>
        <v>1.5457727639254151E-2</v>
      </c>
      <c r="AM3" s="10">
        <f t="shared" ref="AM3:AM8" si="16">AL3</f>
        <v>1.5457727639254151E-2</v>
      </c>
      <c r="AN3" s="10">
        <f t="shared" ref="AN3:AN8" si="17">1/(1+EXP(5.7949-0.7619*U3/1000))</f>
        <v>1.1364400362879621E-2</v>
      </c>
      <c r="AO3" s="10">
        <f t="shared" ref="AO3:AO8" si="18">1/(1+EXP(5.7949-0.7619*V3/1000))</f>
        <v>1.4168109998371752E-2</v>
      </c>
      <c r="AP3" s="59">
        <f t="shared" ref="AP3:AP8" si="19">MAX(AN3,AO3)</f>
        <v>1.4168109998371752E-2</v>
      </c>
      <c r="AQ3" s="148">
        <f t="shared" ref="AQ3:AQ8" si="20">ROUND(1-(1-W3)*(1-AA3)*(1-AC3)*(1-AF3),3)</f>
        <v>0.1</v>
      </c>
      <c r="AR3" s="10">
        <f t="shared" ref="AR3:AR8" si="21">ROUND(1-(1-AG3)*(1-AK3)*(1-AM3)*(1-AP3),3)</f>
        <v>0.10199999999999999</v>
      </c>
      <c r="AS3" s="10">
        <f t="shared" ref="AS3:AS8" si="22">ROUND(AVERAGE(AR3,AQ3),3)</f>
        <v>0.10100000000000001</v>
      </c>
      <c r="AT3" s="24">
        <f t="shared" ref="AT3:AT8" si="23">ROUND(AQ3/0.15,2)</f>
        <v>0.67</v>
      </c>
      <c r="AU3" s="24">
        <f t="shared" ref="AU3:AU8" si="24">ROUND(AR3/0.15,2)</f>
        <v>0.68</v>
      </c>
      <c r="AV3" s="24">
        <f t="shared" ref="AV3:AV8" si="25">ROUND(AS3/0.15,2)</f>
        <v>0.67</v>
      </c>
      <c r="AW3" s="25">
        <f t="shared" ref="AW3:AW8" si="26">IF(AT3&lt;0.67,5,IF(AT3&lt;1,4,IF(AT3&lt;1.33,3,IF(AT3&lt;2.67,2,1))))</f>
        <v>4</v>
      </c>
      <c r="AX3" s="25">
        <f t="shared" ref="AX3:AX8" si="27">IF(AU3&lt;0.67,5,IF(AU3&lt;1,4,IF(AU3&lt;1.33,3,IF(AU3&lt;2.67,2,1))))</f>
        <v>4</v>
      </c>
      <c r="AY3" s="25">
        <f t="shared" ref="AY3:AY8" si="28">IF(AV3&lt;0.67,5,IF(AV3&lt;1,4,IF(AV3&lt;1.33,3,IF(AV3&lt;2.67,2,1))))</f>
        <v>4</v>
      </c>
    </row>
    <row r="4" spans="1:51" s="69" customFormat="1">
      <c r="A4" s="66">
        <v>11663</v>
      </c>
      <c r="B4" s="66" t="s">
        <v>98</v>
      </c>
      <c r="C4" s="61" t="str">
        <f>Rollover!A4</f>
        <v>Acura</v>
      </c>
      <c r="D4" s="61" t="str">
        <f>Rollover!B4</f>
        <v>MDX SUV FWD</v>
      </c>
      <c r="E4" s="150" t="s">
        <v>99</v>
      </c>
      <c r="F4" s="172">
        <f>Rollover!C4</f>
        <v>2022</v>
      </c>
      <c r="G4" s="27">
        <v>243.75200000000001</v>
      </c>
      <c r="H4" s="28">
        <v>0.29199999999999998</v>
      </c>
      <c r="I4" s="28">
        <v>1354.183</v>
      </c>
      <c r="J4" s="28">
        <v>261.06200000000001</v>
      </c>
      <c r="K4" s="28">
        <v>23.920999999999999</v>
      </c>
      <c r="L4" s="28">
        <v>46.091000000000001</v>
      </c>
      <c r="M4" s="28">
        <v>2061.1570000000002</v>
      </c>
      <c r="N4" s="29">
        <v>2317.652</v>
      </c>
      <c r="O4" s="27">
        <v>288.27</v>
      </c>
      <c r="P4" s="28">
        <v>0.30299999999999999</v>
      </c>
      <c r="Q4" s="28">
        <v>544.15899999999999</v>
      </c>
      <c r="R4" s="28">
        <v>333.11</v>
      </c>
      <c r="S4" s="28">
        <v>17.196000000000002</v>
      </c>
      <c r="T4" s="28">
        <v>39.555</v>
      </c>
      <c r="U4" s="28">
        <v>1744.402</v>
      </c>
      <c r="V4" s="56">
        <v>2037.548</v>
      </c>
      <c r="W4" s="52">
        <f t="shared" si="0"/>
        <v>4.1023352797599074E-3</v>
      </c>
      <c r="X4" s="10">
        <f t="shared" si="1"/>
        <v>6.5865207635833936E-2</v>
      </c>
      <c r="Y4" s="10">
        <f t="shared" si="2"/>
        <v>4.2699320449578985E-4</v>
      </c>
      <c r="Z4" s="10">
        <f t="shared" si="3"/>
        <v>3.1848839935804378E-5</v>
      </c>
      <c r="AA4" s="10">
        <f t="shared" si="4"/>
        <v>6.5865207635833936E-2</v>
      </c>
      <c r="AB4" s="10">
        <f t="shared" si="5"/>
        <v>2.2631890173337867E-2</v>
      </c>
      <c r="AC4" s="10">
        <f t="shared" si="6"/>
        <v>2.2631890173337867E-2</v>
      </c>
      <c r="AD4" s="10">
        <f t="shared" si="7"/>
        <v>8.8021092436552408E-3</v>
      </c>
      <c r="AE4" s="10">
        <f t="shared" si="8"/>
        <v>1.0044368256037261E-2</v>
      </c>
      <c r="AF4" s="59">
        <f t="shared" si="9"/>
        <v>1.0044368256037261E-2</v>
      </c>
      <c r="AG4" s="52">
        <f t="shared" si="10"/>
        <v>7.8279719756118738E-3</v>
      </c>
      <c r="AH4" s="10">
        <f t="shared" si="11"/>
        <v>6.7210278929979619E-2</v>
      </c>
      <c r="AI4" s="10">
        <f t="shared" si="12"/>
        <v>1.3548412769250599E-4</v>
      </c>
      <c r="AJ4" s="10">
        <f t="shared" si="13"/>
        <v>6.1146590821757051E-5</v>
      </c>
      <c r="AK4" s="10">
        <f t="shared" si="14"/>
        <v>6.7210278929979619E-2</v>
      </c>
      <c r="AL4" s="10">
        <f t="shared" si="15"/>
        <v>1.5457727639254151E-2</v>
      </c>
      <c r="AM4" s="10">
        <f t="shared" si="16"/>
        <v>1.5457727639254151E-2</v>
      </c>
      <c r="AN4" s="10">
        <f t="shared" si="17"/>
        <v>1.1364400362879621E-2</v>
      </c>
      <c r="AO4" s="10">
        <f t="shared" si="18"/>
        <v>1.4168109998371752E-2</v>
      </c>
      <c r="AP4" s="59">
        <f t="shared" si="19"/>
        <v>1.4168109998371752E-2</v>
      </c>
      <c r="AQ4" s="148">
        <f t="shared" si="20"/>
        <v>0.1</v>
      </c>
      <c r="AR4" s="10">
        <f t="shared" si="21"/>
        <v>0.10199999999999999</v>
      </c>
      <c r="AS4" s="10">
        <f t="shared" si="22"/>
        <v>0.10100000000000001</v>
      </c>
      <c r="AT4" s="24">
        <f t="shared" si="23"/>
        <v>0.67</v>
      </c>
      <c r="AU4" s="24">
        <f t="shared" si="24"/>
        <v>0.68</v>
      </c>
      <c r="AV4" s="24">
        <f t="shared" si="25"/>
        <v>0.67</v>
      </c>
      <c r="AW4" s="25">
        <f t="shared" si="26"/>
        <v>4</v>
      </c>
      <c r="AX4" s="25">
        <f t="shared" si="27"/>
        <v>4</v>
      </c>
      <c r="AY4" s="25">
        <f t="shared" si="28"/>
        <v>4</v>
      </c>
    </row>
    <row r="5" spans="1:51" s="69" customFormat="1">
      <c r="A5" s="40">
        <v>14085</v>
      </c>
      <c r="B5" s="40" t="s">
        <v>102</v>
      </c>
      <c r="C5" s="61" t="str">
        <f>Rollover!A5</f>
        <v>Chevrolet</v>
      </c>
      <c r="D5" s="61" t="str">
        <f>Rollover!B5</f>
        <v>Silverado 1500 PU/CC 2WD</v>
      </c>
      <c r="E5" s="150" t="s">
        <v>103</v>
      </c>
      <c r="F5" s="172">
        <f>Rollover!C5</f>
        <v>2022</v>
      </c>
      <c r="G5" s="18">
        <v>150.37100000000001</v>
      </c>
      <c r="H5" s="19">
        <v>0.26800000000000002</v>
      </c>
      <c r="I5" s="19">
        <v>1504.886</v>
      </c>
      <c r="J5" s="19">
        <v>174.08</v>
      </c>
      <c r="K5" s="19">
        <v>24.741</v>
      </c>
      <c r="L5" s="19">
        <v>39.588999999999999</v>
      </c>
      <c r="M5" s="19">
        <v>532.67399999999998</v>
      </c>
      <c r="N5" s="20">
        <v>735.02499999999998</v>
      </c>
      <c r="O5" s="18">
        <v>409.61</v>
      </c>
      <c r="P5" s="19">
        <v>0.38300000000000001</v>
      </c>
      <c r="Q5" s="19">
        <v>890.61400000000003</v>
      </c>
      <c r="R5" s="19">
        <v>336.88</v>
      </c>
      <c r="S5" s="19">
        <v>14.14</v>
      </c>
      <c r="T5" s="19">
        <v>43.658999999999999</v>
      </c>
      <c r="U5" s="19">
        <v>331.17</v>
      </c>
      <c r="V5" s="51">
        <v>243.40799999999999</v>
      </c>
      <c r="W5" s="52">
        <f t="shared" si="0"/>
        <v>4.8981702072832956E-4</v>
      </c>
      <c r="X5" s="10">
        <f t="shared" si="1"/>
        <v>6.3016941414929931E-2</v>
      </c>
      <c r="Y5" s="10">
        <f t="shared" si="2"/>
        <v>6.1063779935480829E-4</v>
      </c>
      <c r="Z5" s="10">
        <f t="shared" si="3"/>
        <v>2.5904706048719908E-5</v>
      </c>
      <c r="AA5" s="10">
        <f t="shared" si="4"/>
        <v>6.3016941414929931E-2</v>
      </c>
      <c r="AB5" s="10">
        <f t="shared" si="5"/>
        <v>2.510447689814144E-2</v>
      </c>
      <c r="AC5" s="10">
        <f t="shared" si="6"/>
        <v>2.510447689814144E-2</v>
      </c>
      <c r="AD5" s="10">
        <f t="shared" si="7"/>
        <v>3.9973328285971225E-3</v>
      </c>
      <c r="AE5" s="10">
        <f t="shared" si="8"/>
        <v>4.4385415725745779E-3</v>
      </c>
      <c r="AF5" s="59">
        <f t="shared" si="9"/>
        <v>4.4385415725745779E-3</v>
      </c>
      <c r="AG5" s="52">
        <f t="shared" si="10"/>
        <v>2.6063368396777354E-2</v>
      </c>
      <c r="AH5" s="10">
        <f t="shared" si="11"/>
        <v>7.7783577843529988E-2</v>
      </c>
      <c r="AI5" s="10">
        <f t="shared" si="12"/>
        <v>5.0000855304469221E-4</v>
      </c>
      <c r="AJ5" s="10">
        <f t="shared" si="13"/>
        <v>6.2021812285376719E-5</v>
      </c>
      <c r="AK5" s="10">
        <f t="shared" si="14"/>
        <v>7.7783577843529988E-2</v>
      </c>
      <c r="AL5" s="10">
        <f t="shared" si="15"/>
        <v>8.9634102108921334E-3</v>
      </c>
      <c r="AM5" s="10">
        <f t="shared" si="16"/>
        <v>8.9634102108921334E-3</v>
      </c>
      <c r="AN5" s="10">
        <f t="shared" si="17"/>
        <v>3.9011249015652246E-3</v>
      </c>
      <c r="AO5" s="10">
        <f t="shared" si="18"/>
        <v>3.6497235832415207E-3</v>
      </c>
      <c r="AP5" s="59">
        <f t="shared" si="19"/>
        <v>3.9011249015652246E-3</v>
      </c>
      <c r="AQ5" s="148">
        <f t="shared" si="20"/>
        <v>9.0999999999999998E-2</v>
      </c>
      <c r="AR5" s="10">
        <f t="shared" si="21"/>
        <v>0.113</v>
      </c>
      <c r="AS5" s="10">
        <f t="shared" si="22"/>
        <v>0.10199999999999999</v>
      </c>
      <c r="AT5" s="24">
        <f t="shared" si="23"/>
        <v>0.61</v>
      </c>
      <c r="AU5" s="24">
        <f t="shared" si="24"/>
        <v>0.75</v>
      </c>
      <c r="AV5" s="24">
        <f t="shared" si="25"/>
        <v>0.68</v>
      </c>
      <c r="AW5" s="25">
        <f t="shared" si="26"/>
        <v>5</v>
      </c>
      <c r="AX5" s="25">
        <f t="shared" si="27"/>
        <v>4</v>
      </c>
      <c r="AY5" s="25">
        <f t="shared" si="28"/>
        <v>4</v>
      </c>
    </row>
    <row r="6" spans="1:51" s="69" customFormat="1">
      <c r="A6" s="40">
        <v>14085</v>
      </c>
      <c r="B6" s="40" t="s">
        <v>102</v>
      </c>
      <c r="C6" s="61" t="str">
        <f>Rollover!A6</f>
        <v>Chevrolet</v>
      </c>
      <c r="D6" s="61" t="str">
        <f>Rollover!B6</f>
        <v>Silverado 1500 PU/CC 4WD</v>
      </c>
      <c r="E6" s="150" t="s">
        <v>103</v>
      </c>
      <c r="F6" s="172">
        <f>Rollover!C6</f>
        <v>2022</v>
      </c>
      <c r="G6" s="18">
        <v>150.37100000000001</v>
      </c>
      <c r="H6" s="19">
        <v>0.26800000000000002</v>
      </c>
      <c r="I6" s="19">
        <v>1504.886</v>
      </c>
      <c r="J6" s="19">
        <v>174.08</v>
      </c>
      <c r="K6" s="19">
        <v>24.741</v>
      </c>
      <c r="L6" s="19">
        <v>39.588999999999999</v>
      </c>
      <c r="M6" s="19">
        <v>532.67399999999998</v>
      </c>
      <c r="N6" s="20">
        <v>735.02499999999998</v>
      </c>
      <c r="O6" s="18">
        <v>409.61</v>
      </c>
      <c r="P6" s="19">
        <v>0.38300000000000001</v>
      </c>
      <c r="Q6" s="19">
        <v>890.61400000000003</v>
      </c>
      <c r="R6" s="19">
        <v>336.88</v>
      </c>
      <c r="S6" s="19">
        <v>14.14</v>
      </c>
      <c r="T6" s="19">
        <v>43.658999999999999</v>
      </c>
      <c r="U6" s="19">
        <v>331.17</v>
      </c>
      <c r="V6" s="51">
        <v>243.40799999999999</v>
      </c>
      <c r="W6" s="52">
        <f t="shared" si="0"/>
        <v>4.8981702072832956E-4</v>
      </c>
      <c r="X6" s="10">
        <f t="shared" si="1"/>
        <v>6.3016941414929931E-2</v>
      </c>
      <c r="Y6" s="10">
        <f t="shared" si="2"/>
        <v>6.1063779935480829E-4</v>
      </c>
      <c r="Z6" s="10">
        <f t="shared" si="3"/>
        <v>2.5904706048719908E-5</v>
      </c>
      <c r="AA6" s="10">
        <f t="shared" si="4"/>
        <v>6.3016941414929931E-2</v>
      </c>
      <c r="AB6" s="10">
        <f t="shared" si="5"/>
        <v>2.510447689814144E-2</v>
      </c>
      <c r="AC6" s="10">
        <f t="shared" si="6"/>
        <v>2.510447689814144E-2</v>
      </c>
      <c r="AD6" s="10">
        <f t="shared" si="7"/>
        <v>3.9973328285971225E-3</v>
      </c>
      <c r="AE6" s="10">
        <f t="shared" si="8"/>
        <v>4.4385415725745779E-3</v>
      </c>
      <c r="AF6" s="59">
        <f t="shared" si="9"/>
        <v>4.4385415725745779E-3</v>
      </c>
      <c r="AG6" s="52">
        <f t="shared" si="10"/>
        <v>2.6063368396777354E-2</v>
      </c>
      <c r="AH6" s="10">
        <f t="shared" si="11"/>
        <v>7.7783577843529988E-2</v>
      </c>
      <c r="AI6" s="10">
        <f t="shared" si="12"/>
        <v>5.0000855304469221E-4</v>
      </c>
      <c r="AJ6" s="10">
        <f t="shared" si="13"/>
        <v>6.2021812285376719E-5</v>
      </c>
      <c r="AK6" s="10">
        <f t="shared" si="14"/>
        <v>7.7783577843529988E-2</v>
      </c>
      <c r="AL6" s="10">
        <f t="shared" si="15"/>
        <v>8.9634102108921334E-3</v>
      </c>
      <c r="AM6" s="10">
        <f t="shared" si="16"/>
        <v>8.9634102108921334E-3</v>
      </c>
      <c r="AN6" s="10">
        <f t="shared" si="17"/>
        <v>3.9011249015652246E-3</v>
      </c>
      <c r="AO6" s="10">
        <f t="shared" si="18"/>
        <v>3.6497235832415207E-3</v>
      </c>
      <c r="AP6" s="59">
        <f t="shared" si="19"/>
        <v>3.9011249015652246E-3</v>
      </c>
      <c r="AQ6" s="148">
        <f t="shared" si="20"/>
        <v>9.0999999999999998E-2</v>
      </c>
      <c r="AR6" s="10">
        <f t="shared" si="21"/>
        <v>0.113</v>
      </c>
      <c r="AS6" s="10">
        <f t="shared" si="22"/>
        <v>0.10199999999999999</v>
      </c>
      <c r="AT6" s="24">
        <f t="shared" si="23"/>
        <v>0.61</v>
      </c>
      <c r="AU6" s="24">
        <f t="shared" si="24"/>
        <v>0.75</v>
      </c>
      <c r="AV6" s="24">
        <f t="shared" si="25"/>
        <v>0.68</v>
      </c>
      <c r="AW6" s="25">
        <f t="shared" si="26"/>
        <v>5</v>
      </c>
      <c r="AX6" s="25">
        <f t="shared" si="27"/>
        <v>4</v>
      </c>
      <c r="AY6" s="25">
        <f t="shared" si="28"/>
        <v>4</v>
      </c>
    </row>
    <row r="7" spans="1:51" s="69" customFormat="1">
      <c r="A7" s="40">
        <v>14085</v>
      </c>
      <c r="B7" s="40" t="s">
        <v>102</v>
      </c>
      <c r="C7" s="61" t="str">
        <f>Rollover!A7</f>
        <v>GMC</v>
      </c>
      <c r="D7" s="61" t="str">
        <f>Rollover!B7</f>
        <v>Sierra 1500 PU/CC 2WD</v>
      </c>
      <c r="E7" s="150" t="s">
        <v>103</v>
      </c>
      <c r="F7" s="172">
        <f>Rollover!C7</f>
        <v>2022</v>
      </c>
      <c r="G7" s="18">
        <v>150.37100000000001</v>
      </c>
      <c r="H7" s="19">
        <v>0.26800000000000002</v>
      </c>
      <c r="I7" s="19">
        <v>1504.886</v>
      </c>
      <c r="J7" s="19">
        <v>174.08</v>
      </c>
      <c r="K7" s="19">
        <v>24.741</v>
      </c>
      <c r="L7" s="19">
        <v>39.588999999999999</v>
      </c>
      <c r="M7" s="19">
        <v>532.67399999999998</v>
      </c>
      <c r="N7" s="20">
        <v>735.02499999999998</v>
      </c>
      <c r="O7" s="18">
        <v>409.61</v>
      </c>
      <c r="P7" s="19">
        <v>0.38300000000000001</v>
      </c>
      <c r="Q7" s="19">
        <v>890.61400000000003</v>
      </c>
      <c r="R7" s="19">
        <v>336.88</v>
      </c>
      <c r="S7" s="19">
        <v>14.14</v>
      </c>
      <c r="T7" s="19">
        <v>43.658999999999999</v>
      </c>
      <c r="U7" s="19">
        <v>331.17</v>
      </c>
      <c r="V7" s="51">
        <v>243.40799999999999</v>
      </c>
      <c r="W7" s="52">
        <f t="shared" si="0"/>
        <v>4.8981702072832956E-4</v>
      </c>
      <c r="X7" s="10">
        <f t="shared" si="1"/>
        <v>6.3016941414929931E-2</v>
      </c>
      <c r="Y7" s="10">
        <f t="shared" si="2"/>
        <v>6.1063779935480829E-4</v>
      </c>
      <c r="Z7" s="10">
        <f t="shared" si="3"/>
        <v>2.5904706048719908E-5</v>
      </c>
      <c r="AA7" s="10">
        <f t="shared" si="4"/>
        <v>6.3016941414929931E-2</v>
      </c>
      <c r="AB7" s="10">
        <f t="shared" si="5"/>
        <v>2.510447689814144E-2</v>
      </c>
      <c r="AC7" s="10">
        <f t="shared" si="6"/>
        <v>2.510447689814144E-2</v>
      </c>
      <c r="AD7" s="10">
        <f t="shared" si="7"/>
        <v>3.9973328285971225E-3</v>
      </c>
      <c r="AE7" s="10">
        <f t="shared" si="8"/>
        <v>4.4385415725745779E-3</v>
      </c>
      <c r="AF7" s="59">
        <f t="shared" si="9"/>
        <v>4.4385415725745779E-3</v>
      </c>
      <c r="AG7" s="52">
        <f t="shared" si="10"/>
        <v>2.6063368396777354E-2</v>
      </c>
      <c r="AH7" s="10">
        <f t="shared" si="11"/>
        <v>7.7783577843529988E-2</v>
      </c>
      <c r="AI7" s="10">
        <f t="shared" si="12"/>
        <v>5.0000855304469221E-4</v>
      </c>
      <c r="AJ7" s="10">
        <f t="shared" si="13"/>
        <v>6.2021812285376719E-5</v>
      </c>
      <c r="AK7" s="10">
        <f t="shared" si="14"/>
        <v>7.7783577843529988E-2</v>
      </c>
      <c r="AL7" s="10">
        <f t="shared" si="15"/>
        <v>8.9634102108921334E-3</v>
      </c>
      <c r="AM7" s="10">
        <f t="shared" si="16"/>
        <v>8.9634102108921334E-3</v>
      </c>
      <c r="AN7" s="10">
        <f t="shared" si="17"/>
        <v>3.9011249015652246E-3</v>
      </c>
      <c r="AO7" s="10">
        <f t="shared" si="18"/>
        <v>3.6497235832415207E-3</v>
      </c>
      <c r="AP7" s="59">
        <f t="shared" si="19"/>
        <v>3.9011249015652246E-3</v>
      </c>
      <c r="AQ7" s="148">
        <f t="shared" si="20"/>
        <v>9.0999999999999998E-2</v>
      </c>
      <c r="AR7" s="10">
        <f t="shared" si="21"/>
        <v>0.113</v>
      </c>
      <c r="AS7" s="10">
        <f t="shared" si="22"/>
        <v>0.10199999999999999</v>
      </c>
      <c r="AT7" s="24">
        <f t="shared" si="23"/>
        <v>0.61</v>
      </c>
      <c r="AU7" s="24">
        <f t="shared" si="24"/>
        <v>0.75</v>
      </c>
      <c r="AV7" s="24">
        <f t="shared" si="25"/>
        <v>0.68</v>
      </c>
      <c r="AW7" s="25">
        <f t="shared" si="26"/>
        <v>5</v>
      </c>
      <c r="AX7" s="25">
        <f t="shared" si="27"/>
        <v>4</v>
      </c>
      <c r="AY7" s="25">
        <f t="shared" si="28"/>
        <v>4</v>
      </c>
    </row>
    <row r="8" spans="1:51" s="69" customFormat="1">
      <c r="A8" s="40">
        <v>14085</v>
      </c>
      <c r="B8" s="40" t="s">
        <v>102</v>
      </c>
      <c r="C8" s="61" t="str">
        <f>Rollover!A8</f>
        <v>GMC</v>
      </c>
      <c r="D8" s="61" t="str">
        <f>Rollover!B8</f>
        <v>Sierra 1500 PU/CC 4WD</v>
      </c>
      <c r="E8" s="150" t="s">
        <v>103</v>
      </c>
      <c r="F8" s="172">
        <f>Rollover!C8</f>
        <v>2022</v>
      </c>
      <c r="G8" s="18">
        <v>150.37100000000001</v>
      </c>
      <c r="H8" s="19">
        <v>0.26800000000000002</v>
      </c>
      <c r="I8" s="19">
        <v>1504.886</v>
      </c>
      <c r="J8" s="19">
        <v>174.08</v>
      </c>
      <c r="K8" s="19">
        <v>24.741</v>
      </c>
      <c r="L8" s="19">
        <v>39.588999999999999</v>
      </c>
      <c r="M8" s="19">
        <v>532.67399999999998</v>
      </c>
      <c r="N8" s="20">
        <v>735.02499999999998</v>
      </c>
      <c r="O8" s="18">
        <v>409.61</v>
      </c>
      <c r="P8" s="19">
        <v>0.38300000000000001</v>
      </c>
      <c r="Q8" s="19">
        <v>890.61400000000003</v>
      </c>
      <c r="R8" s="19">
        <v>336.88</v>
      </c>
      <c r="S8" s="19">
        <v>14.14</v>
      </c>
      <c r="T8" s="19">
        <v>43.658999999999999</v>
      </c>
      <c r="U8" s="19">
        <v>331.17</v>
      </c>
      <c r="V8" s="51">
        <v>243.40799999999999</v>
      </c>
      <c r="W8" s="52">
        <f t="shared" si="0"/>
        <v>4.8981702072832956E-4</v>
      </c>
      <c r="X8" s="10">
        <f t="shared" si="1"/>
        <v>6.3016941414929931E-2</v>
      </c>
      <c r="Y8" s="10">
        <f t="shared" si="2"/>
        <v>6.1063779935480829E-4</v>
      </c>
      <c r="Z8" s="10">
        <f t="shared" si="3"/>
        <v>2.5904706048719908E-5</v>
      </c>
      <c r="AA8" s="10">
        <f t="shared" si="4"/>
        <v>6.3016941414929931E-2</v>
      </c>
      <c r="AB8" s="10">
        <f t="shared" si="5"/>
        <v>2.510447689814144E-2</v>
      </c>
      <c r="AC8" s="10">
        <f t="shared" si="6"/>
        <v>2.510447689814144E-2</v>
      </c>
      <c r="AD8" s="10">
        <f t="shared" si="7"/>
        <v>3.9973328285971225E-3</v>
      </c>
      <c r="AE8" s="10">
        <f t="shared" si="8"/>
        <v>4.4385415725745779E-3</v>
      </c>
      <c r="AF8" s="59">
        <f t="shared" si="9"/>
        <v>4.4385415725745779E-3</v>
      </c>
      <c r="AG8" s="52">
        <f t="shared" si="10"/>
        <v>2.6063368396777354E-2</v>
      </c>
      <c r="AH8" s="10">
        <f t="shared" si="11"/>
        <v>7.7783577843529988E-2</v>
      </c>
      <c r="AI8" s="10">
        <f t="shared" si="12"/>
        <v>5.0000855304469221E-4</v>
      </c>
      <c r="AJ8" s="10">
        <f t="shared" si="13"/>
        <v>6.2021812285376719E-5</v>
      </c>
      <c r="AK8" s="10">
        <f t="shared" si="14"/>
        <v>7.7783577843529988E-2</v>
      </c>
      <c r="AL8" s="10">
        <f t="shared" si="15"/>
        <v>8.9634102108921334E-3</v>
      </c>
      <c r="AM8" s="10">
        <f t="shared" si="16"/>
        <v>8.9634102108921334E-3</v>
      </c>
      <c r="AN8" s="10">
        <f t="shared" si="17"/>
        <v>3.9011249015652246E-3</v>
      </c>
      <c r="AO8" s="10">
        <f t="shared" si="18"/>
        <v>3.6497235832415207E-3</v>
      </c>
      <c r="AP8" s="59">
        <f t="shared" si="19"/>
        <v>3.9011249015652246E-3</v>
      </c>
      <c r="AQ8" s="148">
        <f t="shared" si="20"/>
        <v>9.0999999999999998E-2</v>
      </c>
      <c r="AR8" s="10">
        <f t="shared" si="21"/>
        <v>0.113</v>
      </c>
      <c r="AS8" s="10">
        <f t="shared" si="22"/>
        <v>0.10199999999999999</v>
      </c>
      <c r="AT8" s="24">
        <f t="shared" si="23"/>
        <v>0.61</v>
      </c>
      <c r="AU8" s="24">
        <f t="shared" si="24"/>
        <v>0.75</v>
      </c>
      <c r="AV8" s="24">
        <f t="shared" si="25"/>
        <v>0.68</v>
      </c>
      <c r="AW8" s="25">
        <f t="shared" si="26"/>
        <v>5</v>
      </c>
      <c r="AX8" s="25">
        <f t="shared" si="27"/>
        <v>4</v>
      </c>
      <c r="AY8" s="25">
        <f t="shared" si="28"/>
        <v>4</v>
      </c>
    </row>
    <row r="9" spans="1:51" s="69" customFormat="1">
      <c r="A9" s="66">
        <v>14065</v>
      </c>
      <c r="B9" s="66" t="s">
        <v>104</v>
      </c>
      <c r="C9" s="61" t="str">
        <f>Rollover!A9</f>
        <v>Ford</v>
      </c>
      <c r="D9" s="61" t="str">
        <f>Rollover!B9</f>
        <v>Bronco 4 DR SUV 4WD</v>
      </c>
      <c r="E9" s="150" t="s">
        <v>101</v>
      </c>
      <c r="F9" s="172">
        <f>Rollover!C9</f>
        <v>2022</v>
      </c>
      <c r="G9" s="27">
        <v>119.867</v>
      </c>
      <c r="H9" s="28">
        <v>0.28000000000000003</v>
      </c>
      <c r="I9" s="28">
        <v>1621.104</v>
      </c>
      <c r="J9" s="28">
        <v>57.765000000000001</v>
      </c>
      <c r="K9" s="28">
        <v>31.367999999999999</v>
      </c>
      <c r="L9" s="28">
        <v>37.302999999999997</v>
      </c>
      <c r="M9" s="28">
        <v>1832.4269999999999</v>
      </c>
      <c r="N9" s="29">
        <v>589.745</v>
      </c>
      <c r="O9" s="27">
        <v>286.512</v>
      </c>
      <c r="P9" s="28">
        <v>0.28599999999999998</v>
      </c>
      <c r="Q9" s="28">
        <v>703.77599999999995</v>
      </c>
      <c r="R9" s="28">
        <v>433.93200000000002</v>
      </c>
      <c r="S9" s="28">
        <v>11.097</v>
      </c>
      <c r="T9" s="28">
        <v>37.213999999999999</v>
      </c>
      <c r="U9" s="28">
        <v>2048.8029999999999</v>
      </c>
      <c r="V9" s="56">
        <v>625.399</v>
      </c>
      <c r="W9" s="52">
        <f t="shared" ref="W9:W26" si="29">NORMDIST(LN(G9),7.45231,0.73998,1)</f>
        <v>1.5746342918357694E-4</v>
      </c>
      <c r="X9" s="10">
        <f t="shared" ref="X9:X26" si="30">1/(1+EXP(3.2269-1.9688*H9))</f>
        <v>6.4426419898688234E-2</v>
      </c>
      <c r="Y9" s="10">
        <f t="shared" ref="Y9:Y26" si="31">1/(1+EXP(10.9745-2.375*I9/1000))</f>
        <v>8.0458583012554309E-4</v>
      </c>
      <c r="Z9" s="10">
        <f t="shared" ref="Z9:Z26" si="32">1/(1+EXP(10.9745-2.375*J9/1000))</f>
        <v>1.9652072052081702E-5</v>
      </c>
      <c r="AA9" s="10">
        <f t="shared" ref="AA9:AA26" si="33">MAX(X9,Y9,Z9)</f>
        <v>6.4426419898688234E-2</v>
      </c>
      <c r="AB9" s="10">
        <f t="shared" ref="AB9:AB26" si="34">1/(1+EXP(12.597-0.05861*35-1.568*(K9^0.4612)))</f>
        <v>5.4026528921777672E-2</v>
      </c>
      <c r="AC9" s="10">
        <f t="shared" ref="AC9:AC26" si="35">AB9</f>
        <v>5.4026528921777672E-2</v>
      </c>
      <c r="AD9" s="10">
        <f t="shared" ref="AD9:AD26" si="36">1/(1+EXP(5.7949-0.5196*M9/1000))</f>
        <v>7.8234849356201511E-3</v>
      </c>
      <c r="AE9" s="10">
        <f t="shared" ref="AE9:AE26" si="37">1/(1+EXP(5.7949-0.5196*N9/1000))</f>
        <v>4.1171498186234577E-3</v>
      </c>
      <c r="AF9" s="59">
        <f t="shared" ref="AF9:AF26" si="38">MAX(AD9,AE9)</f>
        <v>7.8234849356201511E-3</v>
      </c>
      <c r="AG9" s="52">
        <f t="shared" ref="AG9:AG26" si="39">NORMDIST(LN(O9),7.45231,0.73998,1)</f>
        <v>7.6519689803404003E-3</v>
      </c>
      <c r="AH9" s="10">
        <f t="shared" ref="AH9:AH26" si="40">1/(1+EXP(3.2269-1.9688*P9))</f>
        <v>6.5142118363650386E-2</v>
      </c>
      <c r="AI9" s="10">
        <f t="shared" ref="AI9:AI26" si="41">1/(1+EXP(10.958-3.77*Q9/1000))</f>
        <v>2.4727443011360312E-4</v>
      </c>
      <c r="AJ9" s="10">
        <f t="shared" ref="AJ9:AJ26" si="42">1/(1+EXP(10.958-3.77*R9/1000))</f>
        <v>8.9420036047371611E-5</v>
      </c>
      <c r="AK9" s="10">
        <f t="shared" ref="AK9:AK26" si="43">MAX(AH9,AI9,AJ9)</f>
        <v>6.5142118363650386E-2</v>
      </c>
      <c r="AL9" s="10">
        <f t="shared" ref="AL9:AL26" si="44">1/(1+EXP(12.597-0.05861*35-1.568*((S9/0.817)^0.4612)))</f>
        <v>4.8536701165061607E-3</v>
      </c>
      <c r="AM9" s="10">
        <f t="shared" ref="AM9:AM26" si="45">AL9</f>
        <v>4.8536701165061607E-3</v>
      </c>
      <c r="AN9" s="10">
        <f t="shared" ref="AN9:AN26" si="46">1/(1+EXP(5.7949-0.7619*U9/1000))</f>
        <v>1.4288383145759124E-2</v>
      </c>
      <c r="AO9" s="10">
        <f t="shared" ref="AO9:AO26" si="47">1/(1+EXP(5.7949-0.7619*V9/1000))</f>
        <v>4.8766484893077965E-3</v>
      </c>
      <c r="AP9" s="59">
        <f t="shared" ref="AP9:AP26" si="48">MAX(AN9,AO9)</f>
        <v>1.4288383145759124E-2</v>
      </c>
      <c r="AQ9" s="148">
        <f t="shared" ref="AQ9:AQ26" si="49">ROUND(1-(1-W9)*(1-AA9)*(1-AC9)*(1-AF9),3)</f>
        <v>0.122</v>
      </c>
      <c r="AR9" s="10">
        <f t="shared" ref="AR9:AR26" si="50">ROUND(1-(1-AG9)*(1-AK9)*(1-AM9)*(1-AP9),3)</f>
        <v>0.09</v>
      </c>
      <c r="AS9" s="10">
        <f t="shared" ref="AS9:AS26" si="51">ROUND(AVERAGE(AR9,AQ9),3)</f>
        <v>0.106</v>
      </c>
      <c r="AT9" s="24">
        <f t="shared" ref="AT9:AT26" si="52">ROUND(AQ9/0.15,2)</f>
        <v>0.81</v>
      </c>
      <c r="AU9" s="24">
        <f t="shared" ref="AU9:AU26" si="53">ROUND(AR9/0.15,2)</f>
        <v>0.6</v>
      </c>
      <c r="AV9" s="24">
        <f t="shared" ref="AV9:AV26" si="54">ROUND(AS9/0.15,2)</f>
        <v>0.71</v>
      </c>
      <c r="AW9" s="25">
        <f t="shared" ref="AW9:AW26" si="55">IF(AT9&lt;0.67,5,IF(AT9&lt;1,4,IF(AT9&lt;1.33,3,IF(AT9&lt;2.67,2,1))))</f>
        <v>4</v>
      </c>
      <c r="AX9" s="25">
        <f t="shared" ref="AX9:AX26" si="56">IF(AU9&lt;0.67,5,IF(AU9&lt;1,4,IF(AU9&lt;1.33,3,IF(AU9&lt;2.67,2,1))))</f>
        <v>5</v>
      </c>
      <c r="AY9" s="25">
        <f t="shared" ref="AY9:AY26" si="57">IF(AV9&lt;0.67,5,IF(AV9&lt;1,4,IF(AV9&lt;1.33,3,IF(AV9&lt;2.67,2,1))))</f>
        <v>4</v>
      </c>
    </row>
    <row r="10" spans="1:51" s="69" customFormat="1">
      <c r="A10" s="66">
        <v>14075</v>
      </c>
      <c r="B10" s="66" t="s">
        <v>105</v>
      </c>
      <c r="C10" s="61" t="str">
        <f>Rollover!A10</f>
        <v>Ford</v>
      </c>
      <c r="D10" s="61" t="str">
        <f>Rollover!B10</f>
        <v>Escape PHEV SUV FWD</v>
      </c>
      <c r="E10" s="150" t="s">
        <v>99</v>
      </c>
      <c r="F10" s="172">
        <f>Rollover!C10</f>
        <v>2022</v>
      </c>
      <c r="G10" s="27">
        <v>156.63999999999999</v>
      </c>
      <c r="H10" s="28">
        <v>0.26200000000000001</v>
      </c>
      <c r="I10" s="28">
        <v>641.73099999999999</v>
      </c>
      <c r="J10" s="28">
        <v>188.68799999999999</v>
      </c>
      <c r="K10" s="28">
        <v>29.442</v>
      </c>
      <c r="L10" s="28">
        <v>37.860999999999997</v>
      </c>
      <c r="M10" s="28">
        <v>1218.212</v>
      </c>
      <c r="N10" s="29">
        <v>789.03899999999999</v>
      </c>
      <c r="O10" s="27">
        <v>193.81</v>
      </c>
      <c r="P10" s="28">
        <v>0.39600000000000002</v>
      </c>
      <c r="Q10" s="28">
        <v>898.87199999999996</v>
      </c>
      <c r="R10" s="28">
        <v>218.697</v>
      </c>
      <c r="S10" s="28">
        <v>11.836</v>
      </c>
      <c r="T10" s="28">
        <v>44.459000000000003</v>
      </c>
      <c r="U10" s="28">
        <v>913.49300000000005</v>
      </c>
      <c r="V10" s="56">
        <v>854.52300000000002</v>
      </c>
      <c r="W10" s="52">
        <f t="shared" si="29"/>
        <v>5.9531699575115734E-4</v>
      </c>
      <c r="X10" s="10">
        <f t="shared" si="30"/>
        <v>6.2323035120640552E-2</v>
      </c>
      <c r="Y10" s="10">
        <f t="shared" si="31"/>
        <v>7.8652784069147761E-5</v>
      </c>
      <c r="Z10" s="10">
        <f t="shared" si="32"/>
        <v>2.681919167238517E-5</v>
      </c>
      <c r="AA10" s="10">
        <f t="shared" si="33"/>
        <v>6.2323035120640552E-2</v>
      </c>
      <c r="AB10" s="10">
        <f t="shared" si="34"/>
        <v>4.3771299180892086E-2</v>
      </c>
      <c r="AC10" s="10">
        <f t="shared" si="35"/>
        <v>4.3771299180892086E-2</v>
      </c>
      <c r="AD10" s="10">
        <f t="shared" si="36"/>
        <v>5.6980493049284663E-3</v>
      </c>
      <c r="AE10" s="10">
        <f t="shared" si="37"/>
        <v>4.5643001522353982E-3</v>
      </c>
      <c r="AF10" s="59">
        <f t="shared" si="38"/>
        <v>5.6980493049284663E-3</v>
      </c>
      <c r="AG10" s="52">
        <f t="shared" si="39"/>
        <v>1.5716456932745805E-3</v>
      </c>
      <c r="AH10" s="10">
        <f t="shared" si="40"/>
        <v>7.9639502946007176E-2</v>
      </c>
      <c r="AI10" s="10">
        <f t="shared" si="41"/>
        <v>5.1581184269641419E-4</v>
      </c>
      <c r="AJ10" s="10">
        <f t="shared" si="42"/>
        <v>3.9724118537212579E-5</v>
      </c>
      <c r="AK10" s="10">
        <f t="shared" si="43"/>
        <v>7.9639502946007176E-2</v>
      </c>
      <c r="AL10" s="10">
        <f t="shared" si="44"/>
        <v>5.6775750207933538E-3</v>
      </c>
      <c r="AM10" s="10">
        <f t="shared" si="45"/>
        <v>5.6775750207933538E-3</v>
      </c>
      <c r="AN10" s="10">
        <f t="shared" si="46"/>
        <v>6.066372094573393E-3</v>
      </c>
      <c r="AO10" s="10">
        <f t="shared" si="47"/>
        <v>5.8013930294366087E-3</v>
      </c>
      <c r="AP10" s="59">
        <f t="shared" si="48"/>
        <v>6.066372094573393E-3</v>
      </c>
      <c r="AQ10" s="148">
        <f t="shared" si="49"/>
        <v>0.109</v>
      </c>
      <c r="AR10" s="10">
        <f t="shared" si="50"/>
        <v>9.1999999999999998E-2</v>
      </c>
      <c r="AS10" s="10">
        <f t="shared" si="51"/>
        <v>0.10100000000000001</v>
      </c>
      <c r="AT10" s="24">
        <f t="shared" si="52"/>
        <v>0.73</v>
      </c>
      <c r="AU10" s="24">
        <f t="shared" si="53"/>
        <v>0.61</v>
      </c>
      <c r="AV10" s="24">
        <f t="shared" si="54"/>
        <v>0.67</v>
      </c>
      <c r="AW10" s="25">
        <f t="shared" si="55"/>
        <v>4</v>
      </c>
      <c r="AX10" s="25">
        <f t="shared" si="56"/>
        <v>5</v>
      </c>
      <c r="AY10" s="25">
        <f t="shared" si="57"/>
        <v>4</v>
      </c>
    </row>
    <row r="11" spans="1:51" s="69" customFormat="1">
      <c r="A11" s="40">
        <v>14075</v>
      </c>
      <c r="B11" s="40" t="s">
        <v>105</v>
      </c>
      <c r="C11" s="173" t="str">
        <f>Rollover!A11</f>
        <v>Lincoln</v>
      </c>
      <c r="D11" s="173" t="str">
        <f>Rollover!B11</f>
        <v>Corsair PHEV SUV AWD</v>
      </c>
      <c r="E11" s="150" t="s">
        <v>99</v>
      </c>
      <c r="F11" s="172">
        <f>Rollover!C11</f>
        <v>2022</v>
      </c>
      <c r="G11" s="18">
        <v>156.63999999999999</v>
      </c>
      <c r="H11" s="19">
        <v>0.26200000000000001</v>
      </c>
      <c r="I11" s="19">
        <v>641.73099999999999</v>
      </c>
      <c r="J11" s="19">
        <v>188.68799999999999</v>
      </c>
      <c r="K11" s="19">
        <v>29.442</v>
      </c>
      <c r="L11" s="19">
        <v>37.860999999999997</v>
      </c>
      <c r="M11" s="19">
        <v>1218.212</v>
      </c>
      <c r="N11" s="20">
        <v>789.03899999999999</v>
      </c>
      <c r="O11" s="18">
        <v>193.81</v>
      </c>
      <c r="P11" s="19">
        <v>0.39600000000000002</v>
      </c>
      <c r="Q11" s="19">
        <v>898.87199999999996</v>
      </c>
      <c r="R11" s="19">
        <v>218.697</v>
      </c>
      <c r="S11" s="19">
        <v>11.836</v>
      </c>
      <c r="T11" s="19">
        <v>44.459000000000003</v>
      </c>
      <c r="U11" s="19">
        <v>913.49300000000005</v>
      </c>
      <c r="V11" s="51">
        <v>854.52300000000002</v>
      </c>
      <c r="W11" s="52">
        <f t="shared" si="29"/>
        <v>5.9531699575115734E-4</v>
      </c>
      <c r="X11" s="10">
        <f t="shared" si="30"/>
        <v>6.2323035120640552E-2</v>
      </c>
      <c r="Y11" s="10">
        <f t="shared" si="31"/>
        <v>7.8652784069147761E-5</v>
      </c>
      <c r="Z11" s="10">
        <f t="shared" si="32"/>
        <v>2.681919167238517E-5</v>
      </c>
      <c r="AA11" s="10">
        <f t="shared" si="33"/>
        <v>6.2323035120640552E-2</v>
      </c>
      <c r="AB11" s="10">
        <f t="shared" si="34"/>
        <v>4.3771299180892086E-2</v>
      </c>
      <c r="AC11" s="10">
        <f t="shared" si="35"/>
        <v>4.3771299180892086E-2</v>
      </c>
      <c r="AD11" s="10">
        <f t="shared" si="36"/>
        <v>5.6980493049284663E-3</v>
      </c>
      <c r="AE11" s="10">
        <f t="shared" si="37"/>
        <v>4.5643001522353982E-3</v>
      </c>
      <c r="AF11" s="59">
        <f t="shared" si="38"/>
        <v>5.6980493049284663E-3</v>
      </c>
      <c r="AG11" s="52">
        <f t="shared" si="39"/>
        <v>1.5716456932745805E-3</v>
      </c>
      <c r="AH11" s="10">
        <f t="shared" si="40"/>
        <v>7.9639502946007176E-2</v>
      </c>
      <c r="AI11" s="10">
        <f t="shared" si="41"/>
        <v>5.1581184269641419E-4</v>
      </c>
      <c r="AJ11" s="10">
        <f t="shared" si="42"/>
        <v>3.9724118537212579E-5</v>
      </c>
      <c r="AK11" s="10">
        <f t="shared" si="43"/>
        <v>7.9639502946007176E-2</v>
      </c>
      <c r="AL11" s="10">
        <f t="shared" si="44"/>
        <v>5.6775750207933538E-3</v>
      </c>
      <c r="AM11" s="10">
        <f t="shared" si="45"/>
        <v>5.6775750207933538E-3</v>
      </c>
      <c r="AN11" s="10">
        <f t="shared" si="46"/>
        <v>6.066372094573393E-3</v>
      </c>
      <c r="AO11" s="10">
        <f t="shared" si="47"/>
        <v>5.8013930294366087E-3</v>
      </c>
      <c r="AP11" s="59">
        <f t="shared" si="48"/>
        <v>6.066372094573393E-3</v>
      </c>
      <c r="AQ11" s="148">
        <f t="shared" si="49"/>
        <v>0.109</v>
      </c>
      <c r="AR11" s="10">
        <f t="shared" si="50"/>
        <v>9.1999999999999998E-2</v>
      </c>
      <c r="AS11" s="10">
        <f t="shared" si="51"/>
        <v>0.10100000000000001</v>
      </c>
      <c r="AT11" s="24">
        <f t="shared" si="52"/>
        <v>0.73</v>
      </c>
      <c r="AU11" s="24">
        <f t="shared" si="53"/>
        <v>0.61</v>
      </c>
      <c r="AV11" s="24">
        <f t="shared" si="54"/>
        <v>0.67</v>
      </c>
      <c r="AW11" s="25">
        <f t="shared" si="55"/>
        <v>4</v>
      </c>
      <c r="AX11" s="25">
        <f t="shared" si="56"/>
        <v>5</v>
      </c>
      <c r="AY11" s="25">
        <f t="shared" si="57"/>
        <v>4</v>
      </c>
    </row>
    <row r="12" spans="1:51" s="69" customFormat="1">
      <c r="A12" s="40"/>
      <c r="B12" s="40"/>
      <c r="C12" s="61" t="str">
        <f>Rollover!A12</f>
        <v>Ford</v>
      </c>
      <c r="D12" s="61" t="str">
        <f>Rollover!B12</f>
        <v>F-150 Super Crew HEV PU/CC 2WD</v>
      </c>
      <c r="E12" s="150"/>
      <c r="F12" s="172">
        <f>Rollover!C12</f>
        <v>2022</v>
      </c>
      <c r="G12" s="18"/>
      <c r="H12" s="19"/>
      <c r="I12" s="19"/>
      <c r="J12" s="19"/>
      <c r="K12" s="19"/>
      <c r="L12" s="19"/>
      <c r="M12" s="19"/>
      <c r="N12" s="20"/>
      <c r="O12" s="18"/>
      <c r="P12" s="19"/>
      <c r="Q12" s="19"/>
      <c r="R12" s="19"/>
      <c r="S12" s="19"/>
      <c r="T12" s="19"/>
      <c r="U12" s="19"/>
      <c r="V12" s="51"/>
      <c r="W12" s="52" t="e">
        <f t="shared" si="29"/>
        <v>#NUM!</v>
      </c>
      <c r="X12" s="10">
        <f t="shared" si="30"/>
        <v>3.8165882958950202E-2</v>
      </c>
      <c r="Y12" s="10">
        <f t="shared" si="31"/>
        <v>1.713277721572889E-5</v>
      </c>
      <c r="Z12" s="10">
        <f t="shared" si="32"/>
        <v>1.713277721572889E-5</v>
      </c>
      <c r="AA12" s="10">
        <f t="shared" si="33"/>
        <v>3.8165882958950202E-2</v>
      </c>
      <c r="AB12" s="10">
        <f t="shared" si="34"/>
        <v>2.6306978617002889E-5</v>
      </c>
      <c r="AC12" s="10">
        <f t="shared" si="35"/>
        <v>2.6306978617002889E-5</v>
      </c>
      <c r="AD12" s="10">
        <f t="shared" si="36"/>
        <v>3.033802747866758E-3</v>
      </c>
      <c r="AE12" s="10">
        <f t="shared" si="37"/>
        <v>3.033802747866758E-3</v>
      </c>
      <c r="AF12" s="59">
        <f t="shared" si="38"/>
        <v>3.033802747866758E-3</v>
      </c>
      <c r="AG12" s="52" t="e">
        <f t="shared" si="39"/>
        <v>#NUM!</v>
      </c>
      <c r="AH12" s="10">
        <f t="shared" si="40"/>
        <v>3.8165882958950202E-2</v>
      </c>
      <c r="AI12" s="10">
        <f t="shared" si="41"/>
        <v>1.7417808154569238E-5</v>
      </c>
      <c r="AJ12" s="10">
        <f t="shared" si="42"/>
        <v>1.7417808154569238E-5</v>
      </c>
      <c r="AK12" s="10">
        <f t="shared" si="43"/>
        <v>3.8165882958950202E-2</v>
      </c>
      <c r="AL12" s="10">
        <f t="shared" si="44"/>
        <v>2.6306978617002889E-5</v>
      </c>
      <c r="AM12" s="10">
        <f t="shared" si="45"/>
        <v>2.6306978617002889E-5</v>
      </c>
      <c r="AN12" s="10">
        <f t="shared" si="46"/>
        <v>3.033802747866758E-3</v>
      </c>
      <c r="AO12" s="10">
        <f t="shared" si="47"/>
        <v>3.033802747866758E-3</v>
      </c>
      <c r="AP12" s="59">
        <f t="shared" si="48"/>
        <v>3.033802747866758E-3</v>
      </c>
      <c r="AQ12" s="148" t="e">
        <f t="shared" si="49"/>
        <v>#NUM!</v>
      </c>
      <c r="AR12" s="10" t="e">
        <f t="shared" si="50"/>
        <v>#NUM!</v>
      </c>
      <c r="AS12" s="10" t="e">
        <f t="shared" si="51"/>
        <v>#NUM!</v>
      </c>
      <c r="AT12" s="24" t="e">
        <f t="shared" si="52"/>
        <v>#NUM!</v>
      </c>
      <c r="AU12" s="24" t="e">
        <f t="shared" si="53"/>
        <v>#NUM!</v>
      </c>
      <c r="AV12" s="24" t="e">
        <f t="shared" si="54"/>
        <v>#NUM!</v>
      </c>
      <c r="AW12" s="25" t="e">
        <f t="shared" si="55"/>
        <v>#NUM!</v>
      </c>
      <c r="AX12" s="25" t="e">
        <f t="shared" si="56"/>
        <v>#NUM!</v>
      </c>
      <c r="AY12" s="25" t="e">
        <f t="shared" si="57"/>
        <v>#NUM!</v>
      </c>
    </row>
    <row r="13" spans="1:51" s="69" customFormat="1">
      <c r="A13" s="40"/>
      <c r="B13" s="40"/>
      <c r="C13" s="61" t="str">
        <f>Rollover!A13</f>
        <v>Ford</v>
      </c>
      <c r="D13" s="61" t="str">
        <f>Rollover!B13</f>
        <v>F-150 Super Crew HEV PU/CC 4WD</v>
      </c>
      <c r="E13" s="150"/>
      <c r="F13" s="172">
        <f>Rollover!C13</f>
        <v>2022</v>
      </c>
      <c r="G13" s="18"/>
      <c r="H13" s="19"/>
      <c r="I13" s="19"/>
      <c r="J13" s="19"/>
      <c r="K13" s="19"/>
      <c r="L13" s="19"/>
      <c r="M13" s="19"/>
      <c r="N13" s="20"/>
      <c r="O13" s="18"/>
      <c r="P13" s="19"/>
      <c r="Q13" s="19"/>
      <c r="R13" s="19"/>
      <c r="S13" s="19"/>
      <c r="T13" s="19"/>
      <c r="U13" s="19"/>
      <c r="V13" s="51"/>
      <c r="W13" s="52" t="e">
        <f t="shared" si="29"/>
        <v>#NUM!</v>
      </c>
      <c r="X13" s="10">
        <f t="shared" si="30"/>
        <v>3.8165882958950202E-2</v>
      </c>
      <c r="Y13" s="10">
        <f t="shared" si="31"/>
        <v>1.713277721572889E-5</v>
      </c>
      <c r="Z13" s="10">
        <f t="shared" si="32"/>
        <v>1.713277721572889E-5</v>
      </c>
      <c r="AA13" s="10">
        <f t="shared" si="33"/>
        <v>3.8165882958950202E-2</v>
      </c>
      <c r="AB13" s="10">
        <f t="shared" si="34"/>
        <v>2.6306978617002889E-5</v>
      </c>
      <c r="AC13" s="10">
        <f t="shared" si="35"/>
        <v>2.6306978617002889E-5</v>
      </c>
      <c r="AD13" s="10">
        <f t="shared" si="36"/>
        <v>3.033802747866758E-3</v>
      </c>
      <c r="AE13" s="10">
        <f t="shared" si="37"/>
        <v>3.033802747866758E-3</v>
      </c>
      <c r="AF13" s="59">
        <f t="shared" si="38"/>
        <v>3.033802747866758E-3</v>
      </c>
      <c r="AG13" s="52" t="e">
        <f t="shared" si="39"/>
        <v>#NUM!</v>
      </c>
      <c r="AH13" s="10">
        <f t="shared" si="40"/>
        <v>3.8165882958950202E-2</v>
      </c>
      <c r="AI13" s="10">
        <f t="shared" si="41"/>
        <v>1.7417808154569238E-5</v>
      </c>
      <c r="AJ13" s="10">
        <f t="shared" si="42"/>
        <v>1.7417808154569238E-5</v>
      </c>
      <c r="AK13" s="10">
        <f t="shared" si="43"/>
        <v>3.8165882958950202E-2</v>
      </c>
      <c r="AL13" s="10">
        <f t="shared" si="44"/>
        <v>2.6306978617002889E-5</v>
      </c>
      <c r="AM13" s="10">
        <f t="shared" si="45"/>
        <v>2.6306978617002889E-5</v>
      </c>
      <c r="AN13" s="10">
        <f t="shared" si="46"/>
        <v>3.033802747866758E-3</v>
      </c>
      <c r="AO13" s="10">
        <f t="shared" si="47"/>
        <v>3.033802747866758E-3</v>
      </c>
      <c r="AP13" s="59">
        <f t="shared" si="48"/>
        <v>3.033802747866758E-3</v>
      </c>
      <c r="AQ13" s="148" t="e">
        <f t="shared" si="49"/>
        <v>#NUM!</v>
      </c>
      <c r="AR13" s="10" t="e">
        <f t="shared" si="50"/>
        <v>#NUM!</v>
      </c>
      <c r="AS13" s="10" t="e">
        <f t="shared" si="51"/>
        <v>#NUM!</v>
      </c>
      <c r="AT13" s="24" t="e">
        <f t="shared" si="52"/>
        <v>#NUM!</v>
      </c>
      <c r="AU13" s="24" t="e">
        <f t="shared" si="53"/>
        <v>#NUM!</v>
      </c>
      <c r="AV13" s="24" t="e">
        <f t="shared" si="54"/>
        <v>#NUM!</v>
      </c>
      <c r="AW13" s="25" t="e">
        <f t="shared" si="55"/>
        <v>#NUM!</v>
      </c>
      <c r="AX13" s="25" t="e">
        <f t="shared" si="56"/>
        <v>#NUM!</v>
      </c>
      <c r="AY13" s="25" t="e">
        <f t="shared" si="57"/>
        <v>#NUM!</v>
      </c>
    </row>
    <row r="14" spans="1:51" s="69" customFormat="1">
      <c r="A14" s="40">
        <v>14048</v>
      </c>
      <c r="B14" s="40" t="s">
        <v>106</v>
      </c>
      <c r="C14" s="61" t="str">
        <f>Rollover!A14</f>
        <v>Honda</v>
      </c>
      <c r="D14" s="61" t="str">
        <f>Rollover!B14</f>
        <v>Civic 4DR FWD</v>
      </c>
      <c r="E14" s="150" t="s">
        <v>99</v>
      </c>
      <c r="F14" s="172">
        <f>Rollover!C14</f>
        <v>2022</v>
      </c>
      <c r="G14" s="52">
        <v>325.346</v>
      </c>
      <c r="H14" s="10">
        <v>0.30299999999999999</v>
      </c>
      <c r="I14" s="10">
        <v>1071.037</v>
      </c>
      <c r="J14" s="10">
        <v>103.711</v>
      </c>
      <c r="K14" s="10">
        <v>19.547999999999998</v>
      </c>
      <c r="L14" s="10">
        <v>36.225000000000001</v>
      </c>
      <c r="M14" s="10">
        <v>838.65499999999997</v>
      </c>
      <c r="N14" s="59">
        <v>1653.34</v>
      </c>
      <c r="O14" s="52">
        <v>444.48</v>
      </c>
      <c r="P14" s="10">
        <v>0.249</v>
      </c>
      <c r="Q14" s="10">
        <v>840.15099999999995</v>
      </c>
      <c r="R14" s="10">
        <v>272.31299999999999</v>
      </c>
      <c r="S14" s="10">
        <v>11.391</v>
      </c>
      <c r="T14" s="10">
        <v>41.145000000000003</v>
      </c>
      <c r="U14" s="10">
        <v>1222.229</v>
      </c>
      <c r="V14" s="60">
        <v>730.42200000000003</v>
      </c>
      <c r="W14" s="52">
        <f t="shared" si="29"/>
        <v>1.2119105160907128E-2</v>
      </c>
      <c r="X14" s="10">
        <f t="shared" si="30"/>
        <v>6.7210278929979619E-2</v>
      </c>
      <c r="Y14" s="10">
        <f t="shared" si="31"/>
        <v>2.1800225503727924E-4</v>
      </c>
      <c r="Z14" s="10">
        <f t="shared" si="32"/>
        <v>2.1917869540360902E-5</v>
      </c>
      <c r="AA14" s="10">
        <f t="shared" si="33"/>
        <v>6.7210278929979619E-2</v>
      </c>
      <c r="AB14" s="10">
        <f t="shared" si="34"/>
        <v>1.2514219721766848E-2</v>
      </c>
      <c r="AC14" s="10">
        <f t="shared" si="35"/>
        <v>1.2514219721766848E-2</v>
      </c>
      <c r="AD14" s="10">
        <f t="shared" si="36"/>
        <v>4.68294167724723E-3</v>
      </c>
      <c r="AE14" s="10">
        <f t="shared" si="37"/>
        <v>7.1332852608337804E-3</v>
      </c>
      <c r="AF14" s="59">
        <f t="shared" si="38"/>
        <v>7.1332852608337804E-3</v>
      </c>
      <c r="AG14" s="52">
        <f t="shared" si="39"/>
        <v>3.3499718824108474E-2</v>
      </c>
      <c r="AH14" s="10">
        <f t="shared" si="40"/>
        <v>6.0843976465800663E-2</v>
      </c>
      <c r="AI14" s="10">
        <f t="shared" si="41"/>
        <v>4.1342094928034341E-4</v>
      </c>
      <c r="AJ14" s="10">
        <f t="shared" si="42"/>
        <v>4.8622284007813228E-5</v>
      </c>
      <c r="AK14" s="10">
        <f t="shared" si="43"/>
        <v>6.0843976465800663E-2</v>
      </c>
      <c r="AL14" s="10">
        <f t="shared" si="44"/>
        <v>5.1695276264507248E-3</v>
      </c>
      <c r="AM14" s="10">
        <f t="shared" si="45"/>
        <v>5.1695276264507248E-3</v>
      </c>
      <c r="AN14" s="10">
        <f t="shared" si="46"/>
        <v>7.6628136247878197E-3</v>
      </c>
      <c r="AO14" s="10">
        <f t="shared" si="47"/>
        <v>5.2807548602380227E-3</v>
      </c>
      <c r="AP14" s="59">
        <f t="shared" si="48"/>
        <v>7.6628136247878197E-3</v>
      </c>
      <c r="AQ14" s="148">
        <f t="shared" si="49"/>
        <v>9.7000000000000003E-2</v>
      </c>
      <c r="AR14" s="10">
        <f t="shared" si="50"/>
        <v>0.104</v>
      </c>
      <c r="AS14" s="10">
        <f t="shared" si="51"/>
        <v>0.10100000000000001</v>
      </c>
      <c r="AT14" s="24">
        <f t="shared" si="52"/>
        <v>0.65</v>
      </c>
      <c r="AU14" s="24">
        <f t="shared" si="53"/>
        <v>0.69</v>
      </c>
      <c r="AV14" s="24">
        <f t="shared" si="54"/>
        <v>0.67</v>
      </c>
      <c r="AW14" s="25">
        <f t="shared" si="55"/>
        <v>5</v>
      </c>
      <c r="AX14" s="25">
        <f t="shared" si="56"/>
        <v>4</v>
      </c>
      <c r="AY14" s="25">
        <f t="shared" si="57"/>
        <v>4</v>
      </c>
    </row>
    <row r="15" spans="1:51" s="69" customFormat="1">
      <c r="A15" s="40">
        <v>14048</v>
      </c>
      <c r="B15" s="40" t="s">
        <v>106</v>
      </c>
      <c r="C15" s="173" t="str">
        <f>Rollover!A15</f>
        <v>Honda</v>
      </c>
      <c r="D15" s="173" t="str">
        <f>Rollover!B15</f>
        <v>Civic SI 4DR FWD</v>
      </c>
      <c r="E15" s="150" t="s">
        <v>99</v>
      </c>
      <c r="F15" s="172">
        <f>Rollover!C15</f>
        <v>2022</v>
      </c>
      <c r="G15" s="52">
        <v>325.346</v>
      </c>
      <c r="H15" s="10">
        <v>0.30299999999999999</v>
      </c>
      <c r="I15" s="10">
        <v>1071.037</v>
      </c>
      <c r="J15" s="10">
        <v>103.711</v>
      </c>
      <c r="K15" s="10">
        <v>19.547999999999998</v>
      </c>
      <c r="L15" s="10">
        <v>36.225000000000001</v>
      </c>
      <c r="M15" s="10">
        <v>838.65499999999997</v>
      </c>
      <c r="N15" s="59">
        <v>1653.34</v>
      </c>
      <c r="O15" s="52">
        <v>444.48</v>
      </c>
      <c r="P15" s="10">
        <v>0.249</v>
      </c>
      <c r="Q15" s="10">
        <v>840.15099999999995</v>
      </c>
      <c r="R15" s="10">
        <v>272.31299999999999</v>
      </c>
      <c r="S15" s="10">
        <v>11.391</v>
      </c>
      <c r="T15" s="10">
        <v>41.145000000000003</v>
      </c>
      <c r="U15" s="10">
        <v>1222.229</v>
      </c>
      <c r="V15" s="60">
        <v>730.42200000000003</v>
      </c>
      <c r="W15" s="52">
        <f t="shared" si="29"/>
        <v>1.2119105160907128E-2</v>
      </c>
      <c r="X15" s="10">
        <f t="shared" si="30"/>
        <v>6.7210278929979619E-2</v>
      </c>
      <c r="Y15" s="10">
        <f t="shared" si="31"/>
        <v>2.1800225503727924E-4</v>
      </c>
      <c r="Z15" s="10">
        <f t="shared" si="32"/>
        <v>2.1917869540360902E-5</v>
      </c>
      <c r="AA15" s="10">
        <f t="shared" si="33"/>
        <v>6.7210278929979619E-2</v>
      </c>
      <c r="AB15" s="10">
        <f t="shared" si="34"/>
        <v>1.2514219721766848E-2</v>
      </c>
      <c r="AC15" s="10">
        <f t="shared" si="35"/>
        <v>1.2514219721766848E-2</v>
      </c>
      <c r="AD15" s="10">
        <f t="shared" si="36"/>
        <v>4.68294167724723E-3</v>
      </c>
      <c r="AE15" s="10">
        <f t="shared" si="37"/>
        <v>7.1332852608337804E-3</v>
      </c>
      <c r="AF15" s="59">
        <f t="shared" si="38"/>
        <v>7.1332852608337804E-3</v>
      </c>
      <c r="AG15" s="52">
        <f t="shared" si="39"/>
        <v>3.3499718824108474E-2</v>
      </c>
      <c r="AH15" s="10">
        <f t="shared" si="40"/>
        <v>6.0843976465800663E-2</v>
      </c>
      <c r="AI15" s="10">
        <f t="shared" si="41"/>
        <v>4.1342094928034341E-4</v>
      </c>
      <c r="AJ15" s="10">
        <f t="shared" si="42"/>
        <v>4.8622284007813228E-5</v>
      </c>
      <c r="AK15" s="10">
        <f t="shared" si="43"/>
        <v>6.0843976465800663E-2</v>
      </c>
      <c r="AL15" s="10">
        <f t="shared" si="44"/>
        <v>5.1695276264507248E-3</v>
      </c>
      <c r="AM15" s="10">
        <f t="shared" si="45"/>
        <v>5.1695276264507248E-3</v>
      </c>
      <c r="AN15" s="10">
        <f t="shared" si="46"/>
        <v>7.6628136247878197E-3</v>
      </c>
      <c r="AO15" s="10">
        <f t="shared" si="47"/>
        <v>5.2807548602380227E-3</v>
      </c>
      <c r="AP15" s="59">
        <f t="shared" si="48"/>
        <v>7.6628136247878197E-3</v>
      </c>
      <c r="AQ15" s="148">
        <f t="shared" si="49"/>
        <v>9.7000000000000003E-2</v>
      </c>
      <c r="AR15" s="10">
        <f t="shared" si="50"/>
        <v>0.104</v>
      </c>
      <c r="AS15" s="10">
        <f t="shared" si="51"/>
        <v>0.10100000000000001</v>
      </c>
      <c r="AT15" s="24">
        <f t="shared" si="52"/>
        <v>0.65</v>
      </c>
      <c r="AU15" s="24">
        <f t="shared" si="53"/>
        <v>0.69</v>
      </c>
      <c r="AV15" s="24">
        <f t="shared" si="54"/>
        <v>0.67</v>
      </c>
      <c r="AW15" s="25">
        <f t="shared" si="55"/>
        <v>5</v>
      </c>
      <c r="AX15" s="25">
        <f t="shared" si="56"/>
        <v>4</v>
      </c>
      <c r="AY15" s="25">
        <f t="shared" si="57"/>
        <v>4</v>
      </c>
    </row>
    <row r="16" spans="1:51" s="69" customFormat="1">
      <c r="A16" s="40">
        <v>14048</v>
      </c>
      <c r="B16" s="40" t="s">
        <v>106</v>
      </c>
      <c r="C16" s="173" t="str">
        <f>Rollover!A16</f>
        <v>Honda</v>
      </c>
      <c r="D16" s="173" t="str">
        <f>Rollover!B16</f>
        <v>Civic 5HB FWD</v>
      </c>
      <c r="E16" s="150" t="s">
        <v>99</v>
      </c>
      <c r="F16" s="172">
        <f>Rollover!C16</f>
        <v>2022</v>
      </c>
      <c r="G16" s="52">
        <v>325.346</v>
      </c>
      <c r="H16" s="10">
        <v>0.30299999999999999</v>
      </c>
      <c r="I16" s="10">
        <v>1071.037</v>
      </c>
      <c r="J16" s="10">
        <v>103.711</v>
      </c>
      <c r="K16" s="10">
        <v>19.547999999999998</v>
      </c>
      <c r="L16" s="10">
        <v>36.225000000000001</v>
      </c>
      <c r="M16" s="10">
        <v>838.65499999999997</v>
      </c>
      <c r="N16" s="59">
        <v>1653.34</v>
      </c>
      <c r="O16" s="52">
        <v>444.48</v>
      </c>
      <c r="P16" s="10">
        <v>0.249</v>
      </c>
      <c r="Q16" s="10">
        <v>840.15099999999995</v>
      </c>
      <c r="R16" s="10">
        <v>272.31299999999999</v>
      </c>
      <c r="S16" s="10">
        <v>11.391</v>
      </c>
      <c r="T16" s="10">
        <v>41.145000000000003</v>
      </c>
      <c r="U16" s="10">
        <v>1222.229</v>
      </c>
      <c r="V16" s="60">
        <v>730.42200000000003</v>
      </c>
      <c r="W16" s="52">
        <f t="shared" si="29"/>
        <v>1.2119105160907128E-2</v>
      </c>
      <c r="X16" s="10">
        <f t="shared" si="30"/>
        <v>6.7210278929979619E-2</v>
      </c>
      <c r="Y16" s="10">
        <f t="shared" si="31"/>
        <v>2.1800225503727924E-4</v>
      </c>
      <c r="Z16" s="10">
        <f t="shared" si="32"/>
        <v>2.1917869540360902E-5</v>
      </c>
      <c r="AA16" s="10">
        <f t="shared" si="33"/>
        <v>6.7210278929979619E-2</v>
      </c>
      <c r="AB16" s="10">
        <f t="shared" si="34"/>
        <v>1.2514219721766848E-2</v>
      </c>
      <c r="AC16" s="10">
        <f t="shared" si="35"/>
        <v>1.2514219721766848E-2</v>
      </c>
      <c r="AD16" s="10">
        <f t="shared" si="36"/>
        <v>4.68294167724723E-3</v>
      </c>
      <c r="AE16" s="10">
        <f t="shared" si="37"/>
        <v>7.1332852608337804E-3</v>
      </c>
      <c r="AF16" s="59">
        <f t="shared" si="38"/>
        <v>7.1332852608337804E-3</v>
      </c>
      <c r="AG16" s="52">
        <f t="shared" si="39"/>
        <v>3.3499718824108474E-2</v>
      </c>
      <c r="AH16" s="10">
        <f t="shared" si="40"/>
        <v>6.0843976465800663E-2</v>
      </c>
      <c r="AI16" s="10">
        <f t="shared" si="41"/>
        <v>4.1342094928034341E-4</v>
      </c>
      <c r="AJ16" s="10">
        <f t="shared" si="42"/>
        <v>4.8622284007813228E-5</v>
      </c>
      <c r="AK16" s="10">
        <f t="shared" si="43"/>
        <v>6.0843976465800663E-2</v>
      </c>
      <c r="AL16" s="10">
        <f t="shared" si="44"/>
        <v>5.1695276264507248E-3</v>
      </c>
      <c r="AM16" s="10">
        <f t="shared" si="45"/>
        <v>5.1695276264507248E-3</v>
      </c>
      <c r="AN16" s="10">
        <f t="shared" si="46"/>
        <v>7.6628136247878197E-3</v>
      </c>
      <c r="AO16" s="10">
        <f t="shared" si="47"/>
        <v>5.2807548602380227E-3</v>
      </c>
      <c r="AP16" s="59">
        <f t="shared" si="48"/>
        <v>7.6628136247878197E-3</v>
      </c>
      <c r="AQ16" s="148">
        <f t="shared" si="49"/>
        <v>9.7000000000000003E-2</v>
      </c>
      <c r="AR16" s="10">
        <f t="shared" si="50"/>
        <v>0.104</v>
      </c>
      <c r="AS16" s="10">
        <f t="shared" si="51"/>
        <v>0.10100000000000001</v>
      </c>
      <c r="AT16" s="24">
        <f t="shared" si="52"/>
        <v>0.65</v>
      </c>
      <c r="AU16" s="24">
        <f t="shared" si="53"/>
        <v>0.69</v>
      </c>
      <c r="AV16" s="24">
        <f t="shared" si="54"/>
        <v>0.67</v>
      </c>
      <c r="AW16" s="25">
        <f t="shared" si="55"/>
        <v>5</v>
      </c>
      <c r="AX16" s="25">
        <f t="shared" si="56"/>
        <v>4</v>
      </c>
      <c r="AY16" s="25">
        <f t="shared" si="57"/>
        <v>4</v>
      </c>
    </row>
    <row r="17" spans="1:51" s="69" customFormat="1">
      <c r="A17" s="66">
        <v>11668</v>
      </c>
      <c r="B17" s="66" t="s">
        <v>107</v>
      </c>
      <c r="C17" s="61" t="str">
        <f>Rollover!A17</f>
        <v>Hyundai</v>
      </c>
      <c r="D17" s="61" t="str">
        <f>Rollover!B17</f>
        <v>Tucson SUV FWD early release</v>
      </c>
      <c r="E17" s="150" t="s">
        <v>99</v>
      </c>
      <c r="F17" s="172">
        <f>Rollover!C17</f>
        <v>2022</v>
      </c>
      <c r="G17" s="27">
        <v>267.52699999999999</v>
      </c>
      <c r="H17" s="28">
        <v>0.193</v>
      </c>
      <c r="I17" s="28">
        <v>909.03499999999997</v>
      </c>
      <c r="J17" s="28">
        <v>169.642</v>
      </c>
      <c r="K17" s="28">
        <v>29.463999999999999</v>
      </c>
      <c r="L17" s="28">
        <v>45.265999999999998</v>
      </c>
      <c r="M17" s="28">
        <v>343.78800000000001</v>
      </c>
      <c r="N17" s="29">
        <v>322.36399999999998</v>
      </c>
      <c r="O17" s="27">
        <v>347.56700000000001</v>
      </c>
      <c r="P17" s="28">
        <v>0.45700000000000002</v>
      </c>
      <c r="Q17" s="28">
        <v>603.88300000000004</v>
      </c>
      <c r="R17" s="28">
        <v>185.166</v>
      </c>
      <c r="S17" s="28">
        <v>17.440000000000001</v>
      </c>
      <c r="T17" s="28">
        <v>44.649000000000001</v>
      </c>
      <c r="U17" s="28">
        <v>89.647999999999996</v>
      </c>
      <c r="V17" s="56">
        <v>356.18099999999998</v>
      </c>
      <c r="W17" s="52">
        <f t="shared" si="29"/>
        <v>5.9052458583925931E-3</v>
      </c>
      <c r="X17" s="10">
        <f t="shared" si="30"/>
        <v>5.4840661938768687E-2</v>
      </c>
      <c r="Y17" s="10">
        <f t="shared" si="31"/>
        <v>1.4838648949714293E-4</v>
      </c>
      <c r="Z17" s="10">
        <f t="shared" si="32"/>
        <v>2.5633104856438446E-5</v>
      </c>
      <c r="AA17" s="10">
        <f t="shared" si="33"/>
        <v>5.4840661938768687E-2</v>
      </c>
      <c r="AB17" s="10">
        <f t="shared" si="34"/>
        <v>4.3879032917146649E-2</v>
      </c>
      <c r="AC17" s="10">
        <f t="shared" si="35"/>
        <v>4.3879032917146649E-2</v>
      </c>
      <c r="AD17" s="10">
        <f t="shared" si="36"/>
        <v>3.6250059568330665E-3</v>
      </c>
      <c r="AE17" s="10">
        <f t="shared" si="37"/>
        <v>3.5850203535062832E-3</v>
      </c>
      <c r="AF17" s="59">
        <f t="shared" si="38"/>
        <v>3.6250059568330665E-3</v>
      </c>
      <c r="AG17" s="52">
        <f t="shared" si="39"/>
        <v>1.523031685539155E-2</v>
      </c>
      <c r="AH17" s="10">
        <f t="shared" si="40"/>
        <v>8.8898551642244056E-2</v>
      </c>
      <c r="AI17" s="10">
        <f t="shared" si="41"/>
        <v>1.6969110629316321E-4</v>
      </c>
      <c r="AJ17" s="10">
        <f t="shared" si="42"/>
        <v>3.5007116529496676E-5</v>
      </c>
      <c r="AK17" s="10">
        <f t="shared" si="43"/>
        <v>8.8898551642244056E-2</v>
      </c>
      <c r="AL17" s="10">
        <f t="shared" si="44"/>
        <v>1.610484474409454E-2</v>
      </c>
      <c r="AM17" s="10">
        <f t="shared" si="45"/>
        <v>1.610484474409454E-2</v>
      </c>
      <c r="AN17" s="10">
        <f t="shared" si="46"/>
        <v>3.2475642089999121E-3</v>
      </c>
      <c r="AO17" s="10">
        <f t="shared" si="47"/>
        <v>3.9758786963701026E-3</v>
      </c>
      <c r="AP17" s="59">
        <f t="shared" si="48"/>
        <v>3.9758786963701026E-3</v>
      </c>
      <c r="AQ17" s="148">
        <f t="shared" si="49"/>
        <v>0.105</v>
      </c>
      <c r="AR17" s="10">
        <f t="shared" si="50"/>
        <v>0.121</v>
      </c>
      <c r="AS17" s="10">
        <f t="shared" si="51"/>
        <v>0.113</v>
      </c>
      <c r="AT17" s="24">
        <f t="shared" si="52"/>
        <v>0.7</v>
      </c>
      <c r="AU17" s="24">
        <f t="shared" si="53"/>
        <v>0.81</v>
      </c>
      <c r="AV17" s="24">
        <f t="shared" si="54"/>
        <v>0.75</v>
      </c>
      <c r="AW17" s="25">
        <f t="shared" si="55"/>
        <v>4</v>
      </c>
      <c r="AX17" s="25">
        <f t="shared" si="56"/>
        <v>4</v>
      </c>
      <c r="AY17" s="25">
        <f t="shared" si="57"/>
        <v>4</v>
      </c>
    </row>
    <row r="18" spans="1:51" s="69" customFormat="1">
      <c r="A18" s="66">
        <v>11668</v>
      </c>
      <c r="B18" s="66" t="s">
        <v>107</v>
      </c>
      <c r="C18" s="61" t="str">
        <f>Rollover!A18</f>
        <v>Hyundai</v>
      </c>
      <c r="D18" s="61" t="str">
        <f>Rollover!B18</f>
        <v>Tucson SUV AWD early release</v>
      </c>
      <c r="E18" s="150" t="s">
        <v>99</v>
      </c>
      <c r="F18" s="172">
        <f>Rollover!C18</f>
        <v>2022</v>
      </c>
      <c r="G18" s="27">
        <v>267.52699999999999</v>
      </c>
      <c r="H18" s="28">
        <v>0.193</v>
      </c>
      <c r="I18" s="28">
        <v>909.03499999999997</v>
      </c>
      <c r="J18" s="28">
        <v>169.642</v>
      </c>
      <c r="K18" s="28">
        <v>29.463999999999999</v>
      </c>
      <c r="L18" s="28">
        <v>45.265999999999998</v>
      </c>
      <c r="M18" s="28">
        <v>343.78800000000001</v>
      </c>
      <c r="N18" s="29">
        <v>322.36399999999998</v>
      </c>
      <c r="O18" s="27">
        <v>347.56700000000001</v>
      </c>
      <c r="P18" s="28">
        <v>0.45700000000000002</v>
      </c>
      <c r="Q18" s="28">
        <v>603.88300000000004</v>
      </c>
      <c r="R18" s="28">
        <v>185.166</v>
      </c>
      <c r="S18" s="28">
        <v>17.440000000000001</v>
      </c>
      <c r="T18" s="28">
        <v>44.649000000000001</v>
      </c>
      <c r="U18" s="28">
        <v>89.647999999999996</v>
      </c>
      <c r="V18" s="56">
        <v>356.18099999999998</v>
      </c>
      <c r="W18" s="52">
        <f t="shared" si="29"/>
        <v>5.9052458583925931E-3</v>
      </c>
      <c r="X18" s="10">
        <f t="shared" si="30"/>
        <v>5.4840661938768687E-2</v>
      </c>
      <c r="Y18" s="10">
        <f t="shared" si="31"/>
        <v>1.4838648949714293E-4</v>
      </c>
      <c r="Z18" s="10">
        <f t="shared" si="32"/>
        <v>2.5633104856438446E-5</v>
      </c>
      <c r="AA18" s="10">
        <f t="shared" si="33"/>
        <v>5.4840661938768687E-2</v>
      </c>
      <c r="AB18" s="10">
        <f t="shared" si="34"/>
        <v>4.3879032917146649E-2</v>
      </c>
      <c r="AC18" s="10">
        <f t="shared" si="35"/>
        <v>4.3879032917146649E-2</v>
      </c>
      <c r="AD18" s="10">
        <f t="shared" si="36"/>
        <v>3.6250059568330665E-3</v>
      </c>
      <c r="AE18" s="10">
        <f t="shared" si="37"/>
        <v>3.5850203535062832E-3</v>
      </c>
      <c r="AF18" s="59">
        <f t="shared" si="38"/>
        <v>3.6250059568330665E-3</v>
      </c>
      <c r="AG18" s="52">
        <f t="shared" si="39"/>
        <v>1.523031685539155E-2</v>
      </c>
      <c r="AH18" s="10">
        <f t="shared" si="40"/>
        <v>8.8898551642244056E-2</v>
      </c>
      <c r="AI18" s="10">
        <f t="shared" si="41"/>
        <v>1.6969110629316321E-4</v>
      </c>
      <c r="AJ18" s="10">
        <f t="shared" si="42"/>
        <v>3.5007116529496676E-5</v>
      </c>
      <c r="AK18" s="10">
        <f t="shared" si="43"/>
        <v>8.8898551642244056E-2</v>
      </c>
      <c r="AL18" s="10">
        <f t="shared" si="44"/>
        <v>1.610484474409454E-2</v>
      </c>
      <c r="AM18" s="10">
        <f t="shared" si="45"/>
        <v>1.610484474409454E-2</v>
      </c>
      <c r="AN18" s="10">
        <f t="shared" si="46"/>
        <v>3.2475642089999121E-3</v>
      </c>
      <c r="AO18" s="10">
        <f t="shared" si="47"/>
        <v>3.9758786963701026E-3</v>
      </c>
      <c r="AP18" s="59">
        <f t="shared" si="48"/>
        <v>3.9758786963701026E-3</v>
      </c>
      <c r="AQ18" s="148">
        <f t="shared" si="49"/>
        <v>0.105</v>
      </c>
      <c r="AR18" s="10">
        <f t="shared" si="50"/>
        <v>0.121</v>
      </c>
      <c r="AS18" s="10">
        <f t="shared" si="51"/>
        <v>0.113</v>
      </c>
      <c r="AT18" s="24">
        <f t="shared" si="52"/>
        <v>0.7</v>
      </c>
      <c r="AU18" s="24">
        <f t="shared" si="53"/>
        <v>0.81</v>
      </c>
      <c r="AV18" s="24">
        <f t="shared" si="54"/>
        <v>0.75</v>
      </c>
      <c r="AW18" s="25">
        <f t="shared" si="55"/>
        <v>4</v>
      </c>
      <c r="AX18" s="25">
        <f t="shared" si="56"/>
        <v>4</v>
      </c>
      <c r="AY18" s="25">
        <f t="shared" si="57"/>
        <v>4</v>
      </c>
    </row>
    <row r="19" spans="1:51" s="69" customFormat="1">
      <c r="A19" s="40">
        <v>11668</v>
      </c>
      <c r="B19" s="66" t="s">
        <v>107</v>
      </c>
      <c r="C19" s="173" t="str">
        <f>Rollover!A19</f>
        <v>Hyundai</v>
      </c>
      <c r="D19" s="173" t="str">
        <f>Rollover!B19</f>
        <v>Tucson HEV SUV FWD early release</v>
      </c>
      <c r="E19" s="150" t="s">
        <v>99</v>
      </c>
      <c r="F19" s="172">
        <f>Rollover!C19</f>
        <v>2022</v>
      </c>
      <c r="G19" s="18">
        <v>267.52699999999999</v>
      </c>
      <c r="H19" s="19">
        <v>0.193</v>
      </c>
      <c r="I19" s="19">
        <v>909.03499999999997</v>
      </c>
      <c r="J19" s="19">
        <v>169.642</v>
      </c>
      <c r="K19" s="19">
        <v>29.463999999999999</v>
      </c>
      <c r="L19" s="19">
        <v>45.265999999999998</v>
      </c>
      <c r="M19" s="19">
        <v>343.78800000000001</v>
      </c>
      <c r="N19" s="20">
        <v>322.36399999999998</v>
      </c>
      <c r="O19" s="18">
        <v>347.56700000000001</v>
      </c>
      <c r="P19" s="19">
        <v>0.45700000000000002</v>
      </c>
      <c r="Q19" s="19">
        <v>603.88300000000004</v>
      </c>
      <c r="R19" s="19">
        <v>185.166</v>
      </c>
      <c r="S19" s="19">
        <v>17.440000000000001</v>
      </c>
      <c r="T19" s="19">
        <v>44.649000000000001</v>
      </c>
      <c r="U19" s="19">
        <v>89.647999999999996</v>
      </c>
      <c r="V19" s="51">
        <v>356.18099999999998</v>
      </c>
      <c r="W19" s="52">
        <f t="shared" si="29"/>
        <v>5.9052458583925931E-3</v>
      </c>
      <c r="X19" s="10">
        <f t="shared" si="30"/>
        <v>5.4840661938768687E-2</v>
      </c>
      <c r="Y19" s="10">
        <f t="shared" si="31"/>
        <v>1.4838648949714293E-4</v>
      </c>
      <c r="Z19" s="10">
        <f t="shared" si="32"/>
        <v>2.5633104856438446E-5</v>
      </c>
      <c r="AA19" s="10">
        <f t="shared" si="33"/>
        <v>5.4840661938768687E-2</v>
      </c>
      <c r="AB19" s="10">
        <f t="shared" si="34"/>
        <v>4.3879032917146649E-2</v>
      </c>
      <c r="AC19" s="10">
        <f t="shared" si="35"/>
        <v>4.3879032917146649E-2</v>
      </c>
      <c r="AD19" s="10">
        <f t="shared" si="36"/>
        <v>3.6250059568330665E-3</v>
      </c>
      <c r="AE19" s="10">
        <f t="shared" si="37"/>
        <v>3.5850203535062832E-3</v>
      </c>
      <c r="AF19" s="59">
        <f t="shared" si="38"/>
        <v>3.6250059568330665E-3</v>
      </c>
      <c r="AG19" s="52">
        <f t="shared" si="39"/>
        <v>1.523031685539155E-2</v>
      </c>
      <c r="AH19" s="10">
        <f t="shared" si="40"/>
        <v>8.8898551642244056E-2</v>
      </c>
      <c r="AI19" s="10">
        <f t="shared" si="41"/>
        <v>1.6969110629316321E-4</v>
      </c>
      <c r="AJ19" s="10">
        <f t="shared" si="42"/>
        <v>3.5007116529496676E-5</v>
      </c>
      <c r="AK19" s="10">
        <f t="shared" si="43"/>
        <v>8.8898551642244056E-2</v>
      </c>
      <c r="AL19" s="10">
        <f t="shared" si="44"/>
        <v>1.610484474409454E-2</v>
      </c>
      <c r="AM19" s="10">
        <f t="shared" si="45"/>
        <v>1.610484474409454E-2</v>
      </c>
      <c r="AN19" s="10">
        <f t="shared" si="46"/>
        <v>3.2475642089999121E-3</v>
      </c>
      <c r="AO19" s="10">
        <f t="shared" si="47"/>
        <v>3.9758786963701026E-3</v>
      </c>
      <c r="AP19" s="59">
        <f t="shared" si="48"/>
        <v>3.9758786963701026E-3</v>
      </c>
      <c r="AQ19" s="148">
        <f t="shared" si="49"/>
        <v>0.105</v>
      </c>
      <c r="AR19" s="10">
        <f t="shared" si="50"/>
        <v>0.121</v>
      </c>
      <c r="AS19" s="10">
        <f t="shared" si="51"/>
        <v>0.113</v>
      </c>
      <c r="AT19" s="24">
        <f t="shared" si="52"/>
        <v>0.7</v>
      </c>
      <c r="AU19" s="24">
        <f t="shared" si="53"/>
        <v>0.81</v>
      </c>
      <c r="AV19" s="24">
        <f t="shared" si="54"/>
        <v>0.75</v>
      </c>
      <c r="AW19" s="25">
        <f t="shared" si="55"/>
        <v>4</v>
      </c>
      <c r="AX19" s="25">
        <f t="shared" si="56"/>
        <v>4</v>
      </c>
      <c r="AY19" s="25">
        <f t="shared" si="57"/>
        <v>4</v>
      </c>
    </row>
    <row r="20" spans="1:51" s="69" customFormat="1">
      <c r="A20" s="40">
        <v>11668</v>
      </c>
      <c r="B20" s="66" t="s">
        <v>107</v>
      </c>
      <c r="C20" s="173" t="str">
        <f>Rollover!A20</f>
        <v>Hyundai</v>
      </c>
      <c r="D20" s="173" t="str">
        <f>Rollover!B20</f>
        <v>Tucson HEV SUV AWD early release</v>
      </c>
      <c r="E20" s="150" t="s">
        <v>99</v>
      </c>
      <c r="F20" s="172">
        <f>Rollover!C20</f>
        <v>2022</v>
      </c>
      <c r="G20" s="18">
        <v>267.52699999999999</v>
      </c>
      <c r="H20" s="19">
        <v>0.193</v>
      </c>
      <c r="I20" s="19">
        <v>909.03499999999997</v>
      </c>
      <c r="J20" s="19">
        <v>169.642</v>
      </c>
      <c r="K20" s="19">
        <v>29.463999999999999</v>
      </c>
      <c r="L20" s="19">
        <v>45.265999999999998</v>
      </c>
      <c r="M20" s="19">
        <v>343.78800000000001</v>
      </c>
      <c r="N20" s="20">
        <v>322.36399999999998</v>
      </c>
      <c r="O20" s="18">
        <v>347.56700000000001</v>
      </c>
      <c r="P20" s="19">
        <v>0.45700000000000002</v>
      </c>
      <c r="Q20" s="19">
        <v>603.88300000000004</v>
      </c>
      <c r="R20" s="19">
        <v>185.166</v>
      </c>
      <c r="S20" s="19">
        <v>17.440000000000001</v>
      </c>
      <c r="T20" s="19">
        <v>44.649000000000001</v>
      </c>
      <c r="U20" s="19">
        <v>89.647999999999996</v>
      </c>
      <c r="V20" s="51">
        <v>356.18099999999998</v>
      </c>
      <c r="W20" s="52">
        <f t="shared" si="29"/>
        <v>5.9052458583925931E-3</v>
      </c>
      <c r="X20" s="10">
        <f t="shared" si="30"/>
        <v>5.4840661938768687E-2</v>
      </c>
      <c r="Y20" s="10">
        <f t="shared" si="31"/>
        <v>1.4838648949714293E-4</v>
      </c>
      <c r="Z20" s="10">
        <f t="shared" si="32"/>
        <v>2.5633104856438446E-5</v>
      </c>
      <c r="AA20" s="10">
        <f t="shared" si="33"/>
        <v>5.4840661938768687E-2</v>
      </c>
      <c r="AB20" s="10">
        <f t="shared" si="34"/>
        <v>4.3879032917146649E-2</v>
      </c>
      <c r="AC20" s="10">
        <f t="shared" si="35"/>
        <v>4.3879032917146649E-2</v>
      </c>
      <c r="AD20" s="10">
        <f t="shared" si="36"/>
        <v>3.6250059568330665E-3</v>
      </c>
      <c r="AE20" s="10">
        <f t="shared" si="37"/>
        <v>3.5850203535062832E-3</v>
      </c>
      <c r="AF20" s="59">
        <f t="shared" si="38"/>
        <v>3.6250059568330665E-3</v>
      </c>
      <c r="AG20" s="52">
        <f t="shared" si="39"/>
        <v>1.523031685539155E-2</v>
      </c>
      <c r="AH20" s="10">
        <f t="shared" si="40"/>
        <v>8.8898551642244056E-2</v>
      </c>
      <c r="AI20" s="10">
        <f t="shared" si="41"/>
        <v>1.6969110629316321E-4</v>
      </c>
      <c r="AJ20" s="10">
        <f t="shared" si="42"/>
        <v>3.5007116529496676E-5</v>
      </c>
      <c r="AK20" s="10">
        <f t="shared" si="43"/>
        <v>8.8898551642244056E-2</v>
      </c>
      <c r="AL20" s="10">
        <f t="shared" si="44"/>
        <v>1.610484474409454E-2</v>
      </c>
      <c r="AM20" s="10">
        <f t="shared" si="45"/>
        <v>1.610484474409454E-2</v>
      </c>
      <c r="AN20" s="10">
        <f t="shared" si="46"/>
        <v>3.2475642089999121E-3</v>
      </c>
      <c r="AO20" s="10">
        <f t="shared" si="47"/>
        <v>3.9758786963701026E-3</v>
      </c>
      <c r="AP20" s="59">
        <f t="shared" si="48"/>
        <v>3.9758786963701026E-3</v>
      </c>
      <c r="AQ20" s="148">
        <f t="shared" si="49"/>
        <v>0.105</v>
      </c>
      <c r="AR20" s="10">
        <f t="shared" si="50"/>
        <v>0.121</v>
      </c>
      <c r="AS20" s="10">
        <f t="shared" si="51"/>
        <v>0.113</v>
      </c>
      <c r="AT20" s="24">
        <f t="shared" si="52"/>
        <v>0.7</v>
      </c>
      <c r="AU20" s="24">
        <f t="shared" si="53"/>
        <v>0.81</v>
      </c>
      <c r="AV20" s="24">
        <f t="shared" si="54"/>
        <v>0.75</v>
      </c>
      <c r="AW20" s="25">
        <f t="shared" si="55"/>
        <v>4</v>
      </c>
      <c r="AX20" s="25">
        <f t="shared" si="56"/>
        <v>4</v>
      </c>
      <c r="AY20" s="25">
        <f t="shared" si="57"/>
        <v>4</v>
      </c>
    </row>
    <row r="21" spans="1:51" s="69" customFormat="1">
      <c r="A21" s="40">
        <v>14059</v>
      </c>
      <c r="B21" s="40" t="s">
        <v>108</v>
      </c>
      <c r="C21" s="61" t="str">
        <f>Rollover!A21</f>
        <v>Hyundai</v>
      </c>
      <c r="D21" s="61" t="str">
        <f>Rollover!B21</f>
        <v>Tucson SUV FWD later release</v>
      </c>
      <c r="E21" s="150" t="s">
        <v>99</v>
      </c>
      <c r="F21" s="172">
        <f>Rollover!C21</f>
        <v>2022</v>
      </c>
      <c r="G21" s="18">
        <v>364.44099999999997</v>
      </c>
      <c r="H21" s="19">
        <v>0.23499999999999999</v>
      </c>
      <c r="I21" s="19">
        <v>728.24800000000005</v>
      </c>
      <c r="J21" s="19">
        <v>60.639000000000003</v>
      </c>
      <c r="K21" s="19">
        <v>24.337</v>
      </c>
      <c r="L21" s="19">
        <v>43.637</v>
      </c>
      <c r="M21" s="19">
        <v>121.512</v>
      </c>
      <c r="N21" s="20">
        <v>269.34800000000001</v>
      </c>
      <c r="O21" s="18">
        <v>325.226</v>
      </c>
      <c r="P21" s="19">
        <v>0.34499999999999997</v>
      </c>
      <c r="Q21" s="19">
        <v>554.64200000000005</v>
      </c>
      <c r="R21" s="19">
        <v>261.88299999999998</v>
      </c>
      <c r="S21" s="19">
        <v>10.698</v>
      </c>
      <c r="T21" s="19">
        <v>51.22</v>
      </c>
      <c r="U21" s="19">
        <v>225.60400000000001</v>
      </c>
      <c r="V21" s="51">
        <v>55.561</v>
      </c>
      <c r="W21" s="52">
        <f t="shared" si="29"/>
        <v>1.7865173832312606E-2</v>
      </c>
      <c r="X21" s="10">
        <f t="shared" si="30"/>
        <v>5.9287894628588814E-2</v>
      </c>
      <c r="Y21" s="10">
        <f t="shared" si="31"/>
        <v>9.6592679871459165E-5</v>
      </c>
      <c r="Z21" s="10">
        <f t="shared" si="32"/>
        <v>1.9786668366522114E-5</v>
      </c>
      <c r="AA21" s="10">
        <f t="shared" si="33"/>
        <v>5.9287894628588814E-2</v>
      </c>
      <c r="AB21" s="10">
        <f t="shared" si="34"/>
        <v>2.3860631172100522E-2</v>
      </c>
      <c r="AC21" s="10">
        <f t="shared" si="35"/>
        <v>2.3860631172100522E-2</v>
      </c>
      <c r="AD21" s="10">
        <f t="shared" si="36"/>
        <v>3.2308872707076737E-3</v>
      </c>
      <c r="AE21" s="10">
        <f t="shared" si="37"/>
        <v>3.4879509788548844E-3</v>
      </c>
      <c r="AF21" s="59">
        <f t="shared" si="38"/>
        <v>3.4879509788548844E-3</v>
      </c>
      <c r="AG21" s="52">
        <f t="shared" si="39"/>
        <v>1.2103408921910643E-2</v>
      </c>
      <c r="AH21" s="10">
        <f t="shared" si="40"/>
        <v>7.2583576752864323E-2</v>
      </c>
      <c r="AI21" s="10">
        <f t="shared" si="41"/>
        <v>1.4094502813878686E-4</v>
      </c>
      <c r="AJ21" s="10">
        <f t="shared" si="42"/>
        <v>4.6747590732865224E-5</v>
      </c>
      <c r="AK21" s="10">
        <f t="shared" si="43"/>
        <v>7.2583576752864323E-2</v>
      </c>
      <c r="AL21" s="10">
        <f t="shared" si="44"/>
        <v>4.4490190204293078E-3</v>
      </c>
      <c r="AM21" s="10">
        <f t="shared" si="45"/>
        <v>4.4490190204293078E-3</v>
      </c>
      <c r="AN21" s="10">
        <f t="shared" si="46"/>
        <v>3.6007268989780615E-3</v>
      </c>
      <c r="AO21" s="10">
        <f t="shared" si="47"/>
        <v>3.164571361679172E-3</v>
      </c>
      <c r="AP21" s="59">
        <f t="shared" si="48"/>
        <v>3.6007268989780615E-3</v>
      </c>
      <c r="AQ21" s="148">
        <f t="shared" si="49"/>
        <v>0.10100000000000001</v>
      </c>
      <c r="AR21" s="10">
        <f t="shared" si="50"/>
        <v>9.0999999999999998E-2</v>
      </c>
      <c r="AS21" s="10">
        <f t="shared" si="51"/>
        <v>9.6000000000000002E-2</v>
      </c>
      <c r="AT21" s="24">
        <f t="shared" si="52"/>
        <v>0.67</v>
      </c>
      <c r="AU21" s="24">
        <f t="shared" si="53"/>
        <v>0.61</v>
      </c>
      <c r="AV21" s="24">
        <f t="shared" si="54"/>
        <v>0.64</v>
      </c>
      <c r="AW21" s="25">
        <f t="shared" si="55"/>
        <v>4</v>
      </c>
      <c r="AX21" s="25">
        <f t="shared" si="56"/>
        <v>5</v>
      </c>
      <c r="AY21" s="25">
        <f t="shared" si="57"/>
        <v>5</v>
      </c>
    </row>
    <row r="22" spans="1:51" s="69" customFormat="1">
      <c r="A22" s="40">
        <v>14059</v>
      </c>
      <c r="B22" s="40" t="s">
        <v>108</v>
      </c>
      <c r="C22" s="61" t="str">
        <f>Rollover!A22</f>
        <v>Hyundai</v>
      </c>
      <c r="D22" s="61" t="str">
        <f>Rollover!B22</f>
        <v>Tucson SUV AWD later release</v>
      </c>
      <c r="E22" s="150" t="s">
        <v>99</v>
      </c>
      <c r="F22" s="172">
        <f>Rollover!C22</f>
        <v>2022</v>
      </c>
      <c r="G22" s="18">
        <v>364.44099999999997</v>
      </c>
      <c r="H22" s="19">
        <v>0.23499999999999999</v>
      </c>
      <c r="I22" s="19">
        <v>728.24800000000005</v>
      </c>
      <c r="J22" s="19">
        <v>60.639000000000003</v>
      </c>
      <c r="K22" s="19">
        <v>24.337</v>
      </c>
      <c r="L22" s="19">
        <v>43.637</v>
      </c>
      <c r="M22" s="19">
        <v>121.512</v>
      </c>
      <c r="N22" s="20">
        <v>269.34800000000001</v>
      </c>
      <c r="O22" s="18">
        <v>325.226</v>
      </c>
      <c r="P22" s="19">
        <v>0.34499999999999997</v>
      </c>
      <c r="Q22" s="19">
        <v>554.64200000000005</v>
      </c>
      <c r="R22" s="19">
        <v>261.88299999999998</v>
      </c>
      <c r="S22" s="19">
        <v>10.698</v>
      </c>
      <c r="T22" s="19">
        <v>51.22</v>
      </c>
      <c r="U22" s="19">
        <v>225.60400000000001</v>
      </c>
      <c r="V22" s="51">
        <v>55.561</v>
      </c>
      <c r="W22" s="52">
        <f t="shared" si="29"/>
        <v>1.7865173832312606E-2</v>
      </c>
      <c r="X22" s="10">
        <f t="shared" si="30"/>
        <v>5.9287894628588814E-2</v>
      </c>
      <c r="Y22" s="10">
        <f t="shared" si="31"/>
        <v>9.6592679871459165E-5</v>
      </c>
      <c r="Z22" s="10">
        <f t="shared" si="32"/>
        <v>1.9786668366522114E-5</v>
      </c>
      <c r="AA22" s="10">
        <f t="shared" si="33"/>
        <v>5.9287894628588814E-2</v>
      </c>
      <c r="AB22" s="10">
        <f t="shared" si="34"/>
        <v>2.3860631172100522E-2</v>
      </c>
      <c r="AC22" s="10">
        <f t="shared" si="35"/>
        <v>2.3860631172100522E-2</v>
      </c>
      <c r="AD22" s="10">
        <f t="shared" si="36"/>
        <v>3.2308872707076737E-3</v>
      </c>
      <c r="AE22" s="10">
        <f t="shared" si="37"/>
        <v>3.4879509788548844E-3</v>
      </c>
      <c r="AF22" s="59">
        <f t="shared" si="38"/>
        <v>3.4879509788548844E-3</v>
      </c>
      <c r="AG22" s="52">
        <f t="shared" si="39"/>
        <v>1.2103408921910643E-2</v>
      </c>
      <c r="AH22" s="10">
        <f t="shared" si="40"/>
        <v>7.2583576752864323E-2</v>
      </c>
      <c r="AI22" s="10">
        <f t="shared" si="41"/>
        <v>1.4094502813878686E-4</v>
      </c>
      <c r="AJ22" s="10">
        <f t="shared" si="42"/>
        <v>4.6747590732865224E-5</v>
      </c>
      <c r="AK22" s="10">
        <f t="shared" si="43"/>
        <v>7.2583576752864323E-2</v>
      </c>
      <c r="AL22" s="10">
        <f t="shared" si="44"/>
        <v>4.4490190204293078E-3</v>
      </c>
      <c r="AM22" s="10">
        <f t="shared" si="45"/>
        <v>4.4490190204293078E-3</v>
      </c>
      <c r="AN22" s="10">
        <f t="shared" si="46"/>
        <v>3.6007268989780615E-3</v>
      </c>
      <c r="AO22" s="10">
        <f t="shared" si="47"/>
        <v>3.164571361679172E-3</v>
      </c>
      <c r="AP22" s="59">
        <f t="shared" si="48"/>
        <v>3.6007268989780615E-3</v>
      </c>
      <c r="AQ22" s="148">
        <f t="shared" si="49"/>
        <v>0.10100000000000001</v>
      </c>
      <c r="AR22" s="10">
        <f t="shared" si="50"/>
        <v>9.0999999999999998E-2</v>
      </c>
      <c r="AS22" s="10">
        <f t="shared" si="51"/>
        <v>9.6000000000000002E-2</v>
      </c>
      <c r="AT22" s="24">
        <f t="shared" si="52"/>
        <v>0.67</v>
      </c>
      <c r="AU22" s="24">
        <f t="shared" si="53"/>
        <v>0.61</v>
      </c>
      <c r="AV22" s="24">
        <f t="shared" si="54"/>
        <v>0.64</v>
      </c>
      <c r="AW22" s="25">
        <f t="shared" si="55"/>
        <v>4</v>
      </c>
      <c r="AX22" s="25">
        <f t="shared" si="56"/>
        <v>5</v>
      </c>
      <c r="AY22" s="25">
        <f t="shared" si="57"/>
        <v>5</v>
      </c>
    </row>
    <row r="23" spans="1:51" s="69" customFormat="1">
      <c r="A23" s="40">
        <v>14059</v>
      </c>
      <c r="B23" s="40" t="s">
        <v>108</v>
      </c>
      <c r="C23" s="61" t="str">
        <f>Rollover!A23</f>
        <v>Hyundai</v>
      </c>
      <c r="D23" s="61" t="str">
        <f>Rollover!B23</f>
        <v>Tucson HEV SUV FWD later release</v>
      </c>
      <c r="E23" s="150" t="s">
        <v>99</v>
      </c>
      <c r="F23" s="172">
        <f>Rollover!C23</f>
        <v>2022</v>
      </c>
      <c r="G23" s="18">
        <v>364.44099999999997</v>
      </c>
      <c r="H23" s="19">
        <v>0.23499999999999999</v>
      </c>
      <c r="I23" s="19">
        <v>728.24800000000005</v>
      </c>
      <c r="J23" s="19">
        <v>60.639000000000003</v>
      </c>
      <c r="K23" s="19">
        <v>24.337</v>
      </c>
      <c r="L23" s="19">
        <v>43.637</v>
      </c>
      <c r="M23" s="19">
        <v>121.512</v>
      </c>
      <c r="N23" s="20">
        <v>269.34800000000001</v>
      </c>
      <c r="O23" s="18">
        <v>325.226</v>
      </c>
      <c r="P23" s="19">
        <v>0.34499999999999997</v>
      </c>
      <c r="Q23" s="19">
        <v>554.64200000000005</v>
      </c>
      <c r="R23" s="19">
        <v>261.88299999999998</v>
      </c>
      <c r="S23" s="19">
        <v>10.698</v>
      </c>
      <c r="T23" s="19">
        <v>51.22</v>
      </c>
      <c r="U23" s="19">
        <v>225.60400000000001</v>
      </c>
      <c r="V23" s="51">
        <v>55.561</v>
      </c>
      <c r="W23" s="52">
        <f t="shared" si="29"/>
        <v>1.7865173832312606E-2</v>
      </c>
      <c r="X23" s="10">
        <f t="shared" si="30"/>
        <v>5.9287894628588814E-2</v>
      </c>
      <c r="Y23" s="10">
        <f t="shared" si="31"/>
        <v>9.6592679871459165E-5</v>
      </c>
      <c r="Z23" s="10">
        <f t="shared" si="32"/>
        <v>1.9786668366522114E-5</v>
      </c>
      <c r="AA23" s="10">
        <f t="shared" si="33"/>
        <v>5.9287894628588814E-2</v>
      </c>
      <c r="AB23" s="10">
        <f t="shared" si="34"/>
        <v>2.3860631172100522E-2</v>
      </c>
      <c r="AC23" s="10">
        <f t="shared" si="35"/>
        <v>2.3860631172100522E-2</v>
      </c>
      <c r="AD23" s="10">
        <f t="shared" si="36"/>
        <v>3.2308872707076737E-3</v>
      </c>
      <c r="AE23" s="10">
        <f t="shared" si="37"/>
        <v>3.4879509788548844E-3</v>
      </c>
      <c r="AF23" s="59">
        <f t="shared" si="38"/>
        <v>3.4879509788548844E-3</v>
      </c>
      <c r="AG23" s="52">
        <f t="shared" si="39"/>
        <v>1.2103408921910643E-2</v>
      </c>
      <c r="AH23" s="10">
        <f t="shared" si="40"/>
        <v>7.2583576752864323E-2</v>
      </c>
      <c r="AI23" s="10">
        <f t="shared" si="41"/>
        <v>1.4094502813878686E-4</v>
      </c>
      <c r="AJ23" s="10">
        <f t="shared" si="42"/>
        <v>4.6747590732865224E-5</v>
      </c>
      <c r="AK23" s="10">
        <f t="shared" si="43"/>
        <v>7.2583576752864323E-2</v>
      </c>
      <c r="AL23" s="10">
        <f t="shared" si="44"/>
        <v>4.4490190204293078E-3</v>
      </c>
      <c r="AM23" s="10">
        <f t="shared" si="45"/>
        <v>4.4490190204293078E-3</v>
      </c>
      <c r="AN23" s="10">
        <f t="shared" si="46"/>
        <v>3.6007268989780615E-3</v>
      </c>
      <c r="AO23" s="10">
        <f t="shared" si="47"/>
        <v>3.164571361679172E-3</v>
      </c>
      <c r="AP23" s="59">
        <f t="shared" si="48"/>
        <v>3.6007268989780615E-3</v>
      </c>
      <c r="AQ23" s="148">
        <f t="shared" si="49"/>
        <v>0.10100000000000001</v>
      </c>
      <c r="AR23" s="10">
        <f t="shared" si="50"/>
        <v>9.0999999999999998E-2</v>
      </c>
      <c r="AS23" s="10">
        <f t="shared" si="51"/>
        <v>9.6000000000000002E-2</v>
      </c>
      <c r="AT23" s="24">
        <f t="shared" si="52"/>
        <v>0.67</v>
      </c>
      <c r="AU23" s="24">
        <f t="shared" si="53"/>
        <v>0.61</v>
      </c>
      <c r="AV23" s="24">
        <f t="shared" si="54"/>
        <v>0.64</v>
      </c>
      <c r="AW23" s="25">
        <f t="shared" si="55"/>
        <v>4</v>
      </c>
      <c r="AX23" s="25">
        <f t="shared" si="56"/>
        <v>5</v>
      </c>
      <c r="AY23" s="25">
        <f t="shared" si="57"/>
        <v>5</v>
      </c>
    </row>
    <row r="24" spans="1:51" s="69" customFormat="1">
      <c r="A24" s="40">
        <v>14059</v>
      </c>
      <c r="B24" s="40" t="s">
        <v>108</v>
      </c>
      <c r="C24" s="61" t="str">
        <f>Rollover!A24</f>
        <v>Hyundai</v>
      </c>
      <c r="D24" s="61" t="str">
        <f>Rollover!B24</f>
        <v>Tucson HEV SUV AWD later release</v>
      </c>
      <c r="E24" s="150" t="s">
        <v>99</v>
      </c>
      <c r="F24" s="172">
        <f>Rollover!C24</f>
        <v>2022</v>
      </c>
      <c r="G24" s="18">
        <v>364.44099999999997</v>
      </c>
      <c r="H24" s="19">
        <v>0.23499999999999999</v>
      </c>
      <c r="I24" s="19">
        <v>728.24800000000005</v>
      </c>
      <c r="J24" s="19">
        <v>60.639000000000003</v>
      </c>
      <c r="K24" s="19">
        <v>24.337</v>
      </c>
      <c r="L24" s="19">
        <v>43.637</v>
      </c>
      <c r="M24" s="19">
        <v>121.512</v>
      </c>
      <c r="N24" s="20">
        <v>269.34800000000001</v>
      </c>
      <c r="O24" s="18">
        <v>325.226</v>
      </c>
      <c r="P24" s="19">
        <v>0.34499999999999997</v>
      </c>
      <c r="Q24" s="19">
        <v>554.64200000000005</v>
      </c>
      <c r="R24" s="19">
        <v>261.88299999999998</v>
      </c>
      <c r="S24" s="19">
        <v>10.698</v>
      </c>
      <c r="T24" s="19">
        <v>51.22</v>
      </c>
      <c r="U24" s="19">
        <v>225.60400000000001</v>
      </c>
      <c r="V24" s="51">
        <v>55.561</v>
      </c>
      <c r="W24" s="52">
        <f t="shared" si="29"/>
        <v>1.7865173832312606E-2</v>
      </c>
      <c r="X24" s="10">
        <f t="shared" si="30"/>
        <v>5.9287894628588814E-2</v>
      </c>
      <c r="Y24" s="10">
        <f t="shared" si="31"/>
        <v>9.6592679871459165E-5</v>
      </c>
      <c r="Z24" s="10">
        <f t="shared" si="32"/>
        <v>1.9786668366522114E-5</v>
      </c>
      <c r="AA24" s="10">
        <f t="shared" si="33"/>
        <v>5.9287894628588814E-2</v>
      </c>
      <c r="AB24" s="10">
        <f t="shared" si="34"/>
        <v>2.3860631172100522E-2</v>
      </c>
      <c r="AC24" s="10">
        <f t="shared" si="35"/>
        <v>2.3860631172100522E-2</v>
      </c>
      <c r="AD24" s="10">
        <f t="shared" si="36"/>
        <v>3.2308872707076737E-3</v>
      </c>
      <c r="AE24" s="10">
        <f t="shared" si="37"/>
        <v>3.4879509788548844E-3</v>
      </c>
      <c r="AF24" s="59">
        <f t="shared" si="38"/>
        <v>3.4879509788548844E-3</v>
      </c>
      <c r="AG24" s="52">
        <f t="shared" si="39"/>
        <v>1.2103408921910643E-2</v>
      </c>
      <c r="AH24" s="10">
        <f t="shared" si="40"/>
        <v>7.2583576752864323E-2</v>
      </c>
      <c r="AI24" s="10">
        <f t="shared" si="41"/>
        <v>1.4094502813878686E-4</v>
      </c>
      <c r="AJ24" s="10">
        <f t="shared" si="42"/>
        <v>4.6747590732865224E-5</v>
      </c>
      <c r="AK24" s="10">
        <f t="shared" si="43"/>
        <v>7.2583576752864323E-2</v>
      </c>
      <c r="AL24" s="10">
        <f t="shared" si="44"/>
        <v>4.4490190204293078E-3</v>
      </c>
      <c r="AM24" s="10">
        <f t="shared" si="45"/>
        <v>4.4490190204293078E-3</v>
      </c>
      <c r="AN24" s="10">
        <f t="shared" si="46"/>
        <v>3.6007268989780615E-3</v>
      </c>
      <c r="AO24" s="10">
        <f t="shared" si="47"/>
        <v>3.164571361679172E-3</v>
      </c>
      <c r="AP24" s="59">
        <f t="shared" si="48"/>
        <v>3.6007268989780615E-3</v>
      </c>
      <c r="AQ24" s="148">
        <f t="shared" si="49"/>
        <v>0.10100000000000001</v>
      </c>
      <c r="AR24" s="10">
        <f t="shared" si="50"/>
        <v>9.0999999999999998E-2</v>
      </c>
      <c r="AS24" s="10">
        <f t="shared" si="51"/>
        <v>9.6000000000000002E-2</v>
      </c>
      <c r="AT24" s="24">
        <f t="shared" si="52"/>
        <v>0.67</v>
      </c>
      <c r="AU24" s="24">
        <f t="shared" si="53"/>
        <v>0.61</v>
      </c>
      <c r="AV24" s="24">
        <f t="shared" si="54"/>
        <v>0.64</v>
      </c>
      <c r="AW24" s="25">
        <f t="shared" si="55"/>
        <v>4</v>
      </c>
      <c r="AX24" s="25">
        <f t="shared" si="56"/>
        <v>5</v>
      </c>
      <c r="AY24" s="25">
        <f t="shared" si="57"/>
        <v>5</v>
      </c>
    </row>
    <row r="25" spans="1:51" s="69" customFormat="1">
      <c r="A25" s="40">
        <v>14062</v>
      </c>
      <c r="B25" s="40" t="s">
        <v>109</v>
      </c>
      <c r="C25" s="61" t="str">
        <f>Rollover!A25</f>
        <v>Jeep</v>
      </c>
      <c r="D25" s="61" t="str">
        <f>Rollover!B25</f>
        <v>Compass SUV FWD</v>
      </c>
      <c r="E25" s="150" t="s">
        <v>103</v>
      </c>
      <c r="F25" s="172">
        <f>Rollover!C25</f>
        <v>2022</v>
      </c>
      <c r="G25" s="18">
        <v>284.16000000000003</v>
      </c>
      <c r="H25" s="19">
        <v>0.371</v>
      </c>
      <c r="I25" s="19">
        <v>1351.86</v>
      </c>
      <c r="J25" s="19">
        <v>227.649</v>
      </c>
      <c r="K25" s="19">
        <v>25.561</v>
      </c>
      <c r="L25" s="19">
        <v>39.637</v>
      </c>
      <c r="M25" s="19">
        <v>1512.7639999999999</v>
      </c>
      <c r="N25" s="20">
        <v>1555.1890000000001</v>
      </c>
      <c r="O25" s="18">
        <v>174.84800000000001</v>
      </c>
      <c r="P25" s="19">
        <v>0.40500000000000003</v>
      </c>
      <c r="Q25" s="19">
        <v>722.69799999999998</v>
      </c>
      <c r="R25" s="19">
        <v>470.38299999999998</v>
      </c>
      <c r="S25" s="19">
        <v>16.876999999999999</v>
      </c>
      <c r="T25" s="19">
        <v>40.545000000000002</v>
      </c>
      <c r="U25" s="19">
        <v>314.33499999999998</v>
      </c>
      <c r="V25" s="51">
        <v>913.35400000000004</v>
      </c>
      <c r="W25" s="52">
        <f t="shared" si="29"/>
        <v>7.4203154776239537E-3</v>
      </c>
      <c r="X25" s="10">
        <f t="shared" si="30"/>
        <v>7.6105651318424991E-2</v>
      </c>
      <c r="Y25" s="10">
        <f t="shared" si="31"/>
        <v>4.2464491384335798E-4</v>
      </c>
      <c r="Z25" s="10">
        <f t="shared" si="32"/>
        <v>2.9419199732707394E-5</v>
      </c>
      <c r="AA25" s="10">
        <f t="shared" si="33"/>
        <v>7.6105651318424991E-2</v>
      </c>
      <c r="AB25" s="10">
        <f t="shared" si="34"/>
        <v>2.7788657404714812E-2</v>
      </c>
      <c r="AC25" s="10">
        <f t="shared" si="35"/>
        <v>2.7788657404714812E-2</v>
      </c>
      <c r="AD25" s="10">
        <f t="shared" si="36"/>
        <v>6.6341542739218424E-3</v>
      </c>
      <c r="AE25" s="10">
        <f t="shared" si="37"/>
        <v>6.7810188865920478E-3</v>
      </c>
      <c r="AF25" s="59">
        <f t="shared" si="38"/>
        <v>6.7810188865920478E-3</v>
      </c>
      <c r="AG25" s="52">
        <f t="shared" si="39"/>
        <v>9.9236936744662076E-4</v>
      </c>
      <c r="AH25" s="10">
        <f t="shared" si="40"/>
        <v>8.0947979971873835E-2</v>
      </c>
      <c r="AI25" s="10">
        <f t="shared" si="41"/>
        <v>2.6555352713902446E-4</v>
      </c>
      <c r="AJ25" s="10">
        <f t="shared" si="42"/>
        <v>1.0259117050023624E-4</v>
      </c>
      <c r="AK25" s="10">
        <f t="shared" si="43"/>
        <v>8.0947979971873835E-2</v>
      </c>
      <c r="AL25" s="10">
        <f t="shared" si="44"/>
        <v>1.4643199382292037E-2</v>
      </c>
      <c r="AM25" s="10">
        <f t="shared" si="45"/>
        <v>1.4643199382292037E-2</v>
      </c>
      <c r="AN25" s="10">
        <f t="shared" si="46"/>
        <v>3.85159782296535E-3</v>
      </c>
      <c r="AO25" s="10">
        <f t="shared" si="47"/>
        <v>6.0657335716609827E-3</v>
      </c>
      <c r="AP25" s="59">
        <f t="shared" si="48"/>
        <v>6.0657335716609827E-3</v>
      </c>
      <c r="AQ25" s="148">
        <f t="shared" si="49"/>
        <v>0.114</v>
      </c>
      <c r="AR25" s="10">
        <f t="shared" si="50"/>
        <v>0.10100000000000001</v>
      </c>
      <c r="AS25" s="10">
        <f t="shared" si="51"/>
        <v>0.108</v>
      </c>
      <c r="AT25" s="24">
        <f t="shared" si="52"/>
        <v>0.76</v>
      </c>
      <c r="AU25" s="24">
        <f t="shared" si="53"/>
        <v>0.67</v>
      </c>
      <c r="AV25" s="24">
        <f t="shared" si="54"/>
        <v>0.72</v>
      </c>
      <c r="AW25" s="25">
        <f t="shared" si="55"/>
        <v>4</v>
      </c>
      <c r="AX25" s="25">
        <f t="shared" si="56"/>
        <v>4</v>
      </c>
      <c r="AY25" s="25">
        <f t="shared" si="57"/>
        <v>4</v>
      </c>
    </row>
    <row r="26" spans="1:51" s="69" customFormat="1">
      <c r="A26" s="66">
        <v>14062</v>
      </c>
      <c r="B26" s="40" t="s">
        <v>109</v>
      </c>
      <c r="C26" s="61" t="str">
        <f>Rollover!A26</f>
        <v>Jeep</v>
      </c>
      <c r="D26" s="61" t="str">
        <f>Rollover!B26</f>
        <v>Compass SUV AWD</v>
      </c>
      <c r="E26" s="149" t="s">
        <v>103</v>
      </c>
      <c r="F26" s="172">
        <f>Rollover!C26</f>
        <v>2022</v>
      </c>
      <c r="G26" s="27">
        <v>284.16000000000003</v>
      </c>
      <c r="H26" s="28">
        <v>0.371</v>
      </c>
      <c r="I26" s="28">
        <v>1351.86</v>
      </c>
      <c r="J26" s="28">
        <v>227.649</v>
      </c>
      <c r="K26" s="28">
        <v>25.561</v>
      </c>
      <c r="L26" s="28">
        <v>39.637</v>
      </c>
      <c r="M26" s="28">
        <v>1512.7639999999999</v>
      </c>
      <c r="N26" s="29">
        <v>1555.1890000000001</v>
      </c>
      <c r="O26" s="27">
        <v>174.84800000000001</v>
      </c>
      <c r="P26" s="28">
        <v>0.40500000000000003</v>
      </c>
      <c r="Q26" s="28">
        <v>722.69799999999998</v>
      </c>
      <c r="R26" s="28">
        <v>470.38299999999998</v>
      </c>
      <c r="S26" s="28">
        <v>16.876999999999999</v>
      </c>
      <c r="T26" s="28">
        <v>40.545000000000002</v>
      </c>
      <c r="U26" s="28">
        <v>314.33499999999998</v>
      </c>
      <c r="V26" s="56">
        <v>913.35400000000004</v>
      </c>
      <c r="W26" s="52">
        <f t="shared" si="29"/>
        <v>7.4203154776239537E-3</v>
      </c>
      <c r="X26" s="10">
        <f t="shared" si="30"/>
        <v>7.6105651318424991E-2</v>
      </c>
      <c r="Y26" s="10">
        <f t="shared" si="31"/>
        <v>4.2464491384335798E-4</v>
      </c>
      <c r="Z26" s="10">
        <f t="shared" si="32"/>
        <v>2.9419199732707394E-5</v>
      </c>
      <c r="AA26" s="10">
        <f t="shared" si="33"/>
        <v>7.6105651318424991E-2</v>
      </c>
      <c r="AB26" s="10">
        <f t="shared" si="34"/>
        <v>2.7788657404714812E-2</v>
      </c>
      <c r="AC26" s="10">
        <f t="shared" si="35"/>
        <v>2.7788657404714812E-2</v>
      </c>
      <c r="AD26" s="10">
        <f t="shared" si="36"/>
        <v>6.6341542739218424E-3</v>
      </c>
      <c r="AE26" s="10">
        <f t="shared" si="37"/>
        <v>6.7810188865920478E-3</v>
      </c>
      <c r="AF26" s="59">
        <f t="shared" si="38"/>
        <v>6.7810188865920478E-3</v>
      </c>
      <c r="AG26" s="52">
        <f t="shared" si="39"/>
        <v>9.9236936744662076E-4</v>
      </c>
      <c r="AH26" s="10">
        <f t="shared" si="40"/>
        <v>8.0947979971873835E-2</v>
      </c>
      <c r="AI26" s="10">
        <f t="shared" si="41"/>
        <v>2.6555352713902446E-4</v>
      </c>
      <c r="AJ26" s="10">
        <f t="shared" si="42"/>
        <v>1.0259117050023624E-4</v>
      </c>
      <c r="AK26" s="10">
        <f t="shared" si="43"/>
        <v>8.0947979971873835E-2</v>
      </c>
      <c r="AL26" s="10">
        <f t="shared" si="44"/>
        <v>1.4643199382292037E-2</v>
      </c>
      <c r="AM26" s="10">
        <f t="shared" si="45"/>
        <v>1.4643199382292037E-2</v>
      </c>
      <c r="AN26" s="10">
        <f t="shared" si="46"/>
        <v>3.85159782296535E-3</v>
      </c>
      <c r="AO26" s="10">
        <f t="shared" si="47"/>
        <v>6.0657335716609827E-3</v>
      </c>
      <c r="AP26" s="59">
        <f t="shared" si="48"/>
        <v>6.0657335716609827E-3</v>
      </c>
      <c r="AQ26" s="148">
        <f t="shared" si="49"/>
        <v>0.114</v>
      </c>
      <c r="AR26" s="10">
        <f t="shared" si="50"/>
        <v>0.10100000000000001</v>
      </c>
      <c r="AS26" s="10">
        <f t="shared" si="51"/>
        <v>0.108</v>
      </c>
      <c r="AT26" s="24">
        <f t="shared" si="52"/>
        <v>0.76</v>
      </c>
      <c r="AU26" s="24">
        <f t="shared" si="53"/>
        <v>0.67</v>
      </c>
      <c r="AV26" s="24">
        <f t="shared" si="54"/>
        <v>0.72</v>
      </c>
      <c r="AW26" s="25">
        <f t="shared" si="55"/>
        <v>4</v>
      </c>
      <c r="AX26" s="25">
        <f t="shared" si="56"/>
        <v>4</v>
      </c>
      <c r="AY26" s="25">
        <f t="shared" si="57"/>
        <v>4</v>
      </c>
    </row>
    <row r="27" spans="1:51" s="69" customFormat="1">
      <c r="A27" s="40">
        <v>14056</v>
      </c>
      <c r="B27" s="40" t="s">
        <v>110</v>
      </c>
      <c r="C27" s="61" t="str">
        <f>Rollover!A27</f>
        <v>Kia</v>
      </c>
      <c r="D27" s="61" t="str">
        <f>Rollover!B27</f>
        <v>Niro Electric SUV FWD</v>
      </c>
      <c r="E27" s="150" t="s">
        <v>101</v>
      </c>
      <c r="F27" s="172">
        <f>Rollover!C27</f>
        <v>2022</v>
      </c>
      <c r="G27" s="174">
        <v>179.66499999999999</v>
      </c>
      <c r="H27" s="175">
        <v>0.20899999999999999</v>
      </c>
      <c r="I27" s="175">
        <v>927.024</v>
      </c>
      <c r="J27" s="175">
        <v>219.84899999999999</v>
      </c>
      <c r="K27" s="175">
        <v>31.553000000000001</v>
      </c>
      <c r="L27" s="175">
        <v>38.085999999999999</v>
      </c>
      <c r="M27" s="175">
        <v>625.928</v>
      </c>
      <c r="N27" s="176">
        <v>1192.384</v>
      </c>
      <c r="O27" s="177">
        <v>229.261</v>
      </c>
      <c r="P27" s="178">
        <v>0.41</v>
      </c>
      <c r="Q27" s="178">
        <v>809.42499999999995</v>
      </c>
      <c r="R27" s="178">
        <v>105.453</v>
      </c>
      <c r="S27" s="178">
        <v>16.265999999999998</v>
      </c>
      <c r="T27" s="178">
        <v>45.726999999999997</v>
      </c>
      <c r="U27" s="175">
        <v>1178.143</v>
      </c>
      <c r="V27" s="179">
        <v>96.569000000000003</v>
      </c>
      <c r="W27" s="52">
        <f t="shared" ref="W27:W28" si="58">NORMDIST(LN(G27),7.45231,0.73998,1)</f>
        <v>1.1223799466167307E-3</v>
      </c>
      <c r="X27" s="10">
        <f t="shared" ref="X27:X28" si="59">1/(1+EXP(3.2269-1.9688*H27))</f>
        <v>5.6496531186568832E-2</v>
      </c>
      <c r="Y27" s="10">
        <f t="shared" ref="Y27:Y28" si="60">1/(1+EXP(10.9745-2.375*I27/1000))</f>
        <v>1.5486250883043796E-4</v>
      </c>
      <c r="Z27" s="10">
        <f t="shared" ref="Z27:Z28" si="61">1/(1+EXP(10.9745-2.375*J27/1000))</f>
        <v>2.8879241600394377E-5</v>
      </c>
      <c r="AA27" s="10">
        <f t="shared" ref="AA27:AA28" si="62">MAX(X27,Y27,Z27)</f>
        <v>5.6496531186568832E-2</v>
      </c>
      <c r="AB27" s="10">
        <f t="shared" ref="AB27:AB28" si="63">1/(1+EXP(12.597-0.05861*35-1.568*(K27^0.4612)))</f>
        <v>5.5102849579929725E-2</v>
      </c>
      <c r="AC27" s="10">
        <f t="shared" ref="AC27:AC28" si="64">AB27</f>
        <v>5.5102849579929725E-2</v>
      </c>
      <c r="AD27" s="10">
        <f t="shared" ref="AD27:AD28" si="65">1/(1+EXP(5.7949-0.5196*M27/1000))</f>
        <v>4.1949594967939262E-3</v>
      </c>
      <c r="AE27" s="10">
        <f t="shared" ref="AE27:AE28" si="66">1/(1+EXP(5.7949-0.5196*N27/1000))</f>
        <v>5.6225180853177658E-3</v>
      </c>
      <c r="AF27" s="59">
        <f t="shared" ref="AF27:AF28" si="67">MAX(AD27,AE27)</f>
        <v>5.6225180853177658E-3</v>
      </c>
      <c r="AG27" s="52">
        <f t="shared" ref="AG27:AG28" si="68">NORMDIST(LN(O27),7.45231,0.73998,1)</f>
        <v>3.2018944821605166E-3</v>
      </c>
      <c r="AH27" s="10">
        <f t="shared" ref="AH27:AH28" si="69">1/(1+EXP(3.2269-1.9688*P27))</f>
        <v>8.1683355930183013E-2</v>
      </c>
      <c r="AI27" s="10">
        <f t="shared" ref="AI27:AI28" si="70">1/(1+EXP(10.958-3.77*Q27/1000))</f>
        <v>3.6821776740016891E-4</v>
      </c>
      <c r="AJ27" s="10">
        <f t="shared" ref="AJ27:AJ28" si="71">1/(1+EXP(10.958-3.77*R27/1000))</f>
        <v>2.5920714764987255E-5</v>
      </c>
      <c r="AK27" s="10">
        <f t="shared" ref="AK27:AK28" si="72">MAX(AH27,AI27,AJ27)</f>
        <v>8.1683355930183013E-2</v>
      </c>
      <c r="AL27" s="10">
        <f t="shared" ref="AL27:AL28" si="73">1/(1+EXP(12.597-0.05861*35-1.568*((S27/0.817)^0.4612)))</f>
        <v>1.3178777711553315E-2</v>
      </c>
      <c r="AM27" s="10">
        <f t="shared" ref="AM27:AM28" si="74">AL27</f>
        <v>1.3178777711553315E-2</v>
      </c>
      <c r="AN27" s="10">
        <f t="shared" ref="AN27:AN28" si="75">1/(1+EXP(5.7949-0.7619*U27/1000))</f>
        <v>7.4115771051933921E-3</v>
      </c>
      <c r="AO27" s="10">
        <f t="shared" ref="AO27:AO28" si="76">1/(1+EXP(5.7949-0.7619*V27/1000))</f>
        <v>3.2646781473252133E-3</v>
      </c>
      <c r="AP27" s="59">
        <f t="shared" ref="AP27:AP28" si="77">MAX(AN27,AO27)</f>
        <v>7.4115771051933921E-3</v>
      </c>
      <c r="AQ27" s="148">
        <f t="shared" ref="AQ27:AQ28" si="78">ROUND(1-(1-W27)*(1-AA27)*(1-AC27)*(1-AF27),3)</f>
        <v>0.114</v>
      </c>
      <c r="AR27" s="10">
        <f t="shared" ref="AR27:AR28" si="79">ROUND(1-(1-AG27)*(1-AK27)*(1-AM27)*(1-AP27),3)</f>
        <v>0.10299999999999999</v>
      </c>
      <c r="AS27" s="10">
        <f t="shared" ref="AS27:AS28" si="80">ROUND(AVERAGE(AR27,AQ27),3)</f>
        <v>0.109</v>
      </c>
      <c r="AT27" s="24">
        <f t="shared" ref="AT27:AT28" si="81">ROUND(AQ27/0.15,2)</f>
        <v>0.76</v>
      </c>
      <c r="AU27" s="24">
        <f t="shared" ref="AU27:AU28" si="82">ROUND(AR27/0.15,2)</f>
        <v>0.69</v>
      </c>
      <c r="AV27" s="24">
        <f t="shared" ref="AV27:AV28" si="83">ROUND(AS27/0.15,2)</f>
        <v>0.73</v>
      </c>
      <c r="AW27" s="25">
        <f t="shared" ref="AW27:AW28" si="84">IF(AT27&lt;0.67,5,IF(AT27&lt;1,4,IF(AT27&lt;1.33,3,IF(AT27&lt;2.67,2,1))))</f>
        <v>4</v>
      </c>
      <c r="AX27" s="25">
        <f t="shared" ref="AX27:AX28" si="85">IF(AU27&lt;0.67,5,IF(AU27&lt;1,4,IF(AU27&lt;1.33,3,IF(AU27&lt;2.67,2,1))))</f>
        <v>4</v>
      </c>
      <c r="AY27" s="25">
        <f t="shared" ref="AY27:AY28" si="86">IF(AV27&lt;0.67,5,IF(AV27&lt;1,4,IF(AV27&lt;1.33,3,IF(AV27&lt;2.67,2,1))))</f>
        <v>4</v>
      </c>
    </row>
    <row r="28" spans="1:51" s="69" customFormat="1">
      <c r="A28" s="40">
        <v>14051</v>
      </c>
      <c r="B28" s="40" t="s">
        <v>111</v>
      </c>
      <c r="C28" s="61" t="str">
        <f>Rollover!A28</f>
        <v>Mazda</v>
      </c>
      <c r="D28" s="61" t="str">
        <f>Rollover!B28</f>
        <v>MX-30 5HB FWD</v>
      </c>
      <c r="E28" s="150" t="s">
        <v>99</v>
      </c>
      <c r="F28" s="172">
        <f>Rollover!C28</f>
        <v>2022</v>
      </c>
      <c r="G28" s="18">
        <v>122.843</v>
      </c>
      <c r="H28" s="19">
        <v>0.218</v>
      </c>
      <c r="I28" s="19">
        <v>1059.325</v>
      </c>
      <c r="J28" s="19">
        <v>46.963000000000001</v>
      </c>
      <c r="K28" s="19">
        <v>23.853999999999999</v>
      </c>
      <c r="L28" s="19">
        <v>35.033000000000001</v>
      </c>
      <c r="M28" s="19">
        <v>911.96</v>
      </c>
      <c r="N28" s="20">
        <v>1179.2</v>
      </c>
      <c r="O28" s="18">
        <v>158.255</v>
      </c>
      <c r="P28" s="19">
        <v>0.28799999999999998</v>
      </c>
      <c r="Q28" s="19">
        <v>1119.2380000000001</v>
      </c>
      <c r="R28" s="19">
        <v>274.40899999999999</v>
      </c>
      <c r="S28" s="19">
        <v>10.207000000000001</v>
      </c>
      <c r="T28" s="19">
        <v>42.386000000000003</v>
      </c>
      <c r="U28" s="19">
        <v>739.61</v>
      </c>
      <c r="V28" s="51">
        <v>745.91399999999999</v>
      </c>
      <c r="W28" s="52">
        <f t="shared" si="58"/>
        <v>1.7879077353310805E-4</v>
      </c>
      <c r="X28" s="10">
        <f t="shared" si="59"/>
        <v>5.7448503543772476E-2</v>
      </c>
      <c r="Y28" s="10">
        <f t="shared" si="60"/>
        <v>2.1202313314999096E-4</v>
      </c>
      <c r="Z28" s="10">
        <f t="shared" si="61"/>
        <v>1.9154324803962128E-5</v>
      </c>
      <c r="AA28" s="10">
        <f t="shared" si="62"/>
        <v>5.7448503543772476E-2</v>
      </c>
      <c r="AB28" s="10">
        <f t="shared" si="63"/>
        <v>2.2438820183819475E-2</v>
      </c>
      <c r="AC28" s="10">
        <f t="shared" si="64"/>
        <v>2.2438820183819475E-2</v>
      </c>
      <c r="AD28" s="10">
        <f t="shared" si="65"/>
        <v>4.8638677761054247E-3</v>
      </c>
      <c r="AE28" s="10">
        <f t="shared" si="66"/>
        <v>5.584347532325556E-3</v>
      </c>
      <c r="AF28" s="59">
        <f t="shared" si="67"/>
        <v>5.584347532325556E-3</v>
      </c>
      <c r="AG28" s="52">
        <f t="shared" si="68"/>
        <v>6.2492545734484616E-4</v>
      </c>
      <c r="AH28" s="10">
        <f t="shared" si="69"/>
        <v>6.5382323773201578E-2</v>
      </c>
      <c r="AI28" s="10">
        <f t="shared" si="70"/>
        <v>1.1830534729891373E-3</v>
      </c>
      <c r="AJ28" s="10">
        <f t="shared" si="71"/>
        <v>4.9007996504574076E-5</v>
      </c>
      <c r="AK28" s="10">
        <f t="shared" si="72"/>
        <v>6.5382323773201578E-2</v>
      </c>
      <c r="AL28" s="10">
        <f t="shared" si="73"/>
        <v>3.9871446218945374E-3</v>
      </c>
      <c r="AM28" s="10">
        <f t="shared" si="74"/>
        <v>3.9871446218945374E-3</v>
      </c>
      <c r="AN28" s="10">
        <f t="shared" si="75"/>
        <v>5.3176543506080745E-3</v>
      </c>
      <c r="AO28" s="10">
        <f t="shared" si="76"/>
        <v>5.3431197770488882E-3</v>
      </c>
      <c r="AP28" s="59">
        <f t="shared" si="77"/>
        <v>5.3431197770488882E-3</v>
      </c>
      <c r="AQ28" s="148">
        <f t="shared" si="78"/>
        <v>8.4000000000000005E-2</v>
      </c>
      <c r="AR28" s="10">
        <f t="shared" si="79"/>
        <v>7.4999999999999997E-2</v>
      </c>
      <c r="AS28" s="10">
        <f t="shared" si="80"/>
        <v>0.08</v>
      </c>
      <c r="AT28" s="24">
        <f t="shared" si="81"/>
        <v>0.56000000000000005</v>
      </c>
      <c r="AU28" s="24">
        <f t="shared" si="82"/>
        <v>0.5</v>
      </c>
      <c r="AV28" s="24">
        <f t="shared" si="83"/>
        <v>0.53</v>
      </c>
      <c r="AW28" s="25">
        <f t="shared" si="84"/>
        <v>5</v>
      </c>
      <c r="AX28" s="25">
        <f t="shared" si="85"/>
        <v>5</v>
      </c>
      <c r="AY28" s="25">
        <f t="shared" si="86"/>
        <v>5</v>
      </c>
    </row>
    <row r="29" spans="1:51" s="69" customFormat="1">
      <c r="A29" s="40">
        <v>11591</v>
      </c>
      <c r="B29" s="40" t="s">
        <v>112</v>
      </c>
      <c r="C29" s="61" t="str">
        <f>Rollover!A29</f>
        <v xml:space="preserve">Mitsubishi </v>
      </c>
      <c r="D29" s="61" t="str">
        <f>Rollover!B29</f>
        <v>Eclipse Cross SUV AWD</v>
      </c>
      <c r="E29" s="150" t="s">
        <v>101</v>
      </c>
      <c r="F29" s="172">
        <f>Rollover!C29</f>
        <v>2022</v>
      </c>
      <c r="G29" s="18">
        <v>244.76300000000001</v>
      </c>
      <c r="H29" s="19">
        <v>0.38700000000000001</v>
      </c>
      <c r="I29" s="19">
        <v>1887.3040000000001</v>
      </c>
      <c r="J29" s="19">
        <v>146.84</v>
      </c>
      <c r="K29" s="19">
        <v>25.515999999999998</v>
      </c>
      <c r="L29" s="19">
        <v>38.767000000000003</v>
      </c>
      <c r="M29" s="19">
        <v>818.67</v>
      </c>
      <c r="N29" s="20">
        <v>1442.079</v>
      </c>
      <c r="O29" s="18">
        <v>215.107</v>
      </c>
      <c r="P29" s="19">
        <v>0.39700000000000002</v>
      </c>
      <c r="Q29" s="19">
        <v>810.95399999999995</v>
      </c>
      <c r="R29" s="19">
        <v>242.499</v>
      </c>
      <c r="S29" s="19">
        <v>18.186</v>
      </c>
      <c r="T29" s="19">
        <v>43.472999999999999</v>
      </c>
      <c r="U29" s="19">
        <v>1473.2270000000001</v>
      </c>
      <c r="V29" s="51">
        <v>882.15</v>
      </c>
      <c r="W29" s="52">
        <f t="shared" ref="W29:W36" si="87">NORMDIST(LN(G29),7.45231,0.73998,1)</f>
        <v>4.1706207191667772E-3</v>
      </c>
      <c r="X29" s="10">
        <f t="shared" ref="X29:X36" si="88">1/(1+EXP(3.2269-1.9688*H29))</f>
        <v>7.835037355987394E-2</v>
      </c>
      <c r="Y29" s="10">
        <f t="shared" ref="Y29:Y36" si="89">1/(1+EXP(10.9745-2.375*I29/1000))</f>
        <v>1.5129904801883148E-3</v>
      </c>
      <c r="Z29" s="10">
        <f t="shared" ref="Z29:Z36" si="90">1/(1+EXP(10.9745-2.375*J29/1000))</f>
        <v>2.4281901430972256E-5</v>
      </c>
      <c r="AA29" s="10">
        <f t="shared" ref="AA29:AA36" si="91">MAX(X29,Y29,Z29)</f>
        <v>7.835037355987394E-2</v>
      </c>
      <c r="AB29" s="10">
        <f t="shared" ref="AB29:AB36" si="92">1/(1+EXP(12.597-0.05861*35-1.568*(K29^0.4612)))</f>
        <v>2.7635649065957786E-2</v>
      </c>
      <c r="AC29" s="10">
        <f t="shared" ref="AC29:AC36" si="93">AB29</f>
        <v>2.7635649065957786E-2</v>
      </c>
      <c r="AD29" s="10">
        <f t="shared" ref="AD29:AD36" si="94">1/(1+EXP(5.7949-0.5196*M29/1000))</f>
        <v>4.6347888766228446E-3</v>
      </c>
      <c r="AE29" s="10">
        <f t="shared" ref="AE29:AE36" si="95">1/(1+EXP(5.7949-0.5196*N29/1000))</f>
        <v>6.3964460816202211E-3</v>
      </c>
      <c r="AF29" s="59">
        <f t="shared" ref="AF29:AF36" si="96">MAX(AD29,AE29)</f>
        <v>6.3964460816202211E-3</v>
      </c>
      <c r="AG29" s="52">
        <f t="shared" ref="AG29:AG36" si="97">NORMDIST(LN(O29),7.45231,0.73998,1)</f>
        <v>2.4581008122460833E-3</v>
      </c>
      <c r="AH29" s="10">
        <f t="shared" ref="AH29:AH36" si="98">1/(1+EXP(3.2269-1.9688*P29))</f>
        <v>7.9783929664732134E-2</v>
      </c>
      <c r="AI29" s="10">
        <f t="shared" ref="AI29:AI36" si="99">1/(1+EXP(10.958-3.77*Q29/1000))</f>
        <v>3.7034563703347708E-4</v>
      </c>
      <c r="AJ29" s="10">
        <f t="shared" ref="AJ29:AJ36" si="100">1/(1+EXP(10.958-3.77*R29/1000))</f>
        <v>4.345336672080946E-5</v>
      </c>
      <c r="AK29" s="10">
        <f t="shared" ref="AK29:AK36" si="101">MAX(AH29,AI29,AJ29)</f>
        <v>7.9783929664732134E-2</v>
      </c>
      <c r="AL29" s="10">
        <f t="shared" ref="AL29:AL36" si="102">1/(1+EXP(12.597-0.05861*35-1.568*((S29/0.817)^0.4612)))</f>
        <v>1.8218777225080283E-2</v>
      </c>
      <c r="AM29" s="10">
        <f t="shared" ref="AM29:AM36" si="103">AL29</f>
        <v>1.8218777225080283E-2</v>
      </c>
      <c r="AN29" s="10">
        <f t="shared" ref="AN29:AN36" si="104">1/(1+EXP(5.7949-0.7619*U29/1000))</f>
        <v>9.262750306857602E-3</v>
      </c>
      <c r="AO29" s="10">
        <f t="shared" ref="AO29:AO36" si="105">1/(1+EXP(5.7949-0.7619*V29/1000))</f>
        <v>5.9240697903116292E-3</v>
      </c>
      <c r="AP29" s="59">
        <f t="shared" ref="AP29:AP36" si="106">MAX(AN29,AO29)</f>
        <v>9.262750306857602E-3</v>
      </c>
      <c r="AQ29" s="148">
        <f t="shared" ref="AQ29:AQ36" si="107">ROUND(1-(1-W29)*(1-AA29)*(1-AC29)*(1-AF29),3)</f>
        <v>0.113</v>
      </c>
      <c r="AR29" s="10">
        <f t="shared" ref="AR29:AR36" si="108">ROUND(1-(1-AG29)*(1-AK29)*(1-AM29)*(1-AP29),3)</f>
        <v>0.107</v>
      </c>
      <c r="AS29" s="10">
        <f t="shared" ref="AS29:AS36" si="109">ROUND(AVERAGE(AR29,AQ29),3)</f>
        <v>0.11</v>
      </c>
      <c r="AT29" s="24">
        <f t="shared" ref="AT29:AT36" si="110">ROUND(AQ29/0.15,2)</f>
        <v>0.75</v>
      </c>
      <c r="AU29" s="24">
        <f t="shared" ref="AU29:AU36" si="111">ROUND(AR29/0.15,2)</f>
        <v>0.71</v>
      </c>
      <c r="AV29" s="24">
        <f t="shared" ref="AV29:AV36" si="112">ROUND(AS29/0.15,2)</f>
        <v>0.73</v>
      </c>
      <c r="AW29" s="25">
        <f t="shared" ref="AW29:AW36" si="113">IF(AT29&lt;0.67,5,IF(AT29&lt;1,4,IF(AT29&lt;1.33,3,IF(AT29&lt;2.67,2,1))))</f>
        <v>4</v>
      </c>
      <c r="AX29" s="25">
        <f t="shared" ref="AX29:AX36" si="114">IF(AU29&lt;0.67,5,IF(AU29&lt;1,4,IF(AU29&lt;1.33,3,IF(AU29&lt;2.67,2,1))))</f>
        <v>4</v>
      </c>
      <c r="AY29" s="25">
        <f t="shared" ref="AY29:AY36" si="115">IF(AV29&lt;0.67,5,IF(AV29&lt;1,4,IF(AV29&lt;1.33,3,IF(AV29&lt;2.67,2,1))))</f>
        <v>4</v>
      </c>
    </row>
    <row r="30" spans="1:51" s="69" customFormat="1">
      <c r="A30" s="40">
        <v>11591</v>
      </c>
      <c r="B30" s="40" t="s">
        <v>112</v>
      </c>
      <c r="C30" s="61" t="str">
        <f>Rollover!A30</f>
        <v xml:space="preserve">Mitsubishi </v>
      </c>
      <c r="D30" s="61" t="str">
        <f>Rollover!B30</f>
        <v>Eclipse Cross SUV FWD</v>
      </c>
      <c r="E30" s="150" t="s">
        <v>101</v>
      </c>
      <c r="F30" s="172">
        <f>Rollover!C30</f>
        <v>2022</v>
      </c>
      <c r="G30" s="18">
        <v>244.76300000000001</v>
      </c>
      <c r="H30" s="19">
        <v>0.38700000000000001</v>
      </c>
      <c r="I30" s="19">
        <v>1887.3040000000001</v>
      </c>
      <c r="J30" s="19">
        <v>146.84</v>
      </c>
      <c r="K30" s="19">
        <v>25.515999999999998</v>
      </c>
      <c r="L30" s="19">
        <v>38.767000000000003</v>
      </c>
      <c r="M30" s="19">
        <v>818.67</v>
      </c>
      <c r="N30" s="20">
        <v>1442.079</v>
      </c>
      <c r="O30" s="18">
        <v>215.107</v>
      </c>
      <c r="P30" s="19">
        <v>0.39700000000000002</v>
      </c>
      <c r="Q30" s="19">
        <v>810.95399999999995</v>
      </c>
      <c r="R30" s="19">
        <v>242.499</v>
      </c>
      <c r="S30" s="19">
        <v>18.186</v>
      </c>
      <c r="T30" s="19">
        <v>43.472999999999999</v>
      </c>
      <c r="U30" s="19">
        <v>1473.2270000000001</v>
      </c>
      <c r="V30" s="51">
        <v>882.15</v>
      </c>
      <c r="W30" s="52">
        <f t="shared" si="87"/>
        <v>4.1706207191667772E-3</v>
      </c>
      <c r="X30" s="10">
        <f t="shared" si="88"/>
        <v>7.835037355987394E-2</v>
      </c>
      <c r="Y30" s="10">
        <f t="shared" si="89"/>
        <v>1.5129904801883148E-3</v>
      </c>
      <c r="Z30" s="10">
        <f t="shared" si="90"/>
        <v>2.4281901430972256E-5</v>
      </c>
      <c r="AA30" s="10">
        <f t="shared" si="91"/>
        <v>7.835037355987394E-2</v>
      </c>
      <c r="AB30" s="10">
        <f t="shared" si="92"/>
        <v>2.7635649065957786E-2</v>
      </c>
      <c r="AC30" s="10">
        <f t="shared" si="93"/>
        <v>2.7635649065957786E-2</v>
      </c>
      <c r="AD30" s="10">
        <f t="shared" si="94"/>
        <v>4.6347888766228446E-3</v>
      </c>
      <c r="AE30" s="10">
        <f t="shared" si="95"/>
        <v>6.3964460816202211E-3</v>
      </c>
      <c r="AF30" s="59">
        <f t="shared" si="96"/>
        <v>6.3964460816202211E-3</v>
      </c>
      <c r="AG30" s="52">
        <f t="shared" si="97"/>
        <v>2.4581008122460833E-3</v>
      </c>
      <c r="AH30" s="10">
        <f t="shared" si="98"/>
        <v>7.9783929664732134E-2</v>
      </c>
      <c r="AI30" s="10">
        <f t="shared" si="99"/>
        <v>3.7034563703347708E-4</v>
      </c>
      <c r="AJ30" s="10">
        <f t="shared" si="100"/>
        <v>4.345336672080946E-5</v>
      </c>
      <c r="AK30" s="10">
        <f t="shared" si="101"/>
        <v>7.9783929664732134E-2</v>
      </c>
      <c r="AL30" s="10">
        <f t="shared" si="102"/>
        <v>1.8218777225080283E-2</v>
      </c>
      <c r="AM30" s="10">
        <f t="shared" si="103"/>
        <v>1.8218777225080283E-2</v>
      </c>
      <c r="AN30" s="10">
        <f t="shared" si="104"/>
        <v>9.262750306857602E-3</v>
      </c>
      <c r="AO30" s="10">
        <f t="shared" si="105"/>
        <v>5.9240697903116292E-3</v>
      </c>
      <c r="AP30" s="59">
        <f t="shared" si="106"/>
        <v>9.262750306857602E-3</v>
      </c>
      <c r="AQ30" s="148">
        <f t="shared" si="107"/>
        <v>0.113</v>
      </c>
      <c r="AR30" s="10">
        <f t="shared" si="108"/>
        <v>0.107</v>
      </c>
      <c r="AS30" s="10">
        <f t="shared" si="109"/>
        <v>0.11</v>
      </c>
      <c r="AT30" s="24">
        <f t="shared" si="110"/>
        <v>0.75</v>
      </c>
      <c r="AU30" s="24">
        <f t="shared" si="111"/>
        <v>0.71</v>
      </c>
      <c r="AV30" s="24">
        <f t="shared" si="112"/>
        <v>0.73</v>
      </c>
      <c r="AW30" s="25">
        <f t="shared" si="113"/>
        <v>4</v>
      </c>
      <c r="AX30" s="25">
        <f t="shared" si="114"/>
        <v>4</v>
      </c>
      <c r="AY30" s="25">
        <f t="shared" si="115"/>
        <v>4</v>
      </c>
    </row>
    <row r="31" spans="1:51" s="69" customFormat="1">
      <c r="A31" s="180">
        <v>10770</v>
      </c>
      <c r="B31" s="72" t="s">
        <v>113</v>
      </c>
      <c r="C31" s="61" t="str">
        <f>Rollover!A31</f>
        <v>Nissan</v>
      </c>
      <c r="D31" s="61" t="str">
        <f>Rollover!B31</f>
        <v>Altima 4DR FWD</v>
      </c>
      <c r="E31" s="150" t="s">
        <v>99</v>
      </c>
      <c r="F31" s="172">
        <f>Rollover!C31</f>
        <v>2022</v>
      </c>
      <c r="G31" s="18">
        <v>171.041</v>
      </c>
      <c r="H31" s="19">
        <v>0.29899999999999999</v>
      </c>
      <c r="I31" s="19">
        <v>1524.5609999999999</v>
      </c>
      <c r="J31" s="19">
        <v>345.88400000000001</v>
      </c>
      <c r="K31" s="19">
        <v>23.504000000000001</v>
      </c>
      <c r="L31" s="19">
        <v>39.618000000000002</v>
      </c>
      <c r="M31" s="19">
        <v>508.89600000000002</v>
      </c>
      <c r="N31" s="20">
        <v>1521.748</v>
      </c>
      <c r="O31" s="18">
        <v>239.053</v>
      </c>
      <c r="P31" s="19">
        <v>0.53600000000000003</v>
      </c>
      <c r="Q31" s="19">
        <v>1244.5940000000001</v>
      </c>
      <c r="R31" s="19">
        <v>489.15800000000002</v>
      </c>
      <c r="S31" s="19">
        <v>13.214</v>
      </c>
      <c r="T31" s="19">
        <v>40.308</v>
      </c>
      <c r="U31" s="19">
        <v>1157.279</v>
      </c>
      <c r="V31" s="51">
        <v>1246.1690000000001</v>
      </c>
      <c r="W31" s="52">
        <f t="shared" si="87"/>
        <v>8.9735521247258062E-4</v>
      </c>
      <c r="X31" s="10">
        <f t="shared" si="88"/>
        <v>6.671823813323266E-2</v>
      </c>
      <c r="Y31" s="10">
        <f t="shared" si="89"/>
        <v>6.3983024433325109E-4</v>
      </c>
      <c r="Z31" s="10">
        <f t="shared" si="90"/>
        <v>3.8956517985345749E-5</v>
      </c>
      <c r="AA31" s="10">
        <f t="shared" si="91"/>
        <v>6.671823813323266E-2</v>
      </c>
      <c r="AB31" s="10">
        <f t="shared" si="92"/>
        <v>2.1451562302771402E-2</v>
      </c>
      <c r="AC31" s="10">
        <f t="shared" si="93"/>
        <v>2.1451562302771402E-2</v>
      </c>
      <c r="AD31" s="10">
        <f t="shared" si="94"/>
        <v>3.9484432277575284E-3</v>
      </c>
      <c r="AE31" s="10">
        <f t="shared" si="95"/>
        <v>6.6649885851511924E-3</v>
      </c>
      <c r="AF31" s="59">
        <f t="shared" si="96"/>
        <v>6.6649885851511924E-3</v>
      </c>
      <c r="AG31" s="52">
        <f t="shared" si="97"/>
        <v>3.7944232076844537E-3</v>
      </c>
      <c r="AH31" s="10">
        <f t="shared" si="98"/>
        <v>0.10232783513136225</v>
      </c>
      <c r="AI31" s="10">
        <f t="shared" si="99"/>
        <v>1.8964361651846347E-3</v>
      </c>
      <c r="AJ31" s="10">
        <f t="shared" si="100"/>
        <v>1.1011509057840411E-4</v>
      </c>
      <c r="AK31" s="10">
        <f t="shared" si="101"/>
        <v>0.10232783513136225</v>
      </c>
      <c r="AL31" s="10">
        <f t="shared" si="102"/>
        <v>7.5008558424492586E-3</v>
      </c>
      <c r="AM31" s="10">
        <f t="shared" si="103"/>
        <v>7.5008558424492586E-3</v>
      </c>
      <c r="AN31" s="10">
        <f t="shared" si="104"/>
        <v>7.2955448084947678E-3</v>
      </c>
      <c r="AO31" s="10">
        <f t="shared" si="105"/>
        <v>7.8027643509765753E-3</v>
      </c>
      <c r="AP31" s="59">
        <f t="shared" si="106"/>
        <v>7.8027643509765753E-3</v>
      </c>
      <c r="AQ31" s="148">
        <f t="shared" si="107"/>
        <v>9.4E-2</v>
      </c>
      <c r="AR31" s="10">
        <f t="shared" si="108"/>
        <v>0.11899999999999999</v>
      </c>
      <c r="AS31" s="10">
        <f t="shared" si="109"/>
        <v>0.107</v>
      </c>
      <c r="AT31" s="24">
        <f t="shared" si="110"/>
        <v>0.63</v>
      </c>
      <c r="AU31" s="24">
        <f t="shared" si="111"/>
        <v>0.79</v>
      </c>
      <c r="AV31" s="24">
        <f t="shared" si="112"/>
        <v>0.71</v>
      </c>
      <c r="AW31" s="25">
        <f t="shared" si="113"/>
        <v>5</v>
      </c>
      <c r="AX31" s="25">
        <f t="shared" si="114"/>
        <v>4</v>
      </c>
      <c r="AY31" s="25">
        <f t="shared" si="115"/>
        <v>4</v>
      </c>
    </row>
    <row r="32" spans="1:51" s="69" customFormat="1">
      <c r="A32" s="180">
        <v>10770</v>
      </c>
      <c r="B32" s="72" t="s">
        <v>113</v>
      </c>
      <c r="C32" s="61" t="str">
        <f>Rollover!A32</f>
        <v>Nissan</v>
      </c>
      <c r="D32" s="61" t="str">
        <f>Rollover!B32</f>
        <v>Altima 4DR AWD</v>
      </c>
      <c r="E32" s="150" t="s">
        <v>99</v>
      </c>
      <c r="F32" s="172">
        <f>Rollover!C32</f>
        <v>2022</v>
      </c>
      <c r="G32" s="18">
        <v>171.041</v>
      </c>
      <c r="H32" s="19">
        <v>0.29899999999999999</v>
      </c>
      <c r="I32" s="19">
        <v>1524.5609999999999</v>
      </c>
      <c r="J32" s="19">
        <v>345.88400000000001</v>
      </c>
      <c r="K32" s="19">
        <v>23.504000000000001</v>
      </c>
      <c r="L32" s="19">
        <v>39.618000000000002</v>
      </c>
      <c r="M32" s="19">
        <v>508.89600000000002</v>
      </c>
      <c r="N32" s="20">
        <v>1521.748</v>
      </c>
      <c r="O32" s="18">
        <v>239.053</v>
      </c>
      <c r="P32" s="19">
        <v>0.53600000000000003</v>
      </c>
      <c r="Q32" s="19">
        <v>1244.5940000000001</v>
      </c>
      <c r="R32" s="19">
        <v>489.15800000000002</v>
      </c>
      <c r="S32" s="19">
        <v>13.214</v>
      </c>
      <c r="T32" s="19">
        <v>40.308</v>
      </c>
      <c r="U32" s="19">
        <v>1157.279</v>
      </c>
      <c r="V32" s="51">
        <v>1246.1690000000001</v>
      </c>
      <c r="W32" s="52">
        <f t="shared" si="87"/>
        <v>8.9735521247258062E-4</v>
      </c>
      <c r="X32" s="10">
        <f t="shared" si="88"/>
        <v>6.671823813323266E-2</v>
      </c>
      <c r="Y32" s="10">
        <f t="shared" si="89"/>
        <v>6.3983024433325109E-4</v>
      </c>
      <c r="Z32" s="10">
        <f t="shared" si="90"/>
        <v>3.8956517985345749E-5</v>
      </c>
      <c r="AA32" s="10">
        <f t="shared" si="91"/>
        <v>6.671823813323266E-2</v>
      </c>
      <c r="AB32" s="10">
        <f t="shared" si="92"/>
        <v>2.1451562302771402E-2</v>
      </c>
      <c r="AC32" s="10">
        <f t="shared" si="93"/>
        <v>2.1451562302771402E-2</v>
      </c>
      <c r="AD32" s="10">
        <f t="shared" si="94"/>
        <v>3.9484432277575284E-3</v>
      </c>
      <c r="AE32" s="10">
        <f t="shared" si="95"/>
        <v>6.6649885851511924E-3</v>
      </c>
      <c r="AF32" s="59">
        <f t="shared" si="96"/>
        <v>6.6649885851511924E-3</v>
      </c>
      <c r="AG32" s="52">
        <f t="shared" si="97"/>
        <v>3.7944232076844537E-3</v>
      </c>
      <c r="AH32" s="10">
        <f t="shared" si="98"/>
        <v>0.10232783513136225</v>
      </c>
      <c r="AI32" s="10">
        <f t="shared" si="99"/>
        <v>1.8964361651846347E-3</v>
      </c>
      <c r="AJ32" s="10">
        <f t="shared" si="100"/>
        <v>1.1011509057840411E-4</v>
      </c>
      <c r="AK32" s="10">
        <f t="shared" si="101"/>
        <v>0.10232783513136225</v>
      </c>
      <c r="AL32" s="10">
        <f t="shared" si="102"/>
        <v>7.5008558424492586E-3</v>
      </c>
      <c r="AM32" s="10">
        <f t="shared" si="103"/>
        <v>7.5008558424492586E-3</v>
      </c>
      <c r="AN32" s="10">
        <f t="shared" si="104"/>
        <v>7.2955448084947678E-3</v>
      </c>
      <c r="AO32" s="10">
        <f t="shared" si="105"/>
        <v>7.8027643509765753E-3</v>
      </c>
      <c r="AP32" s="59">
        <f t="shared" si="106"/>
        <v>7.8027643509765753E-3</v>
      </c>
      <c r="AQ32" s="148">
        <f t="shared" si="107"/>
        <v>9.4E-2</v>
      </c>
      <c r="AR32" s="10">
        <f t="shared" si="108"/>
        <v>0.11899999999999999</v>
      </c>
      <c r="AS32" s="10">
        <f t="shared" si="109"/>
        <v>0.107</v>
      </c>
      <c r="AT32" s="24">
        <f t="shared" si="110"/>
        <v>0.63</v>
      </c>
      <c r="AU32" s="24">
        <f t="shared" si="111"/>
        <v>0.79</v>
      </c>
      <c r="AV32" s="24">
        <f t="shared" si="112"/>
        <v>0.71</v>
      </c>
      <c r="AW32" s="25">
        <f t="shared" si="113"/>
        <v>5</v>
      </c>
      <c r="AX32" s="25">
        <f t="shared" si="114"/>
        <v>4</v>
      </c>
      <c r="AY32" s="25">
        <f t="shared" si="115"/>
        <v>4</v>
      </c>
    </row>
    <row r="33" spans="1:51" s="69" customFormat="1">
      <c r="A33" s="66">
        <v>14071</v>
      </c>
      <c r="B33" s="66" t="s">
        <v>114</v>
      </c>
      <c r="C33" s="61" t="str">
        <f>Rollover!A33</f>
        <v>Nissan</v>
      </c>
      <c r="D33" s="61" t="str">
        <f>Rollover!B33</f>
        <v>Frontier Crew Cab PU/CC RWD</v>
      </c>
      <c r="E33" s="150" t="s">
        <v>99</v>
      </c>
      <c r="F33" s="172">
        <f>Rollover!C33</f>
        <v>2022</v>
      </c>
      <c r="G33" s="27">
        <v>371.339</v>
      </c>
      <c r="H33" s="28">
        <v>0.28599999999999998</v>
      </c>
      <c r="I33" s="28">
        <v>1601.489</v>
      </c>
      <c r="J33" s="28">
        <v>657.77200000000005</v>
      </c>
      <c r="K33" s="28">
        <v>33.563000000000002</v>
      </c>
      <c r="L33" s="28">
        <v>42.268999999999998</v>
      </c>
      <c r="M33" s="28">
        <v>2573.1109999999999</v>
      </c>
      <c r="N33" s="29">
        <v>3519.74</v>
      </c>
      <c r="O33" s="27">
        <v>407.26299999999998</v>
      </c>
      <c r="P33" s="28">
        <v>0.32500000000000001</v>
      </c>
      <c r="Q33" s="28">
        <v>1149.2850000000001</v>
      </c>
      <c r="R33" s="28">
        <v>620.93799999999999</v>
      </c>
      <c r="S33" s="28">
        <v>17.488</v>
      </c>
      <c r="T33" s="28">
        <v>46.43</v>
      </c>
      <c r="U33" s="28">
        <v>1705.048</v>
      </c>
      <c r="V33" s="56">
        <v>1156.2909999999999</v>
      </c>
      <c r="W33" s="52">
        <f t="shared" si="87"/>
        <v>1.9009799273522244E-2</v>
      </c>
      <c r="X33" s="10">
        <f t="shared" si="88"/>
        <v>6.5142118363650386E-2</v>
      </c>
      <c r="Y33" s="10">
        <f t="shared" si="89"/>
        <v>7.6799148544210859E-4</v>
      </c>
      <c r="Z33" s="10">
        <f t="shared" si="90"/>
        <v>8.1706809647929016E-5</v>
      </c>
      <c r="AA33" s="10">
        <f t="shared" si="91"/>
        <v>6.5142118363650386E-2</v>
      </c>
      <c r="AB33" s="10">
        <f t="shared" si="92"/>
        <v>6.790635753463993E-2</v>
      </c>
      <c r="AC33" s="10">
        <f t="shared" si="93"/>
        <v>6.790635753463993E-2</v>
      </c>
      <c r="AD33" s="10">
        <f t="shared" si="94"/>
        <v>1.1453826063877721E-2</v>
      </c>
      <c r="AE33" s="10">
        <f t="shared" si="95"/>
        <v>1.8595901442470086E-2</v>
      </c>
      <c r="AF33" s="59">
        <f t="shared" si="96"/>
        <v>1.8595901442470086E-2</v>
      </c>
      <c r="AG33" s="52">
        <f t="shared" si="97"/>
        <v>2.5596933283533095E-2</v>
      </c>
      <c r="AH33" s="10">
        <f t="shared" si="98"/>
        <v>6.9977175742497996E-2</v>
      </c>
      <c r="AI33" s="10">
        <f t="shared" si="99"/>
        <v>1.3247636776356059E-3</v>
      </c>
      <c r="AJ33" s="10">
        <f t="shared" si="100"/>
        <v>1.8095815983828537E-4</v>
      </c>
      <c r="AK33" s="10">
        <f t="shared" si="101"/>
        <v>6.9977175742497996E-2</v>
      </c>
      <c r="AL33" s="10">
        <f t="shared" si="102"/>
        <v>1.6234656509502218E-2</v>
      </c>
      <c r="AM33" s="10">
        <f t="shared" si="103"/>
        <v>1.6234656509502218E-2</v>
      </c>
      <c r="AN33" s="10">
        <f t="shared" si="104"/>
        <v>1.1032413572141355E-2</v>
      </c>
      <c r="AO33" s="10">
        <f t="shared" si="105"/>
        <v>7.2900951215691123E-3</v>
      </c>
      <c r="AP33" s="59">
        <f t="shared" si="106"/>
        <v>1.1032413572141355E-2</v>
      </c>
      <c r="AQ33" s="148">
        <f t="shared" si="107"/>
        <v>0.161</v>
      </c>
      <c r="AR33" s="10">
        <f t="shared" si="108"/>
        <v>0.11799999999999999</v>
      </c>
      <c r="AS33" s="10">
        <f t="shared" si="109"/>
        <v>0.14000000000000001</v>
      </c>
      <c r="AT33" s="24">
        <f t="shared" si="110"/>
        <v>1.07</v>
      </c>
      <c r="AU33" s="24">
        <f t="shared" si="111"/>
        <v>0.79</v>
      </c>
      <c r="AV33" s="24">
        <f t="shared" si="112"/>
        <v>0.93</v>
      </c>
      <c r="AW33" s="25">
        <f t="shared" si="113"/>
        <v>3</v>
      </c>
      <c r="AX33" s="25">
        <f t="shared" si="114"/>
        <v>4</v>
      </c>
      <c r="AY33" s="25">
        <f t="shared" si="115"/>
        <v>4</v>
      </c>
    </row>
    <row r="34" spans="1:51" s="69" customFormat="1">
      <c r="A34" s="40">
        <v>14071</v>
      </c>
      <c r="B34" s="40" t="s">
        <v>114</v>
      </c>
      <c r="C34" s="61" t="str">
        <f>Rollover!A34</f>
        <v>Nissan</v>
      </c>
      <c r="D34" s="61" t="str">
        <f>Rollover!B34</f>
        <v>Frontier Crew Cab PU/CC 4WD</v>
      </c>
      <c r="E34" s="150" t="s">
        <v>99</v>
      </c>
      <c r="F34" s="172">
        <f>Rollover!C34</f>
        <v>2022</v>
      </c>
      <c r="G34" s="18">
        <v>371.339</v>
      </c>
      <c r="H34" s="19">
        <v>0.28599999999999998</v>
      </c>
      <c r="I34" s="19">
        <v>1601.489</v>
      </c>
      <c r="J34" s="19">
        <v>657.77200000000005</v>
      </c>
      <c r="K34" s="19">
        <v>33.563000000000002</v>
      </c>
      <c r="L34" s="19">
        <v>42.268999999999998</v>
      </c>
      <c r="M34" s="19">
        <v>2573.1109999999999</v>
      </c>
      <c r="N34" s="20">
        <v>3519.74</v>
      </c>
      <c r="O34" s="18">
        <v>407.26299999999998</v>
      </c>
      <c r="P34" s="19">
        <v>0.32500000000000001</v>
      </c>
      <c r="Q34" s="19">
        <v>1149.2850000000001</v>
      </c>
      <c r="R34" s="19">
        <v>620.93799999999999</v>
      </c>
      <c r="S34" s="19">
        <v>17.488</v>
      </c>
      <c r="T34" s="19">
        <v>46.43</v>
      </c>
      <c r="U34" s="19">
        <v>1705.048</v>
      </c>
      <c r="V34" s="51">
        <v>1156.2909999999999</v>
      </c>
      <c r="W34" s="52">
        <f t="shared" si="87"/>
        <v>1.9009799273522244E-2</v>
      </c>
      <c r="X34" s="10">
        <f t="shared" si="88"/>
        <v>6.5142118363650386E-2</v>
      </c>
      <c r="Y34" s="10">
        <f t="shared" si="89"/>
        <v>7.6799148544210859E-4</v>
      </c>
      <c r="Z34" s="10">
        <f t="shared" si="90"/>
        <v>8.1706809647929016E-5</v>
      </c>
      <c r="AA34" s="10">
        <f t="shared" si="91"/>
        <v>6.5142118363650386E-2</v>
      </c>
      <c r="AB34" s="10">
        <f t="shared" si="92"/>
        <v>6.790635753463993E-2</v>
      </c>
      <c r="AC34" s="10">
        <f t="shared" si="93"/>
        <v>6.790635753463993E-2</v>
      </c>
      <c r="AD34" s="10">
        <f t="shared" si="94"/>
        <v>1.1453826063877721E-2</v>
      </c>
      <c r="AE34" s="10">
        <f t="shared" si="95"/>
        <v>1.8595901442470086E-2</v>
      </c>
      <c r="AF34" s="59">
        <f t="shared" si="96"/>
        <v>1.8595901442470086E-2</v>
      </c>
      <c r="AG34" s="52">
        <f t="shared" si="97"/>
        <v>2.5596933283533095E-2</v>
      </c>
      <c r="AH34" s="10">
        <f t="shared" si="98"/>
        <v>6.9977175742497996E-2</v>
      </c>
      <c r="AI34" s="10">
        <f t="shared" si="99"/>
        <v>1.3247636776356059E-3</v>
      </c>
      <c r="AJ34" s="10">
        <f t="shared" si="100"/>
        <v>1.8095815983828537E-4</v>
      </c>
      <c r="AK34" s="10">
        <f t="shared" si="101"/>
        <v>6.9977175742497996E-2</v>
      </c>
      <c r="AL34" s="10">
        <f t="shared" si="102"/>
        <v>1.6234656509502218E-2</v>
      </c>
      <c r="AM34" s="10">
        <f t="shared" si="103"/>
        <v>1.6234656509502218E-2</v>
      </c>
      <c r="AN34" s="10">
        <f t="shared" si="104"/>
        <v>1.1032413572141355E-2</v>
      </c>
      <c r="AO34" s="10">
        <f t="shared" si="105"/>
        <v>7.2900951215691123E-3</v>
      </c>
      <c r="AP34" s="59">
        <f t="shared" si="106"/>
        <v>1.1032413572141355E-2</v>
      </c>
      <c r="AQ34" s="148">
        <f t="shared" si="107"/>
        <v>0.161</v>
      </c>
      <c r="AR34" s="10">
        <f t="shared" si="108"/>
        <v>0.11799999999999999</v>
      </c>
      <c r="AS34" s="10">
        <f t="shared" si="109"/>
        <v>0.14000000000000001</v>
      </c>
      <c r="AT34" s="24">
        <f t="shared" si="110"/>
        <v>1.07</v>
      </c>
      <c r="AU34" s="24">
        <f t="shared" si="111"/>
        <v>0.79</v>
      </c>
      <c r="AV34" s="24">
        <f t="shared" si="112"/>
        <v>0.93</v>
      </c>
      <c r="AW34" s="25">
        <f t="shared" si="113"/>
        <v>3</v>
      </c>
      <c r="AX34" s="25">
        <f t="shared" si="114"/>
        <v>4</v>
      </c>
      <c r="AY34" s="25">
        <f t="shared" si="115"/>
        <v>4</v>
      </c>
    </row>
    <row r="35" spans="1:51" s="69" customFormat="1">
      <c r="A35" s="40"/>
      <c r="B35" s="40"/>
      <c r="C35" s="173" t="str">
        <f>Rollover!A35</f>
        <v>Nissan</v>
      </c>
      <c r="D35" s="173" t="str">
        <f>Rollover!B35</f>
        <v>Frontier King Cab PU/EC RWD</v>
      </c>
      <c r="E35" s="150"/>
      <c r="F35" s="172">
        <f>Rollover!C35</f>
        <v>2022</v>
      </c>
      <c r="G35" s="18"/>
      <c r="H35" s="19"/>
      <c r="I35" s="19"/>
      <c r="J35" s="19"/>
      <c r="K35" s="19"/>
      <c r="L35" s="19"/>
      <c r="M35" s="19"/>
      <c r="N35" s="20"/>
      <c r="O35" s="18"/>
      <c r="P35" s="19"/>
      <c r="Q35" s="19"/>
      <c r="R35" s="19"/>
      <c r="S35" s="19"/>
      <c r="T35" s="19"/>
      <c r="U35" s="19"/>
      <c r="V35" s="51"/>
      <c r="W35" s="52" t="e">
        <f t="shared" si="87"/>
        <v>#NUM!</v>
      </c>
      <c r="X35" s="10">
        <f t="shared" si="88"/>
        <v>3.8165882958950202E-2</v>
      </c>
      <c r="Y35" s="10">
        <f t="shared" si="89"/>
        <v>1.713277721572889E-5</v>
      </c>
      <c r="Z35" s="10">
        <f t="shared" si="90"/>
        <v>1.713277721572889E-5</v>
      </c>
      <c r="AA35" s="10">
        <f t="shared" si="91"/>
        <v>3.8165882958950202E-2</v>
      </c>
      <c r="AB35" s="10">
        <f t="shared" si="92"/>
        <v>2.6306978617002889E-5</v>
      </c>
      <c r="AC35" s="10">
        <f t="shared" si="93"/>
        <v>2.6306978617002889E-5</v>
      </c>
      <c r="AD35" s="10">
        <f t="shared" si="94"/>
        <v>3.033802747866758E-3</v>
      </c>
      <c r="AE35" s="10">
        <f t="shared" si="95"/>
        <v>3.033802747866758E-3</v>
      </c>
      <c r="AF35" s="59">
        <f t="shared" si="96"/>
        <v>3.033802747866758E-3</v>
      </c>
      <c r="AG35" s="52" t="e">
        <f t="shared" si="97"/>
        <v>#NUM!</v>
      </c>
      <c r="AH35" s="10">
        <f t="shared" si="98"/>
        <v>3.8165882958950202E-2</v>
      </c>
      <c r="AI35" s="10">
        <f t="shared" si="99"/>
        <v>1.7417808154569238E-5</v>
      </c>
      <c r="AJ35" s="10">
        <f t="shared" si="100"/>
        <v>1.7417808154569238E-5</v>
      </c>
      <c r="AK35" s="10">
        <f t="shared" si="101"/>
        <v>3.8165882958950202E-2</v>
      </c>
      <c r="AL35" s="10">
        <f t="shared" si="102"/>
        <v>2.6306978617002889E-5</v>
      </c>
      <c r="AM35" s="10">
        <f t="shared" si="103"/>
        <v>2.6306978617002889E-5</v>
      </c>
      <c r="AN35" s="10">
        <f t="shared" si="104"/>
        <v>3.033802747866758E-3</v>
      </c>
      <c r="AO35" s="10">
        <f t="shared" si="105"/>
        <v>3.033802747866758E-3</v>
      </c>
      <c r="AP35" s="59">
        <f t="shared" si="106"/>
        <v>3.033802747866758E-3</v>
      </c>
      <c r="AQ35" s="148" t="e">
        <f t="shared" si="107"/>
        <v>#NUM!</v>
      </c>
      <c r="AR35" s="10" t="e">
        <f t="shared" si="108"/>
        <v>#NUM!</v>
      </c>
      <c r="AS35" s="10" t="e">
        <f t="shared" si="109"/>
        <v>#NUM!</v>
      </c>
      <c r="AT35" s="24" t="e">
        <f t="shared" si="110"/>
        <v>#NUM!</v>
      </c>
      <c r="AU35" s="24" t="e">
        <f t="shared" si="111"/>
        <v>#NUM!</v>
      </c>
      <c r="AV35" s="24" t="e">
        <f t="shared" si="112"/>
        <v>#NUM!</v>
      </c>
      <c r="AW35" s="25" t="e">
        <f t="shared" si="113"/>
        <v>#NUM!</v>
      </c>
      <c r="AX35" s="25" t="e">
        <f t="shared" si="114"/>
        <v>#NUM!</v>
      </c>
      <c r="AY35" s="25" t="e">
        <f t="shared" si="115"/>
        <v>#NUM!</v>
      </c>
    </row>
    <row r="36" spans="1:51" s="69" customFormat="1">
      <c r="A36" s="40"/>
      <c r="B36" s="40"/>
      <c r="C36" s="173" t="str">
        <f>Rollover!A36</f>
        <v>Nissan</v>
      </c>
      <c r="D36" s="173" t="str">
        <f>Rollover!B36</f>
        <v>Frontier King Cab PU/EC 4WD</v>
      </c>
      <c r="E36" s="150"/>
      <c r="F36" s="172">
        <f>Rollover!C36</f>
        <v>2022</v>
      </c>
      <c r="G36" s="18"/>
      <c r="H36" s="19"/>
      <c r="I36" s="19"/>
      <c r="J36" s="19"/>
      <c r="K36" s="19"/>
      <c r="L36" s="19"/>
      <c r="M36" s="19"/>
      <c r="N36" s="20"/>
      <c r="O36" s="18"/>
      <c r="P36" s="19"/>
      <c r="Q36" s="19"/>
      <c r="R36" s="19"/>
      <c r="S36" s="19"/>
      <c r="T36" s="19"/>
      <c r="U36" s="19"/>
      <c r="V36" s="51"/>
      <c r="W36" s="52" t="e">
        <f t="shared" si="87"/>
        <v>#NUM!</v>
      </c>
      <c r="X36" s="10">
        <f t="shared" si="88"/>
        <v>3.8165882958950202E-2</v>
      </c>
      <c r="Y36" s="10">
        <f t="shared" si="89"/>
        <v>1.713277721572889E-5</v>
      </c>
      <c r="Z36" s="10">
        <f t="shared" si="90"/>
        <v>1.713277721572889E-5</v>
      </c>
      <c r="AA36" s="10">
        <f t="shared" si="91"/>
        <v>3.8165882958950202E-2</v>
      </c>
      <c r="AB36" s="10">
        <f t="shared" si="92"/>
        <v>2.6306978617002889E-5</v>
      </c>
      <c r="AC36" s="10">
        <f t="shared" si="93"/>
        <v>2.6306978617002889E-5</v>
      </c>
      <c r="AD36" s="10">
        <f t="shared" si="94"/>
        <v>3.033802747866758E-3</v>
      </c>
      <c r="AE36" s="10">
        <f t="shared" si="95"/>
        <v>3.033802747866758E-3</v>
      </c>
      <c r="AF36" s="59">
        <f t="shared" si="96"/>
        <v>3.033802747866758E-3</v>
      </c>
      <c r="AG36" s="52" t="e">
        <f t="shared" si="97"/>
        <v>#NUM!</v>
      </c>
      <c r="AH36" s="10">
        <f t="shared" si="98"/>
        <v>3.8165882958950202E-2</v>
      </c>
      <c r="AI36" s="10">
        <f t="shared" si="99"/>
        <v>1.7417808154569238E-5</v>
      </c>
      <c r="AJ36" s="10">
        <f t="shared" si="100"/>
        <v>1.7417808154569238E-5</v>
      </c>
      <c r="AK36" s="10">
        <f t="shared" si="101"/>
        <v>3.8165882958950202E-2</v>
      </c>
      <c r="AL36" s="10">
        <f t="shared" si="102"/>
        <v>2.6306978617002889E-5</v>
      </c>
      <c r="AM36" s="10">
        <f t="shared" si="103"/>
        <v>2.6306978617002889E-5</v>
      </c>
      <c r="AN36" s="10">
        <f t="shared" si="104"/>
        <v>3.033802747866758E-3</v>
      </c>
      <c r="AO36" s="10">
        <f t="shared" si="105"/>
        <v>3.033802747866758E-3</v>
      </c>
      <c r="AP36" s="59">
        <f t="shared" si="106"/>
        <v>3.033802747866758E-3</v>
      </c>
      <c r="AQ36" s="148" t="e">
        <f t="shared" si="107"/>
        <v>#NUM!</v>
      </c>
      <c r="AR36" s="10" t="e">
        <f t="shared" si="108"/>
        <v>#NUM!</v>
      </c>
      <c r="AS36" s="10" t="e">
        <f t="shared" si="109"/>
        <v>#NUM!</v>
      </c>
      <c r="AT36" s="24" t="e">
        <f t="shared" si="110"/>
        <v>#NUM!</v>
      </c>
      <c r="AU36" s="24" t="e">
        <f t="shared" si="111"/>
        <v>#NUM!</v>
      </c>
      <c r="AV36" s="24" t="e">
        <f t="shared" si="112"/>
        <v>#NUM!</v>
      </c>
      <c r="AW36" s="25" t="e">
        <f t="shared" si="113"/>
        <v>#NUM!</v>
      </c>
      <c r="AX36" s="25" t="e">
        <f t="shared" si="114"/>
        <v>#NUM!</v>
      </c>
      <c r="AY36" s="25" t="e">
        <f t="shared" si="115"/>
        <v>#NUM!</v>
      </c>
    </row>
    <row r="37" spans="1:51" s="69" customFormat="1">
      <c r="A37" s="65">
        <v>14081</v>
      </c>
      <c r="B37" s="150" t="s">
        <v>115</v>
      </c>
      <c r="C37" s="61" t="str">
        <f>Rollover!A37</f>
        <v>Nissan</v>
      </c>
      <c r="D37" s="61" t="str">
        <f>Rollover!B37</f>
        <v>Rogue AWD (Later Release)</v>
      </c>
      <c r="E37" s="150" t="s">
        <v>99</v>
      </c>
      <c r="F37" s="172">
        <f>Rollover!C37</f>
        <v>2022</v>
      </c>
      <c r="G37" s="18">
        <v>261.46699999999998</v>
      </c>
      <c r="H37" s="19">
        <v>0.33</v>
      </c>
      <c r="I37" s="19">
        <v>1793.4770000000001</v>
      </c>
      <c r="J37" s="19">
        <v>239.64099999999999</v>
      </c>
      <c r="K37" s="19">
        <v>30.548999999999999</v>
      </c>
      <c r="L37" s="19">
        <v>49.070999999999998</v>
      </c>
      <c r="M37" s="19">
        <v>311.67599999999999</v>
      </c>
      <c r="N37" s="20">
        <v>1041.32</v>
      </c>
      <c r="O37" s="18">
        <v>318.584</v>
      </c>
      <c r="P37" s="19">
        <v>0.373</v>
      </c>
      <c r="Q37" s="19">
        <v>858.29399999999998</v>
      </c>
      <c r="R37" s="19">
        <v>458.87900000000002</v>
      </c>
      <c r="S37" s="19">
        <v>14.691000000000001</v>
      </c>
      <c r="T37" s="19">
        <v>44.387</v>
      </c>
      <c r="U37" s="19">
        <v>2139.0320000000002</v>
      </c>
      <c r="V37" s="51">
        <v>1389.5060000000001</v>
      </c>
      <c r="W37" s="52">
        <f t="shared" ref="W37:W38" si="116">NORMDIST(LN(G37),7.45231,0.73998,1)</f>
        <v>5.4059514546112106E-3</v>
      </c>
      <c r="X37" s="10">
        <f t="shared" ref="X37:X38" si="117">1/(1+EXP(3.2269-1.9688*H37))</f>
        <v>7.0620545191386414E-2</v>
      </c>
      <c r="Y37" s="10">
        <f t="shared" ref="Y37:Y38" si="118">1/(1+EXP(10.9745-2.375*I37/1000))</f>
        <v>1.2111269539074054E-3</v>
      </c>
      <c r="Z37" s="10">
        <f t="shared" ref="Z37:Z38" si="119">1/(1+EXP(10.9745-2.375*J37/1000))</f>
        <v>3.0269108269961157E-5</v>
      </c>
      <c r="AA37" s="10">
        <f t="shared" ref="AA37:AA38" si="120">MAX(X37,Y37,Z37)</f>
        <v>7.0620545191386414E-2</v>
      </c>
      <c r="AB37" s="10">
        <f t="shared" ref="AB37:AB38" si="121">1/(1+EXP(12.597-0.05861*35-1.568*(K37^0.4612)))</f>
        <v>4.9457746091050719E-2</v>
      </c>
      <c r="AC37" s="10">
        <f t="shared" ref="AC37:AC38" si="122">AB37</f>
        <v>4.9457746091050719E-2</v>
      </c>
      <c r="AD37" s="10">
        <f t="shared" ref="AD37:AD38" si="123">1/(1+EXP(5.7949-0.5196*M37/1000))</f>
        <v>3.5652369632612302E-3</v>
      </c>
      <c r="AE37" s="10">
        <f t="shared" ref="AE37:AE38" si="124">1/(1+EXP(5.7949-0.5196*N37/1000))</f>
        <v>5.2002739585628342E-3</v>
      </c>
      <c r="AF37" s="59">
        <f t="shared" ref="AF37:AF38" si="125">MAX(AD37,AE37)</f>
        <v>5.2002739585628342E-3</v>
      </c>
      <c r="AG37" s="52">
        <f t="shared" ref="AG37:AG38" si="126">NORMDIST(LN(O37),7.45231,0.73998,1)</f>
        <v>1.1253071669996666E-2</v>
      </c>
      <c r="AH37" s="10">
        <f t="shared" ref="AH37:AH38" si="127">1/(1+EXP(3.2269-1.9688*P37))</f>
        <v>7.6382980614905518E-2</v>
      </c>
      <c r="AI37" s="10">
        <f t="shared" ref="AI37:AI38" si="128">1/(1+EXP(10.958-3.77*Q37/1000))</f>
        <v>4.4267513206341539E-4</v>
      </c>
      <c r="AJ37" s="10">
        <f t="shared" ref="AJ37:AJ38" si="129">1/(1+EXP(10.958-3.77*R37/1000))</f>
        <v>9.8237316259710763E-5</v>
      </c>
      <c r="AK37" s="10">
        <f t="shared" ref="AK37:AK38" si="130">MAX(AH37,AI37,AJ37)</f>
        <v>7.6382980614905518E-2</v>
      </c>
      <c r="AL37" s="10">
        <f t="shared" ref="AL37:AL38" si="131">1/(1+EXP(12.597-0.05861*35-1.568*((S37/0.817)^0.4612)))</f>
        <v>9.9348217753650672E-3</v>
      </c>
      <c r="AM37" s="10">
        <f t="shared" ref="AM37:AM38" si="132">AL37</f>
        <v>9.9348217753650672E-3</v>
      </c>
      <c r="AN37" s="10">
        <f t="shared" ref="AN37:AN38" si="133">1/(1+EXP(5.7949-0.7619*U37/1000))</f>
        <v>1.5289648327492564E-2</v>
      </c>
      <c r="AO37" s="10">
        <f t="shared" ref="AO37:AO38" si="134">1/(1+EXP(5.7949-0.7619*V37/1000))</f>
        <v>8.6953338399212467E-3</v>
      </c>
      <c r="AP37" s="59">
        <f t="shared" ref="AP37:AP38" si="135">MAX(AN37,AO37)</f>
        <v>1.5289648327492564E-2</v>
      </c>
      <c r="AQ37" s="148">
        <f t="shared" ref="AQ37:AQ38" si="136">ROUND(1-(1-W37)*(1-AA37)*(1-AC37)*(1-AF37),3)</f>
        <v>0.126</v>
      </c>
      <c r="AR37" s="10">
        <f t="shared" ref="AR37:AR38" si="137">ROUND(1-(1-AG37)*(1-AK37)*(1-AM37)*(1-AP37),3)</f>
        <v>0.11</v>
      </c>
      <c r="AS37" s="10">
        <f t="shared" ref="AS37:AS38" si="138">ROUND(AVERAGE(AR37,AQ37),3)</f>
        <v>0.11799999999999999</v>
      </c>
      <c r="AT37" s="24">
        <f t="shared" ref="AT37:AT38" si="139">ROUND(AQ37/0.15,2)</f>
        <v>0.84</v>
      </c>
      <c r="AU37" s="24">
        <f t="shared" ref="AU37:AU38" si="140">ROUND(AR37/0.15,2)</f>
        <v>0.73</v>
      </c>
      <c r="AV37" s="24">
        <f t="shared" ref="AV37:AV38" si="141">ROUND(AS37/0.15,2)</f>
        <v>0.79</v>
      </c>
      <c r="AW37" s="25">
        <f t="shared" ref="AW37:AW38" si="142">IF(AT37&lt;0.67,5,IF(AT37&lt;1,4,IF(AT37&lt;1.33,3,IF(AT37&lt;2.67,2,1))))</f>
        <v>4</v>
      </c>
      <c r="AX37" s="25">
        <f t="shared" ref="AX37:AX38" si="143">IF(AU37&lt;0.67,5,IF(AU37&lt;1,4,IF(AU37&lt;1.33,3,IF(AU37&lt;2.67,2,1))))</f>
        <v>4</v>
      </c>
      <c r="AY37" s="25">
        <f t="shared" ref="AY37:AY38" si="144">IF(AV37&lt;0.67,5,IF(AV37&lt;1,4,IF(AV37&lt;1.33,3,IF(AV37&lt;2.67,2,1))))</f>
        <v>4</v>
      </c>
    </row>
    <row r="38" spans="1:51" s="69" customFormat="1">
      <c r="A38" s="65">
        <v>14081</v>
      </c>
      <c r="B38" s="150" t="s">
        <v>115</v>
      </c>
      <c r="C38" s="173" t="str">
        <f>Rollover!A38</f>
        <v>Nissan</v>
      </c>
      <c r="D38" s="173" t="str">
        <f>Rollover!B38</f>
        <v>Rogue FWD (Later Release)</v>
      </c>
      <c r="E38" s="150" t="s">
        <v>99</v>
      </c>
      <c r="F38" s="172">
        <f>Rollover!C38</f>
        <v>2022</v>
      </c>
      <c r="G38" s="18">
        <v>261.46699999999998</v>
      </c>
      <c r="H38" s="19">
        <v>0.33</v>
      </c>
      <c r="I38" s="19">
        <v>1793.4770000000001</v>
      </c>
      <c r="J38" s="19">
        <v>239.64099999999999</v>
      </c>
      <c r="K38" s="19">
        <v>30.548999999999999</v>
      </c>
      <c r="L38" s="19">
        <v>49.070999999999998</v>
      </c>
      <c r="M38" s="19">
        <v>311.67599999999999</v>
      </c>
      <c r="N38" s="20">
        <v>1041.32</v>
      </c>
      <c r="O38" s="18">
        <v>318.584</v>
      </c>
      <c r="P38" s="19">
        <v>0.373</v>
      </c>
      <c r="Q38" s="19">
        <v>858.29399999999998</v>
      </c>
      <c r="R38" s="19">
        <v>458.87900000000002</v>
      </c>
      <c r="S38" s="19">
        <v>14.691000000000001</v>
      </c>
      <c r="T38" s="19">
        <v>44.387</v>
      </c>
      <c r="U38" s="19">
        <v>2139.0320000000002</v>
      </c>
      <c r="V38" s="51">
        <v>1389.5060000000001</v>
      </c>
      <c r="W38" s="52">
        <f t="shared" si="116"/>
        <v>5.4059514546112106E-3</v>
      </c>
      <c r="X38" s="10">
        <f t="shared" si="117"/>
        <v>7.0620545191386414E-2</v>
      </c>
      <c r="Y38" s="10">
        <f t="shared" si="118"/>
        <v>1.2111269539074054E-3</v>
      </c>
      <c r="Z38" s="10">
        <f t="shared" si="119"/>
        <v>3.0269108269961157E-5</v>
      </c>
      <c r="AA38" s="10">
        <f t="shared" si="120"/>
        <v>7.0620545191386414E-2</v>
      </c>
      <c r="AB38" s="10">
        <f t="shared" si="121"/>
        <v>4.9457746091050719E-2</v>
      </c>
      <c r="AC38" s="10">
        <f t="shared" si="122"/>
        <v>4.9457746091050719E-2</v>
      </c>
      <c r="AD38" s="10">
        <f t="shared" si="123"/>
        <v>3.5652369632612302E-3</v>
      </c>
      <c r="AE38" s="10">
        <f t="shared" si="124"/>
        <v>5.2002739585628342E-3</v>
      </c>
      <c r="AF38" s="59">
        <f t="shared" si="125"/>
        <v>5.2002739585628342E-3</v>
      </c>
      <c r="AG38" s="52">
        <f t="shared" si="126"/>
        <v>1.1253071669996666E-2</v>
      </c>
      <c r="AH38" s="10">
        <f t="shared" si="127"/>
        <v>7.6382980614905518E-2</v>
      </c>
      <c r="AI38" s="10">
        <f t="shared" si="128"/>
        <v>4.4267513206341539E-4</v>
      </c>
      <c r="AJ38" s="10">
        <f t="shared" si="129"/>
        <v>9.8237316259710763E-5</v>
      </c>
      <c r="AK38" s="10">
        <f t="shared" si="130"/>
        <v>7.6382980614905518E-2</v>
      </c>
      <c r="AL38" s="10">
        <f t="shared" si="131"/>
        <v>9.9348217753650672E-3</v>
      </c>
      <c r="AM38" s="10">
        <f t="shared" si="132"/>
        <v>9.9348217753650672E-3</v>
      </c>
      <c r="AN38" s="10">
        <f t="shared" si="133"/>
        <v>1.5289648327492564E-2</v>
      </c>
      <c r="AO38" s="10">
        <f t="shared" si="134"/>
        <v>8.6953338399212467E-3</v>
      </c>
      <c r="AP38" s="59">
        <f t="shared" si="135"/>
        <v>1.5289648327492564E-2</v>
      </c>
      <c r="AQ38" s="148">
        <f t="shared" si="136"/>
        <v>0.126</v>
      </c>
      <c r="AR38" s="10">
        <f t="shared" si="137"/>
        <v>0.11</v>
      </c>
      <c r="AS38" s="10">
        <f t="shared" si="138"/>
        <v>0.11799999999999999</v>
      </c>
      <c r="AT38" s="24">
        <f t="shared" si="139"/>
        <v>0.84</v>
      </c>
      <c r="AU38" s="24">
        <f t="shared" si="140"/>
        <v>0.73</v>
      </c>
      <c r="AV38" s="24">
        <f t="shared" si="141"/>
        <v>0.79</v>
      </c>
      <c r="AW38" s="25">
        <f t="shared" si="142"/>
        <v>4</v>
      </c>
      <c r="AX38" s="25">
        <f t="shared" si="143"/>
        <v>4</v>
      </c>
      <c r="AY38" s="25">
        <f t="shared" si="144"/>
        <v>4</v>
      </c>
    </row>
    <row r="39" spans="1:51" s="69" customFormat="1">
      <c r="A39" s="66">
        <v>14084</v>
      </c>
      <c r="B39" s="66" t="s">
        <v>116</v>
      </c>
      <c r="C39" s="61" t="str">
        <f>Rollover!A39</f>
        <v>Volkswagen</v>
      </c>
      <c r="D39" s="61" t="str">
        <f>Rollover!B39</f>
        <v>Jetta 4DR FWD</v>
      </c>
      <c r="E39" s="150" t="s">
        <v>101</v>
      </c>
      <c r="F39" s="172">
        <f>Rollover!C39</f>
        <v>2022</v>
      </c>
      <c r="G39" s="18">
        <v>277.79300000000001</v>
      </c>
      <c r="H39" s="19">
        <v>0.29799999999999999</v>
      </c>
      <c r="I39" s="19">
        <v>1208.7180000000001</v>
      </c>
      <c r="J39" s="19">
        <v>253.67599999999999</v>
      </c>
      <c r="K39" s="19">
        <v>31.189</v>
      </c>
      <c r="L39" s="19">
        <v>46.527000000000001</v>
      </c>
      <c r="M39" s="19">
        <v>526.82799999999997</v>
      </c>
      <c r="N39" s="20">
        <v>449.30500000000001</v>
      </c>
      <c r="O39" s="18">
        <v>231.76900000000001</v>
      </c>
      <c r="P39" s="19">
        <v>0.41799999999999998</v>
      </c>
      <c r="Q39" s="19">
        <v>589.48400000000004</v>
      </c>
      <c r="R39" s="19">
        <v>603.65700000000004</v>
      </c>
      <c r="S39" s="19">
        <v>17.715</v>
      </c>
      <c r="T39" s="19">
        <v>53.201999999999998</v>
      </c>
      <c r="U39" s="19">
        <v>1914.144</v>
      </c>
      <c r="V39" s="51">
        <v>664.49400000000003</v>
      </c>
      <c r="W39" s="52">
        <f t="shared" ref="W39:W42" si="145">NORMDIST(LN(G39),7.45231,0.73998,1)</f>
        <v>6.8150094358959265E-3</v>
      </c>
      <c r="X39" s="10">
        <f t="shared" ref="X39:X42" si="146">1/(1+EXP(3.2269-1.9688*H39))</f>
        <v>6.6595751557450455E-2</v>
      </c>
      <c r="Y39" s="10">
        <f t="shared" ref="Y39:Y42" si="147">1/(1+EXP(10.9745-2.375*I39/1000))</f>
        <v>3.0229805392693854E-4</v>
      </c>
      <c r="Z39" s="10">
        <f t="shared" ref="Z39:Z42" si="148">1/(1+EXP(10.9745-2.375*J39/1000))</f>
        <v>3.1295044503192971E-5</v>
      </c>
      <c r="AA39" s="10">
        <f t="shared" ref="AA39:AA42" si="149">MAX(X39,Y39,Z39)</f>
        <v>6.6595751557450455E-2</v>
      </c>
      <c r="AB39" s="10">
        <f t="shared" ref="AB39:AB42" si="150">1/(1+EXP(12.597-0.05861*35-1.568*(K39^0.4612)))</f>
        <v>5.3000836910669612E-2</v>
      </c>
      <c r="AC39" s="10">
        <f t="shared" ref="AC39:AC42" si="151">AB39</f>
        <v>5.3000836910669612E-2</v>
      </c>
      <c r="AD39" s="10">
        <f t="shared" ref="AD39:AD42" si="152">1/(1+EXP(5.7949-0.5196*M39/1000))</f>
        <v>3.9852573432588257E-3</v>
      </c>
      <c r="AE39" s="10">
        <f t="shared" ref="AE39:AE42" si="153">1/(1+EXP(5.7949-0.5196*N39/1000))</f>
        <v>3.8285199386140409E-3</v>
      </c>
      <c r="AF39" s="59">
        <f t="shared" ref="AF39:AF42" si="154">MAX(AD39,AE39)</f>
        <v>3.9852573432588257E-3</v>
      </c>
      <c r="AG39" s="52">
        <f t="shared" ref="AG39:AG42" si="155">NORMDIST(LN(O39),7.45231,0.73998,1)</f>
        <v>3.3474341779956883E-3</v>
      </c>
      <c r="AH39" s="10">
        <f t="shared" ref="AH39:AH42" si="156">1/(1+EXP(3.2269-1.9688*P39))</f>
        <v>8.2872623188547781E-2</v>
      </c>
      <c r="AI39" s="10">
        <f t="shared" ref="AI39:AI42" si="157">1/(1+EXP(10.958-3.77*Q39/1000))</f>
        <v>1.6072655397149404E-4</v>
      </c>
      <c r="AJ39" s="10">
        <f t="shared" ref="AJ39:AJ42" si="158">1/(1+EXP(10.958-3.77*R39/1000))</f>
        <v>1.6954661215455433E-4</v>
      </c>
      <c r="AK39" s="10">
        <f t="shared" ref="AK39:AK42" si="159">MAX(AH39,AI39,AJ39)</f>
        <v>8.2872623188547781E-2</v>
      </c>
      <c r="AL39" s="10">
        <f t="shared" ref="AL39:AL42" si="160">1/(1+EXP(12.597-0.05861*35-1.568*((S39/0.817)^0.4612)))</f>
        <v>1.6859936347127784E-2</v>
      </c>
      <c r="AM39" s="10">
        <f t="shared" ref="AM39:AM42" si="161">AL39</f>
        <v>1.6859936347127784E-2</v>
      </c>
      <c r="AN39" s="10">
        <f t="shared" ref="AN39:AN42" si="162">1/(1+EXP(5.7949-0.7619*U39/1000))</f>
        <v>1.2913126687943217E-2</v>
      </c>
      <c r="AO39" s="10">
        <f t="shared" ref="AO39:AO42" si="163">1/(1+EXP(5.7949-0.7619*V39/1000))</f>
        <v>5.0233510312699845E-3</v>
      </c>
      <c r="AP39" s="59">
        <f t="shared" ref="AP39:AP42" si="164">MAX(AN39,AO39)</f>
        <v>1.2913126687943217E-2</v>
      </c>
      <c r="AQ39" s="148">
        <f t="shared" ref="AQ39:AQ42" si="165">ROUND(1-(1-W39)*(1-AA39)*(1-AC39)*(1-AF39),3)</f>
        <v>0.126</v>
      </c>
      <c r="AR39" s="10">
        <f t="shared" ref="AR39:AR42" si="166">ROUND(1-(1-AG39)*(1-AK39)*(1-AM39)*(1-AP39),3)</f>
        <v>0.113</v>
      </c>
      <c r="AS39" s="10">
        <f t="shared" ref="AS39:AS42" si="167">ROUND(AVERAGE(AR39,AQ39),3)</f>
        <v>0.12</v>
      </c>
      <c r="AT39" s="24">
        <f t="shared" ref="AT39:AT42" si="168">ROUND(AQ39/0.15,2)</f>
        <v>0.84</v>
      </c>
      <c r="AU39" s="24">
        <f t="shared" ref="AU39:AU42" si="169">ROUND(AR39/0.15,2)</f>
        <v>0.75</v>
      </c>
      <c r="AV39" s="24">
        <f t="shared" ref="AV39:AV42" si="170">ROUND(AS39/0.15,2)</f>
        <v>0.8</v>
      </c>
      <c r="AW39" s="25">
        <f t="shared" ref="AW39:AW42" si="171">IF(AT39&lt;0.67,5,IF(AT39&lt;1,4,IF(AT39&lt;1.33,3,IF(AT39&lt;2.67,2,1))))</f>
        <v>4</v>
      </c>
      <c r="AX39" s="25">
        <f t="shared" ref="AX39:AX42" si="172">IF(AU39&lt;0.67,5,IF(AU39&lt;1,4,IF(AU39&lt;1.33,3,IF(AU39&lt;2.67,2,1))))</f>
        <v>4</v>
      </c>
      <c r="AY39" s="25">
        <f t="shared" ref="AY39:AY42" si="173">IF(AV39&lt;0.67,5,IF(AV39&lt;1,4,IF(AV39&lt;1.33,3,IF(AV39&lt;2.67,2,1))))</f>
        <v>4</v>
      </c>
    </row>
    <row r="40" spans="1:51" s="69" customFormat="1">
      <c r="A40" s="66">
        <v>14084</v>
      </c>
      <c r="B40" s="66" t="s">
        <v>116</v>
      </c>
      <c r="C40" s="173" t="str">
        <f>Rollover!A40</f>
        <v>Volkswagen</v>
      </c>
      <c r="D40" s="173" t="str">
        <f>Rollover!B40</f>
        <v>Jetta GLI 4DR FWD</v>
      </c>
      <c r="E40" s="150" t="s">
        <v>101</v>
      </c>
      <c r="F40" s="172">
        <f>Rollover!C40</f>
        <v>2022</v>
      </c>
      <c r="G40" s="18">
        <v>277.79300000000001</v>
      </c>
      <c r="H40" s="19">
        <v>0.29799999999999999</v>
      </c>
      <c r="I40" s="19">
        <v>1208.7180000000001</v>
      </c>
      <c r="J40" s="19">
        <v>253.67599999999999</v>
      </c>
      <c r="K40" s="19">
        <v>31.189</v>
      </c>
      <c r="L40" s="19">
        <v>46.527000000000001</v>
      </c>
      <c r="M40" s="19">
        <v>526.82799999999997</v>
      </c>
      <c r="N40" s="20">
        <v>449.30500000000001</v>
      </c>
      <c r="O40" s="18">
        <v>231.76900000000001</v>
      </c>
      <c r="P40" s="19">
        <v>0.41799999999999998</v>
      </c>
      <c r="Q40" s="19">
        <v>589.48400000000004</v>
      </c>
      <c r="R40" s="19">
        <v>603.65700000000004</v>
      </c>
      <c r="S40" s="19">
        <v>17.715</v>
      </c>
      <c r="T40" s="19">
        <v>53.201999999999998</v>
      </c>
      <c r="U40" s="19">
        <v>1914.144</v>
      </c>
      <c r="V40" s="51">
        <v>664.49400000000003</v>
      </c>
      <c r="W40" s="52">
        <f t="shared" si="145"/>
        <v>6.8150094358959265E-3</v>
      </c>
      <c r="X40" s="10">
        <f t="shared" si="146"/>
        <v>6.6595751557450455E-2</v>
      </c>
      <c r="Y40" s="10">
        <f t="shared" si="147"/>
        <v>3.0229805392693854E-4</v>
      </c>
      <c r="Z40" s="10">
        <f t="shared" si="148"/>
        <v>3.1295044503192971E-5</v>
      </c>
      <c r="AA40" s="10">
        <f t="shared" si="149"/>
        <v>6.6595751557450455E-2</v>
      </c>
      <c r="AB40" s="10">
        <f t="shared" si="150"/>
        <v>5.3000836910669612E-2</v>
      </c>
      <c r="AC40" s="10">
        <f t="shared" si="151"/>
        <v>5.3000836910669612E-2</v>
      </c>
      <c r="AD40" s="10">
        <f t="shared" si="152"/>
        <v>3.9852573432588257E-3</v>
      </c>
      <c r="AE40" s="10">
        <f t="shared" si="153"/>
        <v>3.8285199386140409E-3</v>
      </c>
      <c r="AF40" s="59">
        <f t="shared" si="154"/>
        <v>3.9852573432588257E-3</v>
      </c>
      <c r="AG40" s="52">
        <f t="shared" si="155"/>
        <v>3.3474341779956883E-3</v>
      </c>
      <c r="AH40" s="10">
        <f t="shared" si="156"/>
        <v>8.2872623188547781E-2</v>
      </c>
      <c r="AI40" s="10">
        <f t="shared" si="157"/>
        <v>1.6072655397149404E-4</v>
      </c>
      <c r="AJ40" s="10">
        <f t="shared" si="158"/>
        <v>1.6954661215455433E-4</v>
      </c>
      <c r="AK40" s="10">
        <f t="shared" si="159"/>
        <v>8.2872623188547781E-2</v>
      </c>
      <c r="AL40" s="10">
        <f t="shared" si="160"/>
        <v>1.6859936347127784E-2</v>
      </c>
      <c r="AM40" s="10">
        <f t="shared" si="161"/>
        <v>1.6859936347127784E-2</v>
      </c>
      <c r="AN40" s="10">
        <f t="shared" si="162"/>
        <v>1.2913126687943217E-2</v>
      </c>
      <c r="AO40" s="10">
        <f t="shared" si="163"/>
        <v>5.0233510312699845E-3</v>
      </c>
      <c r="AP40" s="59">
        <f t="shared" si="164"/>
        <v>1.2913126687943217E-2</v>
      </c>
      <c r="AQ40" s="148">
        <f t="shared" si="165"/>
        <v>0.126</v>
      </c>
      <c r="AR40" s="10">
        <f t="shared" si="166"/>
        <v>0.113</v>
      </c>
      <c r="AS40" s="10">
        <f t="shared" si="167"/>
        <v>0.12</v>
      </c>
      <c r="AT40" s="24">
        <f t="shared" si="168"/>
        <v>0.84</v>
      </c>
      <c r="AU40" s="24">
        <f t="shared" si="169"/>
        <v>0.75</v>
      </c>
      <c r="AV40" s="24">
        <f t="shared" si="170"/>
        <v>0.8</v>
      </c>
      <c r="AW40" s="25">
        <f t="shared" si="171"/>
        <v>4</v>
      </c>
      <c r="AX40" s="25">
        <f t="shared" si="172"/>
        <v>4</v>
      </c>
      <c r="AY40" s="25">
        <f t="shared" si="173"/>
        <v>4</v>
      </c>
    </row>
    <row r="41" spans="1:51" s="69" customFormat="1">
      <c r="A41" s="66">
        <v>14080</v>
      </c>
      <c r="B41" s="66" t="s">
        <v>117</v>
      </c>
      <c r="C41" s="61" t="str">
        <f>Rollover!A41</f>
        <v>Volkswagen</v>
      </c>
      <c r="D41" s="61" t="str">
        <f>Rollover!B41</f>
        <v>Taos SUV FWD</v>
      </c>
      <c r="E41" s="150" t="s">
        <v>100</v>
      </c>
      <c r="F41" s="172">
        <f>Rollover!C41</f>
        <v>2022</v>
      </c>
      <c r="G41" s="18">
        <v>284.51400000000001</v>
      </c>
      <c r="H41" s="19">
        <v>0.316</v>
      </c>
      <c r="I41" s="19">
        <v>1838.5650000000001</v>
      </c>
      <c r="J41" s="19">
        <v>125.533</v>
      </c>
      <c r="K41" s="19">
        <v>30.853000000000002</v>
      </c>
      <c r="L41" s="19">
        <v>41.908999999999999</v>
      </c>
      <c r="M41" s="19">
        <v>458.37299999999999</v>
      </c>
      <c r="N41" s="20">
        <v>329.13299999999998</v>
      </c>
      <c r="O41" s="18">
        <v>224.17099999999999</v>
      </c>
      <c r="P41" s="19">
        <v>0.45200000000000001</v>
      </c>
      <c r="Q41" s="19">
        <v>601.19600000000003</v>
      </c>
      <c r="R41" s="19">
        <v>919.54200000000003</v>
      </c>
      <c r="S41" s="19">
        <v>19.393999999999998</v>
      </c>
      <c r="T41" s="19">
        <v>42.505000000000003</v>
      </c>
      <c r="U41" s="19">
        <v>2860.0909999999999</v>
      </c>
      <c r="V41" s="51">
        <v>1920.4179999999999</v>
      </c>
      <c r="W41" s="52">
        <f t="shared" si="145"/>
        <v>7.4549029211895251E-3</v>
      </c>
      <c r="X41" s="10">
        <f t="shared" si="146"/>
        <v>6.8832753689576961E-2</v>
      </c>
      <c r="Y41" s="10">
        <f t="shared" si="147"/>
        <v>1.3478333960830404E-3</v>
      </c>
      <c r="Z41" s="10">
        <f t="shared" si="148"/>
        <v>2.3083737123490121E-5</v>
      </c>
      <c r="AA41" s="10">
        <f t="shared" si="149"/>
        <v>6.8832753689576961E-2</v>
      </c>
      <c r="AB41" s="10">
        <f t="shared" si="150"/>
        <v>5.111674202198864E-2</v>
      </c>
      <c r="AC41" s="10">
        <f t="shared" si="151"/>
        <v>5.111674202198864E-2</v>
      </c>
      <c r="AD41" s="10">
        <f t="shared" si="152"/>
        <v>3.8465319146237858E-3</v>
      </c>
      <c r="AE41" s="10">
        <f t="shared" si="153"/>
        <v>3.5976062458476423E-3</v>
      </c>
      <c r="AF41" s="59">
        <f t="shared" si="154"/>
        <v>3.8465319146237858E-3</v>
      </c>
      <c r="AG41" s="52">
        <f t="shared" si="155"/>
        <v>2.9194190368977725E-3</v>
      </c>
      <c r="AH41" s="10">
        <f t="shared" si="156"/>
        <v>8.8104451008852031E-2</v>
      </c>
      <c r="AI41" s="10">
        <f t="shared" si="157"/>
        <v>1.6798110162565108E-4</v>
      </c>
      <c r="AJ41" s="10">
        <f t="shared" si="158"/>
        <v>5.5759124115695483E-4</v>
      </c>
      <c r="AK41" s="10">
        <f t="shared" si="159"/>
        <v>8.8104451008852031E-2</v>
      </c>
      <c r="AL41" s="10">
        <f t="shared" si="160"/>
        <v>2.2107856398340054E-2</v>
      </c>
      <c r="AM41" s="10">
        <f t="shared" si="161"/>
        <v>2.2107856398340054E-2</v>
      </c>
      <c r="AN41" s="10">
        <f t="shared" si="162"/>
        <v>2.6191068313961167E-2</v>
      </c>
      <c r="AO41" s="10">
        <f t="shared" si="163"/>
        <v>1.2974198501599919E-2</v>
      </c>
      <c r="AP41" s="59">
        <f t="shared" si="164"/>
        <v>2.6191068313961167E-2</v>
      </c>
      <c r="AQ41" s="148">
        <f t="shared" si="165"/>
        <v>0.126</v>
      </c>
      <c r="AR41" s="10">
        <f t="shared" si="166"/>
        <v>0.13400000000000001</v>
      </c>
      <c r="AS41" s="10">
        <f t="shared" si="167"/>
        <v>0.13</v>
      </c>
      <c r="AT41" s="24">
        <f t="shared" si="168"/>
        <v>0.84</v>
      </c>
      <c r="AU41" s="24">
        <f t="shared" si="169"/>
        <v>0.89</v>
      </c>
      <c r="AV41" s="24">
        <f t="shared" si="170"/>
        <v>0.87</v>
      </c>
      <c r="AW41" s="25">
        <f t="shared" si="171"/>
        <v>4</v>
      </c>
      <c r="AX41" s="25">
        <f t="shared" si="172"/>
        <v>4</v>
      </c>
      <c r="AY41" s="25">
        <f t="shared" si="173"/>
        <v>4</v>
      </c>
    </row>
    <row r="42" spans="1:51" s="69" customFormat="1">
      <c r="A42" s="40">
        <v>14080</v>
      </c>
      <c r="B42" s="40" t="s">
        <v>117</v>
      </c>
      <c r="C42" s="61" t="str">
        <f>Rollover!A42</f>
        <v>Volkswagen</v>
      </c>
      <c r="D42" s="61" t="str">
        <f>Rollover!B42</f>
        <v>Taos SUV AWD</v>
      </c>
      <c r="E42" s="150" t="s">
        <v>100</v>
      </c>
      <c r="F42" s="172">
        <f>Rollover!C42</f>
        <v>2022</v>
      </c>
      <c r="G42" s="18">
        <v>284.51400000000001</v>
      </c>
      <c r="H42" s="19">
        <v>0.316</v>
      </c>
      <c r="I42" s="19">
        <v>1838.5650000000001</v>
      </c>
      <c r="J42" s="19">
        <v>125.533</v>
      </c>
      <c r="K42" s="19">
        <v>30.853000000000002</v>
      </c>
      <c r="L42" s="19">
        <v>41.908999999999999</v>
      </c>
      <c r="M42" s="19">
        <v>458.37299999999999</v>
      </c>
      <c r="N42" s="20">
        <v>329.13299999999998</v>
      </c>
      <c r="O42" s="18">
        <v>224.17099999999999</v>
      </c>
      <c r="P42" s="19">
        <v>0.45200000000000001</v>
      </c>
      <c r="Q42" s="19">
        <v>601.19600000000003</v>
      </c>
      <c r="R42" s="19">
        <v>919.54200000000003</v>
      </c>
      <c r="S42" s="19">
        <v>19.393999999999998</v>
      </c>
      <c r="T42" s="19">
        <v>42.505000000000003</v>
      </c>
      <c r="U42" s="19">
        <v>2860.0909999999999</v>
      </c>
      <c r="V42" s="51">
        <v>1920.4179999999999</v>
      </c>
      <c r="W42" s="52">
        <f t="shared" si="145"/>
        <v>7.4549029211895251E-3</v>
      </c>
      <c r="X42" s="10">
        <f t="shared" si="146"/>
        <v>6.8832753689576961E-2</v>
      </c>
      <c r="Y42" s="10">
        <f t="shared" si="147"/>
        <v>1.3478333960830404E-3</v>
      </c>
      <c r="Z42" s="10">
        <f t="shared" si="148"/>
        <v>2.3083737123490121E-5</v>
      </c>
      <c r="AA42" s="10">
        <f t="shared" si="149"/>
        <v>6.8832753689576961E-2</v>
      </c>
      <c r="AB42" s="10">
        <f t="shared" si="150"/>
        <v>5.111674202198864E-2</v>
      </c>
      <c r="AC42" s="10">
        <f t="shared" si="151"/>
        <v>5.111674202198864E-2</v>
      </c>
      <c r="AD42" s="10">
        <f t="shared" si="152"/>
        <v>3.8465319146237858E-3</v>
      </c>
      <c r="AE42" s="10">
        <f t="shared" si="153"/>
        <v>3.5976062458476423E-3</v>
      </c>
      <c r="AF42" s="59">
        <f t="shared" si="154"/>
        <v>3.8465319146237858E-3</v>
      </c>
      <c r="AG42" s="52">
        <f t="shared" si="155"/>
        <v>2.9194190368977725E-3</v>
      </c>
      <c r="AH42" s="10">
        <f t="shared" si="156"/>
        <v>8.8104451008852031E-2</v>
      </c>
      <c r="AI42" s="10">
        <f t="shared" si="157"/>
        <v>1.6798110162565108E-4</v>
      </c>
      <c r="AJ42" s="10">
        <f t="shared" si="158"/>
        <v>5.5759124115695483E-4</v>
      </c>
      <c r="AK42" s="10">
        <f t="shared" si="159"/>
        <v>8.8104451008852031E-2</v>
      </c>
      <c r="AL42" s="10">
        <f t="shared" si="160"/>
        <v>2.2107856398340054E-2</v>
      </c>
      <c r="AM42" s="10">
        <f t="shared" si="161"/>
        <v>2.2107856398340054E-2</v>
      </c>
      <c r="AN42" s="10">
        <f t="shared" si="162"/>
        <v>2.6191068313961167E-2</v>
      </c>
      <c r="AO42" s="10">
        <f t="shared" si="163"/>
        <v>1.2974198501599919E-2</v>
      </c>
      <c r="AP42" s="59">
        <f t="shared" si="164"/>
        <v>2.6191068313961167E-2</v>
      </c>
      <c r="AQ42" s="148">
        <f t="shared" si="165"/>
        <v>0.126</v>
      </c>
      <c r="AR42" s="10">
        <f t="shared" si="166"/>
        <v>0.13400000000000001</v>
      </c>
      <c r="AS42" s="10">
        <f t="shared" si="167"/>
        <v>0.13</v>
      </c>
      <c r="AT42" s="24">
        <f t="shared" si="168"/>
        <v>0.84</v>
      </c>
      <c r="AU42" s="24">
        <f t="shared" si="169"/>
        <v>0.89</v>
      </c>
      <c r="AV42" s="24">
        <f t="shared" si="170"/>
        <v>0.87</v>
      </c>
      <c r="AW42" s="25">
        <f t="shared" si="171"/>
        <v>4</v>
      </c>
      <c r="AX42" s="25">
        <f t="shared" si="172"/>
        <v>4</v>
      </c>
      <c r="AY42" s="25">
        <f t="shared" si="173"/>
        <v>4</v>
      </c>
    </row>
    <row r="43" spans="1:51">
      <c r="A43" s="104"/>
      <c r="B43" s="104"/>
      <c r="C43" s="104"/>
      <c r="D43" s="104"/>
      <c r="E43" s="104"/>
      <c r="F43" s="104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</row>
    <row r="44" spans="1:51">
      <c r="A44" s="104"/>
      <c r="B44" s="104"/>
      <c r="C44" s="104"/>
      <c r="D44" s="104"/>
      <c r="E44" s="104"/>
      <c r="F44" s="104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</row>
    <row r="45" spans="1:51">
      <c r="A45" s="104"/>
      <c r="B45" s="104"/>
      <c r="C45" s="104"/>
      <c r="D45" s="104"/>
      <c r="E45" s="104"/>
      <c r="F45" s="104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</row>
    <row r="46" spans="1:51">
      <c r="A46" s="104"/>
      <c r="B46" s="104"/>
      <c r="C46" s="104"/>
      <c r="D46" s="104"/>
      <c r="E46" s="104"/>
      <c r="F46" s="104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</row>
    <row r="47" spans="1:51">
      <c r="A47" s="104"/>
      <c r="B47" s="104"/>
      <c r="C47" s="104"/>
      <c r="D47" s="104"/>
      <c r="E47" s="104"/>
      <c r="F47" s="104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</row>
    <row r="48" spans="1:51">
      <c r="A48" s="185"/>
      <c r="B48" s="185"/>
      <c r="C48" s="104"/>
      <c r="D48" s="104"/>
      <c r="E48" s="104"/>
      <c r="F48" s="104"/>
      <c r="G48" s="181"/>
      <c r="H48" s="181"/>
      <c r="I48" s="181"/>
      <c r="J48" s="181"/>
      <c r="K48" s="181"/>
      <c r="L48" s="186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47"/>
      <c r="X48" s="147"/>
      <c r="Y48" s="147"/>
      <c r="Z48" s="147"/>
    </row>
    <row r="49" spans="1:26">
      <c r="L49" s="186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47"/>
      <c r="X49" s="147"/>
      <c r="Y49" s="147"/>
      <c r="Z49" s="147"/>
    </row>
    <row r="50" spans="1:26">
      <c r="L50" s="186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47"/>
      <c r="X50" s="147"/>
      <c r="Y50" s="147"/>
      <c r="Z50" s="147"/>
    </row>
    <row r="51" spans="1:26">
      <c r="C51" s="109"/>
      <c r="D51" s="109"/>
      <c r="E51" s="109"/>
      <c r="F51" s="109"/>
      <c r="G51" s="188"/>
      <c r="H51" s="188"/>
      <c r="K51" s="18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47"/>
      <c r="X51" s="147"/>
      <c r="Y51" s="147"/>
      <c r="Z51" s="147"/>
    </row>
    <row r="52" spans="1:26">
      <c r="C52" s="109"/>
      <c r="D52" s="109"/>
      <c r="E52" s="109"/>
      <c r="F52" s="109"/>
      <c r="G52" s="188"/>
      <c r="H52" s="188"/>
      <c r="K52" s="189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47"/>
      <c r="X52" s="147"/>
      <c r="Y52" s="147"/>
      <c r="Z52" s="147"/>
    </row>
    <row r="53" spans="1:26">
      <c r="C53" s="109"/>
      <c r="D53" s="109"/>
      <c r="E53" s="109"/>
      <c r="F53" s="109"/>
      <c r="G53" s="188"/>
      <c r="H53" s="188"/>
      <c r="K53" s="188"/>
      <c r="L53" s="186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47"/>
      <c r="X53" s="147"/>
      <c r="Y53" s="147"/>
      <c r="Z53" s="147"/>
    </row>
    <row r="54" spans="1:26">
      <c r="C54" s="109"/>
      <c r="D54" s="109"/>
      <c r="E54" s="109"/>
      <c r="F54" s="109"/>
      <c r="G54" s="188"/>
      <c r="H54" s="188"/>
      <c r="K54" s="188"/>
      <c r="L54" s="186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47"/>
      <c r="X54" s="147"/>
      <c r="Y54" s="147"/>
      <c r="Z54" s="147"/>
    </row>
    <row r="55" spans="1:26">
      <c r="C55" s="109"/>
      <c r="D55" s="109"/>
      <c r="E55" s="109"/>
      <c r="F55" s="109"/>
      <c r="G55" s="188"/>
      <c r="H55" s="188"/>
      <c r="K55" s="189"/>
      <c r="L55" s="186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47"/>
      <c r="X55" s="147"/>
      <c r="Y55" s="147"/>
      <c r="Z55" s="147"/>
    </row>
    <row r="56" spans="1:26">
      <c r="C56" s="109"/>
      <c r="D56" s="109"/>
      <c r="E56" s="109"/>
      <c r="F56" s="109"/>
      <c r="G56" s="188"/>
      <c r="H56" s="188"/>
      <c r="K56" s="188"/>
      <c r="L56" s="186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47"/>
      <c r="X56" s="147"/>
      <c r="Y56" s="147"/>
      <c r="Z56" s="147"/>
    </row>
    <row r="57" spans="1:26">
      <c r="C57" s="109"/>
      <c r="D57" s="109"/>
      <c r="E57" s="109"/>
      <c r="F57" s="109"/>
      <c r="G57" s="188"/>
      <c r="H57" s="188"/>
      <c r="K57" s="188"/>
    </row>
    <row r="58" spans="1:26">
      <c r="C58" s="109"/>
      <c r="D58" s="109"/>
      <c r="E58" s="109"/>
      <c r="F58" s="109"/>
      <c r="G58" s="188"/>
      <c r="H58" s="188"/>
      <c r="K58" s="188"/>
    </row>
    <row r="59" spans="1:26">
      <c r="C59" s="109"/>
      <c r="D59" s="109"/>
      <c r="E59" s="109"/>
      <c r="F59" s="109"/>
      <c r="G59" s="188"/>
      <c r="H59" s="188"/>
      <c r="K59" s="189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</row>
    <row r="60" spans="1:26">
      <c r="C60" s="109"/>
      <c r="D60" s="109"/>
      <c r="E60" s="109"/>
      <c r="F60" s="109"/>
      <c r="G60" s="188"/>
      <c r="H60" s="188"/>
      <c r="K60" s="188"/>
    </row>
    <row r="61" spans="1:26">
      <c r="G61" s="188"/>
      <c r="H61" s="188"/>
      <c r="K61" s="188"/>
    </row>
    <row r="62" spans="1:26">
      <c r="G62" s="188"/>
      <c r="H62" s="188"/>
      <c r="K62" s="188"/>
    </row>
    <row r="63" spans="1:26">
      <c r="C63" s="109"/>
      <c r="D63" s="109"/>
      <c r="E63" s="109"/>
      <c r="F63" s="109"/>
      <c r="G63" s="188"/>
      <c r="H63" s="188"/>
      <c r="K63" s="188"/>
    </row>
    <row r="64" spans="1:26">
      <c r="A64" s="104"/>
      <c r="B64" s="104"/>
      <c r="C64" s="109"/>
      <c r="D64" s="109"/>
      <c r="E64" s="109"/>
      <c r="F64" s="109"/>
      <c r="G64" s="188"/>
      <c r="H64" s="188"/>
      <c r="K64" s="188"/>
    </row>
    <row r="65" spans="1:31">
      <c r="A65" s="104"/>
      <c r="B65" s="104"/>
      <c r="C65" s="109"/>
      <c r="D65" s="109"/>
      <c r="E65" s="109"/>
      <c r="F65" s="109"/>
      <c r="G65" s="188"/>
      <c r="H65" s="188"/>
      <c r="K65" s="188"/>
    </row>
    <row r="66" spans="1:31">
      <c r="A66" s="104"/>
      <c r="B66" s="104"/>
      <c r="C66" s="109"/>
      <c r="D66" s="109"/>
      <c r="E66" s="109"/>
      <c r="F66" s="109"/>
      <c r="G66" s="188"/>
      <c r="H66" s="188"/>
      <c r="K66" s="188"/>
      <c r="N66" s="188"/>
      <c r="O66" s="188"/>
      <c r="P66" s="188"/>
      <c r="Q66" s="188"/>
      <c r="R66" s="188"/>
      <c r="S66" s="188"/>
      <c r="T66" s="188"/>
      <c r="U66" s="188"/>
      <c r="V66" s="188"/>
      <c r="W66" s="190"/>
      <c r="X66" s="191"/>
      <c r="Y66" s="190"/>
      <c r="Z66" s="190"/>
      <c r="AA66" s="109"/>
      <c r="AB66" s="109"/>
      <c r="AC66" s="109"/>
      <c r="AD66" s="109"/>
      <c r="AE66" s="109"/>
    </row>
    <row r="67" spans="1:31">
      <c r="C67" s="109"/>
      <c r="D67" s="109"/>
      <c r="E67" s="109"/>
      <c r="F67" s="109"/>
      <c r="H67" s="128"/>
      <c r="I67" s="128"/>
      <c r="J67" s="128"/>
      <c r="K67" s="128"/>
      <c r="L67" s="128"/>
      <c r="M67" s="128"/>
      <c r="N67" s="188"/>
      <c r="O67" s="188"/>
      <c r="P67" s="188"/>
      <c r="Q67" s="188"/>
      <c r="R67" s="188"/>
      <c r="S67" s="188"/>
      <c r="T67" s="188"/>
      <c r="U67" s="188"/>
      <c r="V67" s="188"/>
      <c r="W67" s="190"/>
      <c r="X67" s="191"/>
      <c r="Y67" s="190"/>
      <c r="Z67" s="190"/>
      <c r="AA67" s="153"/>
      <c r="AB67" s="153"/>
      <c r="AC67" s="153"/>
      <c r="AD67" s="153"/>
      <c r="AE67" s="153"/>
    </row>
    <row r="68" spans="1:31">
      <c r="C68" s="109"/>
      <c r="D68" s="109"/>
      <c r="E68" s="109"/>
      <c r="F68" s="109"/>
      <c r="H68" s="128"/>
      <c r="I68" s="128"/>
      <c r="J68" s="128"/>
      <c r="K68" s="128"/>
      <c r="L68" s="128"/>
      <c r="M68" s="128"/>
      <c r="N68" s="188"/>
      <c r="O68" s="188"/>
      <c r="P68" s="188"/>
      <c r="Q68" s="188"/>
      <c r="R68" s="188"/>
      <c r="S68" s="188"/>
      <c r="T68" s="188"/>
      <c r="U68" s="188"/>
      <c r="V68" s="188"/>
      <c r="W68" s="190"/>
      <c r="X68" s="191"/>
      <c r="Y68" s="190"/>
      <c r="Z68" s="190"/>
      <c r="AA68" s="58"/>
      <c r="AB68" s="190"/>
      <c r="AC68" s="190"/>
      <c r="AD68" s="58"/>
      <c r="AE68" s="58"/>
    </row>
    <row r="69" spans="1:31">
      <c r="A69" s="192"/>
      <c r="B69" s="192"/>
      <c r="C69" s="112"/>
      <c r="D69" s="112"/>
      <c r="E69" s="112"/>
      <c r="F69" s="112"/>
      <c r="G69" s="193"/>
      <c r="H69" s="128"/>
      <c r="I69" s="128"/>
      <c r="J69" s="128"/>
      <c r="K69" s="128"/>
      <c r="L69" s="128"/>
      <c r="M69" s="128"/>
      <c r="N69" s="188"/>
      <c r="O69" s="188"/>
      <c r="P69" s="188"/>
      <c r="Q69" s="188"/>
      <c r="R69" s="188"/>
      <c r="S69" s="188"/>
      <c r="T69" s="188"/>
      <c r="U69" s="188"/>
      <c r="V69" s="188"/>
      <c r="W69" s="190"/>
      <c r="X69" s="191"/>
      <c r="Y69" s="190"/>
      <c r="Z69" s="190"/>
      <c r="AA69" s="58"/>
      <c r="AB69" s="190"/>
      <c r="AC69" s="190"/>
      <c r="AD69" s="58"/>
      <c r="AE69" s="58"/>
    </row>
    <row r="70" spans="1:31">
      <c r="A70" s="104"/>
      <c r="B70" s="104"/>
      <c r="C70" s="104"/>
      <c r="D70" s="104"/>
      <c r="E70" s="104"/>
      <c r="F70" s="104"/>
      <c r="G70" s="181"/>
      <c r="H70" s="128"/>
      <c r="I70" s="128"/>
      <c r="J70" s="128"/>
      <c r="K70" s="128"/>
      <c r="L70" s="128"/>
      <c r="M70" s="128"/>
      <c r="N70" s="188"/>
      <c r="O70" s="188"/>
      <c r="P70" s="188"/>
      <c r="Q70" s="188"/>
      <c r="R70" s="188"/>
      <c r="S70" s="188"/>
      <c r="T70" s="188"/>
      <c r="U70" s="188"/>
      <c r="V70" s="188"/>
      <c r="W70" s="190"/>
      <c r="X70" s="191"/>
      <c r="Y70" s="190"/>
      <c r="Z70" s="190"/>
      <c r="AA70" s="58"/>
      <c r="AB70" s="190"/>
      <c r="AC70" s="190"/>
      <c r="AD70" s="58"/>
      <c r="AE70" s="58"/>
    </row>
    <row r="71" spans="1:31">
      <c r="C71" s="109"/>
      <c r="D71" s="109"/>
      <c r="E71" s="109"/>
      <c r="F71" s="109"/>
      <c r="H71" s="128"/>
      <c r="I71" s="128"/>
      <c r="J71" s="128"/>
      <c r="K71" s="128"/>
      <c r="L71" s="128"/>
      <c r="M71" s="128"/>
      <c r="N71" s="188"/>
      <c r="O71" s="188"/>
      <c r="P71" s="188"/>
      <c r="Q71" s="188"/>
      <c r="R71" s="188"/>
      <c r="S71" s="188"/>
      <c r="T71" s="188"/>
      <c r="U71" s="188"/>
      <c r="V71" s="188"/>
      <c r="W71" s="190"/>
      <c r="X71" s="191"/>
      <c r="Y71" s="190"/>
      <c r="Z71" s="190"/>
      <c r="AA71" s="58"/>
      <c r="AB71" s="190"/>
      <c r="AC71" s="190"/>
      <c r="AD71" s="58"/>
      <c r="AE71" s="58"/>
    </row>
    <row r="72" spans="1:31">
      <c r="A72" s="104"/>
      <c r="B72" s="104"/>
      <c r="C72" s="109"/>
      <c r="D72" s="109"/>
      <c r="E72" s="109"/>
      <c r="F72" s="109"/>
      <c r="H72" s="128"/>
      <c r="I72" s="128"/>
      <c r="J72" s="128"/>
      <c r="K72" s="128"/>
      <c r="L72" s="128"/>
      <c r="M72" s="128"/>
      <c r="N72" s="188"/>
      <c r="O72" s="188"/>
      <c r="P72" s="188"/>
      <c r="Q72" s="188"/>
      <c r="R72" s="188"/>
      <c r="S72" s="188"/>
      <c r="T72" s="188"/>
      <c r="U72" s="188"/>
      <c r="V72" s="188"/>
      <c r="W72" s="190"/>
      <c r="X72" s="191"/>
      <c r="Y72" s="190"/>
      <c r="Z72" s="190"/>
      <c r="AA72" s="58"/>
      <c r="AB72" s="190"/>
      <c r="AC72" s="190"/>
      <c r="AD72" s="58"/>
      <c r="AE72" s="58"/>
    </row>
    <row r="73" spans="1:31">
      <c r="C73" s="109"/>
      <c r="D73" s="109"/>
      <c r="E73" s="109"/>
      <c r="F73" s="109"/>
      <c r="H73" s="128"/>
      <c r="I73" s="128"/>
      <c r="J73" s="128"/>
      <c r="K73" s="128"/>
      <c r="L73" s="128"/>
      <c r="M73" s="128"/>
      <c r="N73" s="188"/>
      <c r="O73" s="188"/>
      <c r="P73" s="188"/>
      <c r="Q73" s="188"/>
      <c r="R73" s="188"/>
      <c r="S73" s="188"/>
      <c r="T73" s="188"/>
      <c r="U73" s="188"/>
      <c r="V73" s="188"/>
      <c r="W73" s="190"/>
      <c r="X73" s="191"/>
      <c r="Y73" s="190"/>
      <c r="Z73" s="190"/>
      <c r="AA73" s="58"/>
      <c r="AB73" s="190"/>
      <c r="AC73" s="190"/>
      <c r="AD73" s="58"/>
      <c r="AE73" s="58"/>
    </row>
    <row r="74" spans="1:31">
      <c r="C74" s="109"/>
      <c r="D74" s="109"/>
      <c r="E74" s="109"/>
      <c r="F74" s="109"/>
      <c r="H74" s="128"/>
      <c r="I74" s="128"/>
      <c r="J74" s="128"/>
      <c r="K74" s="128"/>
      <c r="L74" s="128"/>
      <c r="M74" s="128"/>
      <c r="N74" s="188"/>
      <c r="O74" s="188"/>
      <c r="P74" s="188"/>
      <c r="Q74" s="188"/>
      <c r="R74" s="188"/>
      <c r="S74" s="188"/>
      <c r="T74" s="188"/>
      <c r="U74" s="188"/>
      <c r="V74" s="188"/>
      <c r="W74" s="190"/>
      <c r="X74" s="191"/>
      <c r="Y74" s="190"/>
      <c r="Z74" s="190"/>
      <c r="AA74" s="58"/>
      <c r="AB74" s="190"/>
      <c r="AC74" s="190"/>
      <c r="AD74" s="58"/>
      <c r="AE74" s="58"/>
    </row>
    <row r="75" spans="1:31">
      <c r="A75" s="104"/>
      <c r="B75" s="104"/>
      <c r="C75" s="104"/>
      <c r="D75" s="104"/>
      <c r="E75" s="104"/>
      <c r="F75" s="104"/>
      <c r="G75" s="181"/>
      <c r="H75" s="128"/>
      <c r="I75" s="128"/>
      <c r="J75" s="128"/>
      <c r="K75" s="128"/>
      <c r="L75" s="128"/>
      <c r="M75" s="128"/>
      <c r="N75" s="188"/>
      <c r="O75" s="188"/>
      <c r="P75" s="188"/>
      <c r="Q75" s="188"/>
      <c r="R75" s="188"/>
      <c r="S75" s="188"/>
      <c r="T75" s="188"/>
      <c r="U75" s="188"/>
      <c r="V75" s="188"/>
      <c r="W75" s="190"/>
      <c r="X75" s="191"/>
      <c r="Y75" s="190"/>
      <c r="Z75" s="190"/>
      <c r="AA75" s="58"/>
      <c r="AB75" s="190"/>
      <c r="AC75" s="190"/>
      <c r="AD75" s="58"/>
      <c r="AE75" s="58"/>
    </row>
    <row r="76" spans="1:31">
      <c r="H76" s="128"/>
      <c r="I76" s="128"/>
      <c r="J76" s="128"/>
      <c r="K76" s="128"/>
      <c r="L76" s="128"/>
      <c r="M76" s="128"/>
      <c r="N76" s="188"/>
      <c r="O76" s="188"/>
      <c r="P76" s="188"/>
      <c r="Q76" s="188"/>
      <c r="R76" s="188"/>
      <c r="S76" s="188"/>
      <c r="T76" s="188"/>
      <c r="U76" s="188"/>
      <c r="V76" s="188"/>
      <c r="W76" s="190"/>
      <c r="X76" s="191"/>
      <c r="Y76" s="190"/>
      <c r="Z76" s="190"/>
      <c r="AA76" s="58"/>
      <c r="AB76" s="190"/>
      <c r="AC76" s="190"/>
      <c r="AD76" s="58"/>
      <c r="AE76" s="58"/>
    </row>
    <row r="77" spans="1:31">
      <c r="H77" s="128"/>
      <c r="I77" s="128"/>
      <c r="J77" s="128"/>
      <c r="K77" s="128"/>
      <c r="L77" s="128"/>
      <c r="M77" s="128"/>
      <c r="N77" s="188"/>
      <c r="O77" s="188"/>
      <c r="P77" s="188"/>
      <c r="Q77" s="188"/>
      <c r="R77" s="188"/>
      <c r="S77" s="188"/>
      <c r="T77" s="188"/>
      <c r="U77" s="188"/>
      <c r="V77" s="188"/>
      <c r="W77" s="190"/>
      <c r="X77" s="191"/>
      <c r="Y77" s="190"/>
      <c r="Z77" s="190"/>
      <c r="AA77" s="58"/>
      <c r="AB77" s="190"/>
      <c r="AC77" s="190"/>
      <c r="AD77" s="58"/>
      <c r="AE77" s="58"/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196"/>
  <sheetViews>
    <sheetView zoomScale="115" zoomScaleNormal="115" workbookViewId="0">
      <pane xSplit="6" ySplit="2" topLeftCell="G3" activePane="bottomRight" state="frozen"/>
      <selection activeCell="L19" sqref="L19"/>
      <selection pane="topRight" activeCell="L19" sqref="L19"/>
      <selection pane="bottomLeft" activeCell="L19" sqref="L19"/>
      <selection pane="bottomRight" activeCell="A5" sqref="A5:XFD8"/>
    </sheetView>
  </sheetViews>
  <sheetFormatPr defaultRowHeight="12.75"/>
  <cols>
    <col min="1" max="1" width="7.42578125" style="152" customWidth="1"/>
    <col min="2" max="2" width="9" style="152" bestFit="1" customWidth="1"/>
    <col min="3" max="3" width="13.5703125" style="147" bestFit="1" customWidth="1"/>
    <col min="4" max="4" width="28" style="147" bestFit="1" customWidth="1"/>
    <col min="5" max="5" width="6.5703125" style="147" bestFit="1" customWidth="1"/>
    <col min="6" max="6" width="5.5703125" style="147" customWidth="1"/>
    <col min="7" max="16" width="8.5703125" style="128" customWidth="1"/>
    <col min="17" max="20" width="9.140625" style="147" customWidth="1"/>
    <col min="21" max="21" width="10.5703125" style="147" customWidth="1"/>
    <col min="22" max="22" width="8.140625" style="147" customWidth="1"/>
    <col min="23" max="23" width="8" style="58" customWidth="1"/>
    <col min="24" max="24" width="10.140625" style="58" customWidth="1"/>
    <col min="25" max="25" width="9.140625" style="58" customWidth="1"/>
    <col min="26" max="26" width="8" style="58" customWidth="1"/>
    <col min="27" max="27" width="9.5703125" style="58" customWidth="1"/>
    <col min="28" max="28" width="6.140625" style="58" customWidth="1"/>
    <col min="29" max="29" width="5.5703125" style="2" customWidth="1"/>
    <col min="30" max="30" width="9" style="2" customWidth="1"/>
    <col min="31" max="31" width="8" style="1" customWidth="1"/>
    <col min="32" max="16384" width="9.140625" style="147"/>
  </cols>
  <sheetData>
    <row r="1" spans="1:51" s="63" customFormat="1">
      <c r="A1" s="14"/>
      <c r="B1" s="14"/>
      <c r="C1" s="17"/>
      <c r="D1" s="17"/>
      <c r="E1" s="37"/>
      <c r="F1" s="37"/>
      <c r="G1" s="138" t="s">
        <v>118</v>
      </c>
      <c r="H1" s="139"/>
      <c r="I1" s="139"/>
      <c r="J1" s="139"/>
      <c r="K1" s="140"/>
      <c r="L1" s="141" t="s">
        <v>119</v>
      </c>
      <c r="M1" s="142"/>
      <c r="N1" s="142"/>
      <c r="O1" s="142"/>
      <c r="P1" s="143"/>
      <c r="Q1" s="144" t="s">
        <v>120</v>
      </c>
      <c r="R1" s="145"/>
      <c r="S1" s="145"/>
      <c r="T1" s="145"/>
      <c r="U1" s="38" t="s">
        <v>119</v>
      </c>
      <c r="V1" s="39"/>
      <c r="W1" s="5" t="s">
        <v>70</v>
      </c>
      <c r="X1" s="5" t="s">
        <v>121</v>
      </c>
      <c r="Y1" s="5" t="s">
        <v>122</v>
      </c>
      <c r="Z1" s="5" t="s">
        <v>70</v>
      </c>
      <c r="AA1" s="5" t="s">
        <v>71</v>
      </c>
      <c r="AB1" s="5" t="s">
        <v>123</v>
      </c>
      <c r="AC1" s="25" t="s">
        <v>70</v>
      </c>
      <c r="AD1" s="25" t="s">
        <v>71</v>
      </c>
      <c r="AE1" s="25" t="s">
        <v>124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3.75">
      <c r="A2" s="14" t="s">
        <v>74</v>
      </c>
      <c r="B2" s="14" t="s">
        <v>75</v>
      </c>
      <c r="C2" s="17" t="s">
        <v>1</v>
      </c>
      <c r="D2" s="17" t="s">
        <v>2</v>
      </c>
      <c r="E2" s="37" t="s">
        <v>76</v>
      </c>
      <c r="F2" s="37" t="s">
        <v>3</v>
      </c>
      <c r="G2" s="123" t="s">
        <v>125</v>
      </c>
      <c r="H2" s="48" t="s">
        <v>126</v>
      </c>
      <c r="I2" s="48" t="s">
        <v>127</v>
      </c>
      <c r="J2" s="48" t="s">
        <v>128</v>
      </c>
      <c r="K2" s="146" t="s">
        <v>129</v>
      </c>
      <c r="L2" s="123" t="s">
        <v>125</v>
      </c>
      <c r="M2" s="48" t="s">
        <v>126</v>
      </c>
      <c r="N2" s="48" t="s">
        <v>127</v>
      </c>
      <c r="O2" s="48" t="s">
        <v>130</v>
      </c>
      <c r="P2" s="146" t="s">
        <v>131</v>
      </c>
      <c r="Q2" s="6" t="s">
        <v>132</v>
      </c>
      <c r="R2" s="25" t="s">
        <v>90</v>
      </c>
      <c r="S2" s="25" t="s">
        <v>133</v>
      </c>
      <c r="T2" s="25" t="s">
        <v>134</v>
      </c>
      <c r="U2" s="25" t="s">
        <v>132</v>
      </c>
      <c r="V2" s="25" t="s">
        <v>134</v>
      </c>
      <c r="W2" s="5" t="s">
        <v>135</v>
      </c>
      <c r="X2" s="5" t="s">
        <v>135</v>
      </c>
      <c r="Y2" s="5" t="s">
        <v>135</v>
      </c>
      <c r="Z2" s="7" t="s">
        <v>136</v>
      </c>
      <c r="AA2" s="7" t="s">
        <v>136</v>
      </c>
      <c r="AB2" s="7" t="s">
        <v>136</v>
      </c>
      <c r="AC2" s="9" t="s">
        <v>10</v>
      </c>
      <c r="AD2" s="9" t="s">
        <v>10</v>
      </c>
      <c r="AE2" s="25" t="s">
        <v>10</v>
      </c>
      <c r="AF2" s="34"/>
      <c r="AG2" s="34"/>
      <c r="AH2" s="35"/>
      <c r="AI2" s="35"/>
      <c r="AJ2" s="35"/>
      <c r="AK2" s="35"/>
      <c r="AL2" s="22"/>
      <c r="AM2" s="22"/>
      <c r="AN2" s="22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</row>
    <row r="3" spans="1:51" s="69" customFormat="1">
      <c r="A3" s="40">
        <v>11661</v>
      </c>
      <c r="B3" s="40" t="s">
        <v>137</v>
      </c>
      <c r="C3" s="16" t="str">
        <f>Rollover!A3</f>
        <v>Acura</v>
      </c>
      <c r="D3" s="16" t="str">
        <f>Rollover!B3</f>
        <v>MDX SUV AWD</v>
      </c>
      <c r="E3" s="16" t="s">
        <v>99</v>
      </c>
      <c r="F3" s="17">
        <f>Rollover!C3</f>
        <v>2022</v>
      </c>
      <c r="G3" s="18">
        <v>106.59699999999999</v>
      </c>
      <c r="H3" s="19">
        <v>14.831</v>
      </c>
      <c r="I3" s="19">
        <v>14.744</v>
      </c>
      <c r="J3" s="19">
        <v>466.76799999999997</v>
      </c>
      <c r="K3" s="20">
        <v>1005.9930000000001</v>
      </c>
      <c r="L3" s="18">
        <v>142.44800000000001</v>
      </c>
      <c r="M3" s="19">
        <v>8.0890000000000004</v>
      </c>
      <c r="N3" s="19">
        <v>40.819000000000003</v>
      </c>
      <c r="O3" s="19">
        <v>18.484999999999999</v>
      </c>
      <c r="P3" s="20">
        <v>746.63499999999999</v>
      </c>
      <c r="Q3" s="148">
        <f t="shared" ref="Q3:Q8" si="0">NORMDIST(LN(G3),7.45231,0.73998,1)</f>
        <v>8.4530954894727707E-5</v>
      </c>
      <c r="R3" s="10">
        <f t="shared" ref="R3:R8" si="1">1/(1+EXP(5.3895-0.0919*H3))</f>
        <v>1.7523542828259398E-2</v>
      </c>
      <c r="S3" s="10">
        <f t="shared" ref="S3:S8" si="2">1/(1+EXP(6.04044-0.002133*J3))</f>
        <v>6.4013537580985443E-3</v>
      </c>
      <c r="T3" s="10">
        <f t="shared" ref="T3:T8" si="3">1/(1+EXP(7.5969-0.0011*K3))</f>
        <v>1.5157807432252381E-3</v>
      </c>
      <c r="U3" s="10">
        <f t="shared" ref="U3:U8" si="4">NORMDIST(LN(L3),7.45231,0.73998,1)</f>
        <v>3.7657816696650136E-4</v>
      </c>
      <c r="V3" s="10">
        <f t="shared" ref="V3:V8" si="5">1/(1+EXP(6.3055-0.00094*P3))</f>
        <v>3.6708182980086891E-3</v>
      </c>
      <c r="W3" s="10">
        <f t="shared" ref="W3:W8" si="6">ROUND(1-(1-Q3)*(1-R3)*(1-S3)*(1-T3),3)</f>
        <v>2.5000000000000001E-2</v>
      </c>
      <c r="X3" s="10">
        <f t="shared" ref="X3:X8" si="7">IF(L3="N/A",L3,ROUND(1-(1-U3)*(1-V3),3))</f>
        <v>4.0000000000000001E-3</v>
      </c>
      <c r="Y3" s="10">
        <f t="shared" ref="Y3:Y8" si="8">ROUND(AVERAGE(W3:X3),3)</f>
        <v>1.4999999999999999E-2</v>
      </c>
      <c r="Z3" s="24">
        <f t="shared" ref="Z3:Z8" si="9">ROUND(W3/0.15,2)</f>
        <v>0.17</v>
      </c>
      <c r="AA3" s="24">
        <f t="shared" ref="AA3:AA8" si="10">IF(L3="N/A", L3, ROUND(X3/0.15,2))</f>
        <v>0.03</v>
      </c>
      <c r="AB3" s="24">
        <f t="shared" ref="AB3:AB8" si="11">ROUND(Y3/0.15,2)</f>
        <v>0.1</v>
      </c>
      <c r="AC3" s="25">
        <f t="shared" ref="AC3:AC8" si="12">IF(Z3&lt;0.67,5,IF(Z3&lt;1,4,IF(Z3&lt;1.33,3,IF(Z3&lt;2.67,2,1))))</f>
        <v>5</v>
      </c>
      <c r="AD3" s="25">
        <f t="shared" ref="AD3:AD8" si="13">IF(L3="N/A",L3,IF(AA3&lt;0.67,5,IF(AA3&lt;1,4,IF(AA3&lt;1.33,3,IF(AA3&lt;2.67,2,1)))))</f>
        <v>5</v>
      </c>
      <c r="AE3" s="25">
        <f t="shared" ref="AE3:AE8" si="14">IF(AB3&lt;0.67,5,IF(AB3&lt;1,4,IF(AB3&lt;1.33,3,IF(AB3&lt;2.67,2,1))))</f>
        <v>5</v>
      </c>
      <c r="AF3" s="21"/>
      <c r="AG3" s="21"/>
      <c r="AH3" s="23"/>
      <c r="AI3" s="23"/>
      <c r="AJ3" s="23"/>
      <c r="AK3" s="23"/>
      <c r="AL3" s="22"/>
      <c r="AM3" s="22"/>
      <c r="AN3" s="22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</row>
    <row r="4" spans="1:51" s="63" customFormat="1">
      <c r="A4" s="40">
        <v>11661</v>
      </c>
      <c r="B4" s="40" t="s">
        <v>137</v>
      </c>
      <c r="C4" s="17" t="str">
        <f>Rollover!A4</f>
        <v>Acura</v>
      </c>
      <c r="D4" s="17" t="str">
        <f>Rollover!B4</f>
        <v>MDX SUV FWD</v>
      </c>
      <c r="E4" s="16" t="s">
        <v>99</v>
      </c>
      <c r="F4" s="17">
        <f>Rollover!C4</f>
        <v>2022</v>
      </c>
      <c r="G4" s="18">
        <v>106.59699999999999</v>
      </c>
      <c r="H4" s="19">
        <v>14.831</v>
      </c>
      <c r="I4" s="19">
        <v>14.744</v>
      </c>
      <c r="J4" s="19">
        <v>466.76799999999997</v>
      </c>
      <c r="K4" s="20">
        <v>1005.9930000000001</v>
      </c>
      <c r="L4" s="18">
        <v>142.44800000000001</v>
      </c>
      <c r="M4" s="19">
        <v>8.0890000000000004</v>
      </c>
      <c r="N4" s="19">
        <v>40.819000000000003</v>
      </c>
      <c r="O4" s="19">
        <v>18.484999999999999</v>
      </c>
      <c r="P4" s="20">
        <v>746.63499999999999</v>
      </c>
      <c r="Q4" s="148">
        <f t="shared" si="0"/>
        <v>8.4530954894727707E-5</v>
      </c>
      <c r="R4" s="10">
        <f t="shared" si="1"/>
        <v>1.7523542828259398E-2</v>
      </c>
      <c r="S4" s="10">
        <f t="shared" si="2"/>
        <v>6.4013537580985443E-3</v>
      </c>
      <c r="T4" s="10">
        <f t="shared" si="3"/>
        <v>1.5157807432252381E-3</v>
      </c>
      <c r="U4" s="10">
        <f t="shared" si="4"/>
        <v>3.7657816696650136E-4</v>
      </c>
      <c r="V4" s="10">
        <f t="shared" si="5"/>
        <v>3.6708182980086891E-3</v>
      </c>
      <c r="W4" s="10">
        <f t="shared" si="6"/>
        <v>2.5000000000000001E-2</v>
      </c>
      <c r="X4" s="10">
        <f t="shared" si="7"/>
        <v>4.0000000000000001E-3</v>
      </c>
      <c r="Y4" s="10">
        <f t="shared" si="8"/>
        <v>1.4999999999999999E-2</v>
      </c>
      <c r="Z4" s="24">
        <f t="shared" si="9"/>
        <v>0.17</v>
      </c>
      <c r="AA4" s="24">
        <f t="shared" si="10"/>
        <v>0.03</v>
      </c>
      <c r="AB4" s="24">
        <f t="shared" si="11"/>
        <v>0.1</v>
      </c>
      <c r="AC4" s="25">
        <f t="shared" si="12"/>
        <v>5</v>
      </c>
      <c r="AD4" s="25">
        <f t="shared" si="13"/>
        <v>5</v>
      </c>
      <c r="AE4" s="25">
        <f t="shared" si="14"/>
        <v>5</v>
      </c>
      <c r="AF4" s="30"/>
      <c r="AG4" s="30"/>
      <c r="AH4" s="3"/>
      <c r="AI4" s="3"/>
      <c r="AJ4" s="3"/>
      <c r="AK4" s="3"/>
      <c r="AL4" s="31"/>
      <c r="AM4" s="31"/>
      <c r="AN4" s="31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>
      <c r="A5" s="66">
        <v>10700</v>
      </c>
      <c r="B5" s="149" t="s">
        <v>140</v>
      </c>
      <c r="C5" s="17" t="str">
        <f>Rollover!A5</f>
        <v>Chevrolet</v>
      </c>
      <c r="D5" s="17" t="str">
        <f>Rollover!B5</f>
        <v>Silverado 1500 PU/CC 2WD</v>
      </c>
      <c r="E5" s="16" t="s">
        <v>99</v>
      </c>
      <c r="F5" s="17">
        <f>Rollover!C5</f>
        <v>2022</v>
      </c>
      <c r="G5" s="27">
        <v>74.131</v>
      </c>
      <c r="H5" s="28">
        <v>17.524000000000001</v>
      </c>
      <c r="I5" s="28">
        <v>20.529</v>
      </c>
      <c r="J5" s="28">
        <v>486.45</v>
      </c>
      <c r="K5" s="29">
        <v>839.65099999999995</v>
      </c>
      <c r="L5" s="27">
        <v>72.497</v>
      </c>
      <c r="M5" s="28">
        <v>24.978999999999999</v>
      </c>
      <c r="N5" s="28">
        <v>29.516999999999999</v>
      </c>
      <c r="O5" s="28">
        <v>27.436</v>
      </c>
      <c r="P5" s="29">
        <v>1197.683</v>
      </c>
      <c r="Q5" s="148">
        <f t="shared" si="0"/>
        <v>1.0588299614271538E-5</v>
      </c>
      <c r="R5" s="10">
        <f t="shared" si="1"/>
        <v>2.2334295156714225E-2</v>
      </c>
      <c r="S5" s="10">
        <f t="shared" si="2"/>
        <v>6.6739826170842806E-3</v>
      </c>
      <c r="T5" s="10">
        <f t="shared" si="3"/>
        <v>1.2626440026564376E-3</v>
      </c>
      <c r="U5" s="10">
        <f t="shared" si="4"/>
        <v>9.2514642528775539E-6</v>
      </c>
      <c r="V5" s="10">
        <f t="shared" si="5"/>
        <v>5.598301611875663E-3</v>
      </c>
      <c r="W5" s="10">
        <f t="shared" si="6"/>
        <v>0.03</v>
      </c>
      <c r="X5" s="10">
        <f t="shared" si="7"/>
        <v>6.0000000000000001E-3</v>
      </c>
      <c r="Y5" s="10">
        <f t="shared" si="8"/>
        <v>1.7999999999999999E-2</v>
      </c>
      <c r="Z5" s="24">
        <f t="shared" si="9"/>
        <v>0.2</v>
      </c>
      <c r="AA5" s="24">
        <f t="shared" si="10"/>
        <v>0.04</v>
      </c>
      <c r="AB5" s="24">
        <f t="shared" si="11"/>
        <v>0.12</v>
      </c>
      <c r="AC5" s="25">
        <f t="shared" si="12"/>
        <v>5</v>
      </c>
      <c r="AD5" s="25">
        <f t="shared" si="13"/>
        <v>5</v>
      </c>
      <c r="AE5" s="25">
        <f t="shared" si="14"/>
        <v>5</v>
      </c>
      <c r="AF5" s="21"/>
      <c r="AG5" s="21"/>
      <c r="AH5" s="23"/>
      <c r="AI5" s="23"/>
      <c r="AJ5" s="23"/>
      <c r="AK5" s="23"/>
      <c r="AL5" s="22"/>
      <c r="AM5" s="22"/>
      <c r="AN5" s="22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</row>
    <row r="6" spans="1:51" s="69" customFormat="1">
      <c r="A6" s="66">
        <v>10700</v>
      </c>
      <c r="B6" s="149" t="s">
        <v>140</v>
      </c>
      <c r="C6" s="17" t="str">
        <f>Rollover!A6</f>
        <v>Chevrolet</v>
      </c>
      <c r="D6" s="17" t="str">
        <f>Rollover!B6</f>
        <v>Silverado 1500 PU/CC 4WD</v>
      </c>
      <c r="E6" s="16" t="s">
        <v>99</v>
      </c>
      <c r="F6" s="17">
        <f>Rollover!C6</f>
        <v>2022</v>
      </c>
      <c r="G6" s="27">
        <v>74.131</v>
      </c>
      <c r="H6" s="28">
        <v>17.524000000000001</v>
      </c>
      <c r="I6" s="28">
        <v>20.529</v>
      </c>
      <c r="J6" s="28">
        <v>486.45</v>
      </c>
      <c r="K6" s="29">
        <v>839.65099999999995</v>
      </c>
      <c r="L6" s="27">
        <v>72.497</v>
      </c>
      <c r="M6" s="28">
        <v>24.978999999999999</v>
      </c>
      <c r="N6" s="28">
        <v>29.516999999999999</v>
      </c>
      <c r="O6" s="28">
        <v>27.436</v>
      </c>
      <c r="P6" s="29">
        <v>1197.683</v>
      </c>
      <c r="Q6" s="148">
        <f t="shared" si="0"/>
        <v>1.0588299614271538E-5</v>
      </c>
      <c r="R6" s="10">
        <f t="shared" si="1"/>
        <v>2.2334295156714225E-2</v>
      </c>
      <c r="S6" s="10">
        <f t="shared" si="2"/>
        <v>6.6739826170842806E-3</v>
      </c>
      <c r="T6" s="10">
        <f t="shared" si="3"/>
        <v>1.2626440026564376E-3</v>
      </c>
      <c r="U6" s="10">
        <f t="shared" si="4"/>
        <v>9.2514642528775539E-6</v>
      </c>
      <c r="V6" s="10">
        <f t="shared" si="5"/>
        <v>5.598301611875663E-3</v>
      </c>
      <c r="W6" s="10">
        <f t="shared" si="6"/>
        <v>0.03</v>
      </c>
      <c r="X6" s="10">
        <f t="shared" si="7"/>
        <v>6.0000000000000001E-3</v>
      </c>
      <c r="Y6" s="10">
        <f t="shared" si="8"/>
        <v>1.7999999999999999E-2</v>
      </c>
      <c r="Z6" s="24">
        <f t="shared" si="9"/>
        <v>0.2</v>
      </c>
      <c r="AA6" s="24">
        <f t="shared" si="10"/>
        <v>0.04</v>
      </c>
      <c r="AB6" s="24">
        <f t="shared" si="11"/>
        <v>0.12</v>
      </c>
      <c r="AC6" s="25">
        <f t="shared" si="12"/>
        <v>5</v>
      </c>
      <c r="AD6" s="25">
        <f t="shared" si="13"/>
        <v>5</v>
      </c>
      <c r="AE6" s="25">
        <f t="shared" si="14"/>
        <v>5</v>
      </c>
      <c r="AF6" s="21"/>
      <c r="AG6" s="21"/>
      <c r="AH6" s="23"/>
      <c r="AI6" s="23"/>
      <c r="AJ6" s="23"/>
      <c r="AK6" s="23"/>
      <c r="AL6" s="22"/>
      <c r="AM6" s="22"/>
      <c r="AN6" s="22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</row>
    <row r="7" spans="1:51" s="69" customFormat="1">
      <c r="A7" s="66">
        <v>10700</v>
      </c>
      <c r="B7" s="149" t="s">
        <v>140</v>
      </c>
      <c r="C7" s="16" t="str">
        <f>Rollover!A7</f>
        <v>GMC</v>
      </c>
      <c r="D7" s="16" t="str">
        <f>Rollover!B7</f>
        <v>Sierra 1500 PU/CC 2WD</v>
      </c>
      <c r="E7" s="16" t="s">
        <v>99</v>
      </c>
      <c r="F7" s="17">
        <f>Rollover!C7</f>
        <v>2022</v>
      </c>
      <c r="G7" s="27">
        <v>74.131</v>
      </c>
      <c r="H7" s="28">
        <v>17.524000000000001</v>
      </c>
      <c r="I7" s="28">
        <v>20.529</v>
      </c>
      <c r="J7" s="28">
        <v>486.45</v>
      </c>
      <c r="K7" s="29">
        <v>839.65099999999995</v>
      </c>
      <c r="L7" s="27">
        <v>72.497</v>
      </c>
      <c r="M7" s="28">
        <v>24.978999999999999</v>
      </c>
      <c r="N7" s="28">
        <v>29.516999999999999</v>
      </c>
      <c r="O7" s="28">
        <v>27.436</v>
      </c>
      <c r="P7" s="29">
        <v>1197.683</v>
      </c>
      <c r="Q7" s="148">
        <f t="shared" si="0"/>
        <v>1.0588299614271538E-5</v>
      </c>
      <c r="R7" s="10">
        <f t="shared" si="1"/>
        <v>2.2334295156714225E-2</v>
      </c>
      <c r="S7" s="10">
        <f t="shared" si="2"/>
        <v>6.6739826170842806E-3</v>
      </c>
      <c r="T7" s="10">
        <f t="shared" si="3"/>
        <v>1.2626440026564376E-3</v>
      </c>
      <c r="U7" s="10">
        <f t="shared" si="4"/>
        <v>9.2514642528775539E-6</v>
      </c>
      <c r="V7" s="10">
        <f t="shared" si="5"/>
        <v>5.598301611875663E-3</v>
      </c>
      <c r="W7" s="10">
        <f t="shared" si="6"/>
        <v>0.03</v>
      </c>
      <c r="X7" s="10">
        <f t="shared" si="7"/>
        <v>6.0000000000000001E-3</v>
      </c>
      <c r="Y7" s="10">
        <f t="shared" si="8"/>
        <v>1.7999999999999999E-2</v>
      </c>
      <c r="Z7" s="24">
        <f t="shared" si="9"/>
        <v>0.2</v>
      </c>
      <c r="AA7" s="24">
        <f t="shared" si="10"/>
        <v>0.04</v>
      </c>
      <c r="AB7" s="24">
        <f t="shared" si="11"/>
        <v>0.12</v>
      </c>
      <c r="AC7" s="25">
        <f t="shared" si="12"/>
        <v>5</v>
      </c>
      <c r="AD7" s="25">
        <f t="shared" si="13"/>
        <v>5</v>
      </c>
      <c r="AE7" s="25">
        <f t="shared" si="14"/>
        <v>5</v>
      </c>
      <c r="AF7" s="21"/>
      <c r="AG7" s="21"/>
      <c r="AH7" s="23"/>
      <c r="AI7" s="23"/>
      <c r="AJ7" s="23"/>
      <c r="AK7" s="23"/>
      <c r="AL7" s="22"/>
      <c r="AM7" s="22"/>
      <c r="AN7" s="22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</row>
    <row r="8" spans="1:51" s="69" customFormat="1">
      <c r="A8" s="66">
        <v>10700</v>
      </c>
      <c r="B8" s="149" t="s">
        <v>140</v>
      </c>
      <c r="C8" s="16" t="str">
        <f>Rollover!A8</f>
        <v>GMC</v>
      </c>
      <c r="D8" s="16" t="str">
        <f>Rollover!B8</f>
        <v>Sierra 1500 PU/CC 4WD</v>
      </c>
      <c r="E8" s="16" t="s">
        <v>99</v>
      </c>
      <c r="F8" s="17">
        <f>Rollover!C8</f>
        <v>2022</v>
      </c>
      <c r="G8" s="27">
        <v>74.131</v>
      </c>
      <c r="H8" s="28">
        <v>17.524000000000001</v>
      </c>
      <c r="I8" s="28">
        <v>20.529</v>
      </c>
      <c r="J8" s="28">
        <v>486.45</v>
      </c>
      <c r="K8" s="29">
        <v>839.65099999999995</v>
      </c>
      <c r="L8" s="27">
        <v>72.497</v>
      </c>
      <c r="M8" s="28">
        <v>24.978999999999999</v>
      </c>
      <c r="N8" s="28">
        <v>29.516999999999999</v>
      </c>
      <c r="O8" s="28">
        <v>27.436</v>
      </c>
      <c r="P8" s="29">
        <v>1197.683</v>
      </c>
      <c r="Q8" s="148">
        <f t="shared" si="0"/>
        <v>1.0588299614271538E-5</v>
      </c>
      <c r="R8" s="10">
        <f t="shared" si="1"/>
        <v>2.2334295156714225E-2</v>
      </c>
      <c r="S8" s="10">
        <f t="shared" si="2"/>
        <v>6.6739826170842806E-3</v>
      </c>
      <c r="T8" s="10">
        <f t="shared" si="3"/>
        <v>1.2626440026564376E-3</v>
      </c>
      <c r="U8" s="10">
        <f t="shared" si="4"/>
        <v>9.2514642528775539E-6</v>
      </c>
      <c r="V8" s="10">
        <f t="shared" si="5"/>
        <v>5.598301611875663E-3</v>
      </c>
      <c r="W8" s="10">
        <f t="shared" si="6"/>
        <v>0.03</v>
      </c>
      <c r="X8" s="10">
        <f t="shared" si="7"/>
        <v>6.0000000000000001E-3</v>
      </c>
      <c r="Y8" s="10">
        <f t="shared" si="8"/>
        <v>1.7999999999999999E-2</v>
      </c>
      <c r="Z8" s="24">
        <f t="shared" si="9"/>
        <v>0.2</v>
      </c>
      <c r="AA8" s="24">
        <f t="shared" si="10"/>
        <v>0.04</v>
      </c>
      <c r="AB8" s="24">
        <f t="shared" si="11"/>
        <v>0.12</v>
      </c>
      <c r="AC8" s="25">
        <f t="shared" si="12"/>
        <v>5</v>
      </c>
      <c r="AD8" s="25">
        <f t="shared" si="13"/>
        <v>5</v>
      </c>
      <c r="AE8" s="25">
        <f t="shared" si="14"/>
        <v>5</v>
      </c>
      <c r="AF8" s="21"/>
      <c r="AG8" s="21"/>
      <c r="AH8" s="23"/>
      <c r="AI8" s="23"/>
      <c r="AJ8" s="23"/>
      <c r="AK8" s="23"/>
      <c r="AL8" s="22"/>
      <c r="AM8" s="22"/>
      <c r="AN8" s="22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</row>
    <row r="9" spans="1:51" s="69" customFormat="1">
      <c r="A9" s="40"/>
      <c r="B9" s="40"/>
      <c r="C9" s="17" t="str">
        <f>Rollover!A9</f>
        <v>Ford</v>
      </c>
      <c r="D9" s="17" t="str">
        <f>Rollover!B9</f>
        <v>Bronco 4 DR SUV 4WD</v>
      </c>
      <c r="E9" s="16"/>
      <c r="F9" s="17">
        <f>Rollover!C9</f>
        <v>2022</v>
      </c>
      <c r="G9" s="18"/>
      <c r="H9" s="19"/>
      <c r="I9" s="19"/>
      <c r="J9" s="19"/>
      <c r="K9" s="20"/>
      <c r="L9" s="18"/>
      <c r="M9" s="19"/>
      <c r="N9" s="19"/>
      <c r="O9" s="19"/>
      <c r="P9" s="20"/>
      <c r="Q9" s="148" t="e">
        <f t="shared" ref="Q9:Q26" si="15">NORMDIST(LN(G9),7.45231,0.73998,1)</f>
        <v>#NUM!</v>
      </c>
      <c r="R9" s="10">
        <f t="shared" ref="R9:R26" si="16">1/(1+EXP(5.3895-0.0919*H9))</f>
        <v>4.5435171224880964E-3</v>
      </c>
      <c r="S9" s="10">
        <f t="shared" ref="S9:S26" si="17">1/(1+EXP(6.04044-0.002133*J9))</f>
        <v>2.3748578822706131E-3</v>
      </c>
      <c r="T9" s="10">
        <f t="shared" ref="T9:T26" si="18">1/(1+EXP(7.5969-0.0011*K9))</f>
        <v>5.0175335722563109E-4</v>
      </c>
      <c r="U9" s="10" t="e">
        <f t="shared" ref="U9:U26" si="19">NORMDIST(LN(L9),7.45231,0.73998,1)</f>
        <v>#NUM!</v>
      </c>
      <c r="V9" s="10">
        <f t="shared" ref="V9:V26" si="20">1/(1+EXP(6.3055-0.00094*P9))</f>
        <v>1.8229037773026034E-3</v>
      </c>
      <c r="W9" s="10" t="e">
        <f t="shared" ref="W9:W26" si="21">ROUND(1-(1-Q9)*(1-R9)*(1-S9)*(1-T9),3)</f>
        <v>#NUM!</v>
      </c>
      <c r="X9" s="10" t="e">
        <f t="shared" ref="X9:X26" si="22">IF(L9="N/A",L9,ROUND(1-(1-U9)*(1-V9),3))</f>
        <v>#NUM!</v>
      </c>
      <c r="Y9" s="10" t="e">
        <f t="shared" ref="Y9:Y26" si="23">ROUND(AVERAGE(W9:X9),3)</f>
        <v>#NUM!</v>
      </c>
      <c r="Z9" s="24" t="e">
        <f t="shared" ref="Z9:Z26" si="24">ROUND(W9/0.15,2)</f>
        <v>#NUM!</v>
      </c>
      <c r="AA9" s="24" t="e">
        <f t="shared" ref="AA9:AA26" si="25">IF(L9="N/A", L9, ROUND(X9/0.15,2))</f>
        <v>#NUM!</v>
      </c>
      <c r="AB9" s="24" t="e">
        <f t="shared" ref="AB9:AB26" si="26">ROUND(Y9/0.15,2)</f>
        <v>#NUM!</v>
      </c>
      <c r="AC9" s="25" t="e">
        <f t="shared" ref="AC9:AC26" si="27">IF(Z9&lt;0.67,5,IF(Z9&lt;1,4,IF(Z9&lt;1.33,3,IF(Z9&lt;2.67,2,1))))</f>
        <v>#NUM!</v>
      </c>
      <c r="AD9" s="25" t="e">
        <f t="shared" ref="AD9:AD26" si="28">IF(L9="N/A",L9,IF(AA9&lt;0.67,5,IF(AA9&lt;1,4,IF(AA9&lt;1.33,3,IF(AA9&lt;2.67,2,1)))))</f>
        <v>#NUM!</v>
      </c>
      <c r="AE9" s="25" t="e">
        <f t="shared" ref="AE9:AE26" si="29">IF(AB9&lt;0.67,5,IF(AB9&lt;1,4,IF(AB9&lt;1.33,3,IF(AB9&lt;2.67,2,1))))</f>
        <v>#NUM!</v>
      </c>
      <c r="AF9" s="21"/>
      <c r="AG9" s="21"/>
      <c r="AH9" s="23"/>
      <c r="AI9" s="23"/>
      <c r="AJ9" s="23"/>
      <c r="AK9" s="23"/>
      <c r="AL9" s="22"/>
      <c r="AM9" s="22"/>
      <c r="AN9" s="22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</row>
    <row r="10" spans="1:51">
      <c r="A10" s="40">
        <v>14066</v>
      </c>
      <c r="B10" s="40" t="s">
        <v>141</v>
      </c>
      <c r="C10" s="17" t="str">
        <f>Rollover!A10</f>
        <v>Ford</v>
      </c>
      <c r="D10" s="17" t="str">
        <f>Rollover!B10</f>
        <v>Escape PHEV SUV FWD</v>
      </c>
      <c r="E10" s="15" t="s">
        <v>99</v>
      </c>
      <c r="F10" s="17">
        <f>Rollover!C10</f>
        <v>2022</v>
      </c>
      <c r="G10" s="18">
        <v>173.75800000000001</v>
      </c>
      <c r="H10" s="19">
        <v>18.585999999999999</v>
      </c>
      <c r="I10" s="19">
        <v>21.504999999999999</v>
      </c>
      <c r="J10" s="19">
        <v>700.41399999999999</v>
      </c>
      <c r="K10" s="20">
        <v>855.70799999999997</v>
      </c>
      <c r="L10" s="18">
        <v>105.499</v>
      </c>
      <c r="M10" s="19">
        <v>18.545999999999999</v>
      </c>
      <c r="N10" s="19">
        <v>41.930999999999997</v>
      </c>
      <c r="O10" s="19">
        <v>18.007000000000001</v>
      </c>
      <c r="P10" s="20">
        <v>3131.2139999999999</v>
      </c>
      <c r="Q10" s="148">
        <f t="shared" si="15"/>
        <v>9.6448012482810552E-4</v>
      </c>
      <c r="R10" s="10">
        <f t="shared" si="16"/>
        <v>2.4567737990110246E-2</v>
      </c>
      <c r="S10" s="10">
        <f t="shared" si="17"/>
        <v>1.0493431242890747E-2</v>
      </c>
      <c r="T10" s="10">
        <f t="shared" si="18"/>
        <v>1.2851149088836773E-3</v>
      </c>
      <c r="U10" s="10">
        <f t="shared" si="19"/>
        <v>7.9924054135074667E-5</v>
      </c>
      <c r="V10" s="10">
        <f t="shared" si="20"/>
        <v>3.3499255961367977E-2</v>
      </c>
      <c r="W10" s="10">
        <f t="shared" si="21"/>
        <v>3.6999999999999998E-2</v>
      </c>
      <c r="X10" s="10">
        <f t="shared" si="22"/>
        <v>3.4000000000000002E-2</v>
      </c>
      <c r="Y10" s="10">
        <f t="shared" si="23"/>
        <v>3.5999999999999997E-2</v>
      </c>
      <c r="Z10" s="24">
        <f t="shared" si="24"/>
        <v>0.25</v>
      </c>
      <c r="AA10" s="24">
        <f t="shared" si="25"/>
        <v>0.23</v>
      </c>
      <c r="AB10" s="24">
        <f t="shared" si="26"/>
        <v>0.24</v>
      </c>
      <c r="AC10" s="25">
        <f t="shared" si="27"/>
        <v>5</v>
      </c>
      <c r="AD10" s="25">
        <f t="shared" si="28"/>
        <v>5</v>
      </c>
      <c r="AE10" s="25">
        <f t="shared" si="29"/>
        <v>5</v>
      </c>
      <c r="AF10" s="21"/>
      <c r="AG10" s="21"/>
      <c r="AH10" s="23"/>
      <c r="AI10" s="23"/>
      <c r="AJ10" s="23"/>
      <c r="AK10" s="23"/>
      <c r="AL10" s="22"/>
      <c r="AM10" s="22"/>
      <c r="AN10" s="22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</row>
    <row r="11" spans="1:51" s="69" customFormat="1">
      <c r="A11" s="40">
        <v>14066</v>
      </c>
      <c r="B11" s="40" t="s">
        <v>141</v>
      </c>
      <c r="C11" s="16" t="str">
        <f>Rollover!A11</f>
        <v>Lincoln</v>
      </c>
      <c r="D11" s="16" t="str">
        <f>Rollover!B11</f>
        <v>Corsair PHEV SUV AWD</v>
      </c>
      <c r="E11" s="16" t="s">
        <v>99</v>
      </c>
      <c r="F11" s="17">
        <f>Rollover!C11</f>
        <v>2022</v>
      </c>
      <c r="G11" s="18">
        <v>173.75800000000001</v>
      </c>
      <c r="H11" s="19">
        <v>18.585999999999999</v>
      </c>
      <c r="I11" s="19">
        <v>21.504999999999999</v>
      </c>
      <c r="J11" s="19">
        <v>700.41399999999999</v>
      </c>
      <c r="K11" s="20">
        <v>855.70799999999997</v>
      </c>
      <c r="L11" s="18">
        <v>105.499</v>
      </c>
      <c r="M11" s="19">
        <v>18.545999999999999</v>
      </c>
      <c r="N11" s="19">
        <v>41.930999999999997</v>
      </c>
      <c r="O11" s="19">
        <v>18.007000000000001</v>
      </c>
      <c r="P11" s="20">
        <v>3131.2139999999999</v>
      </c>
      <c r="Q11" s="148">
        <f t="shared" si="15"/>
        <v>9.6448012482810552E-4</v>
      </c>
      <c r="R11" s="10">
        <f t="shared" si="16"/>
        <v>2.4567737990110246E-2</v>
      </c>
      <c r="S11" s="10">
        <f t="shared" si="17"/>
        <v>1.0493431242890747E-2</v>
      </c>
      <c r="T11" s="10">
        <f t="shared" si="18"/>
        <v>1.2851149088836773E-3</v>
      </c>
      <c r="U11" s="10">
        <f t="shared" si="19"/>
        <v>7.9924054135074667E-5</v>
      </c>
      <c r="V11" s="10">
        <f t="shared" si="20"/>
        <v>3.3499255961367977E-2</v>
      </c>
      <c r="W11" s="10">
        <f t="shared" si="21"/>
        <v>3.6999999999999998E-2</v>
      </c>
      <c r="X11" s="10">
        <f t="shared" si="22"/>
        <v>3.4000000000000002E-2</v>
      </c>
      <c r="Y11" s="10">
        <f t="shared" si="23"/>
        <v>3.5999999999999997E-2</v>
      </c>
      <c r="Z11" s="24">
        <f t="shared" si="24"/>
        <v>0.25</v>
      </c>
      <c r="AA11" s="24">
        <f t="shared" si="25"/>
        <v>0.23</v>
      </c>
      <c r="AB11" s="24">
        <f t="shared" si="26"/>
        <v>0.24</v>
      </c>
      <c r="AC11" s="25">
        <f t="shared" si="27"/>
        <v>5</v>
      </c>
      <c r="AD11" s="25">
        <f t="shared" si="28"/>
        <v>5</v>
      </c>
      <c r="AE11" s="25">
        <f t="shared" si="29"/>
        <v>5</v>
      </c>
      <c r="AF11" s="21"/>
      <c r="AG11" s="21"/>
      <c r="AH11" s="23"/>
      <c r="AI11" s="23"/>
      <c r="AJ11" s="23"/>
      <c r="AK11" s="23"/>
      <c r="AL11" s="22"/>
      <c r="AM11" s="22"/>
      <c r="AN11" s="22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</row>
    <row r="12" spans="1:51" s="69" customFormat="1" ht="13.5" customHeight="1">
      <c r="A12" s="40"/>
      <c r="B12" s="40"/>
      <c r="C12" s="17" t="str">
        <f>Rollover!A12</f>
        <v>Ford</v>
      </c>
      <c r="D12" s="17" t="str">
        <f>Rollover!B12</f>
        <v>F-150 Super Crew HEV PU/CC 2WD</v>
      </c>
      <c r="E12" s="16"/>
      <c r="F12" s="17">
        <f>Rollover!C12</f>
        <v>2022</v>
      </c>
      <c r="G12" s="18"/>
      <c r="H12" s="19"/>
      <c r="I12" s="19"/>
      <c r="J12" s="19"/>
      <c r="K12" s="20"/>
      <c r="L12" s="18"/>
      <c r="M12" s="19"/>
      <c r="N12" s="19"/>
      <c r="O12" s="19"/>
      <c r="P12" s="20"/>
      <c r="Q12" s="148" t="e">
        <f t="shared" si="15"/>
        <v>#NUM!</v>
      </c>
      <c r="R12" s="10">
        <f t="shared" si="16"/>
        <v>4.5435171224880964E-3</v>
      </c>
      <c r="S12" s="10">
        <f t="shared" si="17"/>
        <v>2.3748578822706131E-3</v>
      </c>
      <c r="T12" s="10">
        <f t="shared" si="18"/>
        <v>5.0175335722563109E-4</v>
      </c>
      <c r="U12" s="10" t="e">
        <f t="shared" si="19"/>
        <v>#NUM!</v>
      </c>
      <c r="V12" s="10">
        <f t="shared" si="20"/>
        <v>1.8229037773026034E-3</v>
      </c>
      <c r="W12" s="10" t="e">
        <f t="shared" si="21"/>
        <v>#NUM!</v>
      </c>
      <c r="X12" s="10" t="e">
        <f t="shared" si="22"/>
        <v>#NUM!</v>
      </c>
      <c r="Y12" s="10" t="e">
        <f t="shared" si="23"/>
        <v>#NUM!</v>
      </c>
      <c r="Z12" s="24" t="e">
        <f t="shared" si="24"/>
        <v>#NUM!</v>
      </c>
      <c r="AA12" s="24" t="e">
        <f t="shared" si="25"/>
        <v>#NUM!</v>
      </c>
      <c r="AB12" s="24" t="e">
        <f t="shared" si="26"/>
        <v>#NUM!</v>
      </c>
      <c r="AC12" s="25" t="e">
        <f t="shared" si="27"/>
        <v>#NUM!</v>
      </c>
      <c r="AD12" s="25" t="e">
        <f t="shared" si="28"/>
        <v>#NUM!</v>
      </c>
      <c r="AE12" s="25" t="e">
        <f t="shared" si="29"/>
        <v>#NUM!</v>
      </c>
      <c r="AF12" s="21"/>
      <c r="AG12" s="21"/>
      <c r="AH12" s="23"/>
      <c r="AI12" s="23"/>
      <c r="AJ12" s="23"/>
      <c r="AK12" s="23"/>
      <c r="AL12" s="22"/>
      <c r="AM12" s="22"/>
      <c r="AN12" s="22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</row>
    <row r="13" spans="1:51" s="69" customFormat="1">
      <c r="A13" s="40"/>
      <c r="B13" s="40"/>
      <c r="C13" s="17" t="str">
        <f>Rollover!A13</f>
        <v>Ford</v>
      </c>
      <c r="D13" s="17" t="str">
        <f>Rollover!B13</f>
        <v>F-150 Super Crew HEV PU/CC 4WD</v>
      </c>
      <c r="E13" s="16"/>
      <c r="F13" s="17">
        <f>Rollover!C13</f>
        <v>2022</v>
      </c>
      <c r="G13" s="18"/>
      <c r="H13" s="19"/>
      <c r="I13" s="19"/>
      <c r="J13" s="19"/>
      <c r="K13" s="20"/>
      <c r="L13" s="18"/>
      <c r="M13" s="19"/>
      <c r="N13" s="19"/>
      <c r="O13" s="19"/>
      <c r="P13" s="20"/>
      <c r="Q13" s="148" t="e">
        <f t="shared" si="15"/>
        <v>#NUM!</v>
      </c>
      <c r="R13" s="10">
        <f t="shared" si="16"/>
        <v>4.5435171224880964E-3</v>
      </c>
      <c r="S13" s="10">
        <f t="shared" si="17"/>
        <v>2.3748578822706131E-3</v>
      </c>
      <c r="T13" s="10">
        <f t="shared" si="18"/>
        <v>5.0175335722563109E-4</v>
      </c>
      <c r="U13" s="10" t="e">
        <f t="shared" si="19"/>
        <v>#NUM!</v>
      </c>
      <c r="V13" s="10">
        <f t="shared" si="20"/>
        <v>1.8229037773026034E-3</v>
      </c>
      <c r="W13" s="10" t="e">
        <f t="shared" si="21"/>
        <v>#NUM!</v>
      </c>
      <c r="X13" s="10" t="e">
        <f t="shared" si="22"/>
        <v>#NUM!</v>
      </c>
      <c r="Y13" s="10" t="e">
        <f t="shared" si="23"/>
        <v>#NUM!</v>
      </c>
      <c r="Z13" s="24" t="e">
        <f t="shared" si="24"/>
        <v>#NUM!</v>
      </c>
      <c r="AA13" s="24" t="e">
        <f t="shared" si="25"/>
        <v>#NUM!</v>
      </c>
      <c r="AB13" s="24" t="e">
        <f t="shared" si="26"/>
        <v>#NUM!</v>
      </c>
      <c r="AC13" s="25" t="e">
        <f t="shared" si="27"/>
        <v>#NUM!</v>
      </c>
      <c r="AD13" s="25" t="e">
        <f t="shared" si="28"/>
        <v>#NUM!</v>
      </c>
      <c r="AE13" s="25" t="e">
        <f t="shared" si="29"/>
        <v>#NUM!</v>
      </c>
      <c r="AF13" s="21"/>
      <c r="AG13" s="21"/>
      <c r="AH13" s="23"/>
      <c r="AI13" s="23"/>
      <c r="AJ13" s="23"/>
      <c r="AK13" s="23"/>
      <c r="AL13" s="22"/>
      <c r="AM13" s="22"/>
      <c r="AN13" s="22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</row>
    <row r="14" spans="1:51" s="69" customFormat="1">
      <c r="A14" s="40">
        <v>14049</v>
      </c>
      <c r="B14" s="40" t="s">
        <v>142</v>
      </c>
      <c r="C14" s="17" t="str">
        <f>Rollover!A14</f>
        <v>Honda</v>
      </c>
      <c r="D14" s="17" t="str">
        <f>Rollover!B14</f>
        <v>Civic 4DR FWD</v>
      </c>
      <c r="E14" s="16" t="s">
        <v>99</v>
      </c>
      <c r="F14" s="17">
        <f>Rollover!C14</f>
        <v>2022</v>
      </c>
      <c r="G14" s="18">
        <v>193.22300000000001</v>
      </c>
      <c r="H14" s="19">
        <v>19.169</v>
      </c>
      <c r="I14" s="19">
        <v>34.246000000000002</v>
      </c>
      <c r="J14" s="19">
        <v>1272.172</v>
      </c>
      <c r="K14" s="20">
        <v>1273.163</v>
      </c>
      <c r="L14" s="18">
        <v>267.30500000000001</v>
      </c>
      <c r="M14" s="19">
        <v>21.327000000000002</v>
      </c>
      <c r="N14" s="19">
        <v>78.626999999999995</v>
      </c>
      <c r="O14" s="19">
        <v>15.616</v>
      </c>
      <c r="P14" s="20">
        <v>2294.511</v>
      </c>
      <c r="Q14" s="148">
        <f t="shared" si="15"/>
        <v>1.5508992117815668E-3</v>
      </c>
      <c r="R14" s="10">
        <f t="shared" si="16"/>
        <v>2.5884919719050149E-2</v>
      </c>
      <c r="S14" s="10">
        <f t="shared" si="17"/>
        <v>3.4659898372854034E-2</v>
      </c>
      <c r="T14" s="10">
        <f t="shared" si="18"/>
        <v>2.0325678464427127E-3</v>
      </c>
      <c r="U14" s="10">
        <f t="shared" si="19"/>
        <v>5.8864645985183617E-3</v>
      </c>
      <c r="V14" s="10">
        <f t="shared" si="20"/>
        <v>1.5540248794763317E-2</v>
      </c>
      <c r="W14" s="10">
        <f t="shared" si="21"/>
        <v>6.3E-2</v>
      </c>
      <c r="X14" s="10">
        <f t="shared" si="22"/>
        <v>2.1000000000000001E-2</v>
      </c>
      <c r="Y14" s="10">
        <f t="shared" si="23"/>
        <v>4.2000000000000003E-2</v>
      </c>
      <c r="Z14" s="24">
        <f t="shared" si="24"/>
        <v>0.42</v>
      </c>
      <c r="AA14" s="24">
        <f t="shared" si="25"/>
        <v>0.14000000000000001</v>
      </c>
      <c r="AB14" s="24">
        <f t="shared" si="26"/>
        <v>0.28000000000000003</v>
      </c>
      <c r="AC14" s="25">
        <f t="shared" si="27"/>
        <v>5</v>
      </c>
      <c r="AD14" s="25">
        <f t="shared" si="28"/>
        <v>5</v>
      </c>
      <c r="AE14" s="25">
        <f t="shared" si="29"/>
        <v>5</v>
      </c>
      <c r="AF14" s="21"/>
      <c r="AG14" s="21"/>
      <c r="AH14" s="23"/>
      <c r="AI14" s="23"/>
      <c r="AJ14" s="23"/>
      <c r="AK14" s="23"/>
      <c r="AL14" s="22"/>
      <c r="AM14" s="22"/>
      <c r="AN14" s="22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</row>
    <row r="15" spans="1:51" s="69" customFormat="1">
      <c r="A15" s="40">
        <v>14049</v>
      </c>
      <c r="B15" s="40" t="s">
        <v>142</v>
      </c>
      <c r="C15" s="16" t="str">
        <f>Rollover!A15</f>
        <v>Honda</v>
      </c>
      <c r="D15" s="16" t="str">
        <f>Rollover!B15</f>
        <v>Civic SI 4DR FWD</v>
      </c>
      <c r="E15" s="16" t="s">
        <v>99</v>
      </c>
      <c r="F15" s="17">
        <f>Rollover!C15</f>
        <v>2022</v>
      </c>
      <c r="G15" s="18">
        <v>193.22300000000001</v>
      </c>
      <c r="H15" s="19">
        <v>19.169</v>
      </c>
      <c r="I15" s="19">
        <v>34.246000000000002</v>
      </c>
      <c r="J15" s="19">
        <v>1272.172</v>
      </c>
      <c r="K15" s="20">
        <v>1273.163</v>
      </c>
      <c r="L15" s="18">
        <v>267.30500000000001</v>
      </c>
      <c r="M15" s="19">
        <v>21.327000000000002</v>
      </c>
      <c r="N15" s="19">
        <v>78.626999999999995</v>
      </c>
      <c r="O15" s="19">
        <v>15.616</v>
      </c>
      <c r="P15" s="20">
        <v>2294.511</v>
      </c>
      <c r="Q15" s="148">
        <f t="shared" si="15"/>
        <v>1.5508992117815668E-3</v>
      </c>
      <c r="R15" s="10">
        <f t="shared" si="16"/>
        <v>2.5884919719050149E-2</v>
      </c>
      <c r="S15" s="10">
        <f t="shared" si="17"/>
        <v>3.4659898372854034E-2</v>
      </c>
      <c r="T15" s="10">
        <f t="shared" si="18"/>
        <v>2.0325678464427127E-3</v>
      </c>
      <c r="U15" s="10">
        <f t="shared" si="19"/>
        <v>5.8864645985183617E-3</v>
      </c>
      <c r="V15" s="10">
        <f t="shared" si="20"/>
        <v>1.5540248794763317E-2</v>
      </c>
      <c r="W15" s="10">
        <f t="shared" si="21"/>
        <v>6.3E-2</v>
      </c>
      <c r="X15" s="10">
        <f t="shared" si="22"/>
        <v>2.1000000000000001E-2</v>
      </c>
      <c r="Y15" s="10">
        <f t="shared" si="23"/>
        <v>4.2000000000000003E-2</v>
      </c>
      <c r="Z15" s="24">
        <f t="shared" si="24"/>
        <v>0.42</v>
      </c>
      <c r="AA15" s="24">
        <f t="shared" si="25"/>
        <v>0.14000000000000001</v>
      </c>
      <c r="AB15" s="24">
        <f t="shared" si="26"/>
        <v>0.28000000000000003</v>
      </c>
      <c r="AC15" s="25">
        <f t="shared" si="27"/>
        <v>5</v>
      </c>
      <c r="AD15" s="25">
        <f t="shared" si="28"/>
        <v>5</v>
      </c>
      <c r="AE15" s="25">
        <f t="shared" si="29"/>
        <v>5</v>
      </c>
      <c r="AF15" s="21"/>
      <c r="AG15" s="21"/>
      <c r="AH15" s="23"/>
      <c r="AI15" s="23"/>
      <c r="AJ15" s="23"/>
      <c r="AK15" s="23"/>
      <c r="AL15" s="22"/>
      <c r="AM15" s="22"/>
      <c r="AN15" s="22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</row>
    <row r="16" spans="1:51" s="69" customFormat="1">
      <c r="A16" s="40">
        <v>14049</v>
      </c>
      <c r="B16" s="40" t="s">
        <v>142</v>
      </c>
      <c r="C16" s="16" t="str">
        <f>Rollover!A16</f>
        <v>Honda</v>
      </c>
      <c r="D16" s="16" t="str">
        <f>Rollover!B16</f>
        <v>Civic 5HB FWD</v>
      </c>
      <c r="E16" s="16" t="s">
        <v>99</v>
      </c>
      <c r="F16" s="17">
        <f>Rollover!C16</f>
        <v>2022</v>
      </c>
      <c r="G16" s="18">
        <v>193.22300000000001</v>
      </c>
      <c r="H16" s="19">
        <v>19.169</v>
      </c>
      <c r="I16" s="19">
        <v>34.246000000000002</v>
      </c>
      <c r="J16" s="19">
        <v>1272.172</v>
      </c>
      <c r="K16" s="20">
        <v>1273.163</v>
      </c>
      <c r="L16" s="18">
        <v>267.30500000000001</v>
      </c>
      <c r="M16" s="19">
        <v>21.327000000000002</v>
      </c>
      <c r="N16" s="19">
        <v>78.626999999999995</v>
      </c>
      <c r="O16" s="19">
        <v>15.616</v>
      </c>
      <c r="P16" s="20">
        <v>2294.511</v>
      </c>
      <c r="Q16" s="148">
        <f t="shared" si="15"/>
        <v>1.5508992117815668E-3</v>
      </c>
      <c r="R16" s="10">
        <f t="shared" si="16"/>
        <v>2.5884919719050149E-2</v>
      </c>
      <c r="S16" s="10">
        <f t="shared" si="17"/>
        <v>3.4659898372854034E-2</v>
      </c>
      <c r="T16" s="10">
        <f t="shared" si="18"/>
        <v>2.0325678464427127E-3</v>
      </c>
      <c r="U16" s="10">
        <f t="shared" si="19"/>
        <v>5.8864645985183617E-3</v>
      </c>
      <c r="V16" s="10">
        <f t="shared" si="20"/>
        <v>1.5540248794763317E-2</v>
      </c>
      <c r="W16" s="10">
        <f t="shared" si="21"/>
        <v>6.3E-2</v>
      </c>
      <c r="X16" s="10">
        <f t="shared" si="22"/>
        <v>2.1000000000000001E-2</v>
      </c>
      <c r="Y16" s="10">
        <f t="shared" si="23"/>
        <v>4.2000000000000003E-2</v>
      </c>
      <c r="Z16" s="24">
        <f t="shared" si="24"/>
        <v>0.42</v>
      </c>
      <c r="AA16" s="24">
        <f t="shared" si="25"/>
        <v>0.14000000000000001</v>
      </c>
      <c r="AB16" s="24">
        <f t="shared" si="26"/>
        <v>0.28000000000000003</v>
      </c>
      <c r="AC16" s="25">
        <f t="shared" si="27"/>
        <v>5</v>
      </c>
      <c r="AD16" s="25">
        <f t="shared" si="28"/>
        <v>5</v>
      </c>
      <c r="AE16" s="25">
        <f t="shared" si="29"/>
        <v>5</v>
      </c>
      <c r="AF16" s="21"/>
      <c r="AG16" s="21"/>
      <c r="AH16" s="23"/>
      <c r="AI16" s="23"/>
      <c r="AJ16" s="23"/>
      <c r="AK16" s="23"/>
      <c r="AL16" s="22"/>
      <c r="AM16" s="22"/>
      <c r="AN16" s="22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</row>
    <row r="17" spans="1:51" s="69" customFormat="1">
      <c r="A17" s="40">
        <v>11666</v>
      </c>
      <c r="B17" s="40" t="s">
        <v>143</v>
      </c>
      <c r="C17" s="16" t="str">
        <f>Rollover!A17</f>
        <v>Hyundai</v>
      </c>
      <c r="D17" s="16" t="str">
        <f>Rollover!B17</f>
        <v>Tucson SUV FWD early release</v>
      </c>
      <c r="E17" s="16" t="s">
        <v>99</v>
      </c>
      <c r="F17" s="17">
        <f>Rollover!C17</f>
        <v>2022</v>
      </c>
      <c r="G17" s="18">
        <v>70.632000000000005</v>
      </c>
      <c r="H17" s="19">
        <v>23.611000000000001</v>
      </c>
      <c r="I17" s="19">
        <v>33.793999999999997</v>
      </c>
      <c r="J17" s="19">
        <v>1083.5989999999999</v>
      </c>
      <c r="K17" s="20">
        <v>1964.2719999999999</v>
      </c>
      <c r="L17" s="18">
        <v>134.25700000000001</v>
      </c>
      <c r="M17" s="19">
        <v>16.059000000000001</v>
      </c>
      <c r="N17" s="19">
        <v>52.218000000000004</v>
      </c>
      <c r="O17" s="19">
        <v>38.298000000000002</v>
      </c>
      <c r="P17" s="20">
        <v>2835.7370000000001</v>
      </c>
      <c r="Q17" s="148">
        <f t="shared" si="15"/>
        <v>7.8921050607709401E-6</v>
      </c>
      <c r="R17" s="10">
        <f t="shared" si="16"/>
        <v>3.8432951212544829E-2</v>
      </c>
      <c r="S17" s="10">
        <f t="shared" si="17"/>
        <v>2.3450735662939242E-2</v>
      </c>
      <c r="T17" s="10">
        <f t="shared" si="18"/>
        <v>4.3371087423019978E-3</v>
      </c>
      <c r="U17" s="10">
        <f t="shared" si="19"/>
        <v>2.8082254074917945E-4</v>
      </c>
      <c r="V17" s="10">
        <f t="shared" si="20"/>
        <v>2.5583101086273031E-2</v>
      </c>
      <c r="W17" s="10">
        <f t="shared" si="21"/>
        <v>6.5000000000000002E-2</v>
      </c>
      <c r="X17" s="10">
        <f t="shared" si="22"/>
        <v>2.5999999999999999E-2</v>
      </c>
      <c r="Y17" s="10">
        <f t="shared" si="23"/>
        <v>4.5999999999999999E-2</v>
      </c>
      <c r="Z17" s="24">
        <f t="shared" si="24"/>
        <v>0.43</v>
      </c>
      <c r="AA17" s="24">
        <f t="shared" si="25"/>
        <v>0.17</v>
      </c>
      <c r="AB17" s="24">
        <f t="shared" si="26"/>
        <v>0.31</v>
      </c>
      <c r="AC17" s="25">
        <f t="shared" si="27"/>
        <v>5</v>
      </c>
      <c r="AD17" s="25">
        <f t="shared" si="28"/>
        <v>5</v>
      </c>
      <c r="AE17" s="25">
        <f t="shared" si="29"/>
        <v>5</v>
      </c>
      <c r="AF17" s="21"/>
      <c r="AG17" s="21"/>
      <c r="AH17" s="23"/>
      <c r="AI17" s="23"/>
      <c r="AJ17" s="23"/>
      <c r="AK17" s="23"/>
      <c r="AL17" s="22"/>
      <c r="AM17" s="22"/>
      <c r="AN17" s="22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</row>
    <row r="18" spans="1:51" s="69" customFormat="1">
      <c r="A18" s="40">
        <v>11666</v>
      </c>
      <c r="B18" s="40" t="s">
        <v>143</v>
      </c>
      <c r="C18" s="16" t="str">
        <f>Rollover!A18</f>
        <v>Hyundai</v>
      </c>
      <c r="D18" s="16" t="str">
        <f>Rollover!B18</f>
        <v>Tucson SUV AWD early release</v>
      </c>
      <c r="E18" s="16" t="s">
        <v>99</v>
      </c>
      <c r="F18" s="17">
        <f>Rollover!C18</f>
        <v>2022</v>
      </c>
      <c r="G18" s="18">
        <v>70.632000000000005</v>
      </c>
      <c r="H18" s="19">
        <v>23.611000000000001</v>
      </c>
      <c r="I18" s="19">
        <v>33.793999999999997</v>
      </c>
      <c r="J18" s="19">
        <v>1083.5989999999999</v>
      </c>
      <c r="K18" s="20">
        <v>1964.2719999999999</v>
      </c>
      <c r="L18" s="18">
        <v>134.25700000000001</v>
      </c>
      <c r="M18" s="19">
        <v>16.059000000000001</v>
      </c>
      <c r="N18" s="19">
        <v>52.218000000000004</v>
      </c>
      <c r="O18" s="19">
        <v>38.298000000000002</v>
      </c>
      <c r="P18" s="20">
        <v>2835.7370000000001</v>
      </c>
      <c r="Q18" s="148">
        <f t="shared" si="15"/>
        <v>7.8921050607709401E-6</v>
      </c>
      <c r="R18" s="10">
        <f t="shared" si="16"/>
        <v>3.8432951212544829E-2</v>
      </c>
      <c r="S18" s="10">
        <f t="shared" si="17"/>
        <v>2.3450735662939242E-2</v>
      </c>
      <c r="T18" s="10">
        <f t="shared" si="18"/>
        <v>4.3371087423019978E-3</v>
      </c>
      <c r="U18" s="10">
        <f t="shared" si="19"/>
        <v>2.8082254074917945E-4</v>
      </c>
      <c r="V18" s="10">
        <f t="shared" si="20"/>
        <v>2.5583101086273031E-2</v>
      </c>
      <c r="W18" s="10">
        <f t="shared" si="21"/>
        <v>6.5000000000000002E-2</v>
      </c>
      <c r="X18" s="10">
        <f t="shared" si="22"/>
        <v>2.5999999999999999E-2</v>
      </c>
      <c r="Y18" s="10">
        <f t="shared" si="23"/>
        <v>4.5999999999999999E-2</v>
      </c>
      <c r="Z18" s="24">
        <f t="shared" si="24"/>
        <v>0.43</v>
      </c>
      <c r="AA18" s="24">
        <f t="shared" si="25"/>
        <v>0.17</v>
      </c>
      <c r="AB18" s="24">
        <f t="shared" si="26"/>
        <v>0.31</v>
      </c>
      <c r="AC18" s="25">
        <f t="shared" si="27"/>
        <v>5</v>
      </c>
      <c r="AD18" s="25">
        <f t="shared" si="28"/>
        <v>5</v>
      </c>
      <c r="AE18" s="25">
        <f t="shared" si="29"/>
        <v>5</v>
      </c>
      <c r="AF18" s="21"/>
      <c r="AG18" s="21"/>
      <c r="AH18" s="23"/>
      <c r="AI18" s="23"/>
      <c r="AJ18" s="23"/>
      <c r="AK18" s="23"/>
      <c r="AL18" s="22"/>
      <c r="AM18" s="22"/>
      <c r="AN18" s="22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</row>
    <row r="19" spans="1:51">
      <c r="A19" s="40">
        <v>11666</v>
      </c>
      <c r="B19" s="40" t="s">
        <v>143</v>
      </c>
      <c r="C19" s="16" t="str">
        <f>Rollover!A19</f>
        <v>Hyundai</v>
      </c>
      <c r="D19" s="16" t="str">
        <f>Rollover!B19</f>
        <v>Tucson HEV SUV FWD early release</v>
      </c>
      <c r="E19" s="16" t="s">
        <v>99</v>
      </c>
      <c r="F19" s="17">
        <f>Rollover!C19</f>
        <v>2022</v>
      </c>
      <c r="G19" s="18">
        <v>70.632000000000005</v>
      </c>
      <c r="H19" s="19">
        <v>23.611000000000001</v>
      </c>
      <c r="I19" s="19">
        <v>33.793999999999997</v>
      </c>
      <c r="J19" s="19">
        <v>1083.5989999999999</v>
      </c>
      <c r="K19" s="20">
        <v>1964.2719999999999</v>
      </c>
      <c r="L19" s="18">
        <v>134.25700000000001</v>
      </c>
      <c r="M19" s="19">
        <v>16.059000000000001</v>
      </c>
      <c r="N19" s="19">
        <v>52.218000000000004</v>
      </c>
      <c r="O19" s="19">
        <v>38.298000000000002</v>
      </c>
      <c r="P19" s="20">
        <v>2835.7370000000001</v>
      </c>
      <c r="Q19" s="148">
        <f t="shared" si="15"/>
        <v>7.8921050607709401E-6</v>
      </c>
      <c r="R19" s="10">
        <f t="shared" si="16"/>
        <v>3.8432951212544829E-2</v>
      </c>
      <c r="S19" s="10">
        <f t="shared" si="17"/>
        <v>2.3450735662939242E-2</v>
      </c>
      <c r="T19" s="10">
        <f t="shared" si="18"/>
        <v>4.3371087423019978E-3</v>
      </c>
      <c r="U19" s="10">
        <f t="shared" si="19"/>
        <v>2.8082254074917945E-4</v>
      </c>
      <c r="V19" s="10">
        <f t="shared" si="20"/>
        <v>2.5583101086273031E-2</v>
      </c>
      <c r="W19" s="10">
        <f t="shared" si="21"/>
        <v>6.5000000000000002E-2</v>
      </c>
      <c r="X19" s="10">
        <f t="shared" si="22"/>
        <v>2.5999999999999999E-2</v>
      </c>
      <c r="Y19" s="10">
        <f t="shared" si="23"/>
        <v>4.5999999999999999E-2</v>
      </c>
      <c r="Z19" s="24">
        <f t="shared" si="24"/>
        <v>0.43</v>
      </c>
      <c r="AA19" s="24">
        <f t="shared" si="25"/>
        <v>0.17</v>
      </c>
      <c r="AB19" s="24">
        <f t="shared" si="26"/>
        <v>0.31</v>
      </c>
      <c r="AC19" s="25">
        <f t="shared" si="27"/>
        <v>5</v>
      </c>
      <c r="AD19" s="25">
        <f t="shared" si="28"/>
        <v>5</v>
      </c>
      <c r="AE19" s="25">
        <f t="shared" si="29"/>
        <v>5</v>
      </c>
      <c r="AF19" s="21"/>
      <c r="AG19" s="21"/>
      <c r="AH19" s="23"/>
      <c r="AI19" s="23"/>
      <c r="AJ19" s="23"/>
      <c r="AK19" s="23"/>
      <c r="AL19" s="22"/>
      <c r="AM19" s="22"/>
      <c r="AN19" s="22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</row>
    <row r="20" spans="1:51">
      <c r="A20" s="40">
        <v>11666</v>
      </c>
      <c r="B20" s="40" t="s">
        <v>143</v>
      </c>
      <c r="C20" s="17" t="str">
        <f>Rollover!A20</f>
        <v>Hyundai</v>
      </c>
      <c r="D20" s="17" t="str">
        <f>Rollover!B20</f>
        <v>Tucson HEV SUV AWD early release</v>
      </c>
      <c r="E20" s="16" t="s">
        <v>99</v>
      </c>
      <c r="F20" s="17">
        <f>Rollover!C20</f>
        <v>2022</v>
      </c>
      <c r="G20" s="18">
        <v>70.632000000000005</v>
      </c>
      <c r="H20" s="19">
        <v>23.611000000000001</v>
      </c>
      <c r="I20" s="19">
        <v>33.793999999999997</v>
      </c>
      <c r="J20" s="19">
        <v>1083.5989999999999</v>
      </c>
      <c r="K20" s="20">
        <v>1964.2719999999999</v>
      </c>
      <c r="L20" s="18">
        <v>134.25700000000001</v>
      </c>
      <c r="M20" s="19">
        <v>16.059000000000001</v>
      </c>
      <c r="N20" s="19">
        <v>52.218000000000004</v>
      </c>
      <c r="O20" s="19">
        <v>38.298000000000002</v>
      </c>
      <c r="P20" s="20">
        <v>2835.7370000000001</v>
      </c>
      <c r="Q20" s="148">
        <f t="shared" si="15"/>
        <v>7.8921050607709401E-6</v>
      </c>
      <c r="R20" s="10">
        <f t="shared" si="16"/>
        <v>3.8432951212544829E-2</v>
      </c>
      <c r="S20" s="10">
        <f t="shared" si="17"/>
        <v>2.3450735662939242E-2</v>
      </c>
      <c r="T20" s="10">
        <f t="shared" si="18"/>
        <v>4.3371087423019978E-3</v>
      </c>
      <c r="U20" s="10">
        <f t="shared" si="19"/>
        <v>2.8082254074917945E-4</v>
      </c>
      <c r="V20" s="10">
        <f t="shared" si="20"/>
        <v>2.5583101086273031E-2</v>
      </c>
      <c r="W20" s="10">
        <f t="shared" si="21"/>
        <v>6.5000000000000002E-2</v>
      </c>
      <c r="X20" s="10">
        <f t="shared" si="22"/>
        <v>2.5999999999999999E-2</v>
      </c>
      <c r="Y20" s="10">
        <f t="shared" si="23"/>
        <v>4.5999999999999999E-2</v>
      </c>
      <c r="Z20" s="24">
        <f t="shared" si="24"/>
        <v>0.43</v>
      </c>
      <c r="AA20" s="24">
        <f t="shared" si="25"/>
        <v>0.17</v>
      </c>
      <c r="AB20" s="24">
        <f t="shared" si="26"/>
        <v>0.31</v>
      </c>
      <c r="AC20" s="25">
        <f t="shared" si="27"/>
        <v>5</v>
      </c>
      <c r="AD20" s="25">
        <f t="shared" si="28"/>
        <v>5</v>
      </c>
      <c r="AE20" s="25">
        <f t="shared" si="29"/>
        <v>5</v>
      </c>
      <c r="AF20" s="21"/>
      <c r="AG20" s="21"/>
      <c r="AH20" s="23"/>
      <c r="AI20" s="23"/>
      <c r="AJ20" s="23"/>
      <c r="AK20" s="23"/>
      <c r="AL20" s="22"/>
      <c r="AM20" s="22"/>
      <c r="AN20" s="22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</row>
    <row r="21" spans="1:51" s="69" customFormat="1">
      <c r="A21" s="40">
        <v>14053</v>
      </c>
      <c r="B21" s="40" t="s">
        <v>144</v>
      </c>
      <c r="C21" s="17" t="str">
        <f>Rollover!A21</f>
        <v>Hyundai</v>
      </c>
      <c r="D21" s="17" t="str">
        <f>Rollover!B21</f>
        <v>Tucson SUV FWD later release</v>
      </c>
      <c r="E21" s="16" t="s">
        <v>99</v>
      </c>
      <c r="F21" s="17">
        <f>Rollover!C21</f>
        <v>2022</v>
      </c>
      <c r="G21" s="18">
        <v>71.099000000000004</v>
      </c>
      <c r="H21" s="19">
        <v>24.823</v>
      </c>
      <c r="I21" s="19">
        <v>36.918999999999997</v>
      </c>
      <c r="J21" s="19">
        <v>994.23800000000006</v>
      </c>
      <c r="K21" s="20">
        <v>1954.711</v>
      </c>
      <c r="L21" s="18">
        <v>137.304</v>
      </c>
      <c r="M21" s="19">
        <v>12.824999999999999</v>
      </c>
      <c r="N21" s="19">
        <v>59.125999999999998</v>
      </c>
      <c r="O21" s="19">
        <v>39.502000000000002</v>
      </c>
      <c r="P21" s="20">
        <v>3342.2660000000001</v>
      </c>
      <c r="Q21" s="148">
        <f t="shared" si="15"/>
        <v>8.2166223391459227E-6</v>
      </c>
      <c r="R21" s="10">
        <f t="shared" si="16"/>
        <v>4.2767563057948127E-2</v>
      </c>
      <c r="S21" s="10">
        <f t="shared" si="17"/>
        <v>1.9460229312072246E-2</v>
      </c>
      <c r="T21" s="10">
        <f t="shared" si="18"/>
        <v>4.2919287050818345E-3</v>
      </c>
      <c r="U21" s="10">
        <f t="shared" si="19"/>
        <v>3.1406993631631348E-4</v>
      </c>
      <c r="V21" s="10">
        <f t="shared" si="20"/>
        <v>4.0552118976139383E-2</v>
      </c>
      <c r="W21" s="10">
        <f t="shared" si="21"/>
        <v>6.5000000000000002E-2</v>
      </c>
      <c r="X21" s="10">
        <f t="shared" si="22"/>
        <v>4.1000000000000002E-2</v>
      </c>
      <c r="Y21" s="10">
        <f t="shared" si="23"/>
        <v>5.2999999999999999E-2</v>
      </c>
      <c r="Z21" s="24">
        <f t="shared" si="24"/>
        <v>0.43</v>
      </c>
      <c r="AA21" s="24">
        <f t="shared" si="25"/>
        <v>0.27</v>
      </c>
      <c r="AB21" s="24">
        <f t="shared" si="26"/>
        <v>0.35</v>
      </c>
      <c r="AC21" s="25">
        <f t="shared" si="27"/>
        <v>5</v>
      </c>
      <c r="AD21" s="25">
        <f t="shared" si="28"/>
        <v>5</v>
      </c>
      <c r="AE21" s="25">
        <f t="shared" si="29"/>
        <v>5</v>
      </c>
      <c r="AF21" s="21"/>
      <c r="AG21" s="21"/>
      <c r="AH21" s="23"/>
      <c r="AI21" s="23"/>
      <c r="AJ21" s="23"/>
      <c r="AK21" s="23"/>
      <c r="AL21" s="22"/>
      <c r="AM21" s="22"/>
      <c r="AN21" s="22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</row>
    <row r="22" spans="1:51" s="69" customFormat="1">
      <c r="A22" s="40">
        <v>14053</v>
      </c>
      <c r="B22" s="40" t="s">
        <v>144</v>
      </c>
      <c r="C22" s="17" t="str">
        <f>Rollover!A22</f>
        <v>Hyundai</v>
      </c>
      <c r="D22" s="17" t="str">
        <f>Rollover!B22</f>
        <v>Tucson SUV AWD later release</v>
      </c>
      <c r="E22" s="16" t="s">
        <v>99</v>
      </c>
      <c r="F22" s="17">
        <f>Rollover!C22</f>
        <v>2022</v>
      </c>
      <c r="G22" s="18">
        <v>71.099000000000004</v>
      </c>
      <c r="H22" s="19">
        <v>24.823</v>
      </c>
      <c r="I22" s="19">
        <v>36.918999999999997</v>
      </c>
      <c r="J22" s="19">
        <v>994.23800000000006</v>
      </c>
      <c r="K22" s="20">
        <v>1954.711</v>
      </c>
      <c r="L22" s="18">
        <v>137.304</v>
      </c>
      <c r="M22" s="19">
        <v>12.824999999999999</v>
      </c>
      <c r="N22" s="19">
        <v>59.125999999999998</v>
      </c>
      <c r="O22" s="19">
        <v>39.502000000000002</v>
      </c>
      <c r="P22" s="20">
        <v>3342.2660000000001</v>
      </c>
      <c r="Q22" s="148">
        <f t="shared" si="15"/>
        <v>8.2166223391459227E-6</v>
      </c>
      <c r="R22" s="10">
        <f t="shared" si="16"/>
        <v>4.2767563057948127E-2</v>
      </c>
      <c r="S22" s="10">
        <f t="shared" si="17"/>
        <v>1.9460229312072246E-2</v>
      </c>
      <c r="T22" s="10">
        <f t="shared" si="18"/>
        <v>4.2919287050818345E-3</v>
      </c>
      <c r="U22" s="10">
        <f t="shared" si="19"/>
        <v>3.1406993631631348E-4</v>
      </c>
      <c r="V22" s="10">
        <f t="shared" si="20"/>
        <v>4.0552118976139383E-2</v>
      </c>
      <c r="W22" s="10">
        <f t="shared" si="21"/>
        <v>6.5000000000000002E-2</v>
      </c>
      <c r="X22" s="10">
        <f t="shared" si="22"/>
        <v>4.1000000000000002E-2</v>
      </c>
      <c r="Y22" s="10">
        <f t="shared" si="23"/>
        <v>5.2999999999999999E-2</v>
      </c>
      <c r="Z22" s="24">
        <f t="shared" si="24"/>
        <v>0.43</v>
      </c>
      <c r="AA22" s="24">
        <f t="shared" si="25"/>
        <v>0.27</v>
      </c>
      <c r="AB22" s="24">
        <f t="shared" si="26"/>
        <v>0.35</v>
      </c>
      <c r="AC22" s="25">
        <f t="shared" si="27"/>
        <v>5</v>
      </c>
      <c r="AD22" s="25">
        <f t="shared" si="28"/>
        <v>5</v>
      </c>
      <c r="AE22" s="25">
        <f t="shared" si="29"/>
        <v>5</v>
      </c>
      <c r="AF22" s="21"/>
      <c r="AG22" s="21"/>
      <c r="AH22" s="23"/>
      <c r="AI22" s="23"/>
      <c r="AJ22" s="23"/>
      <c r="AK22" s="23"/>
      <c r="AL22" s="22"/>
      <c r="AM22" s="22"/>
      <c r="AN22" s="22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</row>
    <row r="23" spans="1:51" s="69" customFormat="1">
      <c r="A23" s="40">
        <v>14053</v>
      </c>
      <c r="B23" s="40" t="s">
        <v>144</v>
      </c>
      <c r="C23" s="17" t="str">
        <f>Rollover!A23</f>
        <v>Hyundai</v>
      </c>
      <c r="D23" s="17" t="str">
        <f>Rollover!B23</f>
        <v>Tucson HEV SUV FWD later release</v>
      </c>
      <c r="E23" s="16" t="s">
        <v>99</v>
      </c>
      <c r="F23" s="17">
        <f>Rollover!C23</f>
        <v>2022</v>
      </c>
      <c r="G23" s="18">
        <v>71.099000000000004</v>
      </c>
      <c r="H23" s="19">
        <v>24.823</v>
      </c>
      <c r="I23" s="19">
        <v>36.918999999999997</v>
      </c>
      <c r="J23" s="19">
        <v>994.23800000000006</v>
      </c>
      <c r="K23" s="20">
        <v>1954.711</v>
      </c>
      <c r="L23" s="18">
        <v>137.304</v>
      </c>
      <c r="M23" s="19">
        <v>12.824999999999999</v>
      </c>
      <c r="N23" s="19">
        <v>59.125999999999998</v>
      </c>
      <c r="O23" s="19">
        <v>39.502000000000002</v>
      </c>
      <c r="P23" s="20">
        <v>3342.2660000000001</v>
      </c>
      <c r="Q23" s="148">
        <f t="shared" si="15"/>
        <v>8.2166223391459227E-6</v>
      </c>
      <c r="R23" s="10">
        <f t="shared" si="16"/>
        <v>4.2767563057948127E-2</v>
      </c>
      <c r="S23" s="10">
        <f t="shared" si="17"/>
        <v>1.9460229312072246E-2</v>
      </c>
      <c r="T23" s="10">
        <f t="shared" si="18"/>
        <v>4.2919287050818345E-3</v>
      </c>
      <c r="U23" s="10">
        <f t="shared" si="19"/>
        <v>3.1406993631631348E-4</v>
      </c>
      <c r="V23" s="10">
        <f t="shared" si="20"/>
        <v>4.0552118976139383E-2</v>
      </c>
      <c r="W23" s="10">
        <f t="shared" si="21"/>
        <v>6.5000000000000002E-2</v>
      </c>
      <c r="X23" s="10">
        <f t="shared" si="22"/>
        <v>4.1000000000000002E-2</v>
      </c>
      <c r="Y23" s="10">
        <f t="shared" si="23"/>
        <v>5.2999999999999999E-2</v>
      </c>
      <c r="Z23" s="24">
        <f t="shared" si="24"/>
        <v>0.43</v>
      </c>
      <c r="AA23" s="24">
        <f t="shared" si="25"/>
        <v>0.27</v>
      </c>
      <c r="AB23" s="24">
        <f t="shared" si="26"/>
        <v>0.35</v>
      </c>
      <c r="AC23" s="25">
        <f t="shared" si="27"/>
        <v>5</v>
      </c>
      <c r="AD23" s="25">
        <f t="shared" si="28"/>
        <v>5</v>
      </c>
      <c r="AE23" s="25">
        <f t="shared" si="29"/>
        <v>5</v>
      </c>
      <c r="AF23" s="21"/>
      <c r="AG23" s="21"/>
      <c r="AH23" s="23"/>
      <c r="AI23" s="23"/>
      <c r="AJ23" s="23"/>
      <c r="AK23" s="23"/>
      <c r="AL23" s="22"/>
      <c r="AM23" s="22"/>
      <c r="AN23" s="22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</row>
    <row r="24" spans="1:51" s="69" customFormat="1" ht="13.5" customHeight="1">
      <c r="A24" s="40">
        <v>14053</v>
      </c>
      <c r="B24" s="40" t="s">
        <v>144</v>
      </c>
      <c r="C24" s="17" t="str">
        <f>Rollover!A24</f>
        <v>Hyundai</v>
      </c>
      <c r="D24" s="17" t="str">
        <f>Rollover!B24</f>
        <v>Tucson HEV SUV AWD later release</v>
      </c>
      <c r="E24" s="16" t="s">
        <v>99</v>
      </c>
      <c r="F24" s="17">
        <f>Rollover!C24</f>
        <v>2022</v>
      </c>
      <c r="G24" s="18">
        <v>71.099000000000004</v>
      </c>
      <c r="H24" s="19">
        <v>24.823</v>
      </c>
      <c r="I24" s="19">
        <v>36.918999999999997</v>
      </c>
      <c r="J24" s="19">
        <v>994.23800000000006</v>
      </c>
      <c r="K24" s="20">
        <v>1954.711</v>
      </c>
      <c r="L24" s="18">
        <v>137.304</v>
      </c>
      <c r="M24" s="19">
        <v>12.824999999999999</v>
      </c>
      <c r="N24" s="19">
        <v>59.125999999999998</v>
      </c>
      <c r="O24" s="19">
        <v>39.502000000000002</v>
      </c>
      <c r="P24" s="20">
        <v>3342.2660000000001</v>
      </c>
      <c r="Q24" s="148">
        <f t="shared" si="15"/>
        <v>8.2166223391459227E-6</v>
      </c>
      <c r="R24" s="10">
        <f t="shared" si="16"/>
        <v>4.2767563057948127E-2</v>
      </c>
      <c r="S24" s="10">
        <f t="shared" si="17"/>
        <v>1.9460229312072246E-2</v>
      </c>
      <c r="T24" s="10">
        <f t="shared" si="18"/>
        <v>4.2919287050818345E-3</v>
      </c>
      <c r="U24" s="10">
        <f t="shared" si="19"/>
        <v>3.1406993631631348E-4</v>
      </c>
      <c r="V24" s="10">
        <f t="shared" si="20"/>
        <v>4.0552118976139383E-2</v>
      </c>
      <c r="W24" s="10">
        <f t="shared" si="21"/>
        <v>6.5000000000000002E-2</v>
      </c>
      <c r="X24" s="10">
        <f t="shared" si="22"/>
        <v>4.1000000000000002E-2</v>
      </c>
      <c r="Y24" s="10">
        <f t="shared" si="23"/>
        <v>5.2999999999999999E-2</v>
      </c>
      <c r="Z24" s="24">
        <f t="shared" si="24"/>
        <v>0.43</v>
      </c>
      <c r="AA24" s="24">
        <f t="shared" si="25"/>
        <v>0.27</v>
      </c>
      <c r="AB24" s="24">
        <f t="shared" si="26"/>
        <v>0.35</v>
      </c>
      <c r="AC24" s="25">
        <f t="shared" si="27"/>
        <v>5</v>
      </c>
      <c r="AD24" s="25">
        <f t="shared" si="28"/>
        <v>5</v>
      </c>
      <c r="AE24" s="25">
        <f t="shared" si="29"/>
        <v>5</v>
      </c>
      <c r="AF24" s="21"/>
      <c r="AG24" s="21"/>
      <c r="AH24" s="23"/>
      <c r="AI24" s="23"/>
      <c r="AJ24" s="23"/>
      <c r="AK24" s="23"/>
      <c r="AL24" s="22"/>
      <c r="AM24" s="22"/>
      <c r="AN24" s="22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</row>
    <row r="25" spans="1:51" s="69" customFormat="1">
      <c r="A25" s="40">
        <v>14063</v>
      </c>
      <c r="B25" s="40" t="s">
        <v>145</v>
      </c>
      <c r="C25" s="17" t="str">
        <f>Rollover!A25</f>
        <v>Jeep</v>
      </c>
      <c r="D25" s="17" t="str">
        <f>Rollover!B25</f>
        <v>Compass SUV FWD</v>
      </c>
      <c r="E25" s="16" t="s">
        <v>103</v>
      </c>
      <c r="F25" s="17">
        <f>Rollover!C25</f>
        <v>2022</v>
      </c>
      <c r="G25" s="18">
        <v>144.08099999999999</v>
      </c>
      <c r="H25" s="19">
        <v>19.626999999999999</v>
      </c>
      <c r="I25" s="19">
        <v>31.460999999999999</v>
      </c>
      <c r="J25" s="19">
        <v>681.33699999999999</v>
      </c>
      <c r="K25" s="20">
        <v>1378.7660000000001</v>
      </c>
      <c r="L25" s="18">
        <v>211.57400000000001</v>
      </c>
      <c r="M25" s="19">
        <v>28.77</v>
      </c>
      <c r="N25" s="19">
        <v>62.341000000000001</v>
      </c>
      <c r="O25" s="19">
        <v>34.286999999999999</v>
      </c>
      <c r="P25" s="20">
        <v>3685.7280000000001</v>
      </c>
      <c r="Q25" s="148">
        <f t="shared" si="15"/>
        <v>3.9818122122475954E-4</v>
      </c>
      <c r="R25" s="10">
        <f t="shared" si="16"/>
        <v>2.6967666526679656E-2</v>
      </c>
      <c r="S25" s="10">
        <f t="shared" si="17"/>
        <v>1.0079228600999947E-2</v>
      </c>
      <c r="T25" s="10">
        <f t="shared" si="18"/>
        <v>2.2823666380795515E-3</v>
      </c>
      <c r="U25" s="10">
        <f t="shared" si="19"/>
        <v>2.2923324282540488E-3</v>
      </c>
      <c r="V25" s="10">
        <f t="shared" si="20"/>
        <v>5.5152801368538992E-2</v>
      </c>
      <c r="W25" s="10">
        <f t="shared" si="21"/>
        <v>3.9E-2</v>
      </c>
      <c r="X25" s="10">
        <f t="shared" si="22"/>
        <v>5.7000000000000002E-2</v>
      </c>
      <c r="Y25" s="10">
        <f t="shared" si="23"/>
        <v>4.8000000000000001E-2</v>
      </c>
      <c r="Z25" s="24">
        <f t="shared" si="24"/>
        <v>0.26</v>
      </c>
      <c r="AA25" s="24">
        <f t="shared" si="25"/>
        <v>0.38</v>
      </c>
      <c r="AB25" s="24">
        <f t="shared" si="26"/>
        <v>0.32</v>
      </c>
      <c r="AC25" s="25">
        <f t="shared" si="27"/>
        <v>5</v>
      </c>
      <c r="AD25" s="25">
        <f t="shared" si="28"/>
        <v>5</v>
      </c>
      <c r="AE25" s="25">
        <f t="shared" si="29"/>
        <v>5</v>
      </c>
      <c r="AF25" s="21"/>
      <c r="AG25" s="21"/>
      <c r="AH25" s="23"/>
      <c r="AI25" s="23"/>
      <c r="AJ25" s="23"/>
      <c r="AK25" s="23"/>
      <c r="AL25" s="22"/>
      <c r="AM25" s="22"/>
      <c r="AN25" s="22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</row>
    <row r="26" spans="1:51" s="69" customFormat="1">
      <c r="A26" s="40">
        <v>14063</v>
      </c>
      <c r="B26" s="40" t="s">
        <v>145</v>
      </c>
      <c r="C26" s="16" t="str">
        <f>Rollover!A26</f>
        <v>Jeep</v>
      </c>
      <c r="D26" s="16" t="str">
        <f>Rollover!B26</f>
        <v>Compass SUV AWD</v>
      </c>
      <c r="E26" s="16" t="s">
        <v>103</v>
      </c>
      <c r="F26" s="17">
        <f>Rollover!C26</f>
        <v>2022</v>
      </c>
      <c r="G26" s="18">
        <v>144.08099999999999</v>
      </c>
      <c r="H26" s="19">
        <v>19.626999999999999</v>
      </c>
      <c r="I26" s="19">
        <v>31.460999999999999</v>
      </c>
      <c r="J26" s="19">
        <v>681.33699999999999</v>
      </c>
      <c r="K26" s="20">
        <v>1378.7660000000001</v>
      </c>
      <c r="L26" s="18">
        <v>211.57400000000001</v>
      </c>
      <c r="M26" s="19">
        <v>28.77</v>
      </c>
      <c r="N26" s="19">
        <v>62.341000000000001</v>
      </c>
      <c r="O26" s="19">
        <v>34.286999999999999</v>
      </c>
      <c r="P26" s="20">
        <v>3685.7280000000001</v>
      </c>
      <c r="Q26" s="148">
        <f t="shared" si="15"/>
        <v>3.9818122122475954E-4</v>
      </c>
      <c r="R26" s="10">
        <f t="shared" si="16"/>
        <v>2.6967666526679656E-2</v>
      </c>
      <c r="S26" s="10">
        <f t="shared" si="17"/>
        <v>1.0079228600999947E-2</v>
      </c>
      <c r="T26" s="10">
        <f t="shared" si="18"/>
        <v>2.2823666380795515E-3</v>
      </c>
      <c r="U26" s="10">
        <f t="shared" si="19"/>
        <v>2.2923324282540488E-3</v>
      </c>
      <c r="V26" s="10">
        <f t="shared" si="20"/>
        <v>5.5152801368538992E-2</v>
      </c>
      <c r="W26" s="10">
        <f t="shared" si="21"/>
        <v>3.9E-2</v>
      </c>
      <c r="X26" s="10">
        <f t="shared" si="22"/>
        <v>5.7000000000000002E-2</v>
      </c>
      <c r="Y26" s="10">
        <f t="shared" si="23"/>
        <v>4.8000000000000001E-2</v>
      </c>
      <c r="Z26" s="24">
        <f t="shared" si="24"/>
        <v>0.26</v>
      </c>
      <c r="AA26" s="24">
        <f t="shared" si="25"/>
        <v>0.38</v>
      </c>
      <c r="AB26" s="24">
        <f t="shared" si="26"/>
        <v>0.32</v>
      </c>
      <c r="AC26" s="25">
        <f t="shared" si="27"/>
        <v>5</v>
      </c>
      <c r="AD26" s="25">
        <f t="shared" si="28"/>
        <v>5</v>
      </c>
      <c r="AE26" s="25">
        <f t="shared" si="29"/>
        <v>5</v>
      </c>
      <c r="AF26" s="21"/>
      <c r="AG26" s="21"/>
      <c r="AH26" s="23"/>
      <c r="AI26" s="23"/>
      <c r="AJ26" s="23"/>
      <c r="AK26" s="23"/>
      <c r="AL26" s="22"/>
      <c r="AM26" s="22"/>
      <c r="AN26" s="22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</row>
    <row r="27" spans="1:51">
      <c r="A27" s="66">
        <v>14055</v>
      </c>
      <c r="B27" s="66" t="s">
        <v>146</v>
      </c>
      <c r="C27" s="17" t="str">
        <f>Rollover!A27</f>
        <v>Kia</v>
      </c>
      <c r="D27" s="17" t="str">
        <f>Rollover!B27</f>
        <v>Niro Electric SUV FWD</v>
      </c>
      <c r="E27" s="16" t="s">
        <v>139</v>
      </c>
      <c r="F27" s="17">
        <f>Rollover!C27</f>
        <v>2022</v>
      </c>
      <c r="G27" s="27">
        <v>131.911</v>
      </c>
      <c r="H27" s="28">
        <v>19.672999999999998</v>
      </c>
      <c r="I27" s="28">
        <v>25.791</v>
      </c>
      <c r="J27" s="28">
        <v>724.62699999999995</v>
      </c>
      <c r="K27" s="29">
        <v>1263.4960000000001</v>
      </c>
      <c r="L27" s="27">
        <v>84.546000000000006</v>
      </c>
      <c r="M27" s="28">
        <v>19.509</v>
      </c>
      <c r="N27" s="28">
        <v>57.100999999999999</v>
      </c>
      <c r="O27" s="28">
        <v>22.574999999999999</v>
      </c>
      <c r="P27" s="29">
        <v>2713.3850000000002</v>
      </c>
      <c r="Q27" s="148">
        <f t="shared" ref="Q27:Q28" si="30">NORMDIST(LN(G27),7.45231,0.73998,1)</f>
        <v>2.5703721947402814E-4</v>
      </c>
      <c r="R27" s="10">
        <f t="shared" ref="R27:R28" si="31">1/(1+EXP(5.3895-0.0919*H27))</f>
        <v>2.7078817344621441E-2</v>
      </c>
      <c r="S27" s="10">
        <f t="shared" ref="S27:S28" si="32">1/(1+EXP(6.04044-0.002133*J27))</f>
        <v>1.1043475079713644E-2</v>
      </c>
      <c r="T27" s="10">
        <f t="shared" ref="T27:T28" si="33">1/(1+EXP(7.5969-0.0011*K27))</f>
        <v>2.0111118776823451E-3</v>
      </c>
      <c r="U27" s="10">
        <f t="shared" ref="U27:U28" si="34">NORMDIST(LN(L27),7.45231,0.73998,1)</f>
        <v>2.3061245723877184E-5</v>
      </c>
      <c r="V27" s="10">
        <f t="shared" ref="V27:V28" si="35">1/(1+EXP(6.3055-0.00094*P27))</f>
        <v>2.2867220103251311E-2</v>
      </c>
      <c r="W27" s="10">
        <f t="shared" ref="W27:W28" si="36">ROUND(1-(1-Q27)*(1-R27)*(1-S27)*(1-T27),3)</f>
        <v>0.04</v>
      </c>
      <c r="X27" s="10">
        <f t="shared" ref="X27:X28" si="37">IF(L27="N/A",L27,ROUND(1-(1-U27)*(1-V27),3))</f>
        <v>2.3E-2</v>
      </c>
      <c r="Y27" s="10">
        <f t="shared" ref="Y27:Y28" si="38">ROUND(AVERAGE(W27:X27),3)</f>
        <v>3.2000000000000001E-2</v>
      </c>
      <c r="Z27" s="24">
        <f t="shared" ref="Z27:Z28" si="39">ROUND(W27/0.15,2)</f>
        <v>0.27</v>
      </c>
      <c r="AA27" s="24">
        <f t="shared" ref="AA27:AA28" si="40">IF(L27="N/A", L27, ROUND(X27/0.15,2))</f>
        <v>0.15</v>
      </c>
      <c r="AB27" s="24">
        <f t="shared" ref="AB27:AB28" si="41">ROUND(Y27/0.15,2)</f>
        <v>0.21</v>
      </c>
      <c r="AC27" s="25">
        <f t="shared" ref="AC27:AC28" si="42">IF(Z27&lt;0.67,5,IF(Z27&lt;1,4,IF(Z27&lt;1.33,3,IF(Z27&lt;2.67,2,1))))</f>
        <v>5</v>
      </c>
      <c r="AD27" s="25">
        <f t="shared" ref="AD27:AD28" si="43">IF(L27="N/A",L27,IF(AA27&lt;0.67,5,IF(AA27&lt;1,4,IF(AA27&lt;1.33,3,IF(AA27&lt;2.67,2,1)))))</f>
        <v>5</v>
      </c>
      <c r="AE27" s="25">
        <f t="shared" ref="AE27:AE28" si="44">IF(AB27&lt;0.67,5,IF(AB27&lt;1,4,IF(AB27&lt;1.33,3,IF(AB27&lt;2.67,2,1))))</f>
        <v>5</v>
      </c>
      <c r="AF27" s="21"/>
      <c r="AG27" s="21"/>
      <c r="AH27" s="23"/>
      <c r="AI27" s="23"/>
      <c r="AJ27" s="23"/>
      <c r="AK27" s="23"/>
      <c r="AL27" s="22"/>
      <c r="AM27" s="22"/>
      <c r="AN27" s="22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</row>
    <row r="28" spans="1:51" s="69" customFormat="1">
      <c r="A28" s="40">
        <v>14054</v>
      </c>
      <c r="B28" s="40" t="s">
        <v>147</v>
      </c>
      <c r="C28" s="17" t="str">
        <f>Rollover!A28</f>
        <v>Mazda</v>
      </c>
      <c r="D28" s="17" t="str">
        <f>Rollover!B28</f>
        <v>MX-30 5HB FWD</v>
      </c>
      <c r="E28" s="16" t="s">
        <v>99</v>
      </c>
      <c r="F28" s="17">
        <f>Rollover!C28</f>
        <v>2022</v>
      </c>
      <c r="G28" s="18">
        <v>92.474999999999994</v>
      </c>
      <c r="H28" s="19">
        <v>19.521999999999998</v>
      </c>
      <c r="I28" s="19">
        <v>22.855</v>
      </c>
      <c r="J28" s="19">
        <v>766.09699999999998</v>
      </c>
      <c r="K28" s="20">
        <v>1340.54</v>
      </c>
      <c r="L28" s="18">
        <v>427.46199999999999</v>
      </c>
      <c r="M28" s="19">
        <v>28.584</v>
      </c>
      <c r="N28" s="19">
        <v>70.613</v>
      </c>
      <c r="O28" s="19">
        <v>33.415999999999997</v>
      </c>
      <c r="P28" s="20">
        <v>3886.3119999999999</v>
      </c>
      <c r="Q28" s="148">
        <f t="shared" si="30"/>
        <v>3.8538446823701387E-5</v>
      </c>
      <c r="R28" s="10">
        <f t="shared" si="31"/>
        <v>2.6715612140481099E-2</v>
      </c>
      <c r="S28" s="10">
        <f t="shared" si="32"/>
        <v>1.2052528010456892E-2</v>
      </c>
      <c r="T28" s="10">
        <f t="shared" si="33"/>
        <v>2.1885917244560652E-3</v>
      </c>
      <c r="U28" s="10">
        <f t="shared" si="34"/>
        <v>2.9753043742267334E-2</v>
      </c>
      <c r="V28" s="10">
        <f t="shared" si="35"/>
        <v>6.5843287732628319E-2</v>
      </c>
      <c r="W28" s="10">
        <f t="shared" si="36"/>
        <v>4.1000000000000002E-2</v>
      </c>
      <c r="X28" s="10">
        <f t="shared" si="37"/>
        <v>9.4E-2</v>
      </c>
      <c r="Y28" s="10">
        <f t="shared" si="38"/>
        <v>6.8000000000000005E-2</v>
      </c>
      <c r="Z28" s="24">
        <f t="shared" si="39"/>
        <v>0.27</v>
      </c>
      <c r="AA28" s="24">
        <f t="shared" si="40"/>
        <v>0.63</v>
      </c>
      <c r="AB28" s="24">
        <f t="shared" si="41"/>
        <v>0.45</v>
      </c>
      <c r="AC28" s="25">
        <f t="shared" si="42"/>
        <v>5</v>
      </c>
      <c r="AD28" s="25">
        <f t="shared" si="43"/>
        <v>5</v>
      </c>
      <c r="AE28" s="25">
        <f t="shared" si="44"/>
        <v>5</v>
      </c>
      <c r="AF28" s="21"/>
      <c r="AG28" s="21"/>
      <c r="AH28" s="23"/>
      <c r="AI28" s="23"/>
      <c r="AJ28" s="23"/>
      <c r="AK28" s="23"/>
      <c r="AL28" s="22"/>
      <c r="AM28" s="22"/>
      <c r="AN28" s="22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</row>
    <row r="29" spans="1:51" s="69" customFormat="1">
      <c r="A29" s="40">
        <v>10835</v>
      </c>
      <c r="B29" s="150" t="s">
        <v>148</v>
      </c>
      <c r="C29" s="17" t="str">
        <f>Rollover!A29</f>
        <v xml:space="preserve">Mitsubishi </v>
      </c>
      <c r="D29" s="17" t="str">
        <f>Rollover!B29</f>
        <v>Eclipse Cross SUV AWD</v>
      </c>
      <c r="E29" s="16" t="s">
        <v>139</v>
      </c>
      <c r="F29" s="17">
        <f>Rollover!C29</f>
        <v>2022</v>
      </c>
      <c r="G29" s="18">
        <v>144.69499999999999</v>
      </c>
      <c r="H29" s="19">
        <v>11.705</v>
      </c>
      <c r="I29" s="19">
        <v>26.678999999999998</v>
      </c>
      <c r="J29" s="19">
        <v>683.97900000000004</v>
      </c>
      <c r="K29" s="20">
        <v>1298.925</v>
      </c>
      <c r="L29" s="18">
        <v>162.101</v>
      </c>
      <c r="M29" s="19">
        <v>15.973000000000001</v>
      </c>
      <c r="N29" s="19">
        <v>55.374000000000002</v>
      </c>
      <c r="O29" s="19">
        <v>38.148000000000003</v>
      </c>
      <c r="P29" s="20">
        <v>2064.259</v>
      </c>
      <c r="Q29" s="148">
        <f t="shared" ref="Q29:Q36" si="45">NORMDIST(LN(G29),7.45231,0.73998,1)</f>
        <v>4.065310636660894E-4</v>
      </c>
      <c r="R29" s="10">
        <f t="shared" ref="R29:R36" si="46">1/(1+EXP(5.3895-0.0919*H29))</f>
        <v>1.3205733279719625E-2</v>
      </c>
      <c r="S29" s="10">
        <f t="shared" ref="S29:S36" si="47">1/(1+EXP(6.04044-0.002133*J29))</f>
        <v>1.0135611960285668E-2</v>
      </c>
      <c r="T29" s="10">
        <f t="shared" ref="T29:T36" si="48">1/(1+EXP(7.5969-0.0011*K29))</f>
        <v>2.0908688999106092E-3</v>
      </c>
      <c r="U29" s="10">
        <f t="shared" ref="U29:U36" si="49">NORMDIST(LN(L29),7.45231,0.73998,1)</f>
        <v>6.9963133102703167E-4</v>
      </c>
      <c r="V29" s="10">
        <f t="shared" ref="V29:V36" si="50">1/(1+EXP(6.3055-0.00094*P29))</f>
        <v>1.2553825606703666E-2</v>
      </c>
      <c r="W29" s="10">
        <f t="shared" ref="W29:W36" si="51">ROUND(1-(1-Q29)*(1-R29)*(1-S29)*(1-T29),3)</f>
        <v>2.5999999999999999E-2</v>
      </c>
      <c r="X29" s="10">
        <f t="shared" ref="X29:X36" si="52">IF(L29="N/A",L29,ROUND(1-(1-U29)*(1-V29),3))</f>
        <v>1.2999999999999999E-2</v>
      </c>
      <c r="Y29" s="10">
        <f t="shared" ref="Y29:Y36" si="53">ROUND(AVERAGE(W29:X29),3)</f>
        <v>0.02</v>
      </c>
      <c r="Z29" s="24">
        <f t="shared" ref="Z29:Z36" si="54">ROUND(W29/0.15,2)</f>
        <v>0.17</v>
      </c>
      <c r="AA29" s="24">
        <f t="shared" ref="AA29:AA36" si="55">IF(L29="N/A", L29, ROUND(X29/0.15,2))</f>
        <v>0.09</v>
      </c>
      <c r="AB29" s="24">
        <f t="shared" ref="AB29:AB36" si="56">ROUND(Y29/0.15,2)</f>
        <v>0.13</v>
      </c>
      <c r="AC29" s="25">
        <f t="shared" ref="AC29:AC36" si="57">IF(Z29&lt;0.67,5,IF(Z29&lt;1,4,IF(Z29&lt;1.33,3,IF(Z29&lt;2.67,2,1))))</f>
        <v>5</v>
      </c>
      <c r="AD29" s="25">
        <f t="shared" ref="AD29:AD36" si="58">IF(L29="N/A",L29,IF(AA29&lt;0.67,5,IF(AA29&lt;1,4,IF(AA29&lt;1.33,3,IF(AA29&lt;2.67,2,1)))))</f>
        <v>5</v>
      </c>
      <c r="AE29" s="25">
        <f t="shared" ref="AE29:AE36" si="59">IF(AB29&lt;0.67,5,IF(AB29&lt;1,4,IF(AB29&lt;1.33,3,IF(AB29&lt;2.67,2,1))))</f>
        <v>5</v>
      </c>
      <c r="AF29" s="21"/>
      <c r="AG29" s="21"/>
      <c r="AH29" s="23"/>
      <c r="AI29" s="23"/>
      <c r="AJ29" s="23"/>
      <c r="AK29" s="23"/>
      <c r="AL29" s="22"/>
      <c r="AM29" s="22"/>
      <c r="AN29" s="22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</row>
    <row r="30" spans="1:51">
      <c r="A30" s="40">
        <v>10835</v>
      </c>
      <c r="B30" s="150" t="s">
        <v>148</v>
      </c>
      <c r="C30" s="17" t="str">
        <f>Rollover!A30</f>
        <v xml:space="preserve">Mitsubishi </v>
      </c>
      <c r="D30" s="17" t="str">
        <f>Rollover!B30</f>
        <v>Eclipse Cross SUV FWD</v>
      </c>
      <c r="E30" s="16" t="s">
        <v>139</v>
      </c>
      <c r="F30" s="17">
        <f>Rollover!C30</f>
        <v>2022</v>
      </c>
      <c r="G30" s="18">
        <v>144.69499999999999</v>
      </c>
      <c r="H30" s="19">
        <v>11.705</v>
      </c>
      <c r="I30" s="19">
        <v>26.678999999999998</v>
      </c>
      <c r="J30" s="19">
        <v>683.97900000000004</v>
      </c>
      <c r="K30" s="20">
        <v>1298.925</v>
      </c>
      <c r="L30" s="18">
        <v>162.101</v>
      </c>
      <c r="M30" s="19">
        <v>15.973000000000001</v>
      </c>
      <c r="N30" s="19">
        <v>55.374000000000002</v>
      </c>
      <c r="O30" s="19">
        <v>38.148000000000003</v>
      </c>
      <c r="P30" s="20">
        <v>2064.259</v>
      </c>
      <c r="Q30" s="148">
        <f t="shared" si="45"/>
        <v>4.065310636660894E-4</v>
      </c>
      <c r="R30" s="10">
        <f t="shared" si="46"/>
        <v>1.3205733279719625E-2</v>
      </c>
      <c r="S30" s="10">
        <f t="shared" si="47"/>
        <v>1.0135611960285668E-2</v>
      </c>
      <c r="T30" s="10">
        <f t="shared" si="48"/>
        <v>2.0908688999106092E-3</v>
      </c>
      <c r="U30" s="10">
        <f t="shared" si="49"/>
        <v>6.9963133102703167E-4</v>
      </c>
      <c r="V30" s="10">
        <f t="shared" si="50"/>
        <v>1.2553825606703666E-2</v>
      </c>
      <c r="W30" s="10">
        <f t="shared" si="51"/>
        <v>2.5999999999999999E-2</v>
      </c>
      <c r="X30" s="10">
        <f t="shared" si="52"/>
        <v>1.2999999999999999E-2</v>
      </c>
      <c r="Y30" s="10">
        <f t="shared" si="53"/>
        <v>0.02</v>
      </c>
      <c r="Z30" s="24">
        <f t="shared" si="54"/>
        <v>0.17</v>
      </c>
      <c r="AA30" s="24">
        <f t="shared" si="55"/>
        <v>0.09</v>
      </c>
      <c r="AB30" s="24">
        <f t="shared" si="56"/>
        <v>0.13</v>
      </c>
      <c r="AC30" s="25">
        <f t="shared" si="57"/>
        <v>5</v>
      </c>
      <c r="AD30" s="25">
        <f t="shared" si="58"/>
        <v>5</v>
      </c>
      <c r="AE30" s="25">
        <f t="shared" si="59"/>
        <v>5</v>
      </c>
      <c r="AF30" s="21"/>
      <c r="AG30" s="21"/>
      <c r="AH30" s="23"/>
      <c r="AI30" s="23"/>
      <c r="AJ30" s="23"/>
      <c r="AK30" s="23"/>
      <c r="AL30" s="22"/>
      <c r="AM30" s="22"/>
      <c r="AN30" s="22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</row>
    <row r="31" spans="1:51" s="69" customFormat="1">
      <c r="A31" s="40">
        <v>14060</v>
      </c>
      <c r="B31" s="40" t="s">
        <v>149</v>
      </c>
      <c r="C31" s="17" t="str">
        <f>Rollover!A31</f>
        <v>Nissan</v>
      </c>
      <c r="D31" s="17" t="str">
        <f>Rollover!B31</f>
        <v>Altima 4DR FWD</v>
      </c>
      <c r="E31" s="16" t="s">
        <v>99</v>
      </c>
      <c r="F31" s="17">
        <f>Rollover!C31</f>
        <v>2022</v>
      </c>
      <c r="G31" s="18">
        <v>169.42699999999999</v>
      </c>
      <c r="H31" s="19">
        <v>32.033000000000001</v>
      </c>
      <c r="I31" s="19">
        <v>45.564</v>
      </c>
      <c r="J31" s="19">
        <v>1000.11</v>
      </c>
      <c r="K31" s="20">
        <v>2233.069</v>
      </c>
      <c r="L31" s="18">
        <v>196.02199999999999</v>
      </c>
      <c r="M31" s="19">
        <v>17.149999999999999</v>
      </c>
      <c r="N31" s="19">
        <v>43.491999999999997</v>
      </c>
      <c r="O31" s="19">
        <v>17.510999999999999</v>
      </c>
      <c r="P31" s="20">
        <v>2593.3270000000002</v>
      </c>
      <c r="Q31" s="148">
        <f t="shared" si="45"/>
        <v>8.5907050488750753E-4</v>
      </c>
      <c r="R31" s="10">
        <f t="shared" si="46"/>
        <v>7.9755969051237482E-2</v>
      </c>
      <c r="S31" s="10">
        <f t="shared" si="47"/>
        <v>1.9700669005119735E-2</v>
      </c>
      <c r="T31" s="10">
        <f t="shared" si="48"/>
        <v>5.820543429615019E-3</v>
      </c>
      <c r="U31" s="10">
        <f t="shared" si="49"/>
        <v>1.6515277261540105E-3</v>
      </c>
      <c r="V31" s="10">
        <f t="shared" si="50"/>
        <v>2.0476815337875025E-2</v>
      </c>
      <c r="W31" s="10">
        <f t="shared" si="51"/>
        <v>0.104</v>
      </c>
      <c r="X31" s="10">
        <f t="shared" si="52"/>
        <v>2.1999999999999999E-2</v>
      </c>
      <c r="Y31" s="10">
        <f t="shared" si="53"/>
        <v>6.3E-2</v>
      </c>
      <c r="Z31" s="24">
        <f t="shared" si="54"/>
        <v>0.69</v>
      </c>
      <c r="AA31" s="24">
        <f t="shared" si="55"/>
        <v>0.15</v>
      </c>
      <c r="AB31" s="24">
        <f t="shared" si="56"/>
        <v>0.42</v>
      </c>
      <c r="AC31" s="25">
        <f t="shared" si="57"/>
        <v>4</v>
      </c>
      <c r="AD31" s="25">
        <f t="shared" si="58"/>
        <v>5</v>
      </c>
      <c r="AE31" s="25">
        <f t="shared" si="59"/>
        <v>5</v>
      </c>
      <c r="AF31" s="21"/>
      <c r="AG31" s="21"/>
      <c r="AH31" s="23"/>
      <c r="AI31" s="23"/>
      <c r="AJ31" s="23"/>
      <c r="AK31" s="23"/>
      <c r="AL31" s="22"/>
      <c r="AM31" s="22"/>
      <c r="AN31" s="22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</row>
    <row r="32" spans="1:51">
      <c r="A32" s="40">
        <v>14060</v>
      </c>
      <c r="B32" s="40" t="s">
        <v>149</v>
      </c>
      <c r="C32" s="16" t="str">
        <f>Rollover!A32</f>
        <v>Nissan</v>
      </c>
      <c r="D32" s="16" t="str">
        <f>Rollover!B32</f>
        <v>Altima 4DR AWD</v>
      </c>
      <c r="E32" s="16" t="s">
        <v>99</v>
      </c>
      <c r="F32" s="17">
        <f>Rollover!C32</f>
        <v>2022</v>
      </c>
      <c r="G32" s="18">
        <v>169.42699999999999</v>
      </c>
      <c r="H32" s="19">
        <v>32.033000000000001</v>
      </c>
      <c r="I32" s="19">
        <v>45.564</v>
      </c>
      <c r="J32" s="19">
        <v>1000.11</v>
      </c>
      <c r="K32" s="20">
        <v>2233.069</v>
      </c>
      <c r="L32" s="18">
        <v>196.02199999999999</v>
      </c>
      <c r="M32" s="19">
        <v>17.149999999999999</v>
      </c>
      <c r="N32" s="19">
        <v>43.491999999999997</v>
      </c>
      <c r="O32" s="19">
        <v>17.510999999999999</v>
      </c>
      <c r="P32" s="20">
        <v>2593.3270000000002</v>
      </c>
      <c r="Q32" s="148">
        <f t="shared" si="45"/>
        <v>8.5907050488750753E-4</v>
      </c>
      <c r="R32" s="10">
        <f t="shared" si="46"/>
        <v>7.9755969051237482E-2</v>
      </c>
      <c r="S32" s="10">
        <f t="shared" si="47"/>
        <v>1.9700669005119735E-2</v>
      </c>
      <c r="T32" s="10">
        <f t="shared" si="48"/>
        <v>5.820543429615019E-3</v>
      </c>
      <c r="U32" s="10">
        <f t="shared" si="49"/>
        <v>1.6515277261540105E-3</v>
      </c>
      <c r="V32" s="10">
        <f t="shared" si="50"/>
        <v>2.0476815337875025E-2</v>
      </c>
      <c r="W32" s="10">
        <f t="shared" si="51"/>
        <v>0.104</v>
      </c>
      <c r="X32" s="10">
        <f t="shared" si="52"/>
        <v>2.1999999999999999E-2</v>
      </c>
      <c r="Y32" s="10">
        <f t="shared" si="53"/>
        <v>6.3E-2</v>
      </c>
      <c r="Z32" s="24">
        <f t="shared" si="54"/>
        <v>0.69</v>
      </c>
      <c r="AA32" s="24">
        <f t="shared" si="55"/>
        <v>0.15</v>
      </c>
      <c r="AB32" s="24">
        <f t="shared" si="56"/>
        <v>0.42</v>
      </c>
      <c r="AC32" s="25">
        <f t="shared" si="57"/>
        <v>4</v>
      </c>
      <c r="AD32" s="25">
        <f t="shared" si="58"/>
        <v>5</v>
      </c>
      <c r="AE32" s="25">
        <f t="shared" si="59"/>
        <v>5</v>
      </c>
      <c r="AF32" s="21"/>
      <c r="AG32" s="21"/>
      <c r="AH32" s="23"/>
      <c r="AI32" s="23"/>
      <c r="AJ32" s="23"/>
      <c r="AK32" s="23"/>
      <c r="AL32" s="22"/>
      <c r="AM32" s="22"/>
      <c r="AN32" s="22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</row>
    <row r="33" spans="1:51" s="69" customFormat="1">
      <c r="A33" s="40">
        <v>14072</v>
      </c>
      <c r="B33" s="40" t="s">
        <v>150</v>
      </c>
      <c r="C33" s="17" t="str">
        <f>Rollover!A33</f>
        <v>Nissan</v>
      </c>
      <c r="D33" s="17" t="str">
        <f>Rollover!B33</f>
        <v>Frontier Crew Cab PU/CC RWD</v>
      </c>
      <c r="E33" s="16" t="s">
        <v>99</v>
      </c>
      <c r="F33" s="17">
        <f>Rollover!C33</f>
        <v>2022</v>
      </c>
      <c r="G33" s="18">
        <v>58.296999999999997</v>
      </c>
      <c r="H33" s="19">
        <v>22.007999999999999</v>
      </c>
      <c r="I33" s="19" t="s">
        <v>151</v>
      </c>
      <c r="J33" s="19">
        <v>755.28899999999999</v>
      </c>
      <c r="K33" s="20">
        <v>1410.307</v>
      </c>
      <c r="L33" s="18">
        <v>136.72800000000001</v>
      </c>
      <c r="M33" s="19">
        <v>8.5730000000000004</v>
      </c>
      <c r="N33" s="19">
        <v>54.496000000000002</v>
      </c>
      <c r="O33" s="19">
        <v>17.327999999999999</v>
      </c>
      <c r="P33" s="20">
        <v>3538.6129999999998</v>
      </c>
      <c r="Q33" s="148">
        <f t="shared" si="45"/>
        <v>2.3604241336802853E-6</v>
      </c>
      <c r="R33" s="10">
        <f t="shared" si="46"/>
        <v>3.3344001503048191E-2</v>
      </c>
      <c r="S33" s="10">
        <f t="shared" si="47"/>
        <v>1.1781089713329709E-2</v>
      </c>
      <c r="T33" s="10">
        <f t="shared" si="48"/>
        <v>2.3627529190961634E-3</v>
      </c>
      <c r="U33" s="10">
        <f t="shared" si="49"/>
        <v>3.0757567384264437E-4</v>
      </c>
      <c r="V33" s="10">
        <f t="shared" si="50"/>
        <v>4.8374268892332782E-2</v>
      </c>
      <c r="W33" s="10">
        <f t="shared" si="51"/>
        <v>4.7E-2</v>
      </c>
      <c r="X33" s="10">
        <f t="shared" si="52"/>
        <v>4.9000000000000002E-2</v>
      </c>
      <c r="Y33" s="10">
        <f t="shared" si="53"/>
        <v>4.8000000000000001E-2</v>
      </c>
      <c r="Z33" s="24">
        <f t="shared" si="54"/>
        <v>0.31</v>
      </c>
      <c r="AA33" s="24">
        <f t="shared" si="55"/>
        <v>0.33</v>
      </c>
      <c r="AB33" s="24">
        <f t="shared" si="56"/>
        <v>0.32</v>
      </c>
      <c r="AC33" s="25">
        <f t="shared" si="57"/>
        <v>5</v>
      </c>
      <c r="AD33" s="25">
        <f t="shared" si="58"/>
        <v>5</v>
      </c>
      <c r="AE33" s="25">
        <f t="shared" si="59"/>
        <v>5</v>
      </c>
      <c r="AF33" s="21"/>
      <c r="AG33" s="21"/>
      <c r="AH33" s="23"/>
      <c r="AI33" s="23"/>
      <c r="AJ33" s="23"/>
      <c r="AK33" s="23"/>
      <c r="AL33" s="22"/>
      <c r="AM33" s="22"/>
      <c r="AN33" s="22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</row>
    <row r="34" spans="1:51">
      <c r="A34" s="40">
        <v>14072</v>
      </c>
      <c r="B34" s="40" t="s">
        <v>150</v>
      </c>
      <c r="C34" s="17" t="str">
        <f>Rollover!A34</f>
        <v>Nissan</v>
      </c>
      <c r="D34" s="17" t="str">
        <f>Rollover!B34</f>
        <v>Frontier Crew Cab PU/CC 4WD</v>
      </c>
      <c r="E34" s="151" t="s">
        <v>99</v>
      </c>
      <c r="F34" s="17">
        <f>Rollover!C34</f>
        <v>2022</v>
      </c>
      <c r="G34" s="18">
        <v>58.296999999999997</v>
      </c>
      <c r="H34" s="19">
        <v>22.007999999999999</v>
      </c>
      <c r="I34" s="19" t="s">
        <v>151</v>
      </c>
      <c r="J34" s="19">
        <v>755.28899999999999</v>
      </c>
      <c r="K34" s="20">
        <v>1410.307</v>
      </c>
      <c r="L34" s="18">
        <v>136.72800000000001</v>
      </c>
      <c r="M34" s="19">
        <v>8.5730000000000004</v>
      </c>
      <c r="N34" s="19">
        <v>54.496000000000002</v>
      </c>
      <c r="O34" s="19">
        <v>17.327999999999999</v>
      </c>
      <c r="P34" s="20">
        <v>3538.6129999999998</v>
      </c>
      <c r="Q34" s="148">
        <f t="shared" si="45"/>
        <v>2.3604241336802853E-6</v>
      </c>
      <c r="R34" s="10">
        <f t="shared" si="46"/>
        <v>3.3344001503048191E-2</v>
      </c>
      <c r="S34" s="10">
        <f t="shared" si="47"/>
        <v>1.1781089713329709E-2</v>
      </c>
      <c r="T34" s="10">
        <f t="shared" si="48"/>
        <v>2.3627529190961634E-3</v>
      </c>
      <c r="U34" s="10">
        <f t="shared" si="49"/>
        <v>3.0757567384264437E-4</v>
      </c>
      <c r="V34" s="10">
        <f t="shared" si="50"/>
        <v>4.8374268892332782E-2</v>
      </c>
      <c r="W34" s="10">
        <f t="shared" si="51"/>
        <v>4.7E-2</v>
      </c>
      <c r="X34" s="10">
        <f t="shared" si="52"/>
        <v>4.9000000000000002E-2</v>
      </c>
      <c r="Y34" s="10">
        <f t="shared" si="53"/>
        <v>4.8000000000000001E-2</v>
      </c>
      <c r="Z34" s="24">
        <f t="shared" si="54"/>
        <v>0.31</v>
      </c>
      <c r="AA34" s="24">
        <f t="shared" si="55"/>
        <v>0.33</v>
      </c>
      <c r="AB34" s="24">
        <f t="shared" si="56"/>
        <v>0.32</v>
      </c>
      <c r="AC34" s="25">
        <f t="shared" si="57"/>
        <v>5</v>
      </c>
      <c r="AD34" s="25">
        <f t="shared" si="58"/>
        <v>5</v>
      </c>
      <c r="AE34" s="25">
        <f t="shared" si="59"/>
        <v>5</v>
      </c>
      <c r="AF34" s="21"/>
      <c r="AG34" s="21"/>
      <c r="AH34" s="23"/>
      <c r="AI34" s="23"/>
      <c r="AJ34" s="23"/>
      <c r="AK34" s="23"/>
      <c r="AL34" s="22"/>
      <c r="AM34" s="22"/>
      <c r="AN34" s="22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</row>
    <row r="35" spans="1:51">
      <c r="A35" s="40"/>
      <c r="B35" s="40"/>
      <c r="C35" s="16" t="str">
        <f>Rollover!A35</f>
        <v>Nissan</v>
      </c>
      <c r="D35" s="16" t="str">
        <f>Rollover!B35</f>
        <v>Frontier King Cab PU/EC RWD</v>
      </c>
      <c r="E35" s="16"/>
      <c r="F35" s="17">
        <f>Rollover!C35</f>
        <v>2022</v>
      </c>
      <c r="G35" s="18"/>
      <c r="H35" s="19"/>
      <c r="I35" s="19"/>
      <c r="J35" s="19"/>
      <c r="K35" s="20"/>
      <c r="L35" s="18"/>
      <c r="M35" s="19"/>
      <c r="N35" s="19"/>
      <c r="O35" s="19"/>
      <c r="P35" s="20"/>
      <c r="Q35" s="148" t="e">
        <f t="shared" si="45"/>
        <v>#NUM!</v>
      </c>
      <c r="R35" s="10">
        <f t="shared" si="46"/>
        <v>4.5435171224880964E-3</v>
      </c>
      <c r="S35" s="10">
        <f t="shared" si="47"/>
        <v>2.3748578822706131E-3</v>
      </c>
      <c r="T35" s="10">
        <f t="shared" si="48"/>
        <v>5.0175335722563109E-4</v>
      </c>
      <c r="U35" s="10" t="e">
        <f t="shared" si="49"/>
        <v>#NUM!</v>
      </c>
      <c r="V35" s="10">
        <f t="shared" si="50"/>
        <v>1.8229037773026034E-3</v>
      </c>
      <c r="W35" s="10" t="e">
        <f t="shared" si="51"/>
        <v>#NUM!</v>
      </c>
      <c r="X35" s="10" t="e">
        <f t="shared" si="52"/>
        <v>#NUM!</v>
      </c>
      <c r="Y35" s="10" t="e">
        <f t="shared" si="53"/>
        <v>#NUM!</v>
      </c>
      <c r="Z35" s="24" t="e">
        <f t="shared" si="54"/>
        <v>#NUM!</v>
      </c>
      <c r="AA35" s="24" t="e">
        <f t="shared" si="55"/>
        <v>#NUM!</v>
      </c>
      <c r="AB35" s="24" t="e">
        <f t="shared" si="56"/>
        <v>#NUM!</v>
      </c>
      <c r="AC35" s="25" t="e">
        <f t="shared" si="57"/>
        <v>#NUM!</v>
      </c>
      <c r="AD35" s="25" t="e">
        <f t="shared" si="58"/>
        <v>#NUM!</v>
      </c>
      <c r="AE35" s="25" t="e">
        <f t="shared" si="59"/>
        <v>#NUM!</v>
      </c>
      <c r="AF35" s="21"/>
      <c r="AG35" s="21"/>
      <c r="AH35" s="23"/>
      <c r="AI35" s="23"/>
      <c r="AJ35" s="23"/>
      <c r="AK35" s="23"/>
      <c r="AL35" s="22"/>
      <c r="AM35" s="22"/>
      <c r="AN35" s="22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</row>
    <row r="36" spans="1:51" s="69" customFormat="1">
      <c r="A36" s="40"/>
      <c r="B36" s="40"/>
      <c r="C36" s="16" t="str">
        <f>Rollover!A36</f>
        <v>Nissan</v>
      </c>
      <c r="D36" s="16" t="str">
        <f>Rollover!B36</f>
        <v>Frontier King Cab PU/EC 4WD</v>
      </c>
      <c r="E36" s="16"/>
      <c r="F36" s="17">
        <f>Rollover!C36</f>
        <v>2022</v>
      </c>
      <c r="G36" s="18"/>
      <c r="H36" s="19"/>
      <c r="I36" s="19"/>
      <c r="J36" s="19"/>
      <c r="K36" s="20"/>
      <c r="L36" s="18"/>
      <c r="M36" s="19"/>
      <c r="N36" s="19"/>
      <c r="O36" s="19"/>
      <c r="P36" s="20"/>
      <c r="Q36" s="148" t="e">
        <f t="shared" si="45"/>
        <v>#NUM!</v>
      </c>
      <c r="R36" s="10">
        <f t="shared" si="46"/>
        <v>4.5435171224880964E-3</v>
      </c>
      <c r="S36" s="10">
        <f t="shared" si="47"/>
        <v>2.3748578822706131E-3</v>
      </c>
      <c r="T36" s="10">
        <f t="shared" si="48"/>
        <v>5.0175335722563109E-4</v>
      </c>
      <c r="U36" s="10" t="e">
        <f t="shared" si="49"/>
        <v>#NUM!</v>
      </c>
      <c r="V36" s="10">
        <f t="shared" si="50"/>
        <v>1.8229037773026034E-3</v>
      </c>
      <c r="W36" s="10" t="e">
        <f t="shared" si="51"/>
        <v>#NUM!</v>
      </c>
      <c r="X36" s="10" t="e">
        <f t="shared" si="52"/>
        <v>#NUM!</v>
      </c>
      <c r="Y36" s="10" t="e">
        <f t="shared" si="53"/>
        <v>#NUM!</v>
      </c>
      <c r="Z36" s="24" t="e">
        <f t="shared" si="54"/>
        <v>#NUM!</v>
      </c>
      <c r="AA36" s="24" t="e">
        <f t="shared" si="55"/>
        <v>#NUM!</v>
      </c>
      <c r="AB36" s="24" t="e">
        <f t="shared" si="56"/>
        <v>#NUM!</v>
      </c>
      <c r="AC36" s="25" t="e">
        <f t="shared" si="57"/>
        <v>#NUM!</v>
      </c>
      <c r="AD36" s="25" t="e">
        <f t="shared" si="58"/>
        <v>#NUM!</v>
      </c>
      <c r="AE36" s="25" t="e">
        <f t="shared" si="59"/>
        <v>#NUM!</v>
      </c>
      <c r="AF36" s="21"/>
      <c r="AG36" s="21"/>
      <c r="AH36" s="23"/>
      <c r="AI36" s="23"/>
      <c r="AJ36" s="23"/>
      <c r="AK36" s="23"/>
      <c r="AL36" s="22"/>
      <c r="AM36" s="22"/>
      <c r="AN36" s="22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</row>
    <row r="37" spans="1:51">
      <c r="A37" s="40">
        <v>11352</v>
      </c>
      <c r="B37" s="150" t="s">
        <v>152</v>
      </c>
      <c r="C37" s="17" t="str">
        <f>Rollover!A37</f>
        <v>Nissan</v>
      </c>
      <c r="D37" s="17" t="str">
        <f>Rollover!B37</f>
        <v>Rogue AWD (Later Release)</v>
      </c>
      <c r="E37" s="16" t="s">
        <v>139</v>
      </c>
      <c r="F37" s="17">
        <f>Rollover!C37</f>
        <v>2022</v>
      </c>
      <c r="G37" s="18">
        <v>95.481999999999999</v>
      </c>
      <c r="H37" s="19">
        <v>9.15</v>
      </c>
      <c r="I37" s="19">
        <v>19.488</v>
      </c>
      <c r="J37" s="19">
        <v>441.05799999999999</v>
      </c>
      <c r="K37" s="20">
        <v>1509.934</v>
      </c>
      <c r="L37" s="18">
        <v>160.845</v>
      </c>
      <c r="M37" s="19">
        <v>13.993</v>
      </c>
      <c r="N37" s="19">
        <v>31.033999999999999</v>
      </c>
      <c r="O37" s="19">
        <v>13.718</v>
      </c>
      <c r="P37" s="20">
        <v>2282.6239999999998</v>
      </c>
      <c r="Q37" s="148">
        <f t="shared" ref="Q37:Q38" si="60">NORMDIST(LN(G37),7.45231,0.73998,1)</f>
        <v>4.6135036644297193E-5</v>
      </c>
      <c r="R37" s="10">
        <f t="shared" ref="R37:R38" si="61">1/(1+EXP(5.3895-0.0919*H37))</f>
        <v>1.0471047051436188E-2</v>
      </c>
      <c r="S37" s="10">
        <f t="shared" ref="S37:S38" si="62">1/(1+EXP(6.04044-0.002133*J37))</f>
        <v>6.0618298843795829E-3</v>
      </c>
      <c r="T37" s="10">
        <f t="shared" ref="T37:T38" si="63">1/(1+EXP(7.5969-0.0011*K37))</f>
        <v>2.6356860625118155E-3</v>
      </c>
      <c r="U37" s="10">
        <f t="shared" ref="U37:U38" si="64">NORMDIST(LN(L37),7.45231,0.73998,1)</f>
        <v>6.7457423078721361E-4</v>
      </c>
      <c r="V37" s="10">
        <f t="shared" ref="V37:V38" si="65">1/(1+EXP(6.3055-0.00094*P37))</f>
        <v>1.537022607789403E-2</v>
      </c>
      <c r="W37" s="10">
        <f t="shared" ref="W37:W38" si="66">ROUND(1-(1-Q37)*(1-R37)*(1-S37)*(1-T37),3)</f>
        <v>1.9E-2</v>
      </c>
      <c r="X37" s="10">
        <f t="shared" ref="X37:X38" si="67">IF(L37="N/A",L37,ROUND(1-(1-U37)*(1-V37),3))</f>
        <v>1.6E-2</v>
      </c>
      <c r="Y37" s="10">
        <f t="shared" ref="Y37:Y38" si="68">ROUND(AVERAGE(W37:X37),3)</f>
        <v>1.7999999999999999E-2</v>
      </c>
      <c r="Z37" s="24">
        <f t="shared" ref="Z37:Z38" si="69">ROUND(W37/0.15,2)</f>
        <v>0.13</v>
      </c>
      <c r="AA37" s="24">
        <f t="shared" ref="AA37:AA38" si="70">IF(L37="N/A", L37, ROUND(X37/0.15,2))</f>
        <v>0.11</v>
      </c>
      <c r="AB37" s="24">
        <f t="shared" ref="AB37:AB38" si="71">ROUND(Y37/0.15,2)</f>
        <v>0.12</v>
      </c>
      <c r="AC37" s="25">
        <f t="shared" ref="AC37:AC38" si="72">IF(Z37&lt;0.67,5,IF(Z37&lt;1,4,IF(Z37&lt;1.33,3,IF(Z37&lt;2.67,2,1))))</f>
        <v>5</v>
      </c>
      <c r="AD37" s="25">
        <f t="shared" ref="AD37:AD38" si="73">IF(L37="N/A",L37,IF(AA37&lt;0.67,5,IF(AA37&lt;1,4,IF(AA37&lt;1.33,3,IF(AA37&lt;2.67,2,1)))))</f>
        <v>5</v>
      </c>
      <c r="AE37" s="25">
        <f t="shared" ref="AE37:AE38" si="74">IF(AB37&lt;0.67,5,IF(AB37&lt;1,4,IF(AB37&lt;1.33,3,IF(AB37&lt;2.67,2,1))))</f>
        <v>5</v>
      </c>
      <c r="AF37" s="21"/>
      <c r="AG37" s="21"/>
      <c r="AH37" s="23"/>
      <c r="AI37" s="23"/>
      <c r="AJ37" s="23"/>
      <c r="AK37" s="23"/>
      <c r="AL37" s="22"/>
      <c r="AM37" s="22"/>
      <c r="AN37" s="22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</row>
    <row r="38" spans="1:51">
      <c r="A38" s="40">
        <v>11352</v>
      </c>
      <c r="B38" s="150" t="s">
        <v>152</v>
      </c>
      <c r="C38" s="17" t="str">
        <f>Rollover!A38</f>
        <v>Nissan</v>
      </c>
      <c r="D38" s="17" t="str">
        <f>Rollover!B38</f>
        <v>Rogue FWD (Later Release)</v>
      </c>
      <c r="E38" s="151" t="s">
        <v>139</v>
      </c>
      <c r="F38" s="17">
        <f>Rollover!C38</f>
        <v>2022</v>
      </c>
      <c r="G38" s="18">
        <v>95.481999999999999</v>
      </c>
      <c r="H38" s="19">
        <v>9.15</v>
      </c>
      <c r="I38" s="19">
        <v>19.488</v>
      </c>
      <c r="J38" s="19">
        <v>441.05799999999999</v>
      </c>
      <c r="K38" s="20">
        <v>1509.934</v>
      </c>
      <c r="L38" s="18">
        <v>160.845</v>
      </c>
      <c r="M38" s="19">
        <v>13.993</v>
      </c>
      <c r="N38" s="19">
        <v>31.033999999999999</v>
      </c>
      <c r="O38" s="19">
        <v>13.718</v>
      </c>
      <c r="P38" s="20">
        <v>2282.6239999999998</v>
      </c>
      <c r="Q38" s="148">
        <f t="shared" si="60"/>
        <v>4.6135036644297193E-5</v>
      </c>
      <c r="R38" s="10">
        <f t="shared" si="61"/>
        <v>1.0471047051436188E-2</v>
      </c>
      <c r="S38" s="10">
        <f t="shared" si="62"/>
        <v>6.0618298843795829E-3</v>
      </c>
      <c r="T38" s="10">
        <f t="shared" si="63"/>
        <v>2.6356860625118155E-3</v>
      </c>
      <c r="U38" s="10">
        <f t="shared" si="64"/>
        <v>6.7457423078721361E-4</v>
      </c>
      <c r="V38" s="10">
        <f t="shared" si="65"/>
        <v>1.537022607789403E-2</v>
      </c>
      <c r="W38" s="10">
        <f t="shared" si="66"/>
        <v>1.9E-2</v>
      </c>
      <c r="X38" s="10">
        <f t="shared" si="67"/>
        <v>1.6E-2</v>
      </c>
      <c r="Y38" s="10">
        <f t="shared" si="68"/>
        <v>1.7999999999999999E-2</v>
      </c>
      <c r="Z38" s="24">
        <f t="shared" si="69"/>
        <v>0.13</v>
      </c>
      <c r="AA38" s="24">
        <f t="shared" si="70"/>
        <v>0.11</v>
      </c>
      <c r="AB38" s="24">
        <f t="shared" si="71"/>
        <v>0.12</v>
      </c>
      <c r="AC38" s="25">
        <f t="shared" si="72"/>
        <v>5</v>
      </c>
      <c r="AD38" s="25">
        <f t="shared" si="73"/>
        <v>5</v>
      </c>
      <c r="AE38" s="25">
        <f t="shared" si="74"/>
        <v>5</v>
      </c>
      <c r="AF38" s="21"/>
      <c r="AG38" s="21"/>
      <c r="AH38" s="23"/>
      <c r="AI38" s="23"/>
      <c r="AJ38" s="23"/>
      <c r="AK38" s="23"/>
      <c r="AL38" s="22"/>
      <c r="AM38" s="22"/>
      <c r="AN38" s="22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</row>
    <row r="39" spans="1:51" s="69" customFormat="1">
      <c r="A39" s="40">
        <v>10670</v>
      </c>
      <c r="B39" s="150" t="s">
        <v>153</v>
      </c>
      <c r="C39" s="17" t="str">
        <f>Rollover!A39</f>
        <v>Volkswagen</v>
      </c>
      <c r="D39" s="17" t="str">
        <f>Rollover!B39</f>
        <v>Jetta 4DR FWD</v>
      </c>
      <c r="E39" s="16" t="s">
        <v>139</v>
      </c>
      <c r="F39" s="17">
        <f>Rollover!C39</f>
        <v>2022</v>
      </c>
      <c r="G39" s="18">
        <v>100.57299999999999</v>
      </c>
      <c r="H39" s="19">
        <v>23.73</v>
      </c>
      <c r="I39" s="19">
        <v>32.225999999999999</v>
      </c>
      <c r="J39" s="19">
        <v>838.15200000000004</v>
      </c>
      <c r="K39" s="20">
        <v>1410.2249999999999</v>
      </c>
      <c r="L39" s="18">
        <v>306.17200000000003</v>
      </c>
      <c r="M39" s="19">
        <v>31.501000000000001</v>
      </c>
      <c r="N39" s="19">
        <v>55.665999999999997</v>
      </c>
      <c r="O39" s="19">
        <v>31.452999999999999</v>
      </c>
      <c r="P39" s="20">
        <v>2462.3580000000002</v>
      </c>
      <c r="Q39" s="148">
        <f t="shared" ref="Q39" si="75">NORMDIST(LN(G39),7.45231,0.73998,1)</f>
        <v>6.155002126778791E-5</v>
      </c>
      <c r="R39" s="10">
        <f t="shared" ref="R39" si="76">1/(1+EXP(5.3895-0.0919*H39))</f>
        <v>3.8839150528866447E-2</v>
      </c>
      <c r="S39" s="10">
        <f t="shared" ref="S39" si="77">1/(1+EXP(6.04044-0.002133*J39))</f>
        <v>1.402676686720053E-2</v>
      </c>
      <c r="T39" s="10">
        <f t="shared" ref="T39" si="78">1/(1+EXP(7.5969-0.0011*K39))</f>
        <v>2.3625403118769203E-3</v>
      </c>
      <c r="U39" s="10">
        <f t="shared" ref="U39" si="79">NORMDIST(LN(L39),7.45231,0.73998,1)</f>
        <v>9.7607850615767273E-3</v>
      </c>
      <c r="V39" s="10">
        <f t="shared" ref="V39" si="80">1/(1+EXP(6.3055-0.00094*P39))</f>
        <v>1.8147941953405661E-2</v>
      </c>
      <c r="W39" s="10">
        <f t="shared" ref="W39" si="81">ROUND(1-(1-Q39)*(1-R39)*(1-S39)*(1-T39),3)</f>
        <v>5.5E-2</v>
      </c>
      <c r="X39" s="10">
        <f t="shared" ref="X39" si="82">IF(L39="N/A",L39,ROUND(1-(1-U39)*(1-V39),3))</f>
        <v>2.8000000000000001E-2</v>
      </c>
      <c r="Y39" s="10">
        <f t="shared" ref="Y39" si="83">ROUND(AVERAGE(W39:X39),3)</f>
        <v>4.2000000000000003E-2</v>
      </c>
      <c r="Z39" s="24">
        <f t="shared" ref="Z39" si="84">ROUND(W39/0.15,2)</f>
        <v>0.37</v>
      </c>
      <c r="AA39" s="24">
        <f t="shared" ref="AA39" si="85">IF(L39="N/A", L39, ROUND(X39/0.15,2))</f>
        <v>0.19</v>
      </c>
      <c r="AB39" s="24">
        <f t="shared" ref="AB39" si="86">ROUND(Y39/0.15,2)</f>
        <v>0.28000000000000003</v>
      </c>
      <c r="AC39" s="25">
        <f t="shared" ref="AC39" si="87">IF(Z39&lt;0.67,5,IF(Z39&lt;1,4,IF(Z39&lt;1.33,3,IF(Z39&lt;2.67,2,1))))</f>
        <v>5</v>
      </c>
      <c r="AD39" s="25">
        <f t="shared" ref="AD39" si="88">IF(L39="N/A",L39,IF(AA39&lt;0.67,5,IF(AA39&lt;1,4,IF(AA39&lt;1.33,3,IF(AA39&lt;2.67,2,1)))))</f>
        <v>5</v>
      </c>
      <c r="AE39" s="25">
        <f t="shared" ref="AE39" si="89">IF(AB39&lt;0.67,5,IF(AB39&lt;1,4,IF(AB39&lt;1.33,3,IF(AB39&lt;2.67,2,1))))</f>
        <v>5</v>
      </c>
      <c r="AF39" s="21"/>
      <c r="AG39" s="21"/>
      <c r="AH39" s="23"/>
      <c r="AI39" s="23"/>
      <c r="AJ39" s="23"/>
      <c r="AK39" s="23"/>
      <c r="AL39" s="22"/>
      <c r="AM39" s="22"/>
      <c r="AN39" s="22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</row>
    <row r="40" spans="1:51" s="69" customFormat="1">
      <c r="A40" s="40">
        <v>10670</v>
      </c>
      <c r="B40" s="150" t="s">
        <v>153</v>
      </c>
      <c r="C40" s="16" t="str">
        <f>Rollover!A40</f>
        <v>Volkswagen</v>
      </c>
      <c r="D40" s="16" t="str">
        <f>Rollover!B40</f>
        <v>Jetta GLI 4DR FWD</v>
      </c>
      <c r="E40" s="16" t="s">
        <v>139</v>
      </c>
      <c r="F40" s="17">
        <f>Rollover!C40</f>
        <v>2022</v>
      </c>
      <c r="G40" s="18">
        <v>100.57299999999999</v>
      </c>
      <c r="H40" s="19">
        <v>23.73</v>
      </c>
      <c r="I40" s="19">
        <v>32.225999999999999</v>
      </c>
      <c r="J40" s="19">
        <v>838.15200000000004</v>
      </c>
      <c r="K40" s="20">
        <v>1410.2249999999999</v>
      </c>
      <c r="L40" s="18">
        <v>306.17200000000003</v>
      </c>
      <c r="M40" s="19">
        <v>31.501000000000001</v>
      </c>
      <c r="N40" s="19">
        <v>55.665999999999997</v>
      </c>
      <c r="O40" s="19">
        <v>31.452999999999999</v>
      </c>
      <c r="P40" s="20">
        <v>2462.3580000000002</v>
      </c>
      <c r="Q40" s="148">
        <f t="shared" ref="Q40:Q42" si="90">NORMDIST(LN(G40),7.45231,0.73998,1)</f>
        <v>6.155002126778791E-5</v>
      </c>
      <c r="R40" s="10">
        <f t="shared" ref="R40:R42" si="91">1/(1+EXP(5.3895-0.0919*H40))</f>
        <v>3.8839150528866447E-2</v>
      </c>
      <c r="S40" s="10">
        <f t="shared" ref="S40:S42" si="92">1/(1+EXP(6.04044-0.002133*J40))</f>
        <v>1.402676686720053E-2</v>
      </c>
      <c r="T40" s="10">
        <f t="shared" ref="T40:T42" si="93">1/(1+EXP(7.5969-0.0011*K40))</f>
        <v>2.3625403118769203E-3</v>
      </c>
      <c r="U40" s="10">
        <f t="shared" ref="U40:U42" si="94">NORMDIST(LN(L40),7.45231,0.73998,1)</f>
        <v>9.7607850615767273E-3</v>
      </c>
      <c r="V40" s="10">
        <f t="shared" ref="V40:V42" si="95">1/(1+EXP(6.3055-0.00094*P40))</f>
        <v>1.8147941953405661E-2</v>
      </c>
      <c r="W40" s="10">
        <f t="shared" ref="W40:W42" si="96">ROUND(1-(1-Q40)*(1-R40)*(1-S40)*(1-T40),3)</f>
        <v>5.5E-2</v>
      </c>
      <c r="X40" s="10">
        <f t="shared" ref="X40:X42" si="97">IF(L40="N/A",L40,ROUND(1-(1-U40)*(1-V40),3))</f>
        <v>2.8000000000000001E-2</v>
      </c>
      <c r="Y40" s="10">
        <f t="shared" ref="Y40:Y42" si="98">ROUND(AVERAGE(W40:X40),3)</f>
        <v>4.2000000000000003E-2</v>
      </c>
      <c r="Z40" s="24">
        <f t="shared" ref="Z40:Z42" si="99">ROUND(W40/0.15,2)</f>
        <v>0.37</v>
      </c>
      <c r="AA40" s="24">
        <f t="shared" ref="AA40:AA42" si="100">IF(L40="N/A", L40, ROUND(X40/0.15,2))</f>
        <v>0.19</v>
      </c>
      <c r="AB40" s="24">
        <f t="shared" ref="AB40:AB42" si="101">ROUND(Y40/0.15,2)</f>
        <v>0.28000000000000003</v>
      </c>
      <c r="AC40" s="25">
        <f t="shared" ref="AC40:AC42" si="102">IF(Z40&lt;0.67,5,IF(Z40&lt;1,4,IF(Z40&lt;1.33,3,IF(Z40&lt;2.67,2,1))))</f>
        <v>5</v>
      </c>
      <c r="AD40" s="25">
        <f t="shared" ref="AD40:AD42" si="103">IF(L40="N/A",L40,IF(AA40&lt;0.67,5,IF(AA40&lt;1,4,IF(AA40&lt;1.33,3,IF(AA40&lt;2.67,2,1)))))</f>
        <v>5</v>
      </c>
      <c r="AE40" s="25">
        <f t="shared" ref="AE40:AE42" si="104">IF(AB40&lt;0.67,5,IF(AB40&lt;1,4,IF(AB40&lt;1.33,3,IF(AB40&lt;2.67,2,1))))</f>
        <v>5</v>
      </c>
      <c r="AF40" s="21"/>
      <c r="AG40" s="21"/>
      <c r="AH40" s="23"/>
      <c r="AI40" s="23"/>
      <c r="AJ40" s="23"/>
      <c r="AK40" s="23"/>
      <c r="AL40" s="22"/>
      <c r="AM40" s="22"/>
      <c r="AN40" s="22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</row>
    <row r="41" spans="1:51" s="69" customFormat="1" ht="13.5" customHeight="1">
      <c r="A41" s="40">
        <v>14079</v>
      </c>
      <c r="B41" s="40" t="s">
        <v>154</v>
      </c>
      <c r="C41" s="17" t="str">
        <f>Rollover!A41</f>
        <v>Volkswagen</v>
      </c>
      <c r="D41" s="17" t="str">
        <f>Rollover!B41</f>
        <v>Taos SUV FWD</v>
      </c>
      <c r="E41" s="16" t="s">
        <v>138</v>
      </c>
      <c r="F41" s="17">
        <f>Rollover!C41</f>
        <v>2022</v>
      </c>
      <c r="G41" s="18">
        <v>110.596</v>
      </c>
      <c r="H41" s="19">
        <v>15.879</v>
      </c>
      <c r="I41" s="19">
        <v>29.126999999999999</v>
      </c>
      <c r="J41" s="19">
        <v>510.16300000000001</v>
      </c>
      <c r="K41" s="20">
        <v>1750.683</v>
      </c>
      <c r="L41" s="18">
        <v>392.66500000000002</v>
      </c>
      <c r="M41" s="19">
        <v>28.981000000000002</v>
      </c>
      <c r="N41" s="19">
        <v>69.132999999999996</v>
      </c>
      <c r="O41" s="19">
        <v>33.392000000000003</v>
      </c>
      <c r="P41" s="20">
        <v>2993.4580000000001</v>
      </c>
      <c r="Q41" s="148">
        <f t="shared" si="90"/>
        <v>1.0302266563894409E-4</v>
      </c>
      <c r="R41" s="10">
        <f t="shared" si="91"/>
        <v>1.9261078261832532E-2</v>
      </c>
      <c r="S41" s="10">
        <f t="shared" si="92"/>
        <v>7.0178044515033511E-3</v>
      </c>
      <c r="T41" s="10">
        <f t="shared" si="93"/>
        <v>3.4320871980571253E-3</v>
      </c>
      <c r="U41" s="10">
        <f t="shared" si="94"/>
        <v>2.2794444327059609E-2</v>
      </c>
      <c r="V41" s="10">
        <f t="shared" si="95"/>
        <v>2.9550764464030148E-2</v>
      </c>
      <c r="W41" s="10">
        <f t="shared" si="96"/>
        <v>0.03</v>
      </c>
      <c r="X41" s="10">
        <f t="shared" si="97"/>
        <v>5.1999999999999998E-2</v>
      </c>
      <c r="Y41" s="10">
        <f t="shared" si="98"/>
        <v>4.1000000000000002E-2</v>
      </c>
      <c r="Z41" s="24">
        <f t="shared" si="99"/>
        <v>0.2</v>
      </c>
      <c r="AA41" s="24">
        <f t="shared" si="100"/>
        <v>0.35</v>
      </c>
      <c r="AB41" s="24">
        <f t="shared" si="101"/>
        <v>0.27</v>
      </c>
      <c r="AC41" s="25">
        <f t="shared" si="102"/>
        <v>5</v>
      </c>
      <c r="AD41" s="25">
        <f t="shared" si="103"/>
        <v>5</v>
      </c>
      <c r="AE41" s="25">
        <f t="shared" si="104"/>
        <v>5</v>
      </c>
      <c r="AF41" s="21"/>
      <c r="AG41" s="21"/>
      <c r="AH41" s="23"/>
      <c r="AI41" s="23"/>
      <c r="AJ41" s="23"/>
      <c r="AK41" s="23"/>
      <c r="AL41" s="22"/>
      <c r="AM41" s="22"/>
      <c r="AN41" s="22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</row>
    <row r="42" spans="1:51" s="69" customFormat="1">
      <c r="A42" s="40">
        <v>14079</v>
      </c>
      <c r="B42" s="40" t="s">
        <v>154</v>
      </c>
      <c r="C42" s="17" t="str">
        <f>Rollover!A42</f>
        <v>Volkswagen</v>
      </c>
      <c r="D42" s="17" t="str">
        <f>Rollover!B42</f>
        <v>Taos SUV AWD</v>
      </c>
      <c r="E42" s="16" t="s">
        <v>138</v>
      </c>
      <c r="F42" s="17">
        <f>Rollover!C42</f>
        <v>2022</v>
      </c>
      <c r="G42" s="18">
        <v>110.596</v>
      </c>
      <c r="H42" s="19">
        <v>15.879</v>
      </c>
      <c r="I42" s="19">
        <v>29.126999999999999</v>
      </c>
      <c r="J42" s="19">
        <v>510.16300000000001</v>
      </c>
      <c r="K42" s="20">
        <v>1750.683</v>
      </c>
      <c r="L42" s="18">
        <v>392.66500000000002</v>
      </c>
      <c r="M42" s="19">
        <v>28.981000000000002</v>
      </c>
      <c r="N42" s="19">
        <v>69.132999999999996</v>
      </c>
      <c r="O42" s="19">
        <v>33.392000000000003</v>
      </c>
      <c r="P42" s="20">
        <v>2993.4580000000001</v>
      </c>
      <c r="Q42" s="148">
        <f t="shared" si="90"/>
        <v>1.0302266563894409E-4</v>
      </c>
      <c r="R42" s="10">
        <f t="shared" si="91"/>
        <v>1.9261078261832532E-2</v>
      </c>
      <c r="S42" s="10">
        <f t="shared" si="92"/>
        <v>7.0178044515033511E-3</v>
      </c>
      <c r="T42" s="10">
        <f t="shared" si="93"/>
        <v>3.4320871980571253E-3</v>
      </c>
      <c r="U42" s="10">
        <f t="shared" si="94"/>
        <v>2.2794444327059609E-2</v>
      </c>
      <c r="V42" s="10">
        <f t="shared" si="95"/>
        <v>2.9550764464030148E-2</v>
      </c>
      <c r="W42" s="10">
        <f t="shared" si="96"/>
        <v>0.03</v>
      </c>
      <c r="X42" s="10">
        <f t="shared" si="97"/>
        <v>5.1999999999999998E-2</v>
      </c>
      <c r="Y42" s="10">
        <f t="shared" si="98"/>
        <v>4.1000000000000002E-2</v>
      </c>
      <c r="Z42" s="24">
        <f t="shared" si="99"/>
        <v>0.2</v>
      </c>
      <c r="AA42" s="24">
        <f t="shared" si="100"/>
        <v>0.35</v>
      </c>
      <c r="AB42" s="24">
        <f t="shared" si="101"/>
        <v>0.27</v>
      </c>
      <c r="AC42" s="25">
        <f t="shared" si="102"/>
        <v>5</v>
      </c>
      <c r="AD42" s="25">
        <f t="shared" si="103"/>
        <v>5</v>
      </c>
      <c r="AE42" s="25">
        <f t="shared" si="104"/>
        <v>5</v>
      </c>
      <c r="AF42" s="21"/>
      <c r="AG42" s="21"/>
      <c r="AH42" s="23"/>
      <c r="AI42" s="23"/>
      <c r="AJ42" s="23"/>
      <c r="AK42" s="23"/>
      <c r="AL42" s="22"/>
      <c r="AM42" s="22"/>
      <c r="AN42" s="22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</row>
    <row r="43" spans="1:51">
      <c r="AE43" s="2"/>
    </row>
    <row r="44" spans="1:51">
      <c r="AE44" s="2"/>
    </row>
    <row r="45" spans="1:51">
      <c r="AE45" s="2"/>
    </row>
    <row r="46" spans="1:51">
      <c r="AE46" s="2"/>
    </row>
    <row r="47" spans="1:51">
      <c r="AE47" s="2"/>
    </row>
    <row r="48" spans="1:51">
      <c r="AE48" s="2"/>
    </row>
    <row r="49" spans="31:31">
      <c r="AE49" s="2"/>
    </row>
    <row r="50" spans="31:31">
      <c r="AE50" s="2"/>
    </row>
    <row r="51" spans="31:31">
      <c r="AE51" s="2"/>
    </row>
    <row r="52" spans="31:31">
      <c r="AE52" s="2"/>
    </row>
    <row r="53" spans="31:31">
      <c r="AE53" s="2"/>
    </row>
    <row r="54" spans="31:31">
      <c r="AE54" s="2"/>
    </row>
    <row r="55" spans="31:31">
      <c r="AE55" s="2"/>
    </row>
    <row r="56" spans="31:31">
      <c r="AE56" s="2"/>
    </row>
    <row r="57" spans="31:31">
      <c r="AE57" s="2"/>
    </row>
    <row r="58" spans="31:31">
      <c r="AE58" s="2"/>
    </row>
    <row r="59" spans="31:31">
      <c r="AE59" s="2"/>
    </row>
    <row r="60" spans="31:31">
      <c r="AE60" s="2"/>
    </row>
    <row r="61" spans="31:31">
      <c r="AE61" s="2"/>
    </row>
    <row r="62" spans="31:31">
      <c r="AE62" s="2"/>
    </row>
    <row r="63" spans="31:31">
      <c r="AE63" s="2"/>
    </row>
    <row r="64" spans="31:31">
      <c r="AE64" s="2"/>
    </row>
    <row r="65" spans="31:31">
      <c r="AE65" s="2"/>
    </row>
    <row r="66" spans="31:31">
      <c r="AE66" s="2"/>
    </row>
    <row r="67" spans="31:31">
      <c r="AE67" s="2"/>
    </row>
    <row r="68" spans="31:31">
      <c r="AE68" s="2"/>
    </row>
    <row r="69" spans="31:31">
      <c r="AE69" s="2"/>
    </row>
    <row r="70" spans="31:31">
      <c r="AE70" s="2"/>
    </row>
    <row r="71" spans="31:31">
      <c r="AE71" s="2"/>
    </row>
    <row r="72" spans="31:31">
      <c r="AE72" s="2"/>
    </row>
    <row r="73" spans="31:31">
      <c r="AE73" s="2"/>
    </row>
    <row r="74" spans="31:31">
      <c r="AE74" s="2"/>
    </row>
    <row r="75" spans="31:31">
      <c r="AE75" s="2"/>
    </row>
    <row r="76" spans="31:31">
      <c r="AE76" s="2"/>
    </row>
    <row r="77" spans="31:31">
      <c r="AE77" s="2"/>
    </row>
    <row r="78" spans="31:31">
      <c r="AE78" s="2"/>
    </row>
    <row r="79" spans="31:31">
      <c r="AE79" s="2"/>
    </row>
    <row r="80" spans="31:3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66"/>
  <sheetViews>
    <sheetView zoomScaleNormal="100" workbookViewId="0">
      <pane xSplit="6" ySplit="2" topLeftCell="G3" activePane="bottomRight" state="frozen"/>
      <selection activeCell="L19" sqref="L19"/>
      <selection pane="topRight" activeCell="L19" sqref="L19"/>
      <selection pane="bottomLeft" activeCell="L19" sqref="L19"/>
      <selection pane="bottomRight" activeCell="A5" sqref="A5:XFD8"/>
    </sheetView>
  </sheetViews>
  <sheetFormatPr defaultColWidth="9.140625" defaultRowHeight="14.1" customHeight="1"/>
  <cols>
    <col min="1" max="1" width="8.5703125" style="132" bestFit="1" customWidth="1"/>
    <col min="2" max="2" width="9" style="132" bestFit="1" customWidth="1"/>
    <col min="3" max="3" width="12" style="133" bestFit="1" customWidth="1"/>
    <col min="4" max="4" width="27.28515625" style="133" customWidth="1"/>
    <col min="5" max="5" width="6.5703125" style="134" customWidth="1"/>
    <col min="6" max="6" width="7.42578125" style="135" bestFit="1" customWidth="1"/>
    <col min="7" max="10" width="8.5703125" style="128" customWidth="1"/>
    <col min="11" max="11" width="9.85546875" style="128" customWidth="1"/>
    <col min="12" max="12" width="7" style="128" customWidth="1"/>
    <col min="13" max="13" width="7.42578125" style="128" customWidth="1"/>
    <col min="14" max="14" width="7.85546875" style="136" customWidth="1"/>
    <col min="15" max="15" width="8" style="136" customWidth="1"/>
    <col min="16" max="16" width="8.42578125" style="137" customWidth="1"/>
    <col min="17" max="17" width="9.42578125" style="136" customWidth="1"/>
    <col min="18" max="18" width="10.140625" style="128" customWidth="1"/>
    <col min="19" max="19" width="6" style="132" customWidth="1"/>
    <col min="20" max="20" width="10.42578125" style="132" bestFit="1" customWidth="1"/>
    <col min="21" max="21" width="10.140625" style="132" customWidth="1"/>
    <col min="22" max="22" width="10.42578125" style="132" bestFit="1" customWidth="1"/>
    <col min="23" max="16384" width="9.140625" style="128"/>
  </cols>
  <sheetData>
    <row r="1" spans="1:37" s="122" customFormat="1" ht="14.1" customHeight="1">
      <c r="A1" s="25"/>
      <c r="B1" s="25"/>
      <c r="C1" s="114"/>
      <c r="D1" s="114"/>
      <c r="E1" s="115"/>
      <c r="F1" s="116"/>
      <c r="G1" s="117" t="s">
        <v>155</v>
      </c>
      <c r="H1" s="118"/>
      <c r="I1" s="118"/>
      <c r="J1" s="118"/>
      <c r="K1" s="119"/>
      <c r="L1" s="120" t="s">
        <v>155</v>
      </c>
      <c r="M1" s="121"/>
      <c r="N1" s="46" t="s">
        <v>70</v>
      </c>
      <c r="O1" s="11" t="s">
        <v>70</v>
      </c>
      <c r="P1" s="25" t="s">
        <v>156</v>
      </c>
      <c r="Q1" s="11" t="s">
        <v>70</v>
      </c>
      <c r="R1" s="45" t="s">
        <v>70</v>
      </c>
      <c r="S1" s="25" t="s">
        <v>70</v>
      </c>
      <c r="T1" s="25" t="s">
        <v>157</v>
      </c>
      <c r="U1" s="25" t="s">
        <v>158</v>
      </c>
      <c r="V1" s="25" t="s">
        <v>157</v>
      </c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7" s="122" customFormat="1" ht="14.1" customHeight="1">
      <c r="A2" s="25" t="s">
        <v>74</v>
      </c>
      <c r="B2" s="25" t="s">
        <v>75</v>
      </c>
      <c r="C2" s="114" t="s">
        <v>1</v>
      </c>
      <c r="D2" s="114" t="s">
        <v>2</v>
      </c>
      <c r="E2" s="115" t="s">
        <v>76</v>
      </c>
      <c r="F2" s="116" t="s">
        <v>3</v>
      </c>
      <c r="G2" s="123" t="s">
        <v>125</v>
      </c>
      <c r="H2" s="48" t="s">
        <v>159</v>
      </c>
      <c r="I2" s="48" t="s">
        <v>160</v>
      </c>
      <c r="J2" s="48" t="s">
        <v>161</v>
      </c>
      <c r="K2" s="124" t="s">
        <v>131</v>
      </c>
      <c r="L2" s="46" t="s">
        <v>132</v>
      </c>
      <c r="M2" s="47" t="s">
        <v>134</v>
      </c>
      <c r="N2" s="46" t="s">
        <v>135</v>
      </c>
      <c r="O2" s="11" t="s">
        <v>162</v>
      </c>
      <c r="P2" s="25" t="s">
        <v>10</v>
      </c>
      <c r="Q2" s="48" t="s">
        <v>163</v>
      </c>
      <c r="R2" s="49" t="s">
        <v>164</v>
      </c>
      <c r="S2" s="9" t="s">
        <v>165</v>
      </c>
      <c r="T2" s="48" t="s">
        <v>166</v>
      </c>
      <c r="U2" s="48" t="s">
        <v>167</v>
      </c>
      <c r="V2" s="9" t="s">
        <v>168</v>
      </c>
      <c r="W2" s="8"/>
      <c r="X2" s="13"/>
      <c r="Y2" s="13"/>
      <c r="Z2" s="13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14.1" customHeight="1">
      <c r="A3" s="125">
        <v>11662</v>
      </c>
      <c r="B3" s="125" t="s">
        <v>169</v>
      </c>
      <c r="C3" s="126" t="str">
        <f>Rollover!A3</f>
        <v>Acura</v>
      </c>
      <c r="D3" s="126" t="str">
        <f>Rollover!B3</f>
        <v>MDX SUV AWD</v>
      </c>
      <c r="E3" s="67" t="s">
        <v>99</v>
      </c>
      <c r="F3" s="127">
        <f>Rollover!C3</f>
        <v>2022</v>
      </c>
      <c r="G3" s="50">
        <v>549.42999999999995</v>
      </c>
      <c r="H3" s="19">
        <v>23.844000000000001</v>
      </c>
      <c r="I3" s="19">
        <v>40.203000000000003</v>
      </c>
      <c r="J3" s="51">
        <v>23.867999999999999</v>
      </c>
      <c r="K3" s="51">
        <v>1886.6890000000001</v>
      </c>
      <c r="L3" s="52">
        <f t="shared" ref="L3" si="0">NORMDIST(LN(G3),7.45231,0.73998,1)</f>
        <v>6.1147063867622163E-2</v>
      </c>
      <c r="M3" s="60">
        <f t="shared" ref="M3:M8" si="1">1/(1+EXP(6.3055-0.00094*K3))</f>
        <v>1.0644479508367092E-2</v>
      </c>
      <c r="N3" s="52">
        <f t="shared" ref="N3:N8" si="2">ROUND(1-(1-L3)*(1-M3),3)</f>
        <v>7.0999999999999994E-2</v>
      </c>
      <c r="O3" s="10">
        <f t="shared" ref="O3:O8" si="3">ROUND(N3/0.15,2)</f>
        <v>0.47</v>
      </c>
      <c r="P3" s="25">
        <f t="shared" ref="P3:P8" si="4">IF(O3&lt;0.67,5,IF(O3&lt;1,4,IF(O3&lt;1.33,3,IF(O3&lt;2.67,2,1))))</f>
        <v>5</v>
      </c>
      <c r="Q3" s="53">
        <f>ROUND((0.8*'Side MDB'!W3+0.2*'Side Pole'!N3),3)</f>
        <v>3.4000000000000002E-2</v>
      </c>
      <c r="R3" s="53">
        <f t="shared" ref="R3:R8" si="5">ROUND((Q3)/0.15,2)</f>
        <v>0.23</v>
      </c>
      <c r="S3" s="25">
        <f t="shared" ref="S3:S8" si="6">IF(R3&lt;0.67,5,IF(R3&lt;1,4,IF(R3&lt;1.33,3,IF(R3&lt;2.67,2,1))))</f>
        <v>5</v>
      </c>
      <c r="T3" s="53">
        <f>ROUND(((0.8*'Side MDB'!W3+0.2*'Side Pole'!N3)+(IF('Side MDB'!X3="N/A",(0.8*'Side MDB'!W3+0.2*'Side Pole'!N3),'Side MDB'!X3)))/2,3)</f>
        <v>1.9E-2</v>
      </c>
      <c r="U3" s="53">
        <f t="shared" ref="U3:U8" si="7">ROUND((T3)/0.15,2)</f>
        <v>0.13</v>
      </c>
      <c r="V3" s="25">
        <f t="shared" ref="V3:V8" si="8">IF(U3&lt;0.67,5,IF(U3&lt;1,4,IF(U3&lt;1.33,3,IF(U3&lt;2.67,2,1))))</f>
        <v>5</v>
      </c>
      <c r="W3" s="23"/>
      <c r="X3" s="36"/>
      <c r="Y3" s="36"/>
      <c r="Z3" s="36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</row>
    <row r="4" spans="1:37" ht="14.1" customHeight="1">
      <c r="A4" s="125">
        <v>11662</v>
      </c>
      <c r="B4" s="125" t="s">
        <v>169</v>
      </c>
      <c r="C4" s="114" t="str">
        <f>Rollover!A4</f>
        <v>Acura</v>
      </c>
      <c r="D4" s="114" t="str">
        <f>Rollover!B4</f>
        <v>MDX SUV FWD</v>
      </c>
      <c r="E4" s="67" t="s">
        <v>99</v>
      </c>
      <c r="F4" s="127">
        <f>Rollover!C4</f>
        <v>2022</v>
      </c>
      <c r="G4" s="50">
        <v>549.42999999999995</v>
      </c>
      <c r="H4" s="19">
        <v>23.844000000000001</v>
      </c>
      <c r="I4" s="19">
        <v>40.203000000000003</v>
      </c>
      <c r="J4" s="51">
        <v>23.867999999999999</v>
      </c>
      <c r="K4" s="51">
        <v>1886.6890000000001</v>
      </c>
      <c r="L4" s="52">
        <f>NORMDIST(LN(G4),7.45231,0.73998,1)</f>
        <v>6.1147063867622163E-2</v>
      </c>
      <c r="M4" s="60">
        <f t="shared" si="1"/>
        <v>1.0644479508367092E-2</v>
      </c>
      <c r="N4" s="52">
        <f t="shared" si="2"/>
        <v>7.0999999999999994E-2</v>
      </c>
      <c r="O4" s="10">
        <f t="shared" si="3"/>
        <v>0.47</v>
      </c>
      <c r="P4" s="25">
        <f t="shared" si="4"/>
        <v>5</v>
      </c>
      <c r="Q4" s="53">
        <f>ROUND((0.8*'Side MDB'!W4+0.2*'Side Pole'!N4),3)</f>
        <v>3.4000000000000002E-2</v>
      </c>
      <c r="R4" s="53">
        <f t="shared" si="5"/>
        <v>0.23</v>
      </c>
      <c r="S4" s="25">
        <f t="shared" si="6"/>
        <v>5</v>
      </c>
      <c r="T4" s="53">
        <f>ROUND(((0.8*'Side MDB'!W4+0.2*'Side Pole'!N4)+(IF('Side MDB'!X4="N/A",(0.8*'Side MDB'!W4+0.2*'Side Pole'!N4),'Side MDB'!X4)))/2,3)</f>
        <v>1.9E-2</v>
      </c>
      <c r="U4" s="53">
        <f t="shared" si="7"/>
        <v>0.13</v>
      </c>
      <c r="V4" s="25">
        <f t="shared" si="8"/>
        <v>5</v>
      </c>
      <c r="W4" s="23"/>
      <c r="X4" s="36"/>
      <c r="Y4" s="36"/>
      <c r="Z4" s="36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</row>
    <row r="5" spans="1:37" ht="14.1" customHeight="1">
      <c r="A5" s="129">
        <v>10701</v>
      </c>
      <c r="B5" s="130" t="s">
        <v>170</v>
      </c>
      <c r="C5" s="114" t="str">
        <f>Rollover!A5</f>
        <v>Chevrolet</v>
      </c>
      <c r="D5" s="114" t="str">
        <f>Rollover!B5</f>
        <v>Silverado 1500 PU/CC 2WD</v>
      </c>
      <c r="E5" s="10" t="s">
        <v>99</v>
      </c>
      <c r="F5" s="127">
        <f>Rollover!C5</f>
        <v>2022</v>
      </c>
      <c r="G5" s="55">
        <v>253.14699999999999</v>
      </c>
      <c r="H5" s="28">
        <v>22.536000000000001</v>
      </c>
      <c r="I5" s="28">
        <v>43.44</v>
      </c>
      <c r="J5" s="56">
        <v>21.526</v>
      </c>
      <c r="K5" s="29">
        <v>2626.5549999999998</v>
      </c>
      <c r="L5" s="52">
        <f t="shared" ref="L5:L8" si="9">NORMDIST(LN(G5),7.45231,0.73998,1)</f>
        <v>4.7651540666635035E-3</v>
      </c>
      <c r="M5" s="60">
        <f t="shared" si="1"/>
        <v>2.1112771575714596E-2</v>
      </c>
      <c r="N5" s="52">
        <f t="shared" si="2"/>
        <v>2.5999999999999999E-2</v>
      </c>
      <c r="O5" s="10">
        <f t="shared" si="3"/>
        <v>0.17</v>
      </c>
      <c r="P5" s="25">
        <f t="shared" si="4"/>
        <v>5</v>
      </c>
      <c r="Q5" s="53">
        <f>ROUND((0.8*'Side MDB'!W5+0.2*'Side Pole'!N5),3)</f>
        <v>2.9000000000000001E-2</v>
      </c>
      <c r="R5" s="53">
        <f t="shared" si="5"/>
        <v>0.19</v>
      </c>
      <c r="S5" s="25">
        <f t="shared" si="6"/>
        <v>5</v>
      </c>
      <c r="T5" s="53">
        <f>ROUND(((0.8*'Side MDB'!W5+0.2*'Side Pole'!N5)+(IF('Side MDB'!X5="N/A",(0.8*'Side MDB'!W5+0.2*'Side Pole'!N5),'Side MDB'!X5)))/2,3)</f>
        <v>1.7999999999999999E-2</v>
      </c>
      <c r="U5" s="53">
        <f t="shared" si="7"/>
        <v>0.12</v>
      </c>
      <c r="V5" s="25">
        <f t="shared" si="8"/>
        <v>5</v>
      </c>
      <c r="W5" s="23"/>
      <c r="X5" s="36"/>
      <c r="Y5" s="36"/>
      <c r="Z5" s="36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</row>
    <row r="6" spans="1:37" ht="14.1" customHeight="1">
      <c r="A6" s="129">
        <v>10701</v>
      </c>
      <c r="B6" s="130" t="s">
        <v>170</v>
      </c>
      <c r="C6" s="114" t="str">
        <f>Rollover!A6</f>
        <v>Chevrolet</v>
      </c>
      <c r="D6" s="114" t="str">
        <f>Rollover!B6</f>
        <v>Silverado 1500 PU/CC 4WD</v>
      </c>
      <c r="E6" s="10" t="s">
        <v>99</v>
      </c>
      <c r="F6" s="127">
        <f>Rollover!C6</f>
        <v>2022</v>
      </c>
      <c r="G6" s="55">
        <v>253.14699999999999</v>
      </c>
      <c r="H6" s="28">
        <v>22.536000000000001</v>
      </c>
      <c r="I6" s="28">
        <v>43.44</v>
      </c>
      <c r="J6" s="56">
        <v>21.526</v>
      </c>
      <c r="K6" s="29">
        <v>2626.5549999999998</v>
      </c>
      <c r="L6" s="52">
        <f t="shared" si="9"/>
        <v>4.7651540666635035E-3</v>
      </c>
      <c r="M6" s="60">
        <f t="shared" si="1"/>
        <v>2.1112771575714596E-2</v>
      </c>
      <c r="N6" s="52">
        <f t="shared" si="2"/>
        <v>2.5999999999999999E-2</v>
      </c>
      <c r="O6" s="10">
        <f t="shared" si="3"/>
        <v>0.17</v>
      </c>
      <c r="P6" s="25">
        <f t="shared" si="4"/>
        <v>5</v>
      </c>
      <c r="Q6" s="53">
        <f>ROUND((0.8*'Side MDB'!W6+0.2*'Side Pole'!N6),3)</f>
        <v>2.9000000000000001E-2</v>
      </c>
      <c r="R6" s="53">
        <f t="shared" si="5"/>
        <v>0.19</v>
      </c>
      <c r="S6" s="25">
        <f t="shared" si="6"/>
        <v>5</v>
      </c>
      <c r="T6" s="53">
        <f>ROUND(((0.8*'Side MDB'!W6+0.2*'Side Pole'!N6)+(IF('Side MDB'!X6="N/A",(0.8*'Side MDB'!W6+0.2*'Side Pole'!N6),'Side MDB'!X6)))/2,3)</f>
        <v>1.7999999999999999E-2</v>
      </c>
      <c r="U6" s="53">
        <f t="shared" si="7"/>
        <v>0.12</v>
      </c>
      <c r="V6" s="25">
        <f t="shared" si="8"/>
        <v>5</v>
      </c>
      <c r="W6" s="23"/>
      <c r="X6" s="36"/>
      <c r="Y6" s="36"/>
      <c r="Z6" s="36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</row>
    <row r="7" spans="1:37" ht="14.1" customHeight="1">
      <c r="A7" s="129">
        <v>10701</v>
      </c>
      <c r="B7" s="130" t="s">
        <v>170</v>
      </c>
      <c r="C7" s="126" t="str">
        <f>Rollover!A7</f>
        <v>GMC</v>
      </c>
      <c r="D7" s="126" t="str">
        <f>Rollover!B7</f>
        <v>Sierra 1500 PU/CC 2WD</v>
      </c>
      <c r="E7" s="10" t="s">
        <v>99</v>
      </c>
      <c r="F7" s="127">
        <f>Rollover!C7</f>
        <v>2022</v>
      </c>
      <c r="G7" s="55">
        <v>253.14699999999999</v>
      </c>
      <c r="H7" s="28">
        <v>22.536000000000001</v>
      </c>
      <c r="I7" s="28">
        <v>43.44</v>
      </c>
      <c r="J7" s="56">
        <v>21.526</v>
      </c>
      <c r="K7" s="29">
        <v>2626.5549999999998</v>
      </c>
      <c r="L7" s="52">
        <f t="shared" si="9"/>
        <v>4.7651540666635035E-3</v>
      </c>
      <c r="M7" s="60">
        <f t="shared" si="1"/>
        <v>2.1112771575714596E-2</v>
      </c>
      <c r="N7" s="52">
        <f t="shared" si="2"/>
        <v>2.5999999999999999E-2</v>
      </c>
      <c r="O7" s="10">
        <f t="shared" si="3"/>
        <v>0.17</v>
      </c>
      <c r="P7" s="25">
        <f t="shared" si="4"/>
        <v>5</v>
      </c>
      <c r="Q7" s="53">
        <f>ROUND((0.8*'Side MDB'!W7+0.2*'Side Pole'!N7),3)</f>
        <v>2.9000000000000001E-2</v>
      </c>
      <c r="R7" s="53">
        <f t="shared" si="5"/>
        <v>0.19</v>
      </c>
      <c r="S7" s="25">
        <f t="shared" si="6"/>
        <v>5</v>
      </c>
      <c r="T7" s="53">
        <f>ROUND(((0.8*'Side MDB'!W7+0.2*'Side Pole'!N7)+(IF('Side MDB'!X7="N/A",(0.8*'Side MDB'!W7+0.2*'Side Pole'!N7),'Side MDB'!X7)))/2,3)</f>
        <v>1.7999999999999999E-2</v>
      </c>
      <c r="U7" s="53">
        <f t="shared" si="7"/>
        <v>0.12</v>
      </c>
      <c r="V7" s="25">
        <f t="shared" si="8"/>
        <v>5</v>
      </c>
      <c r="W7" s="23"/>
      <c r="X7" s="36"/>
      <c r="Y7" s="36"/>
      <c r="Z7" s="36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</row>
    <row r="8" spans="1:37" ht="14.1" customHeight="1">
      <c r="A8" s="129">
        <v>10701</v>
      </c>
      <c r="B8" s="130" t="s">
        <v>170</v>
      </c>
      <c r="C8" s="126" t="str">
        <f>Rollover!A8</f>
        <v>GMC</v>
      </c>
      <c r="D8" s="126" t="str">
        <f>Rollover!B8</f>
        <v>Sierra 1500 PU/CC 4WD</v>
      </c>
      <c r="E8" s="10" t="s">
        <v>99</v>
      </c>
      <c r="F8" s="127">
        <f>Rollover!C8</f>
        <v>2022</v>
      </c>
      <c r="G8" s="55">
        <v>253.14699999999999</v>
      </c>
      <c r="H8" s="28">
        <v>22.536000000000001</v>
      </c>
      <c r="I8" s="28">
        <v>43.44</v>
      </c>
      <c r="J8" s="56">
        <v>21.526</v>
      </c>
      <c r="K8" s="29">
        <v>2626.5549999999998</v>
      </c>
      <c r="L8" s="52">
        <f t="shared" si="9"/>
        <v>4.7651540666635035E-3</v>
      </c>
      <c r="M8" s="60">
        <f t="shared" si="1"/>
        <v>2.1112771575714596E-2</v>
      </c>
      <c r="N8" s="52">
        <f t="shared" si="2"/>
        <v>2.5999999999999999E-2</v>
      </c>
      <c r="O8" s="10">
        <f t="shared" si="3"/>
        <v>0.17</v>
      </c>
      <c r="P8" s="25">
        <f t="shared" si="4"/>
        <v>5</v>
      </c>
      <c r="Q8" s="53">
        <f>ROUND((0.8*'Side MDB'!W8+0.2*'Side Pole'!N8),3)</f>
        <v>2.9000000000000001E-2</v>
      </c>
      <c r="R8" s="53">
        <f t="shared" si="5"/>
        <v>0.19</v>
      </c>
      <c r="S8" s="25">
        <f t="shared" si="6"/>
        <v>5</v>
      </c>
      <c r="T8" s="53">
        <f>ROUND(((0.8*'Side MDB'!W8+0.2*'Side Pole'!N8)+(IF('Side MDB'!X8="N/A",(0.8*'Side MDB'!W8+0.2*'Side Pole'!N8),'Side MDB'!X8)))/2,3)</f>
        <v>1.7999999999999999E-2</v>
      </c>
      <c r="U8" s="53">
        <f t="shared" si="7"/>
        <v>0.12</v>
      </c>
      <c r="V8" s="25">
        <f t="shared" si="8"/>
        <v>5</v>
      </c>
      <c r="W8" s="23"/>
      <c r="X8" s="36"/>
      <c r="Y8" s="36"/>
      <c r="Z8" s="36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</row>
    <row r="9" spans="1:37" ht="14.1" customHeight="1">
      <c r="A9" s="125"/>
      <c r="B9" s="125"/>
      <c r="C9" s="114" t="str">
        <f>Rollover!A9</f>
        <v>Ford</v>
      </c>
      <c r="D9" s="114" t="str">
        <f>Rollover!B9</f>
        <v>Bronco 4 DR SUV 4WD</v>
      </c>
      <c r="E9" s="67"/>
      <c r="F9" s="127">
        <f>Rollover!C9</f>
        <v>2022</v>
      </c>
      <c r="G9" s="50"/>
      <c r="H9" s="19"/>
      <c r="I9" s="19"/>
      <c r="J9" s="51"/>
      <c r="K9" s="51"/>
      <c r="L9" s="52" t="e">
        <f t="shared" ref="L9:L26" si="10">NORMDIST(LN(G9),7.45231,0.73998,1)</f>
        <v>#NUM!</v>
      </c>
      <c r="M9" s="60">
        <f t="shared" ref="M9:M26" si="11">1/(1+EXP(6.3055-0.00094*K9))</f>
        <v>1.8229037773026034E-3</v>
      </c>
      <c r="N9" s="52" t="e">
        <f t="shared" ref="N9:N26" si="12">ROUND(1-(1-L9)*(1-M9),3)</f>
        <v>#NUM!</v>
      </c>
      <c r="O9" s="10" t="e">
        <f t="shared" ref="O9:O26" si="13">ROUND(N9/0.15,2)</f>
        <v>#NUM!</v>
      </c>
      <c r="P9" s="25" t="e">
        <f t="shared" ref="P9:P26" si="14">IF(O9&lt;0.67,5,IF(O9&lt;1,4,IF(O9&lt;1.33,3,IF(O9&lt;2.67,2,1))))</f>
        <v>#NUM!</v>
      </c>
      <c r="Q9" s="53" t="e">
        <f>ROUND((0.8*'Side MDB'!W9+0.2*'Side Pole'!N9),3)</f>
        <v>#NUM!</v>
      </c>
      <c r="R9" s="53" t="e">
        <f t="shared" ref="R9:R26" si="15">ROUND((Q9)/0.15,2)</f>
        <v>#NUM!</v>
      </c>
      <c r="S9" s="25" t="e">
        <f t="shared" ref="S9:S26" si="16">IF(R9&lt;0.67,5,IF(R9&lt;1,4,IF(R9&lt;1.33,3,IF(R9&lt;2.67,2,1))))</f>
        <v>#NUM!</v>
      </c>
      <c r="T9" s="53" t="e">
        <f>ROUND(((0.8*'Side MDB'!W9+0.2*'Side Pole'!N9)+(IF('Side MDB'!X9="N/A",(0.8*'Side MDB'!W9+0.2*'Side Pole'!N9),'Side MDB'!X9)))/2,3)</f>
        <v>#NUM!</v>
      </c>
      <c r="U9" s="53" t="e">
        <f t="shared" ref="U9:U26" si="17">ROUND((T9)/0.15,2)</f>
        <v>#NUM!</v>
      </c>
      <c r="V9" s="25" t="e">
        <f t="shared" ref="V9:V26" si="18">IF(U9&lt;0.67,5,IF(U9&lt;1,4,IF(U9&lt;1.33,3,IF(U9&lt;2.67,2,1))))</f>
        <v>#NUM!</v>
      </c>
      <c r="W9" s="23"/>
      <c r="X9" s="36"/>
      <c r="Y9" s="36"/>
      <c r="Z9" s="36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</row>
    <row r="10" spans="1:37" ht="14.1" customHeight="1">
      <c r="A10" s="125">
        <v>14074</v>
      </c>
      <c r="B10" s="125" t="s">
        <v>171</v>
      </c>
      <c r="C10" s="114" t="str">
        <f>Rollover!A10</f>
        <v>Ford</v>
      </c>
      <c r="D10" s="114" t="str">
        <f>Rollover!B10</f>
        <v>Escape PHEV SUV FWD</v>
      </c>
      <c r="E10" s="67" t="s">
        <v>99</v>
      </c>
      <c r="F10" s="127">
        <f>Rollover!C10</f>
        <v>2022</v>
      </c>
      <c r="G10" s="50">
        <v>309.52600000000001</v>
      </c>
      <c r="H10" s="19">
        <v>21.515999999999998</v>
      </c>
      <c r="I10" s="19">
        <v>39.027000000000001</v>
      </c>
      <c r="J10" s="51">
        <v>16.521999999999998</v>
      </c>
      <c r="K10" s="51">
        <v>2635.2460000000001</v>
      </c>
      <c r="L10" s="52">
        <f t="shared" si="10"/>
        <v>1.0151654700598055E-2</v>
      </c>
      <c r="M10" s="60">
        <f t="shared" si="11"/>
        <v>2.1282273841326495E-2</v>
      </c>
      <c r="N10" s="52">
        <f t="shared" si="12"/>
        <v>3.1E-2</v>
      </c>
      <c r="O10" s="10">
        <f t="shared" si="13"/>
        <v>0.21</v>
      </c>
      <c r="P10" s="25">
        <f t="shared" si="14"/>
        <v>5</v>
      </c>
      <c r="Q10" s="53">
        <f>ROUND((0.8*'Side MDB'!W10+0.2*'Side Pole'!N10),3)</f>
        <v>3.5999999999999997E-2</v>
      </c>
      <c r="R10" s="53">
        <f t="shared" si="15"/>
        <v>0.24</v>
      </c>
      <c r="S10" s="25">
        <f t="shared" si="16"/>
        <v>5</v>
      </c>
      <c r="T10" s="53">
        <f>ROUND(((0.8*'Side MDB'!W10+0.2*'Side Pole'!N10)+(IF('Side MDB'!X10="N/A",(0.8*'Side MDB'!W10+0.2*'Side Pole'!N10),'Side MDB'!X10)))/2,3)</f>
        <v>3.5000000000000003E-2</v>
      </c>
      <c r="U10" s="53">
        <f t="shared" si="17"/>
        <v>0.23</v>
      </c>
      <c r="V10" s="25">
        <f t="shared" si="18"/>
        <v>5</v>
      </c>
      <c r="W10" s="23"/>
      <c r="X10" s="36"/>
      <c r="Y10" s="36"/>
      <c r="Z10" s="36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</row>
    <row r="11" spans="1:37" ht="14.1" customHeight="1">
      <c r="A11" s="125">
        <v>14074</v>
      </c>
      <c r="B11" s="125" t="s">
        <v>171</v>
      </c>
      <c r="C11" s="126" t="str">
        <f>Rollover!A11</f>
        <v>Lincoln</v>
      </c>
      <c r="D11" s="126" t="str">
        <f>Rollover!B11</f>
        <v>Corsair PHEV SUV AWD</v>
      </c>
      <c r="E11" s="67" t="s">
        <v>99</v>
      </c>
      <c r="F11" s="127">
        <f>Rollover!C11</f>
        <v>2022</v>
      </c>
      <c r="G11" s="50">
        <v>309.52600000000001</v>
      </c>
      <c r="H11" s="19">
        <v>21.515999999999998</v>
      </c>
      <c r="I11" s="19">
        <v>39.027000000000001</v>
      </c>
      <c r="J11" s="51">
        <v>16.521999999999998</v>
      </c>
      <c r="K11" s="51">
        <v>2635.2460000000001</v>
      </c>
      <c r="L11" s="52">
        <f t="shared" si="10"/>
        <v>1.0151654700598055E-2</v>
      </c>
      <c r="M11" s="60">
        <f t="shared" si="11"/>
        <v>2.1282273841326495E-2</v>
      </c>
      <c r="N11" s="52">
        <f t="shared" si="12"/>
        <v>3.1E-2</v>
      </c>
      <c r="O11" s="10">
        <f t="shared" si="13"/>
        <v>0.21</v>
      </c>
      <c r="P11" s="25">
        <f t="shared" si="14"/>
        <v>5</v>
      </c>
      <c r="Q11" s="53">
        <f>ROUND((0.8*'Side MDB'!W11+0.2*'Side Pole'!N11),3)</f>
        <v>3.5999999999999997E-2</v>
      </c>
      <c r="R11" s="53">
        <f t="shared" si="15"/>
        <v>0.24</v>
      </c>
      <c r="S11" s="25">
        <f t="shared" si="16"/>
        <v>5</v>
      </c>
      <c r="T11" s="53">
        <f>ROUND(((0.8*'Side MDB'!W11+0.2*'Side Pole'!N11)+(IF('Side MDB'!X11="N/A",(0.8*'Side MDB'!W11+0.2*'Side Pole'!N11),'Side MDB'!X11)))/2,3)</f>
        <v>3.5000000000000003E-2</v>
      </c>
      <c r="U11" s="53">
        <f t="shared" si="17"/>
        <v>0.23</v>
      </c>
      <c r="V11" s="25">
        <f t="shared" si="18"/>
        <v>5</v>
      </c>
      <c r="W11" s="23"/>
      <c r="X11" s="36"/>
      <c r="Y11" s="36"/>
      <c r="Z11" s="36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</row>
    <row r="12" spans="1:37" ht="14.1" customHeight="1">
      <c r="A12" s="125"/>
      <c r="B12" s="125"/>
      <c r="C12" s="114" t="str">
        <f>Rollover!A12</f>
        <v>Ford</v>
      </c>
      <c r="D12" s="114" t="str">
        <f>Rollover!B12</f>
        <v>F-150 Super Crew HEV PU/CC 2WD</v>
      </c>
      <c r="E12" s="67"/>
      <c r="F12" s="127">
        <f>Rollover!C12</f>
        <v>2022</v>
      </c>
      <c r="G12" s="50"/>
      <c r="H12" s="19"/>
      <c r="I12" s="19"/>
      <c r="J12" s="51"/>
      <c r="K12" s="51"/>
      <c r="L12" s="52" t="e">
        <f t="shared" si="10"/>
        <v>#NUM!</v>
      </c>
      <c r="M12" s="60">
        <f t="shared" si="11"/>
        <v>1.8229037773026034E-3</v>
      </c>
      <c r="N12" s="52" t="e">
        <f t="shared" si="12"/>
        <v>#NUM!</v>
      </c>
      <c r="O12" s="10" t="e">
        <f t="shared" si="13"/>
        <v>#NUM!</v>
      </c>
      <c r="P12" s="25" t="e">
        <f t="shared" si="14"/>
        <v>#NUM!</v>
      </c>
      <c r="Q12" s="53" t="e">
        <f>ROUND((0.8*'Side MDB'!W12+0.2*'Side Pole'!N12),3)</f>
        <v>#NUM!</v>
      </c>
      <c r="R12" s="53" t="e">
        <f t="shared" si="15"/>
        <v>#NUM!</v>
      </c>
      <c r="S12" s="25" t="e">
        <f t="shared" si="16"/>
        <v>#NUM!</v>
      </c>
      <c r="T12" s="53" t="e">
        <f>ROUND(((0.8*'Side MDB'!W12+0.2*'Side Pole'!N12)+(IF('Side MDB'!X12="N/A",(0.8*'Side MDB'!W12+0.2*'Side Pole'!N12),'Side MDB'!X12)))/2,3)</f>
        <v>#NUM!</v>
      </c>
      <c r="U12" s="53" t="e">
        <f t="shared" si="17"/>
        <v>#NUM!</v>
      </c>
      <c r="V12" s="25" t="e">
        <f t="shared" si="18"/>
        <v>#NUM!</v>
      </c>
      <c r="W12" s="23"/>
      <c r="X12" s="36"/>
      <c r="Y12" s="36"/>
      <c r="Z12" s="36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</row>
    <row r="13" spans="1:37" ht="14.1" customHeight="1">
      <c r="A13" s="125"/>
      <c r="B13" s="125"/>
      <c r="C13" s="114" t="str">
        <f>Rollover!A13</f>
        <v>Ford</v>
      </c>
      <c r="D13" s="114" t="str">
        <f>Rollover!B13</f>
        <v>F-150 Super Crew HEV PU/CC 4WD</v>
      </c>
      <c r="E13" s="67"/>
      <c r="F13" s="127">
        <f>Rollover!C13</f>
        <v>2022</v>
      </c>
      <c r="G13" s="50"/>
      <c r="H13" s="19"/>
      <c r="I13" s="19"/>
      <c r="J13" s="51"/>
      <c r="K13" s="51"/>
      <c r="L13" s="52" t="e">
        <f t="shared" si="10"/>
        <v>#NUM!</v>
      </c>
      <c r="M13" s="60">
        <f t="shared" si="11"/>
        <v>1.8229037773026034E-3</v>
      </c>
      <c r="N13" s="52" t="e">
        <f t="shared" si="12"/>
        <v>#NUM!</v>
      </c>
      <c r="O13" s="10" t="e">
        <f t="shared" si="13"/>
        <v>#NUM!</v>
      </c>
      <c r="P13" s="25" t="e">
        <f t="shared" si="14"/>
        <v>#NUM!</v>
      </c>
      <c r="Q13" s="53" t="e">
        <f>ROUND((0.8*'Side MDB'!W13+0.2*'Side Pole'!N13),3)</f>
        <v>#NUM!</v>
      </c>
      <c r="R13" s="53" t="e">
        <f t="shared" si="15"/>
        <v>#NUM!</v>
      </c>
      <c r="S13" s="25" t="e">
        <f t="shared" si="16"/>
        <v>#NUM!</v>
      </c>
      <c r="T13" s="53" t="e">
        <f>ROUND(((0.8*'Side MDB'!W13+0.2*'Side Pole'!N13)+(IF('Side MDB'!X13="N/A",(0.8*'Side MDB'!W13+0.2*'Side Pole'!N13),'Side MDB'!X13)))/2,3)</f>
        <v>#NUM!</v>
      </c>
      <c r="U13" s="53" t="e">
        <f t="shared" si="17"/>
        <v>#NUM!</v>
      </c>
      <c r="V13" s="25" t="e">
        <f t="shared" si="18"/>
        <v>#NUM!</v>
      </c>
      <c r="W13" s="23"/>
      <c r="X13" s="36"/>
      <c r="Y13" s="36"/>
      <c r="Z13" s="36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</row>
    <row r="14" spans="1:37" ht="14.1" customHeight="1">
      <c r="A14" s="125">
        <v>14050</v>
      </c>
      <c r="B14" s="125" t="s">
        <v>172</v>
      </c>
      <c r="C14" s="114" t="str">
        <f>Rollover!A14</f>
        <v>Honda</v>
      </c>
      <c r="D14" s="114" t="str">
        <f>Rollover!B14</f>
        <v>Civic 4DR FWD</v>
      </c>
      <c r="E14" s="67" t="s">
        <v>99</v>
      </c>
      <c r="F14" s="127">
        <f>Rollover!C14</f>
        <v>2022</v>
      </c>
      <c r="G14" s="50">
        <v>260.16300000000001</v>
      </c>
      <c r="H14" s="19">
        <v>18.45</v>
      </c>
      <c r="I14" s="19">
        <v>50.851999999999997</v>
      </c>
      <c r="J14" s="51">
        <v>26.135999999999999</v>
      </c>
      <c r="K14" s="51">
        <v>3579.76</v>
      </c>
      <c r="L14" s="52">
        <f t="shared" si="10"/>
        <v>5.3021231425712861E-3</v>
      </c>
      <c r="M14" s="60">
        <f t="shared" si="11"/>
        <v>5.0186213198040945E-2</v>
      </c>
      <c r="N14" s="52">
        <f t="shared" si="12"/>
        <v>5.5E-2</v>
      </c>
      <c r="O14" s="10">
        <f t="shared" si="13"/>
        <v>0.37</v>
      </c>
      <c r="P14" s="25">
        <f t="shared" si="14"/>
        <v>5</v>
      </c>
      <c r="Q14" s="53">
        <f>ROUND((0.8*'Side MDB'!W14+0.2*'Side Pole'!N14),3)</f>
        <v>6.0999999999999999E-2</v>
      </c>
      <c r="R14" s="53">
        <f t="shared" si="15"/>
        <v>0.41</v>
      </c>
      <c r="S14" s="25">
        <f t="shared" si="16"/>
        <v>5</v>
      </c>
      <c r="T14" s="53">
        <f>ROUND(((0.8*'Side MDB'!W14+0.2*'Side Pole'!N14)+(IF('Side MDB'!X14="N/A",(0.8*'Side MDB'!W14+0.2*'Side Pole'!N14),'Side MDB'!X14)))/2,3)</f>
        <v>4.1000000000000002E-2</v>
      </c>
      <c r="U14" s="53">
        <f t="shared" si="17"/>
        <v>0.27</v>
      </c>
      <c r="V14" s="25">
        <f t="shared" si="18"/>
        <v>5</v>
      </c>
      <c r="W14" s="23"/>
      <c r="X14" s="36"/>
      <c r="Y14" s="36"/>
      <c r="Z14" s="36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</row>
    <row r="15" spans="1:37" ht="14.1" customHeight="1">
      <c r="A15" s="125">
        <v>14050</v>
      </c>
      <c r="B15" s="125" t="s">
        <v>172</v>
      </c>
      <c r="C15" s="126" t="str">
        <f>Rollover!A15</f>
        <v>Honda</v>
      </c>
      <c r="D15" s="126" t="str">
        <f>Rollover!B15</f>
        <v>Civic SI 4DR FWD</v>
      </c>
      <c r="E15" s="67" t="s">
        <v>99</v>
      </c>
      <c r="F15" s="127">
        <f>Rollover!C15</f>
        <v>2022</v>
      </c>
      <c r="G15" s="50">
        <v>260.16300000000001</v>
      </c>
      <c r="H15" s="19">
        <v>18.45</v>
      </c>
      <c r="I15" s="19">
        <v>50.851999999999997</v>
      </c>
      <c r="J15" s="51">
        <v>26.135999999999999</v>
      </c>
      <c r="K15" s="51">
        <v>3579.76</v>
      </c>
      <c r="L15" s="52">
        <f t="shared" si="10"/>
        <v>5.3021231425712861E-3</v>
      </c>
      <c r="M15" s="60">
        <f t="shared" si="11"/>
        <v>5.0186213198040945E-2</v>
      </c>
      <c r="N15" s="52">
        <f t="shared" si="12"/>
        <v>5.5E-2</v>
      </c>
      <c r="O15" s="10">
        <f t="shared" si="13"/>
        <v>0.37</v>
      </c>
      <c r="P15" s="25">
        <f t="shared" si="14"/>
        <v>5</v>
      </c>
      <c r="Q15" s="53">
        <f>ROUND((0.8*'Side MDB'!W15+0.2*'Side Pole'!N15),3)</f>
        <v>6.0999999999999999E-2</v>
      </c>
      <c r="R15" s="53">
        <f t="shared" si="15"/>
        <v>0.41</v>
      </c>
      <c r="S15" s="25">
        <f t="shared" si="16"/>
        <v>5</v>
      </c>
      <c r="T15" s="53">
        <f>ROUND(((0.8*'Side MDB'!W15+0.2*'Side Pole'!N15)+(IF('Side MDB'!X15="N/A",(0.8*'Side MDB'!W15+0.2*'Side Pole'!N15),'Side MDB'!X15)))/2,3)</f>
        <v>4.1000000000000002E-2</v>
      </c>
      <c r="U15" s="53">
        <f t="shared" si="17"/>
        <v>0.27</v>
      </c>
      <c r="V15" s="25">
        <f t="shared" si="18"/>
        <v>5</v>
      </c>
      <c r="W15" s="23"/>
      <c r="X15" s="36"/>
      <c r="Y15" s="36"/>
      <c r="Z15" s="36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</row>
    <row r="16" spans="1:37" ht="14.1" customHeight="1">
      <c r="A16" s="125">
        <v>14050</v>
      </c>
      <c r="B16" s="125" t="s">
        <v>172</v>
      </c>
      <c r="C16" s="126" t="str">
        <f>Rollover!A16</f>
        <v>Honda</v>
      </c>
      <c r="D16" s="126" t="str">
        <f>Rollover!B16</f>
        <v>Civic 5HB FWD</v>
      </c>
      <c r="E16" s="67" t="s">
        <v>99</v>
      </c>
      <c r="F16" s="127">
        <f>Rollover!C16</f>
        <v>2022</v>
      </c>
      <c r="G16" s="50">
        <v>260.16300000000001</v>
      </c>
      <c r="H16" s="19">
        <v>18.45</v>
      </c>
      <c r="I16" s="19">
        <v>50.851999999999997</v>
      </c>
      <c r="J16" s="51">
        <v>26.135999999999999</v>
      </c>
      <c r="K16" s="51">
        <v>3579.76</v>
      </c>
      <c r="L16" s="52">
        <f t="shared" si="10"/>
        <v>5.3021231425712861E-3</v>
      </c>
      <c r="M16" s="60">
        <f t="shared" si="11"/>
        <v>5.0186213198040945E-2</v>
      </c>
      <c r="N16" s="52">
        <f t="shared" si="12"/>
        <v>5.5E-2</v>
      </c>
      <c r="O16" s="10">
        <f t="shared" si="13"/>
        <v>0.37</v>
      </c>
      <c r="P16" s="25">
        <f t="shared" si="14"/>
        <v>5</v>
      </c>
      <c r="Q16" s="53">
        <f>ROUND((0.8*'Side MDB'!W16+0.2*'Side Pole'!N16),3)</f>
        <v>6.0999999999999999E-2</v>
      </c>
      <c r="R16" s="53">
        <f t="shared" si="15"/>
        <v>0.41</v>
      </c>
      <c r="S16" s="25">
        <f t="shared" si="16"/>
        <v>5</v>
      </c>
      <c r="T16" s="53">
        <f>ROUND(((0.8*'Side MDB'!W16+0.2*'Side Pole'!N16)+(IF('Side MDB'!X16="N/A",(0.8*'Side MDB'!W16+0.2*'Side Pole'!N16),'Side MDB'!X16)))/2,3)</f>
        <v>4.1000000000000002E-2</v>
      </c>
      <c r="U16" s="53">
        <f t="shared" si="17"/>
        <v>0.27</v>
      </c>
      <c r="V16" s="25">
        <f t="shared" si="18"/>
        <v>5</v>
      </c>
      <c r="W16" s="23"/>
      <c r="X16" s="36"/>
      <c r="Y16" s="36"/>
      <c r="Z16" s="36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</row>
    <row r="17" spans="1:37" ht="14.1" customHeight="1">
      <c r="A17" s="125">
        <v>11667</v>
      </c>
      <c r="B17" s="125" t="s">
        <v>173</v>
      </c>
      <c r="C17" s="114" t="str">
        <f>Rollover!A17</f>
        <v>Hyundai</v>
      </c>
      <c r="D17" s="114" t="str">
        <f>Rollover!B17</f>
        <v>Tucson SUV FWD early release</v>
      </c>
      <c r="E17" s="67" t="s">
        <v>99</v>
      </c>
      <c r="F17" s="127">
        <f>Rollover!C17</f>
        <v>2022</v>
      </c>
      <c r="G17" s="50">
        <v>311.87900000000002</v>
      </c>
      <c r="H17" s="19">
        <v>24.306999999999999</v>
      </c>
      <c r="I17" s="19">
        <v>38.649000000000001</v>
      </c>
      <c r="J17" s="51">
        <v>24.606000000000002</v>
      </c>
      <c r="K17" s="51">
        <v>2673.1149999999998</v>
      </c>
      <c r="L17" s="52">
        <f t="shared" si="10"/>
        <v>1.0431330980103867E-2</v>
      </c>
      <c r="M17" s="60">
        <f t="shared" si="11"/>
        <v>2.2036506007926754E-2</v>
      </c>
      <c r="N17" s="52">
        <f t="shared" si="12"/>
        <v>3.2000000000000001E-2</v>
      </c>
      <c r="O17" s="10">
        <f t="shared" si="13"/>
        <v>0.21</v>
      </c>
      <c r="P17" s="25">
        <f t="shared" si="14"/>
        <v>5</v>
      </c>
      <c r="Q17" s="53">
        <f>ROUND((0.8*'Side MDB'!W17+0.2*'Side Pole'!N17),3)</f>
        <v>5.8000000000000003E-2</v>
      </c>
      <c r="R17" s="53">
        <f t="shared" si="15"/>
        <v>0.39</v>
      </c>
      <c r="S17" s="25">
        <f t="shared" si="16"/>
        <v>5</v>
      </c>
      <c r="T17" s="53">
        <f>ROUND(((0.8*'Side MDB'!W17+0.2*'Side Pole'!N17)+(IF('Side MDB'!X17="N/A",(0.8*'Side MDB'!W17+0.2*'Side Pole'!N17),'Side MDB'!X17)))/2,3)</f>
        <v>4.2000000000000003E-2</v>
      </c>
      <c r="U17" s="53">
        <f t="shared" si="17"/>
        <v>0.28000000000000003</v>
      </c>
      <c r="V17" s="25">
        <f t="shared" si="18"/>
        <v>5</v>
      </c>
      <c r="W17" s="23"/>
      <c r="X17" s="36"/>
      <c r="Y17" s="36"/>
      <c r="Z17" s="36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</row>
    <row r="18" spans="1:37" ht="14.1" customHeight="1">
      <c r="A18" s="125">
        <v>11667</v>
      </c>
      <c r="B18" s="125" t="s">
        <v>173</v>
      </c>
      <c r="C18" s="126" t="str">
        <f>Rollover!A18</f>
        <v>Hyundai</v>
      </c>
      <c r="D18" s="126" t="str">
        <f>Rollover!B18</f>
        <v>Tucson SUV AWD early release</v>
      </c>
      <c r="E18" s="67" t="s">
        <v>99</v>
      </c>
      <c r="F18" s="127">
        <f>Rollover!C18</f>
        <v>2022</v>
      </c>
      <c r="G18" s="50">
        <v>311.87900000000002</v>
      </c>
      <c r="H18" s="19">
        <v>24.306999999999999</v>
      </c>
      <c r="I18" s="19">
        <v>38.649000000000001</v>
      </c>
      <c r="J18" s="51">
        <v>24.606000000000002</v>
      </c>
      <c r="K18" s="51">
        <v>2673.1149999999998</v>
      </c>
      <c r="L18" s="52">
        <f t="shared" si="10"/>
        <v>1.0431330980103867E-2</v>
      </c>
      <c r="M18" s="60">
        <f t="shared" si="11"/>
        <v>2.2036506007926754E-2</v>
      </c>
      <c r="N18" s="52">
        <f t="shared" si="12"/>
        <v>3.2000000000000001E-2</v>
      </c>
      <c r="O18" s="10">
        <f t="shared" si="13"/>
        <v>0.21</v>
      </c>
      <c r="P18" s="25">
        <f t="shared" si="14"/>
        <v>5</v>
      </c>
      <c r="Q18" s="53">
        <f>ROUND((0.8*'Side MDB'!W18+0.2*'Side Pole'!N18),3)</f>
        <v>5.8000000000000003E-2</v>
      </c>
      <c r="R18" s="53">
        <f t="shared" si="15"/>
        <v>0.39</v>
      </c>
      <c r="S18" s="25">
        <f t="shared" si="16"/>
        <v>5</v>
      </c>
      <c r="T18" s="53">
        <f>ROUND(((0.8*'Side MDB'!W18+0.2*'Side Pole'!N18)+(IF('Side MDB'!X18="N/A",(0.8*'Side MDB'!W18+0.2*'Side Pole'!N18),'Side MDB'!X18)))/2,3)</f>
        <v>4.2000000000000003E-2</v>
      </c>
      <c r="U18" s="53">
        <f t="shared" si="17"/>
        <v>0.28000000000000003</v>
      </c>
      <c r="V18" s="25">
        <f t="shared" si="18"/>
        <v>5</v>
      </c>
      <c r="W18" s="23"/>
      <c r="X18" s="36"/>
      <c r="Y18" s="36"/>
      <c r="Z18" s="36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</row>
    <row r="19" spans="1:37" ht="14.1" customHeight="1">
      <c r="A19" s="125">
        <v>11667</v>
      </c>
      <c r="B19" s="125" t="s">
        <v>173</v>
      </c>
      <c r="C19" s="126" t="str">
        <f>Rollover!A19</f>
        <v>Hyundai</v>
      </c>
      <c r="D19" s="126" t="str">
        <f>Rollover!B19</f>
        <v>Tucson HEV SUV FWD early release</v>
      </c>
      <c r="E19" s="67" t="s">
        <v>99</v>
      </c>
      <c r="F19" s="127">
        <f>Rollover!C19</f>
        <v>2022</v>
      </c>
      <c r="G19" s="50">
        <v>311.87900000000002</v>
      </c>
      <c r="H19" s="19">
        <v>24.306999999999999</v>
      </c>
      <c r="I19" s="19">
        <v>38.649000000000001</v>
      </c>
      <c r="J19" s="51">
        <v>24.606000000000002</v>
      </c>
      <c r="K19" s="51">
        <v>2673.1149999999998</v>
      </c>
      <c r="L19" s="52">
        <f t="shared" si="10"/>
        <v>1.0431330980103867E-2</v>
      </c>
      <c r="M19" s="60">
        <f t="shared" si="11"/>
        <v>2.2036506007926754E-2</v>
      </c>
      <c r="N19" s="52">
        <f t="shared" si="12"/>
        <v>3.2000000000000001E-2</v>
      </c>
      <c r="O19" s="10">
        <f t="shared" si="13"/>
        <v>0.21</v>
      </c>
      <c r="P19" s="25">
        <f t="shared" si="14"/>
        <v>5</v>
      </c>
      <c r="Q19" s="53">
        <f>ROUND((0.8*'Side MDB'!W19+0.2*'Side Pole'!N19),3)</f>
        <v>5.8000000000000003E-2</v>
      </c>
      <c r="R19" s="53">
        <f t="shared" si="15"/>
        <v>0.39</v>
      </c>
      <c r="S19" s="25">
        <f t="shared" si="16"/>
        <v>5</v>
      </c>
      <c r="T19" s="53">
        <f>ROUND(((0.8*'Side MDB'!W19+0.2*'Side Pole'!N19)+(IF('Side MDB'!X19="N/A",(0.8*'Side MDB'!W19+0.2*'Side Pole'!N19),'Side MDB'!X19)))/2,3)</f>
        <v>4.2000000000000003E-2</v>
      </c>
      <c r="U19" s="53">
        <f t="shared" si="17"/>
        <v>0.28000000000000003</v>
      </c>
      <c r="V19" s="25">
        <f t="shared" si="18"/>
        <v>5</v>
      </c>
      <c r="W19" s="23"/>
      <c r="X19" s="36"/>
      <c r="Y19" s="36"/>
      <c r="Z19" s="36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</row>
    <row r="20" spans="1:37" ht="14.1" customHeight="1">
      <c r="A20" s="125">
        <v>11667</v>
      </c>
      <c r="B20" s="125" t="s">
        <v>173</v>
      </c>
      <c r="C20" s="126" t="str">
        <f>Rollover!A20</f>
        <v>Hyundai</v>
      </c>
      <c r="D20" s="126" t="str">
        <f>Rollover!B20</f>
        <v>Tucson HEV SUV AWD early release</v>
      </c>
      <c r="E20" s="67" t="s">
        <v>99</v>
      </c>
      <c r="F20" s="127">
        <f>Rollover!C20</f>
        <v>2022</v>
      </c>
      <c r="G20" s="50">
        <v>311.87900000000002</v>
      </c>
      <c r="H20" s="19">
        <v>24.306999999999999</v>
      </c>
      <c r="I20" s="19">
        <v>38.649000000000001</v>
      </c>
      <c r="J20" s="51">
        <v>24.606000000000002</v>
      </c>
      <c r="K20" s="51">
        <v>2673.1149999999998</v>
      </c>
      <c r="L20" s="52">
        <f t="shared" si="10"/>
        <v>1.0431330980103867E-2</v>
      </c>
      <c r="M20" s="60">
        <f t="shared" si="11"/>
        <v>2.2036506007926754E-2</v>
      </c>
      <c r="N20" s="52">
        <f t="shared" si="12"/>
        <v>3.2000000000000001E-2</v>
      </c>
      <c r="O20" s="10">
        <f t="shared" si="13"/>
        <v>0.21</v>
      </c>
      <c r="P20" s="25">
        <f t="shared" si="14"/>
        <v>5</v>
      </c>
      <c r="Q20" s="53">
        <f>ROUND((0.8*'Side MDB'!W20+0.2*'Side Pole'!N20),3)</f>
        <v>5.8000000000000003E-2</v>
      </c>
      <c r="R20" s="53">
        <f t="shared" si="15"/>
        <v>0.39</v>
      </c>
      <c r="S20" s="25">
        <f t="shared" si="16"/>
        <v>5</v>
      </c>
      <c r="T20" s="53">
        <f>ROUND(((0.8*'Side MDB'!W20+0.2*'Side Pole'!N20)+(IF('Side MDB'!X20="N/A",(0.8*'Side MDB'!W20+0.2*'Side Pole'!N20),'Side MDB'!X20)))/2,3)</f>
        <v>4.2000000000000003E-2</v>
      </c>
      <c r="U20" s="53">
        <f t="shared" si="17"/>
        <v>0.28000000000000003</v>
      </c>
      <c r="V20" s="25">
        <f t="shared" si="18"/>
        <v>5</v>
      </c>
      <c r="W20" s="23"/>
      <c r="X20" s="36"/>
      <c r="Y20" s="36"/>
      <c r="Z20" s="36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</row>
    <row r="21" spans="1:37" ht="14.1" customHeight="1">
      <c r="A21" s="125">
        <v>14058</v>
      </c>
      <c r="B21" s="125" t="s">
        <v>174</v>
      </c>
      <c r="C21" s="114" t="str">
        <f>Rollover!A21</f>
        <v>Hyundai</v>
      </c>
      <c r="D21" s="114" t="str">
        <f>Rollover!B21</f>
        <v>Tucson SUV FWD later release</v>
      </c>
      <c r="E21" s="67" t="s">
        <v>99</v>
      </c>
      <c r="F21" s="127">
        <f>Rollover!C21</f>
        <v>2022</v>
      </c>
      <c r="G21" s="50">
        <v>332.43799999999999</v>
      </c>
      <c r="H21" s="19">
        <v>24.739000000000001</v>
      </c>
      <c r="I21" s="19">
        <v>45.508000000000003</v>
      </c>
      <c r="J21" s="51">
        <v>27.707000000000001</v>
      </c>
      <c r="K21" s="51">
        <v>2733.33</v>
      </c>
      <c r="L21" s="52">
        <f t="shared" si="10"/>
        <v>1.3067808738810124E-2</v>
      </c>
      <c r="M21" s="60">
        <f t="shared" si="11"/>
        <v>2.3289906668315794E-2</v>
      </c>
      <c r="N21" s="52">
        <f t="shared" si="12"/>
        <v>3.5999999999999997E-2</v>
      </c>
      <c r="O21" s="10">
        <f t="shared" si="13"/>
        <v>0.24</v>
      </c>
      <c r="P21" s="25">
        <f t="shared" si="14"/>
        <v>5</v>
      </c>
      <c r="Q21" s="53">
        <f>ROUND((0.8*'Side MDB'!W21+0.2*'Side Pole'!N21),3)</f>
        <v>5.8999999999999997E-2</v>
      </c>
      <c r="R21" s="53">
        <f t="shared" si="15"/>
        <v>0.39</v>
      </c>
      <c r="S21" s="25">
        <f t="shared" si="16"/>
        <v>5</v>
      </c>
      <c r="T21" s="53">
        <f>ROUND(((0.8*'Side MDB'!W21+0.2*'Side Pole'!N21)+(IF('Side MDB'!X21="N/A",(0.8*'Side MDB'!W21+0.2*'Side Pole'!N21),'Side MDB'!X21)))/2,3)</f>
        <v>0.05</v>
      </c>
      <c r="U21" s="53">
        <f t="shared" si="17"/>
        <v>0.33</v>
      </c>
      <c r="V21" s="25">
        <f t="shared" si="18"/>
        <v>5</v>
      </c>
      <c r="W21" s="23"/>
      <c r="X21" s="36"/>
      <c r="Y21" s="36"/>
      <c r="Z21" s="36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</row>
    <row r="22" spans="1:37" ht="14.1" customHeight="1">
      <c r="A22" s="125">
        <v>14058</v>
      </c>
      <c r="B22" s="125" t="s">
        <v>174</v>
      </c>
      <c r="C22" s="114" t="str">
        <f>Rollover!A22</f>
        <v>Hyundai</v>
      </c>
      <c r="D22" s="114" t="str">
        <f>Rollover!B22</f>
        <v>Tucson SUV AWD later release</v>
      </c>
      <c r="E22" s="67" t="s">
        <v>99</v>
      </c>
      <c r="F22" s="127">
        <f>Rollover!C22</f>
        <v>2022</v>
      </c>
      <c r="G22" s="50">
        <v>332.43799999999999</v>
      </c>
      <c r="H22" s="19">
        <v>24.739000000000001</v>
      </c>
      <c r="I22" s="19">
        <v>45.508000000000003</v>
      </c>
      <c r="J22" s="51">
        <v>27.707000000000001</v>
      </c>
      <c r="K22" s="51">
        <v>2733.33</v>
      </c>
      <c r="L22" s="52">
        <f t="shared" si="10"/>
        <v>1.3067808738810124E-2</v>
      </c>
      <c r="M22" s="60">
        <f t="shared" si="11"/>
        <v>2.3289906668315794E-2</v>
      </c>
      <c r="N22" s="52">
        <f t="shared" si="12"/>
        <v>3.5999999999999997E-2</v>
      </c>
      <c r="O22" s="10">
        <f t="shared" si="13"/>
        <v>0.24</v>
      </c>
      <c r="P22" s="25">
        <f t="shared" si="14"/>
        <v>5</v>
      </c>
      <c r="Q22" s="53">
        <f>ROUND((0.8*'Side MDB'!W22+0.2*'Side Pole'!N22),3)</f>
        <v>5.8999999999999997E-2</v>
      </c>
      <c r="R22" s="53">
        <f t="shared" si="15"/>
        <v>0.39</v>
      </c>
      <c r="S22" s="25">
        <f t="shared" si="16"/>
        <v>5</v>
      </c>
      <c r="T22" s="53">
        <f>ROUND(((0.8*'Side MDB'!W22+0.2*'Side Pole'!N22)+(IF('Side MDB'!X22="N/A",(0.8*'Side MDB'!W22+0.2*'Side Pole'!N22),'Side MDB'!X22)))/2,3)</f>
        <v>0.05</v>
      </c>
      <c r="U22" s="53">
        <f t="shared" si="17"/>
        <v>0.33</v>
      </c>
      <c r="V22" s="25">
        <f t="shared" si="18"/>
        <v>5</v>
      </c>
      <c r="W22" s="23"/>
      <c r="X22" s="36"/>
      <c r="Y22" s="36"/>
      <c r="Z22" s="36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</row>
    <row r="23" spans="1:37" ht="14.1" customHeight="1">
      <c r="A23" s="125">
        <v>14058</v>
      </c>
      <c r="B23" s="125" t="s">
        <v>174</v>
      </c>
      <c r="C23" s="114" t="str">
        <f>Rollover!A23</f>
        <v>Hyundai</v>
      </c>
      <c r="D23" s="114" t="str">
        <f>Rollover!B23</f>
        <v>Tucson HEV SUV FWD later release</v>
      </c>
      <c r="E23" s="67" t="s">
        <v>99</v>
      </c>
      <c r="F23" s="127">
        <f>Rollover!C23</f>
        <v>2022</v>
      </c>
      <c r="G23" s="50">
        <v>332.43799999999999</v>
      </c>
      <c r="H23" s="19">
        <v>24.739000000000001</v>
      </c>
      <c r="I23" s="19">
        <v>45.508000000000003</v>
      </c>
      <c r="J23" s="51">
        <v>27.707000000000001</v>
      </c>
      <c r="K23" s="51">
        <v>2733.33</v>
      </c>
      <c r="L23" s="52">
        <f t="shared" si="10"/>
        <v>1.3067808738810124E-2</v>
      </c>
      <c r="M23" s="60">
        <f t="shared" si="11"/>
        <v>2.3289906668315794E-2</v>
      </c>
      <c r="N23" s="52">
        <f t="shared" si="12"/>
        <v>3.5999999999999997E-2</v>
      </c>
      <c r="O23" s="10">
        <f t="shared" si="13"/>
        <v>0.24</v>
      </c>
      <c r="P23" s="25">
        <f t="shared" si="14"/>
        <v>5</v>
      </c>
      <c r="Q23" s="53">
        <f>ROUND((0.8*'Side MDB'!W23+0.2*'Side Pole'!N23),3)</f>
        <v>5.8999999999999997E-2</v>
      </c>
      <c r="R23" s="53">
        <f t="shared" si="15"/>
        <v>0.39</v>
      </c>
      <c r="S23" s="25">
        <f t="shared" si="16"/>
        <v>5</v>
      </c>
      <c r="T23" s="53">
        <f>ROUND(((0.8*'Side MDB'!W23+0.2*'Side Pole'!N23)+(IF('Side MDB'!X23="N/A",(0.8*'Side MDB'!W23+0.2*'Side Pole'!N23),'Side MDB'!X23)))/2,3)</f>
        <v>0.05</v>
      </c>
      <c r="U23" s="53">
        <f t="shared" si="17"/>
        <v>0.33</v>
      </c>
      <c r="V23" s="25">
        <f t="shared" si="18"/>
        <v>5</v>
      </c>
      <c r="W23" s="23"/>
      <c r="X23" s="36"/>
      <c r="Y23" s="36"/>
      <c r="Z23" s="36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</row>
    <row r="24" spans="1:37" ht="14.1" customHeight="1">
      <c r="A24" s="125">
        <v>14058</v>
      </c>
      <c r="B24" s="125" t="s">
        <v>174</v>
      </c>
      <c r="C24" s="114" t="str">
        <f>Rollover!A24</f>
        <v>Hyundai</v>
      </c>
      <c r="D24" s="114" t="str">
        <f>Rollover!B24</f>
        <v>Tucson HEV SUV AWD later release</v>
      </c>
      <c r="E24" s="67" t="s">
        <v>99</v>
      </c>
      <c r="F24" s="127">
        <f>Rollover!C24</f>
        <v>2022</v>
      </c>
      <c r="G24" s="50">
        <v>332.43799999999999</v>
      </c>
      <c r="H24" s="19">
        <v>24.739000000000001</v>
      </c>
      <c r="I24" s="19">
        <v>45.508000000000003</v>
      </c>
      <c r="J24" s="51">
        <v>27.707000000000001</v>
      </c>
      <c r="K24" s="51">
        <v>2733.33</v>
      </c>
      <c r="L24" s="52">
        <f t="shared" si="10"/>
        <v>1.3067808738810124E-2</v>
      </c>
      <c r="M24" s="60">
        <f t="shared" si="11"/>
        <v>2.3289906668315794E-2</v>
      </c>
      <c r="N24" s="52">
        <f t="shared" si="12"/>
        <v>3.5999999999999997E-2</v>
      </c>
      <c r="O24" s="10">
        <f t="shared" si="13"/>
        <v>0.24</v>
      </c>
      <c r="P24" s="25">
        <f t="shared" si="14"/>
        <v>5</v>
      </c>
      <c r="Q24" s="53">
        <f>ROUND((0.8*'Side MDB'!W24+0.2*'Side Pole'!N24),3)</f>
        <v>5.8999999999999997E-2</v>
      </c>
      <c r="R24" s="53">
        <f t="shared" si="15"/>
        <v>0.39</v>
      </c>
      <c r="S24" s="25">
        <f t="shared" si="16"/>
        <v>5</v>
      </c>
      <c r="T24" s="53">
        <f>ROUND(((0.8*'Side MDB'!W24+0.2*'Side Pole'!N24)+(IF('Side MDB'!X24="N/A",(0.8*'Side MDB'!W24+0.2*'Side Pole'!N24),'Side MDB'!X24)))/2,3)</f>
        <v>0.05</v>
      </c>
      <c r="U24" s="53">
        <f t="shared" si="17"/>
        <v>0.33</v>
      </c>
      <c r="V24" s="25">
        <f t="shared" si="18"/>
        <v>5</v>
      </c>
      <c r="W24" s="23"/>
      <c r="X24" s="36"/>
      <c r="Y24" s="36"/>
      <c r="Z24" s="36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</row>
    <row r="25" spans="1:37" ht="14.1" customHeight="1">
      <c r="A25" s="125">
        <v>14064</v>
      </c>
      <c r="B25" s="125" t="s">
        <v>175</v>
      </c>
      <c r="C25" s="114" t="str">
        <f>Rollover!A25</f>
        <v>Jeep</v>
      </c>
      <c r="D25" s="114" t="str">
        <f>Rollover!B25</f>
        <v>Compass SUV FWD</v>
      </c>
      <c r="E25" s="67" t="s">
        <v>103</v>
      </c>
      <c r="F25" s="127">
        <f>Rollover!C25</f>
        <v>2022</v>
      </c>
      <c r="G25" s="50">
        <v>407.42899999999997</v>
      </c>
      <c r="H25" s="19">
        <v>20.343</v>
      </c>
      <c r="I25" s="19">
        <v>39.497999999999998</v>
      </c>
      <c r="J25" s="51">
        <v>15.442</v>
      </c>
      <c r="K25" s="51">
        <v>3078.5839999999998</v>
      </c>
      <c r="L25" s="52">
        <f t="shared" si="10"/>
        <v>2.5629779971838101E-2</v>
      </c>
      <c r="M25" s="60">
        <f t="shared" si="11"/>
        <v>3.1933936745021999E-2</v>
      </c>
      <c r="N25" s="52">
        <f t="shared" si="12"/>
        <v>5.7000000000000002E-2</v>
      </c>
      <c r="O25" s="10">
        <f t="shared" si="13"/>
        <v>0.38</v>
      </c>
      <c r="P25" s="25">
        <f t="shared" si="14"/>
        <v>5</v>
      </c>
      <c r="Q25" s="53">
        <f>ROUND((0.8*'Side MDB'!W25+0.2*'Side Pole'!N25),3)</f>
        <v>4.2999999999999997E-2</v>
      </c>
      <c r="R25" s="53">
        <f t="shared" si="15"/>
        <v>0.28999999999999998</v>
      </c>
      <c r="S25" s="25">
        <f t="shared" si="16"/>
        <v>5</v>
      </c>
      <c r="T25" s="53">
        <f>ROUND(((0.8*'Side MDB'!W25+0.2*'Side Pole'!N25)+(IF('Side MDB'!X25="N/A",(0.8*'Side MDB'!W25+0.2*'Side Pole'!N25),'Side MDB'!X25)))/2,3)</f>
        <v>0.05</v>
      </c>
      <c r="U25" s="53">
        <f t="shared" si="17"/>
        <v>0.33</v>
      </c>
      <c r="V25" s="25">
        <f t="shared" si="18"/>
        <v>5</v>
      </c>
      <c r="W25" s="23"/>
      <c r="X25" s="36"/>
      <c r="Y25" s="36"/>
      <c r="Z25" s="36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</row>
    <row r="26" spans="1:37" ht="14.1" customHeight="1">
      <c r="A26" s="125">
        <v>14064</v>
      </c>
      <c r="B26" s="125" t="s">
        <v>175</v>
      </c>
      <c r="C26" s="126" t="str">
        <f>Rollover!A26</f>
        <v>Jeep</v>
      </c>
      <c r="D26" s="126" t="str">
        <f>Rollover!B26</f>
        <v>Compass SUV AWD</v>
      </c>
      <c r="E26" s="67" t="s">
        <v>103</v>
      </c>
      <c r="F26" s="127">
        <f>Rollover!C26</f>
        <v>2022</v>
      </c>
      <c r="G26" s="50">
        <v>407.42899999999997</v>
      </c>
      <c r="H26" s="19">
        <v>20.343</v>
      </c>
      <c r="I26" s="19">
        <v>39.497999999999998</v>
      </c>
      <c r="J26" s="51">
        <v>15.442</v>
      </c>
      <c r="K26" s="51">
        <v>3078.5839999999998</v>
      </c>
      <c r="L26" s="52">
        <f t="shared" si="10"/>
        <v>2.5629779971838101E-2</v>
      </c>
      <c r="M26" s="60">
        <f t="shared" si="11"/>
        <v>3.1933936745021999E-2</v>
      </c>
      <c r="N26" s="52">
        <f t="shared" si="12"/>
        <v>5.7000000000000002E-2</v>
      </c>
      <c r="O26" s="10">
        <f t="shared" si="13"/>
        <v>0.38</v>
      </c>
      <c r="P26" s="25">
        <f t="shared" si="14"/>
        <v>5</v>
      </c>
      <c r="Q26" s="53">
        <f>ROUND((0.8*'Side MDB'!W26+0.2*'Side Pole'!N26),3)</f>
        <v>4.2999999999999997E-2</v>
      </c>
      <c r="R26" s="53">
        <f t="shared" si="15"/>
        <v>0.28999999999999998</v>
      </c>
      <c r="S26" s="25">
        <f t="shared" si="16"/>
        <v>5</v>
      </c>
      <c r="T26" s="53">
        <f>ROUND(((0.8*'Side MDB'!W26+0.2*'Side Pole'!N26)+(IF('Side MDB'!X26="N/A",(0.8*'Side MDB'!W26+0.2*'Side Pole'!N26),'Side MDB'!X26)))/2,3)</f>
        <v>0.05</v>
      </c>
      <c r="U26" s="53">
        <f t="shared" si="17"/>
        <v>0.33</v>
      </c>
      <c r="V26" s="25">
        <f t="shared" si="18"/>
        <v>5</v>
      </c>
      <c r="W26" s="23"/>
      <c r="X26" s="36"/>
      <c r="Y26" s="36"/>
      <c r="Z26" s="36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</row>
    <row r="27" spans="1:37" ht="14.1" customHeight="1">
      <c r="A27" s="130">
        <v>14057</v>
      </c>
      <c r="B27" s="130" t="s">
        <v>176</v>
      </c>
      <c r="C27" s="114" t="str">
        <f>Rollover!A27</f>
        <v>Kia</v>
      </c>
      <c r="D27" s="114" t="str">
        <f>Rollover!B27</f>
        <v>Niro Electric SUV FWD</v>
      </c>
      <c r="E27" s="67" t="s">
        <v>139</v>
      </c>
      <c r="F27" s="127">
        <f>Rollover!C27</f>
        <v>2022</v>
      </c>
      <c r="G27" s="55">
        <v>188.41900000000001</v>
      </c>
      <c r="H27" s="28">
        <v>20.353000000000002</v>
      </c>
      <c r="I27" s="28">
        <v>40.506</v>
      </c>
      <c r="J27" s="56">
        <v>19.352</v>
      </c>
      <c r="K27" s="56">
        <v>2782.9290000000001</v>
      </c>
      <c r="L27" s="52">
        <f t="shared" ref="L27:L28" si="19">NORMDIST(LN(G27),7.45231,0.73998,1)</f>
        <v>1.388104152739133E-3</v>
      </c>
      <c r="M27" s="60">
        <f t="shared" ref="M27:M28" si="20">1/(1+EXP(6.3055-0.00094*K27))</f>
        <v>2.437437063287241E-2</v>
      </c>
      <c r="N27" s="52">
        <f t="shared" ref="N27:N28" si="21">ROUND(1-(1-L27)*(1-M27),3)</f>
        <v>2.5999999999999999E-2</v>
      </c>
      <c r="O27" s="10">
        <f t="shared" ref="O27:O28" si="22">ROUND(N27/0.15,2)</f>
        <v>0.17</v>
      </c>
      <c r="P27" s="25">
        <f t="shared" ref="P27:P28" si="23">IF(O27&lt;0.67,5,IF(O27&lt;1,4,IF(O27&lt;1.33,3,IF(O27&lt;2.67,2,1))))</f>
        <v>5</v>
      </c>
      <c r="Q27" s="53">
        <f>ROUND((0.8*'Side MDB'!W27+0.2*'Side Pole'!N27),3)</f>
        <v>3.6999999999999998E-2</v>
      </c>
      <c r="R27" s="53">
        <f t="shared" ref="R27:R28" si="24">ROUND((Q27)/0.15,2)</f>
        <v>0.25</v>
      </c>
      <c r="S27" s="25">
        <f t="shared" ref="S27:S28" si="25">IF(R27&lt;0.67,5,IF(R27&lt;1,4,IF(R27&lt;1.33,3,IF(R27&lt;2.67,2,1))))</f>
        <v>5</v>
      </c>
      <c r="T27" s="53">
        <f>ROUND(((0.8*'Side MDB'!W27+0.2*'Side Pole'!N27)+(IF('Side MDB'!X27="N/A",(0.8*'Side MDB'!W27+0.2*'Side Pole'!N27),'Side MDB'!X27)))/2,3)</f>
        <v>0.03</v>
      </c>
      <c r="U27" s="53">
        <f t="shared" ref="U27:U28" si="26">ROUND((T27)/0.15,2)</f>
        <v>0.2</v>
      </c>
      <c r="V27" s="25">
        <f t="shared" ref="V27:V28" si="27">IF(U27&lt;0.67,5,IF(U27&lt;1,4,IF(U27&lt;1.33,3,IF(U27&lt;2.67,2,1))))</f>
        <v>5</v>
      </c>
      <c r="W27" s="23"/>
      <c r="X27" s="36"/>
      <c r="Y27" s="36"/>
      <c r="Z27" s="36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</row>
    <row r="28" spans="1:37" ht="14.1" customHeight="1">
      <c r="A28" s="125">
        <v>14052</v>
      </c>
      <c r="B28" s="125" t="s">
        <v>177</v>
      </c>
      <c r="C28" s="114" t="str">
        <f>Rollover!A28</f>
        <v>Mazda</v>
      </c>
      <c r="D28" s="114" t="str">
        <f>Rollover!B28</f>
        <v>MX-30 5HB FWD</v>
      </c>
      <c r="E28" s="67" t="s">
        <v>99</v>
      </c>
      <c r="F28" s="127">
        <f>Rollover!C28</f>
        <v>2022</v>
      </c>
      <c r="G28" s="50">
        <v>259.31700000000001</v>
      </c>
      <c r="H28" s="19">
        <v>21.367999999999999</v>
      </c>
      <c r="I28" s="19">
        <v>36.945999999999998</v>
      </c>
      <c r="J28" s="51">
        <v>18.106999999999999</v>
      </c>
      <c r="K28" s="51">
        <v>2048.6390000000001</v>
      </c>
      <c r="L28" s="52">
        <f t="shared" si="19"/>
        <v>5.2354411220543132E-3</v>
      </c>
      <c r="M28" s="60">
        <f t="shared" si="20"/>
        <v>1.2373110919004501E-2</v>
      </c>
      <c r="N28" s="52">
        <f t="shared" si="21"/>
        <v>1.7999999999999999E-2</v>
      </c>
      <c r="O28" s="10">
        <f t="shared" si="22"/>
        <v>0.12</v>
      </c>
      <c r="P28" s="25">
        <f t="shared" si="23"/>
        <v>5</v>
      </c>
      <c r="Q28" s="53">
        <f>ROUND((0.8*'Side MDB'!W28+0.2*'Side Pole'!N28),3)</f>
        <v>3.5999999999999997E-2</v>
      </c>
      <c r="R28" s="53">
        <f t="shared" si="24"/>
        <v>0.24</v>
      </c>
      <c r="S28" s="25">
        <f t="shared" si="25"/>
        <v>5</v>
      </c>
      <c r="T28" s="53">
        <f>ROUND(((0.8*'Side MDB'!W28+0.2*'Side Pole'!N28)+(IF('Side MDB'!X28="N/A",(0.8*'Side MDB'!W28+0.2*'Side Pole'!N28),'Side MDB'!X28)))/2,3)</f>
        <v>6.5000000000000002E-2</v>
      </c>
      <c r="U28" s="53">
        <f t="shared" si="26"/>
        <v>0.43</v>
      </c>
      <c r="V28" s="25">
        <f t="shared" si="27"/>
        <v>5</v>
      </c>
      <c r="W28" s="23"/>
      <c r="X28" s="36"/>
      <c r="Y28" s="36"/>
      <c r="Z28" s="36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</row>
    <row r="29" spans="1:37" ht="14.1" customHeight="1">
      <c r="A29" s="125">
        <v>10834</v>
      </c>
      <c r="B29" s="125" t="s">
        <v>178</v>
      </c>
      <c r="C29" s="114" t="str">
        <f>Rollover!A29</f>
        <v xml:space="preserve">Mitsubishi </v>
      </c>
      <c r="D29" s="114" t="str">
        <f>Rollover!B29</f>
        <v>Eclipse Cross SUV AWD</v>
      </c>
      <c r="E29" s="67" t="s">
        <v>139</v>
      </c>
      <c r="F29" s="127">
        <f>Rollover!C29</f>
        <v>2022</v>
      </c>
      <c r="G29" s="50">
        <v>357.64400000000001</v>
      </c>
      <c r="H29" s="19">
        <v>25.074000000000002</v>
      </c>
      <c r="I29" s="19">
        <v>44.167000000000002</v>
      </c>
      <c r="J29" s="51">
        <v>39.39</v>
      </c>
      <c r="K29" s="51">
        <v>2766.826</v>
      </c>
      <c r="L29" s="52">
        <f t="shared" ref="L29:L36" si="28">NORMDIST(LN(G29),7.45231,0.73998,1)</f>
        <v>1.6775586962925859E-2</v>
      </c>
      <c r="M29" s="60">
        <f t="shared" ref="M29:M36" si="29">1/(1+EXP(6.3055-0.00094*K29))</f>
        <v>2.4016992857706355E-2</v>
      </c>
      <c r="N29" s="52">
        <f t="shared" ref="N29:N36" si="30">ROUND(1-(1-L29)*(1-M29),3)</f>
        <v>0.04</v>
      </c>
      <c r="O29" s="10">
        <f t="shared" ref="O29:O36" si="31">ROUND(N29/0.15,2)</f>
        <v>0.27</v>
      </c>
      <c r="P29" s="25">
        <f t="shared" ref="P29:P36" si="32">IF(O29&lt;0.67,5,IF(O29&lt;1,4,IF(O29&lt;1.33,3,IF(O29&lt;2.67,2,1))))</f>
        <v>5</v>
      </c>
      <c r="Q29" s="53">
        <f>ROUND((0.8*'Side MDB'!W29+0.2*'Side Pole'!N29),3)</f>
        <v>2.9000000000000001E-2</v>
      </c>
      <c r="R29" s="53">
        <f t="shared" ref="R29:R36" si="33">ROUND((Q29)/0.15,2)</f>
        <v>0.19</v>
      </c>
      <c r="S29" s="25">
        <f t="shared" ref="S29:S36" si="34">IF(R29&lt;0.67,5,IF(R29&lt;1,4,IF(R29&lt;1.33,3,IF(R29&lt;2.67,2,1))))</f>
        <v>5</v>
      </c>
      <c r="T29" s="53">
        <f>ROUND(((0.8*'Side MDB'!W29+0.2*'Side Pole'!N29)+(IF('Side MDB'!X29="N/A",(0.8*'Side MDB'!W29+0.2*'Side Pole'!N29),'Side MDB'!X29)))/2,3)</f>
        <v>2.1000000000000001E-2</v>
      </c>
      <c r="U29" s="53">
        <f t="shared" ref="U29:U36" si="35">ROUND((T29)/0.15,2)</f>
        <v>0.14000000000000001</v>
      </c>
      <c r="V29" s="25">
        <f t="shared" ref="V29:V36" si="36">IF(U29&lt;0.67,5,IF(U29&lt;1,4,IF(U29&lt;1.33,3,IF(U29&lt;2.67,2,1))))</f>
        <v>5</v>
      </c>
      <c r="W29" s="23"/>
      <c r="X29" s="36"/>
      <c r="Y29" s="36"/>
      <c r="Z29" s="36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</row>
    <row r="30" spans="1:37" ht="14.1" customHeight="1">
      <c r="A30" s="131">
        <v>10834</v>
      </c>
      <c r="B30" s="125" t="s">
        <v>178</v>
      </c>
      <c r="C30" s="114" t="str">
        <f>Rollover!A30</f>
        <v xml:space="preserve">Mitsubishi </v>
      </c>
      <c r="D30" s="114" t="str">
        <f>Rollover!B30</f>
        <v>Eclipse Cross SUV FWD</v>
      </c>
      <c r="E30" s="67" t="s">
        <v>139</v>
      </c>
      <c r="F30" s="127">
        <f>Rollover!C30</f>
        <v>2022</v>
      </c>
      <c r="G30" s="50">
        <v>357.64400000000001</v>
      </c>
      <c r="H30" s="19">
        <v>25.074000000000002</v>
      </c>
      <c r="I30" s="19">
        <v>44.167000000000002</v>
      </c>
      <c r="J30" s="51">
        <v>39.39</v>
      </c>
      <c r="K30" s="51">
        <v>2766.826</v>
      </c>
      <c r="L30" s="52">
        <f t="shared" si="28"/>
        <v>1.6775586962925859E-2</v>
      </c>
      <c r="M30" s="60">
        <f t="shared" si="29"/>
        <v>2.4016992857706355E-2</v>
      </c>
      <c r="N30" s="52">
        <f t="shared" si="30"/>
        <v>0.04</v>
      </c>
      <c r="O30" s="10">
        <f t="shared" si="31"/>
        <v>0.27</v>
      </c>
      <c r="P30" s="25">
        <f t="shared" si="32"/>
        <v>5</v>
      </c>
      <c r="Q30" s="53">
        <f>ROUND((0.8*'Side MDB'!W30+0.2*'Side Pole'!N30),3)</f>
        <v>2.9000000000000001E-2</v>
      </c>
      <c r="R30" s="53">
        <f t="shared" si="33"/>
        <v>0.19</v>
      </c>
      <c r="S30" s="25">
        <f t="shared" si="34"/>
        <v>5</v>
      </c>
      <c r="T30" s="53">
        <f>ROUND(((0.8*'Side MDB'!W30+0.2*'Side Pole'!N30)+(IF('Side MDB'!X30="N/A",(0.8*'Side MDB'!W30+0.2*'Side Pole'!N30),'Side MDB'!X30)))/2,3)</f>
        <v>2.1000000000000001E-2</v>
      </c>
      <c r="U30" s="53">
        <f t="shared" si="35"/>
        <v>0.14000000000000001</v>
      </c>
      <c r="V30" s="25">
        <f t="shared" si="36"/>
        <v>5</v>
      </c>
      <c r="W30" s="23"/>
      <c r="X30" s="36"/>
      <c r="Y30" s="36"/>
      <c r="Z30" s="36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</row>
    <row r="31" spans="1:37" ht="14.1" customHeight="1">
      <c r="A31" s="125">
        <v>14061</v>
      </c>
      <c r="B31" s="125" t="s">
        <v>179</v>
      </c>
      <c r="C31" s="114" t="str">
        <f>Rollover!A31</f>
        <v>Nissan</v>
      </c>
      <c r="D31" s="114" t="str">
        <f>Rollover!B31</f>
        <v>Altima 4DR FWD</v>
      </c>
      <c r="E31" s="67" t="s">
        <v>99</v>
      </c>
      <c r="F31" s="127">
        <f>Rollover!C31</f>
        <v>2022</v>
      </c>
      <c r="G31" s="50">
        <v>166.85499999999999</v>
      </c>
      <c r="H31" s="19">
        <v>24.131</v>
      </c>
      <c r="I31" s="19">
        <v>34.137999999999998</v>
      </c>
      <c r="J31" s="51">
        <v>19.248999999999999</v>
      </c>
      <c r="K31" s="51">
        <v>2653.913</v>
      </c>
      <c r="L31" s="52">
        <f t="shared" si="28"/>
        <v>8.0045621536349685E-4</v>
      </c>
      <c r="M31" s="60">
        <f t="shared" si="29"/>
        <v>2.1650852452170605E-2</v>
      </c>
      <c r="N31" s="52">
        <f t="shared" si="30"/>
        <v>2.1999999999999999E-2</v>
      </c>
      <c r="O31" s="10">
        <f t="shared" si="31"/>
        <v>0.15</v>
      </c>
      <c r="P31" s="25">
        <f t="shared" si="32"/>
        <v>5</v>
      </c>
      <c r="Q31" s="53">
        <f>ROUND((0.8*'Side MDB'!W31+0.2*'Side Pole'!N31),3)</f>
        <v>8.7999999999999995E-2</v>
      </c>
      <c r="R31" s="53">
        <f t="shared" si="33"/>
        <v>0.59</v>
      </c>
      <c r="S31" s="25">
        <f t="shared" si="34"/>
        <v>5</v>
      </c>
      <c r="T31" s="53">
        <f>ROUND(((0.8*'Side MDB'!W31+0.2*'Side Pole'!N31)+(IF('Side MDB'!X31="N/A",(0.8*'Side MDB'!W31+0.2*'Side Pole'!N31),'Side MDB'!X31)))/2,3)</f>
        <v>5.5E-2</v>
      </c>
      <c r="U31" s="53">
        <f t="shared" si="35"/>
        <v>0.37</v>
      </c>
      <c r="V31" s="25">
        <f t="shared" si="36"/>
        <v>5</v>
      </c>
      <c r="W31" s="23"/>
      <c r="X31" s="36"/>
      <c r="Y31" s="36"/>
      <c r="Z31" s="36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</row>
    <row r="32" spans="1:37" ht="14.1" customHeight="1">
      <c r="A32" s="125">
        <v>14061</v>
      </c>
      <c r="B32" s="125" t="s">
        <v>179</v>
      </c>
      <c r="C32" s="126" t="str">
        <f>Rollover!A32</f>
        <v>Nissan</v>
      </c>
      <c r="D32" s="126" t="str">
        <f>Rollover!B32</f>
        <v>Altima 4DR AWD</v>
      </c>
      <c r="E32" s="67" t="s">
        <v>99</v>
      </c>
      <c r="F32" s="127">
        <f>Rollover!C32</f>
        <v>2022</v>
      </c>
      <c r="G32" s="50">
        <v>166.85499999999999</v>
      </c>
      <c r="H32" s="19">
        <v>24.131</v>
      </c>
      <c r="I32" s="19">
        <v>34.137999999999998</v>
      </c>
      <c r="J32" s="51">
        <v>19.248999999999999</v>
      </c>
      <c r="K32" s="51">
        <v>2653.913</v>
      </c>
      <c r="L32" s="52">
        <f t="shared" si="28"/>
        <v>8.0045621536349685E-4</v>
      </c>
      <c r="M32" s="60">
        <f t="shared" si="29"/>
        <v>2.1650852452170605E-2</v>
      </c>
      <c r="N32" s="52">
        <f t="shared" si="30"/>
        <v>2.1999999999999999E-2</v>
      </c>
      <c r="O32" s="10">
        <f t="shared" si="31"/>
        <v>0.15</v>
      </c>
      <c r="P32" s="25">
        <f t="shared" si="32"/>
        <v>5</v>
      </c>
      <c r="Q32" s="53">
        <f>ROUND((0.8*'Side MDB'!W32+0.2*'Side Pole'!N32),3)</f>
        <v>8.7999999999999995E-2</v>
      </c>
      <c r="R32" s="53">
        <f t="shared" si="33"/>
        <v>0.59</v>
      </c>
      <c r="S32" s="25">
        <f t="shared" si="34"/>
        <v>5</v>
      </c>
      <c r="T32" s="53">
        <f>ROUND(((0.8*'Side MDB'!W32+0.2*'Side Pole'!N32)+(IF('Side MDB'!X32="N/A",(0.8*'Side MDB'!W32+0.2*'Side Pole'!N32),'Side MDB'!X32)))/2,3)</f>
        <v>5.5E-2</v>
      </c>
      <c r="U32" s="53">
        <f t="shared" si="35"/>
        <v>0.37</v>
      </c>
      <c r="V32" s="25">
        <f t="shared" si="36"/>
        <v>5</v>
      </c>
      <c r="W32" s="23"/>
      <c r="X32" s="36"/>
      <c r="Y32" s="36"/>
      <c r="Z32" s="36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</row>
    <row r="33" spans="1:37" ht="14.1" customHeight="1">
      <c r="A33" s="125">
        <v>14073</v>
      </c>
      <c r="B33" s="125" t="s">
        <v>180</v>
      </c>
      <c r="C33" s="114" t="str">
        <f>Rollover!A33</f>
        <v>Nissan</v>
      </c>
      <c r="D33" s="114" t="str">
        <f>Rollover!B33</f>
        <v>Frontier Crew Cab PU/CC RWD</v>
      </c>
      <c r="E33" s="67" t="s">
        <v>99</v>
      </c>
      <c r="F33" s="127">
        <f>Rollover!C33</f>
        <v>2022</v>
      </c>
      <c r="G33" s="50">
        <v>351.00299999999999</v>
      </c>
      <c r="H33" s="19">
        <v>23.491</v>
      </c>
      <c r="I33" s="19">
        <v>43.978000000000002</v>
      </c>
      <c r="J33" s="51">
        <v>18.788</v>
      </c>
      <c r="K33" s="51">
        <v>2995.7</v>
      </c>
      <c r="L33" s="52">
        <f t="shared" si="28"/>
        <v>1.5747795631950976E-2</v>
      </c>
      <c r="M33" s="60">
        <f t="shared" si="29"/>
        <v>2.9611261715457252E-2</v>
      </c>
      <c r="N33" s="52">
        <f t="shared" si="30"/>
        <v>4.4999999999999998E-2</v>
      </c>
      <c r="O33" s="10">
        <f t="shared" si="31"/>
        <v>0.3</v>
      </c>
      <c r="P33" s="25">
        <f t="shared" si="32"/>
        <v>5</v>
      </c>
      <c r="Q33" s="53">
        <f>ROUND((0.8*'Side MDB'!W33+0.2*'Side Pole'!N33),3)</f>
        <v>4.7E-2</v>
      </c>
      <c r="R33" s="53">
        <f t="shared" si="33"/>
        <v>0.31</v>
      </c>
      <c r="S33" s="25">
        <f t="shared" si="34"/>
        <v>5</v>
      </c>
      <c r="T33" s="53">
        <f>ROUND(((0.8*'Side MDB'!W33+0.2*'Side Pole'!N33)+(IF('Side MDB'!X33="N/A",(0.8*'Side MDB'!W33+0.2*'Side Pole'!N33),'Side MDB'!X33)))/2,3)</f>
        <v>4.8000000000000001E-2</v>
      </c>
      <c r="U33" s="53">
        <f t="shared" si="35"/>
        <v>0.32</v>
      </c>
      <c r="V33" s="25">
        <f t="shared" si="36"/>
        <v>5</v>
      </c>
      <c r="W33" s="23"/>
      <c r="X33" s="36"/>
      <c r="Y33" s="36"/>
      <c r="Z33" s="36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</row>
    <row r="34" spans="1:37" ht="14.1" customHeight="1">
      <c r="A34" s="125">
        <v>14073</v>
      </c>
      <c r="B34" s="130" t="s">
        <v>180</v>
      </c>
      <c r="C34" s="114" t="str">
        <f>Rollover!A34</f>
        <v>Nissan</v>
      </c>
      <c r="D34" s="114" t="str">
        <f>Rollover!B34</f>
        <v>Frontier Crew Cab PU/CC 4WD</v>
      </c>
      <c r="E34" s="67" t="s">
        <v>99</v>
      </c>
      <c r="F34" s="127">
        <f>Rollover!C34</f>
        <v>2022</v>
      </c>
      <c r="G34" s="50">
        <v>351.00299999999999</v>
      </c>
      <c r="H34" s="19">
        <v>23.491</v>
      </c>
      <c r="I34" s="19">
        <v>43.978000000000002</v>
      </c>
      <c r="J34" s="51">
        <v>18.788</v>
      </c>
      <c r="K34" s="51">
        <v>2995.7</v>
      </c>
      <c r="L34" s="52">
        <f t="shared" si="28"/>
        <v>1.5747795631950976E-2</v>
      </c>
      <c r="M34" s="60">
        <f t="shared" si="29"/>
        <v>2.9611261715457252E-2</v>
      </c>
      <c r="N34" s="52">
        <f t="shared" si="30"/>
        <v>4.4999999999999998E-2</v>
      </c>
      <c r="O34" s="10">
        <f t="shared" si="31"/>
        <v>0.3</v>
      </c>
      <c r="P34" s="25">
        <f t="shared" si="32"/>
        <v>5</v>
      </c>
      <c r="Q34" s="53">
        <f>ROUND((0.8*'Side MDB'!W34+0.2*'Side Pole'!N34),3)</f>
        <v>4.7E-2</v>
      </c>
      <c r="R34" s="53">
        <f t="shared" si="33"/>
        <v>0.31</v>
      </c>
      <c r="S34" s="25">
        <f t="shared" si="34"/>
        <v>5</v>
      </c>
      <c r="T34" s="53">
        <f>ROUND(((0.8*'Side MDB'!W34+0.2*'Side Pole'!N34)+(IF('Side MDB'!X34="N/A",(0.8*'Side MDB'!W34+0.2*'Side Pole'!N34),'Side MDB'!X34)))/2,3)</f>
        <v>4.8000000000000001E-2</v>
      </c>
      <c r="U34" s="53">
        <f t="shared" si="35"/>
        <v>0.32</v>
      </c>
      <c r="V34" s="25">
        <f t="shared" si="36"/>
        <v>5</v>
      </c>
      <c r="W34" s="23"/>
      <c r="X34" s="36"/>
      <c r="Y34" s="36"/>
      <c r="Z34" s="36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</row>
    <row r="35" spans="1:37" ht="14.1" customHeight="1">
      <c r="A35" s="125"/>
      <c r="B35" s="125"/>
      <c r="C35" s="126" t="str">
        <f>Rollover!A35</f>
        <v>Nissan</v>
      </c>
      <c r="D35" s="126" t="str">
        <f>Rollover!B35</f>
        <v>Frontier King Cab PU/EC RWD</v>
      </c>
      <c r="E35" s="67"/>
      <c r="F35" s="127">
        <f>Rollover!C35</f>
        <v>2022</v>
      </c>
      <c r="G35" s="50"/>
      <c r="H35" s="19"/>
      <c r="I35" s="19"/>
      <c r="J35" s="51"/>
      <c r="K35" s="51"/>
      <c r="L35" s="52" t="e">
        <f t="shared" si="28"/>
        <v>#NUM!</v>
      </c>
      <c r="M35" s="60">
        <f t="shared" si="29"/>
        <v>1.8229037773026034E-3</v>
      </c>
      <c r="N35" s="52" t="e">
        <f t="shared" si="30"/>
        <v>#NUM!</v>
      </c>
      <c r="O35" s="10" t="e">
        <f t="shared" si="31"/>
        <v>#NUM!</v>
      </c>
      <c r="P35" s="25" t="e">
        <f t="shared" si="32"/>
        <v>#NUM!</v>
      </c>
      <c r="Q35" s="53" t="e">
        <f>ROUND((0.8*'Side MDB'!W35+0.2*'Side Pole'!N35),3)</f>
        <v>#NUM!</v>
      </c>
      <c r="R35" s="53" t="e">
        <f t="shared" si="33"/>
        <v>#NUM!</v>
      </c>
      <c r="S35" s="25" t="e">
        <f t="shared" si="34"/>
        <v>#NUM!</v>
      </c>
      <c r="T35" s="53" t="e">
        <f>ROUND(((0.8*'Side MDB'!W35+0.2*'Side Pole'!N35)+(IF('Side MDB'!X35="N/A",(0.8*'Side MDB'!W35+0.2*'Side Pole'!N35),'Side MDB'!X35)))/2,3)</f>
        <v>#NUM!</v>
      </c>
      <c r="U35" s="53" t="e">
        <f t="shared" si="35"/>
        <v>#NUM!</v>
      </c>
      <c r="V35" s="25" t="e">
        <f t="shared" si="36"/>
        <v>#NUM!</v>
      </c>
      <c r="W35" s="23"/>
      <c r="X35" s="36"/>
      <c r="Y35" s="36"/>
      <c r="Z35" s="36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</row>
    <row r="36" spans="1:37" ht="14.1" customHeight="1">
      <c r="A36" s="125"/>
      <c r="B36" s="125"/>
      <c r="C36" s="126" t="str">
        <f>Rollover!A36</f>
        <v>Nissan</v>
      </c>
      <c r="D36" s="126" t="str">
        <f>Rollover!B36</f>
        <v>Frontier King Cab PU/EC 4WD</v>
      </c>
      <c r="E36" s="67"/>
      <c r="F36" s="127">
        <f>Rollover!C36</f>
        <v>2022</v>
      </c>
      <c r="G36" s="50"/>
      <c r="H36" s="19"/>
      <c r="I36" s="19"/>
      <c r="J36" s="51"/>
      <c r="K36" s="51"/>
      <c r="L36" s="52" t="e">
        <f t="shared" si="28"/>
        <v>#NUM!</v>
      </c>
      <c r="M36" s="60">
        <f t="shared" si="29"/>
        <v>1.8229037773026034E-3</v>
      </c>
      <c r="N36" s="52" t="e">
        <f t="shared" si="30"/>
        <v>#NUM!</v>
      </c>
      <c r="O36" s="10" t="e">
        <f t="shared" si="31"/>
        <v>#NUM!</v>
      </c>
      <c r="P36" s="25" t="e">
        <f t="shared" si="32"/>
        <v>#NUM!</v>
      </c>
      <c r="Q36" s="53" t="e">
        <f>ROUND((0.8*'Side MDB'!W36+0.2*'Side Pole'!N36),3)</f>
        <v>#NUM!</v>
      </c>
      <c r="R36" s="53" t="e">
        <f t="shared" si="33"/>
        <v>#NUM!</v>
      </c>
      <c r="S36" s="25" t="e">
        <f t="shared" si="34"/>
        <v>#NUM!</v>
      </c>
      <c r="T36" s="53" t="e">
        <f>ROUND(((0.8*'Side MDB'!W36+0.2*'Side Pole'!N36)+(IF('Side MDB'!X36="N/A",(0.8*'Side MDB'!W36+0.2*'Side Pole'!N36),'Side MDB'!X36)))/2,3)</f>
        <v>#NUM!</v>
      </c>
      <c r="U36" s="53" t="e">
        <f t="shared" si="35"/>
        <v>#NUM!</v>
      </c>
      <c r="V36" s="25" t="e">
        <f t="shared" si="36"/>
        <v>#NUM!</v>
      </c>
      <c r="W36" s="23"/>
      <c r="X36" s="36"/>
      <c r="Y36" s="36"/>
      <c r="Z36" s="36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</row>
    <row r="37" spans="1:37" ht="14.1" customHeight="1">
      <c r="A37" s="129">
        <v>11344</v>
      </c>
      <c r="B37" s="130" t="s">
        <v>181</v>
      </c>
      <c r="C37" s="126" t="str">
        <f>Rollover!A37</f>
        <v>Nissan</v>
      </c>
      <c r="D37" s="126" t="str">
        <f>Rollover!B37</f>
        <v>Rogue AWD (Later Release)</v>
      </c>
      <c r="E37" s="67" t="s">
        <v>139</v>
      </c>
      <c r="F37" s="127">
        <f>Rollover!C37</f>
        <v>2022</v>
      </c>
      <c r="G37" s="50">
        <v>161.607</v>
      </c>
      <c r="H37" s="19">
        <v>17.387</v>
      </c>
      <c r="I37" s="19" t="s">
        <v>182</v>
      </c>
      <c r="J37" s="51">
        <v>18.036999999999999</v>
      </c>
      <c r="K37" s="20">
        <v>1770.261</v>
      </c>
      <c r="L37" s="52">
        <f t="shared" ref="L37:L38" si="37">NORMDIST(LN(G37),7.45231,0.73998,1)</f>
        <v>6.8969872624144272E-4</v>
      </c>
      <c r="M37" s="60">
        <f t="shared" ref="M37:M38" si="38">1/(1+EXP(6.3055-0.00094*K37))</f>
        <v>9.5515473073525935E-3</v>
      </c>
      <c r="N37" s="52">
        <f t="shared" ref="N37:N38" si="39">ROUND(1-(1-L37)*(1-M37),3)</f>
        <v>0.01</v>
      </c>
      <c r="O37" s="10">
        <f t="shared" ref="O37:O38" si="40">ROUND(N37/0.15,2)</f>
        <v>7.0000000000000007E-2</v>
      </c>
      <c r="P37" s="25">
        <f t="shared" ref="P37:P38" si="41">IF(O37&lt;0.67,5,IF(O37&lt;1,4,IF(O37&lt;1.33,3,IF(O37&lt;2.67,2,1))))</f>
        <v>5</v>
      </c>
      <c r="Q37" s="53">
        <f>ROUND((0.8*'Side MDB'!W37+0.2*'Side Pole'!N37),3)</f>
        <v>1.7000000000000001E-2</v>
      </c>
      <c r="R37" s="53">
        <f t="shared" ref="R37:R38" si="42">ROUND((Q37)/0.15,2)</f>
        <v>0.11</v>
      </c>
      <c r="S37" s="25">
        <f t="shared" ref="S37:S38" si="43">IF(R37&lt;0.67,5,IF(R37&lt;1,4,IF(R37&lt;1.33,3,IF(R37&lt;2.67,2,1))))</f>
        <v>5</v>
      </c>
      <c r="T37" s="53">
        <f>ROUND(((0.8*'Side MDB'!W37+0.2*'Side Pole'!N37)+(IF('Side MDB'!X37="N/A",(0.8*'Side MDB'!W37+0.2*'Side Pole'!N37),'Side MDB'!X37)))/2,3)</f>
        <v>1.7000000000000001E-2</v>
      </c>
      <c r="U37" s="53">
        <f t="shared" ref="U37:U38" si="44">ROUND((T37)/0.15,2)</f>
        <v>0.11</v>
      </c>
      <c r="V37" s="25">
        <f t="shared" ref="V37:V38" si="45">IF(U37&lt;0.67,5,IF(U37&lt;1,4,IF(U37&lt;1.33,3,IF(U37&lt;2.67,2,1))))</f>
        <v>5</v>
      </c>
      <c r="W37" s="23"/>
      <c r="X37" s="36"/>
      <c r="Y37" s="36"/>
      <c r="Z37" s="36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</row>
    <row r="38" spans="1:37" ht="14.1" customHeight="1">
      <c r="A38" s="129">
        <v>11344</v>
      </c>
      <c r="B38" s="130" t="s">
        <v>181</v>
      </c>
      <c r="C38" s="114" t="str">
        <f>Rollover!A38</f>
        <v>Nissan</v>
      </c>
      <c r="D38" s="114" t="str">
        <f>Rollover!B38</f>
        <v>Rogue FWD (Later Release)</v>
      </c>
      <c r="E38" s="67" t="s">
        <v>139</v>
      </c>
      <c r="F38" s="127">
        <f>Rollover!C38</f>
        <v>2022</v>
      </c>
      <c r="G38" s="50">
        <v>161.607</v>
      </c>
      <c r="H38" s="19">
        <v>17.387</v>
      </c>
      <c r="I38" s="19" t="s">
        <v>182</v>
      </c>
      <c r="J38" s="51">
        <v>18.036999999999999</v>
      </c>
      <c r="K38" s="20">
        <v>1770.261</v>
      </c>
      <c r="L38" s="52">
        <f t="shared" si="37"/>
        <v>6.8969872624144272E-4</v>
      </c>
      <c r="M38" s="60">
        <f t="shared" si="38"/>
        <v>9.5515473073525935E-3</v>
      </c>
      <c r="N38" s="52">
        <f t="shared" si="39"/>
        <v>0.01</v>
      </c>
      <c r="O38" s="10">
        <f t="shared" si="40"/>
        <v>7.0000000000000007E-2</v>
      </c>
      <c r="P38" s="25">
        <f t="shared" si="41"/>
        <v>5</v>
      </c>
      <c r="Q38" s="53">
        <f>ROUND((0.8*'Side MDB'!W38+0.2*'Side Pole'!N38),3)</f>
        <v>1.7000000000000001E-2</v>
      </c>
      <c r="R38" s="53">
        <f t="shared" si="42"/>
        <v>0.11</v>
      </c>
      <c r="S38" s="25">
        <f t="shared" si="43"/>
        <v>5</v>
      </c>
      <c r="T38" s="53">
        <f>ROUND(((0.8*'Side MDB'!W38+0.2*'Side Pole'!N38)+(IF('Side MDB'!X38="N/A",(0.8*'Side MDB'!W38+0.2*'Side Pole'!N38),'Side MDB'!X38)))/2,3)</f>
        <v>1.7000000000000001E-2</v>
      </c>
      <c r="U38" s="53">
        <f t="shared" si="44"/>
        <v>0.11</v>
      </c>
      <c r="V38" s="25">
        <f t="shared" si="45"/>
        <v>5</v>
      </c>
      <c r="W38" s="23"/>
      <c r="X38" s="36"/>
      <c r="Y38" s="36"/>
      <c r="Z38" s="36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</row>
    <row r="39" spans="1:37" ht="14.1" customHeight="1">
      <c r="A39" s="131">
        <v>10662</v>
      </c>
      <c r="B39" s="125" t="s">
        <v>183</v>
      </c>
      <c r="C39" s="114" t="str">
        <f>Rollover!A39</f>
        <v>Volkswagen</v>
      </c>
      <c r="D39" s="114" t="str">
        <f>Rollover!B39</f>
        <v>Jetta 4DR FWD</v>
      </c>
      <c r="E39" s="67" t="s">
        <v>139</v>
      </c>
      <c r="F39" s="127">
        <f>Rollover!C39</f>
        <v>2022</v>
      </c>
      <c r="G39" s="50">
        <v>239.20500000000001</v>
      </c>
      <c r="H39" s="19">
        <v>23.585999999999999</v>
      </c>
      <c r="I39" s="19">
        <v>37.648000000000003</v>
      </c>
      <c r="J39" s="51">
        <v>28.818999999999999</v>
      </c>
      <c r="K39" s="20">
        <v>2790.1849999999999</v>
      </c>
      <c r="L39" s="52">
        <f t="shared" ref="L39:L41" si="46">NORMDIST(LN(G39),7.45231,0.73998,1)</f>
        <v>3.804141042345967E-3</v>
      </c>
      <c r="M39" s="60">
        <f t="shared" ref="M39:M41" si="47">1/(1+EXP(6.3055-0.00094*K39))</f>
        <v>2.4537094487065852E-2</v>
      </c>
      <c r="N39" s="52">
        <f t="shared" ref="N39:N41" si="48">ROUND(1-(1-L39)*(1-M39),3)</f>
        <v>2.8000000000000001E-2</v>
      </c>
      <c r="O39" s="10">
        <f t="shared" ref="O39:O42" si="49">ROUND(N39/0.15,2)</f>
        <v>0.19</v>
      </c>
      <c r="P39" s="25">
        <f t="shared" ref="P39:P42" si="50">IF(O39&lt;0.67,5,IF(O39&lt;1,4,IF(O39&lt;1.33,3,IF(O39&lt;2.67,2,1))))</f>
        <v>5</v>
      </c>
      <c r="Q39" s="53">
        <f>ROUND((0.8*'Side MDB'!W39+0.2*'Side Pole'!N39),3)</f>
        <v>0.05</v>
      </c>
      <c r="R39" s="53">
        <f t="shared" ref="R39:R42" si="51">ROUND((Q39)/0.15,2)</f>
        <v>0.33</v>
      </c>
      <c r="S39" s="25">
        <f t="shared" ref="S39:S42" si="52">IF(R39&lt;0.67,5,IF(R39&lt;1,4,IF(R39&lt;1.33,3,IF(R39&lt;2.67,2,1))))</f>
        <v>5</v>
      </c>
      <c r="T39" s="53">
        <f>ROUND(((0.8*'Side MDB'!W39+0.2*'Side Pole'!N39)+(IF('Side MDB'!X39="N/A",(0.8*'Side MDB'!W39+0.2*'Side Pole'!N39),'Side MDB'!X39)))/2,3)</f>
        <v>3.9E-2</v>
      </c>
      <c r="U39" s="53">
        <f t="shared" ref="U39:U42" si="53">ROUND((T39)/0.15,2)</f>
        <v>0.26</v>
      </c>
      <c r="V39" s="25">
        <f t="shared" ref="V39:V42" si="54">IF(U39&lt;0.67,5,IF(U39&lt;1,4,IF(U39&lt;1.33,3,IF(U39&lt;2.67,2,1))))</f>
        <v>5</v>
      </c>
      <c r="W39" s="23"/>
      <c r="X39" s="36"/>
      <c r="Y39" s="36"/>
      <c r="Z39" s="36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</row>
    <row r="40" spans="1:37" ht="14.1" customHeight="1">
      <c r="A40" s="131">
        <v>10662</v>
      </c>
      <c r="B40" s="125" t="s">
        <v>183</v>
      </c>
      <c r="C40" s="126" t="str">
        <f>Rollover!A40</f>
        <v>Volkswagen</v>
      </c>
      <c r="D40" s="126" t="str">
        <f>Rollover!B40</f>
        <v>Jetta GLI 4DR FWD</v>
      </c>
      <c r="E40" s="67" t="s">
        <v>139</v>
      </c>
      <c r="F40" s="127">
        <f>Rollover!C40</f>
        <v>2022</v>
      </c>
      <c r="G40" s="50">
        <v>239.20500000000001</v>
      </c>
      <c r="H40" s="19">
        <v>23.585999999999999</v>
      </c>
      <c r="I40" s="19">
        <v>37.648000000000003</v>
      </c>
      <c r="J40" s="51">
        <v>28.818999999999999</v>
      </c>
      <c r="K40" s="20">
        <v>2790.1849999999999</v>
      </c>
      <c r="L40" s="52">
        <f t="shared" si="46"/>
        <v>3.804141042345967E-3</v>
      </c>
      <c r="M40" s="60">
        <f t="shared" si="47"/>
        <v>2.4537094487065852E-2</v>
      </c>
      <c r="N40" s="52">
        <f t="shared" si="48"/>
        <v>2.8000000000000001E-2</v>
      </c>
      <c r="O40" s="10">
        <f t="shared" si="49"/>
        <v>0.19</v>
      </c>
      <c r="P40" s="25">
        <f t="shared" si="50"/>
        <v>5</v>
      </c>
      <c r="Q40" s="53">
        <f>ROUND((0.8*'Side MDB'!W40+0.2*'Side Pole'!N40),3)</f>
        <v>0.05</v>
      </c>
      <c r="R40" s="53">
        <f t="shared" si="51"/>
        <v>0.33</v>
      </c>
      <c r="S40" s="25">
        <f t="shared" si="52"/>
        <v>5</v>
      </c>
      <c r="T40" s="53">
        <f>ROUND(((0.8*'Side MDB'!W40+0.2*'Side Pole'!N40)+(IF('Side MDB'!X40="N/A",(0.8*'Side MDB'!W40+0.2*'Side Pole'!N40),'Side MDB'!X40)))/2,3)</f>
        <v>3.9E-2</v>
      </c>
      <c r="U40" s="53">
        <f t="shared" si="53"/>
        <v>0.26</v>
      </c>
      <c r="V40" s="25">
        <f t="shared" si="54"/>
        <v>5</v>
      </c>
      <c r="W40" s="23"/>
      <c r="X40" s="36"/>
      <c r="Y40" s="36"/>
      <c r="Z40" s="36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</row>
    <row r="41" spans="1:37" ht="14.1" customHeight="1">
      <c r="A41" s="125">
        <v>14083</v>
      </c>
      <c r="B41" s="125" t="s">
        <v>184</v>
      </c>
      <c r="C41" s="114" t="str">
        <f>Rollover!A41</f>
        <v>Volkswagen</v>
      </c>
      <c r="D41" s="114" t="str">
        <f>Rollover!B41</f>
        <v>Taos SUV FWD</v>
      </c>
      <c r="E41" s="67" t="s">
        <v>138</v>
      </c>
      <c r="F41" s="127">
        <f>Rollover!C41</f>
        <v>2022</v>
      </c>
      <c r="G41" s="50">
        <v>337.608</v>
      </c>
      <c r="H41" s="19">
        <v>26.867000000000001</v>
      </c>
      <c r="I41" s="19">
        <v>46.320999999999998</v>
      </c>
      <c r="J41" s="51">
        <v>36.298999999999999</v>
      </c>
      <c r="K41" s="51">
        <v>4175.3689999999997</v>
      </c>
      <c r="L41" s="52">
        <f t="shared" si="46"/>
        <v>1.3785539244020106E-2</v>
      </c>
      <c r="M41" s="60">
        <f t="shared" si="47"/>
        <v>8.4659938460111619E-2</v>
      </c>
      <c r="N41" s="52">
        <f t="shared" si="48"/>
        <v>9.7000000000000003E-2</v>
      </c>
      <c r="O41" s="10">
        <f t="shared" si="49"/>
        <v>0.65</v>
      </c>
      <c r="P41" s="25">
        <f t="shared" si="50"/>
        <v>5</v>
      </c>
      <c r="Q41" s="53">
        <f>ROUND((0.8*'Side MDB'!W41+0.2*'Side Pole'!N41),3)</f>
        <v>4.2999999999999997E-2</v>
      </c>
      <c r="R41" s="53">
        <f t="shared" si="51"/>
        <v>0.28999999999999998</v>
      </c>
      <c r="S41" s="25">
        <f t="shared" si="52"/>
        <v>5</v>
      </c>
      <c r="T41" s="53">
        <f>ROUND(((0.8*'Side MDB'!W41+0.2*'Side Pole'!N41)+(IF('Side MDB'!X41="N/A",(0.8*'Side MDB'!W41+0.2*'Side Pole'!N41),'Side MDB'!X41)))/2,3)</f>
        <v>4.8000000000000001E-2</v>
      </c>
      <c r="U41" s="53">
        <f t="shared" si="53"/>
        <v>0.32</v>
      </c>
      <c r="V41" s="25">
        <f t="shared" si="54"/>
        <v>5</v>
      </c>
      <c r="W41" s="23"/>
      <c r="X41" s="36"/>
      <c r="Y41" s="36"/>
      <c r="Z41" s="36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</row>
    <row r="42" spans="1:37" ht="14.1" customHeight="1">
      <c r="A42" s="125">
        <v>14083</v>
      </c>
      <c r="B42" s="125" t="s">
        <v>184</v>
      </c>
      <c r="C42" s="126" t="str">
        <f>Rollover!A42</f>
        <v>Volkswagen</v>
      </c>
      <c r="D42" s="126" t="str">
        <f>Rollover!B42</f>
        <v>Taos SUV AWD</v>
      </c>
      <c r="E42" s="67" t="s">
        <v>138</v>
      </c>
      <c r="F42" s="127">
        <f>Rollover!C42</f>
        <v>2022</v>
      </c>
      <c r="G42" s="50">
        <v>337.608</v>
      </c>
      <c r="H42" s="19">
        <v>26.867000000000001</v>
      </c>
      <c r="I42" s="19">
        <v>46.320999999999998</v>
      </c>
      <c r="J42" s="51">
        <v>36.298999999999999</v>
      </c>
      <c r="K42" s="51">
        <v>4175.3689999999997</v>
      </c>
      <c r="L42" s="52">
        <f>NORMDIST(LN(G42),7.45231,0.73998,1)</f>
        <v>1.3785539244020106E-2</v>
      </c>
      <c r="M42" s="60">
        <f>1/(1+EXP(6.3055-0.00094*K42))</f>
        <v>8.4659938460111619E-2</v>
      </c>
      <c r="N42" s="52">
        <f>ROUND(1-(1-L42)*(1-M42),3)</f>
        <v>9.7000000000000003E-2</v>
      </c>
      <c r="O42" s="10">
        <f t="shared" si="49"/>
        <v>0.65</v>
      </c>
      <c r="P42" s="25">
        <f t="shared" si="50"/>
        <v>5</v>
      </c>
      <c r="Q42" s="53">
        <f>ROUND((0.8*'Side MDB'!W42+0.2*'Side Pole'!N42),3)</f>
        <v>4.2999999999999997E-2</v>
      </c>
      <c r="R42" s="53">
        <f t="shared" si="51"/>
        <v>0.28999999999999998</v>
      </c>
      <c r="S42" s="25">
        <f t="shared" si="52"/>
        <v>5</v>
      </c>
      <c r="T42" s="53">
        <f>ROUND(((0.8*'Side MDB'!W42+0.2*'Side Pole'!N42)+(IF('Side MDB'!X42="N/A",(0.8*'Side MDB'!W42+0.2*'Side Pole'!N42),'Side MDB'!X42)))/2,3)</f>
        <v>4.8000000000000001E-2</v>
      </c>
      <c r="U42" s="53">
        <f t="shared" si="53"/>
        <v>0.32</v>
      </c>
      <c r="V42" s="25">
        <f t="shared" si="54"/>
        <v>5</v>
      </c>
      <c r="W42" s="23"/>
      <c r="X42" s="36"/>
      <c r="Y42" s="36"/>
      <c r="Z42" s="36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</row>
    <row r="43" spans="1:37" ht="14.1" customHeight="1">
      <c r="N43" s="128"/>
      <c r="O43" s="128"/>
      <c r="P43" s="132"/>
      <c r="Q43" s="128"/>
    </row>
    <row r="44" spans="1:37" ht="14.1" customHeight="1">
      <c r="N44" s="128"/>
      <c r="O44" s="128"/>
      <c r="P44" s="132"/>
      <c r="Q44" s="128"/>
    </row>
    <row r="45" spans="1:37" ht="14.1" customHeight="1">
      <c r="N45" s="128"/>
      <c r="O45" s="128"/>
      <c r="P45" s="132"/>
      <c r="Q45" s="128"/>
    </row>
    <row r="46" spans="1:37" ht="14.1" customHeight="1">
      <c r="N46" s="128"/>
      <c r="O46" s="128"/>
      <c r="P46" s="132"/>
      <c r="Q46" s="128"/>
    </row>
    <row r="47" spans="1:37" ht="14.1" customHeight="1">
      <c r="N47" s="128"/>
      <c r="O47" s="128"/>
      <c r="P47" s="132"/>
      <c r="Q47" s="128"/>
    </row>
    <row r="48" spans="1:37" ht="14.1" customHeight="1">
      <c r="N48" s="128"/>
      <c r="O48" s="128"/>
      <c r="P48" s="132"/>
      <c r="Q48" s="128"/>
    </row>
    <row r="49" spans="14:17" ht="14.1" customHeight="1">
      <c r="N49" s="128"/>
      <c r="O49" s="128"/>
      <c r="P49" s="132"/>
      <c r="Q49" s="128"/>
    </row>
    <row r="50" spans="14:17" ht="14.1" customHeight="1">
      <c r="N50" s="128"/>
      <c r="O50" s="128"/>
      <c r="P50" s="132"/>
      <c r="Q50" s="128"/>
    </row>
    <row r="51" spans="14:17" ht="14.1" customHeight="1">
      <c r="N51" s="128"/>
      <c r="O51" s="128"/>
      <c r="P51" s="132"/>
      <c r="Q51" s="128"/>
    </row>
    <row r="52" spans="14:17" ht="14.1" customHeight="1">
      <c r="N52" s="128"/>
      <c r="O52" s="128"/>
      <c r="P52" s="132"/>
      <c r="Q52" s="128"/>
    </row>
    <row r="53" spans="14:17" ht="14.1" customHeight="1">
      <c r="N53" s="128"/>
      <c r="O53" s="128"/>
      <c r="P53" s="132"/>
      <c r="Q53" s="128"/>
    </row>
    <row r="54" spans="14:17" ht="14.1" customHeight="1">
      <c r="N54" s="128"/>
      <c r="O54" s="128"/>
      <c r="P54" s="132"/>
      <c r="Q54" s="128"/>
    </row>
    <row r="55" spans="14:17" ht="14.1" customHeight="1">
      <c r="N55" s="128"/>
      <c r="O55" s="128"/>
      <c r="P55" s="132"/>
      <c r="Q55" s="128"/>
    </row>
    <row r="56" spans="14:17" ht="14.1" customHeight="1">
      <c r="N56" s="128"/>
      <c r="O56" s="128"/>
      <c r="P56" s="132"/>
      <c r="Q56" s="128"/>
    </row>
    <row r="57" spans="14:17" ht="14.1" customHeight="1">
      <c r="N57" s="128"/>
      <c r="O57" s="128"/>
      <c r="P57" s="132"/>
      <c r="Q57" s="128"/>
    </row>
    <row r="58" spans="14:17" ht="14.1" customHeight="1">
      <c r="N58" s="128"/>
      <c r="O58" s="128"/>
      <c r="P58" s="132"/>
      <c r="Q58" s="128"/>
    </row>
    <row r="59" spans="14:17" ht="14.1" customHeight="1">
      <c r="N59" s="128"/>
      <c r="O59" s="128"/>
      <c r="P59" s="132"/>
      <c r="Q59" s="128"/>
    </row>
    <row r="60" spans="14:17" ht="14.1" customHeight="1">
      <c r="N60" s="128"/>
      <c r="O60" s="128"/>
      <c r="P60" s="132"/>
      <c r="Q60" s="128"/>
    </row>
    <row r="61" spans="14:17" ht="14.1" customHeight="1">
      <c r="N61" s="128"/>
      <c r="O61" s="128"/>
      <c r="P61" s="132"/>
      <c r="Q61" s="128"/>
    </row>
    <row r="62" spans="14:17" ht="14.1" customHeight="1">
      <c r="N62" s="128"/>
      <c r="O62" s="128"/>
      <c r="P62" s="132"/>
      <c r="Q62" s="128"/>
    </row>
    <row r="63" spans="14:17" ht="14.1" customHeight="1">
      <c r="N63" s="128"/>
      <c r="O63" s="128"/>
      <c r="P63" s="132"/>
      <c r="Q63" s="128"/>
    </row>
    <row r="64" spans="14:17" ht="14.1" customHeight="1">
      <c r="N64" s="128"/>
      <c r="O64" s="128"/>
      <c r="P64" s="132"/>
      <c r="Q64" s="128"/>
    </row>
    <row r="65" spans="14:17" ht="14.1" customHeight="1">
      <c r="N65" s="128"/>
      <c r="O65" s="128"/>
      <c r="P65" s="132"/>
      <c r="Q65" s="128"/>
    </row>
    <row r="66" spans="14:17" ht="14.1" customHeight="1">
      <c r="N66" s="128"/>
      <c r="O66" s="128"/>
      <c r="P66" s="132"/>
      <c r="Q66" s="128"/>
    </row>
    <row r="67" spans="14:17" ht="14.1" customHeight="1">
      <c r="N67" s="128"/>
      <c r="O67" s="128"/>
      <c r="P67" s="132"/>
      <c r="Q67" s="128"/>
    </row>
    <row r="68" spans="14:17" ht="14.1" customHeight="1">
      <c r="N68" s="128"/>
      <c r="O68" s="128"/>
      <c r="P68" s="132"/>
      <c r="Q68" s="128"/>
    </row>
    <row r="69" spans="14:17" ht="14.1" customHeight="1">
      <c r="N69" s="128"/>
      <c r="O69" s="128"/>
      <c r="P69" s="132"/>
      <c r="Q69" s="128"/>
    </row>
    <row r="70" spans="14:17" ht="14.1" customHeight="1">
      <c r="N70" s="128"/>
      <c r="O70" s="128"/>
      <c r="P70" s="132"/>
      <c r="Q70" s="128"/>
    </row>
    <row r="71" spans="14:17" ht="14.1" customHeight="1">
      <c r="N71" s="128"/>
      <c r="O71" s="128"/>
      <c r="P71" s="132"/>
      <c r="Q71" s="128"/>
    </row>
    <row r="72" spans="14:17" ht="14.1" customHeight="1">
      <c r="N72" s="128"/>
      <c r="O72" s="128"/>
      <c r="P72" s="132"/>
      <c r="Q72" s="128"/>
    </row>
    <row r="73" spans="14:17" ht="14.1" customHeight="1">
      <c r="N73" s="128"/>
      <c r="O73" s="128"/>
      <c r="P73" s="132"/>
      <c r="Q73" s="128"/>
    </row>
    <row r="74" spans="14:17" ht="14.1" customHeight="1">
      <c r="N74" s="128"/>
      <c r="O74" s="128"/>
      <c r="P74" s="132"/>
      <c r="Q74" s="128"/>
    </row>
    <row r="75" spans="14:17" ht="14.1" customHeight="1">
      <c r="N75" s="128"/>
      <c r="O75" s="128"/>
      <c r="P75" s="132"/>
      <c r="Q75" s="128"/>
    </row>
    <row r="76" spans="14:17" ht="14.1" customHeight="1">
      <c r="N76" s="128"/>
      <c r="O76" s="128"/>
      <c r="P76" s="132"/>
      <c r="Q76" s="128"/>
    </row>
    <row r="77" spans="14:17" ht="14.1" customHeight="1">
      <c r="N77" s="128"/>
      <c r="O77" s="128"/>
      <c r="P77" s="132"/>
      <c r="Q77" s="128"/>
    </row>
    <row r="78" spans="14:17" ht="14.1" customHeight="1">
      <c r="N78" s="128"/>
      <c r="O78" s="128"/>
      <c r="P78" s="132"/>
      <c r="Q78" s="128"/>
    </row>
    <row r="79" spans="14:17" ht="14.1" customHeight="1">
      <c r="N79" s="128"/>
      <c r="O79" s="128"/>
      <c r="P79" s="132"/>
      <c r="Q79" s="128"/>
    </row>
    <row r="80" spans="14:17" ht="14.1" customHeight="1">
      <c r="N80" s="128"/>
      <c r="O80" s="128"/>
      <c r="P80" s="132"/>
      <c r="Q80" s="128"/>
    </row>
    <row r="81" spans="14:17" ht="14.1" customHeight="1">
      <c r="N81" s="128"/>
      <c r="O81" s="128"/>
      <c r="P81" s="132"/>
      <c r="Q81" s="128"/>
    </row>
    <row r="82" spans="14:17" ht="14.1" customHeight="1">
      <c r="N82" s="128"/>
      <c r="O82" s="128"/>
      <c r="P82" s="132"/>
      <c r="Q82" s="128"/>
    </row>
    <row r="83" spans="14:17" ht="14.1" customHeight="1">
      <c r="N83" s="128"/>
      <c r="O83" s="128"/>
      <c r="P83" s="132"/>
      <c r="Q83" s="128"/>
    </row>
    <row r="84" spans="14:17" ht="14.1" customHeight="1">
      <c r="N84" s="128"/>
      <c r="O84" s="128"/>
      <c r="P84" s="132"/>
      <c r="Q84" s="128"/>
    </row>
    <row r="85" spans="14:17" ht="14.1" customHeight="1">
      <c r="N85" s="128"/>
      <c r="O85" s="128"/>
      <c r="P85" s="132"/>
      <c r="Q85" s="128"/>
    </row>
    <row r="86" spans="14:17" ht="14.1" customHeight="1">
      <c r="N86" s="128"/>
      <c r="O86" s="128"/>
      <c r="P86" s="132"/>
      <c r="Q86" s="128"/>
    </row>
    <row r="87" spans="14:17" ht="14.1" customHeight="1">
      <c r="N87" s="128"/>
      <c r="O87" s="128"/>
      <c r="P87" s="132"/>
      <c r="Q87" s="128"/>
    </row>
    <row r="88" spans="14:17" ht="14.1" customHeight="1">
      <c r="N88" s="128"/>
      <c r="O88" s="128"/>
      <c r="P88" s="132"/>
      <c r="Q88" s="128"/>
    </row>
    <row r="89" spans="14:17" ht="14.1" customHeight="1">
      <c r="N89" s="128"/>
      <c r="O89" s="128"/>
      <c r="P89" s="132"/>
      <c r="Q89" s="128"/>
    </row>
    <row r="90" spans="14:17" ht="14.1" customHeight="1">
      <c r="N90" s="128"/>
      <c r="O90" s="128"/>
      <c r="P90" s="132"/>
      <c r="Q90" s="128"/>
    </row>
    <row r="91" spans="14:17" ht="14.1" customHeight="1">
      <c r="N91" s="128"/>
      <c r="O91" s="128"/>
      <c r="P91" s="132"/>
      <c r="Q91" s="128"/>
    </row>
    <row r="92" spans="14:17" ht="14.1" customHeight="1">
      <c r="N92" s="128"/>
      <c r="O92" s="128"/>
      <c r="P92" s="132"/>
      <c r="Q92" s="128"/>
    </row>
    <row r="93" spans="14:17" ht="14.1" customHeight="1">
      <c r="N93" s="128"/>
      <c r="O93" s="128"/>
      <c r="P93" s="132"/>
      <c r="Q93" s="128"/>
    </row>
    <row r="94" spans="14:17" ht="14.1" customHeight="1">
      <c r="N94" s="128"/>
      <c r="O94" s="128"/>
      <c r="P94" s="132"/>
      <c r="Q94" s="128"/>
    </row>
    <row r="95" spans="14:17" ht="14.1" customHeight="1">
      <c r="N95" s="128"/>
      <c r="O95" s="128"/>
      <c r="P95" s="132"/>
      <c r="Q95" s="128"/>
    </row>
    <row r="96" spans="14:17" ht="14.1" customHeight="1">
      <c r="N96" s="128"/>
      <c r="O96" s="128"/>
      <c r="P96" s="132"/>
      <c r="Q96" s="128"/>
    </row>
    <row r="97" spans="14:17" ht="14.1" customHeight="1">
      <c r="N97" s="128"/>
      <c r="O97" s="128"/>
      <c r="P97" s="132"/>
      <c r="Q97" s="128"/>
    </row>
    <row r="98" spans="14:17" ht="14.1" customHeight="1">
      <c r="N98" s="128"/>
      <c r="O98" s="128"/>
      <c r="P98" s="132"/>
      <c r="Q98" s="128"/>
    </row>
    <row r="99" spans="14:17" ht="14.1" customHeight="1">
      <c r="N99" s="128"/>
      <c r="O99" s="128"/>
      <c r="P99" s="132"/>
      <c r="Q99" s="128"/>
    </row>
    <row r="100" spans="14:17" ht="14.1" customHeight="1">
      <c r="N100" s="128"/>
      <c r="O100" s="128"/>
      <c r="P100" s="132"/>
      <c r="Q100" s="128"/>
    </row>
    <row r="101" spans="14:17" ht="14.1" customHeight="1">
      <c r="N101" s="128"/>
      <c r="O101" s="128"/>
      <c r="P101" s="132"/>
      <c r="Q101" s="128"/>
    </row>
    <row r="102" spans="14:17" ht="14.1" customHeight="1">
      <c r="N102" s="128"/>
      <c r="O102" s="128"/>
      <c r="P102" s="132"/>
      <c r="Q102" s="128"/>
    </row>
    <row r="103" spans="14:17" ht="14.1" customHeight="1">
      <c r="N103" s="128"/>
      <c r="O103" s="128"/>
      <c r="P103" s="132"/>
      <c r="Q103" s="128"/>
    </row>
    <row r="104" spans="14:17" ht="14.1" customHeight="1">
      <c r="N104" s="128"/>
      <c r="O104" s="128"/>
      <c r="P104" s="132"/>
      <c r="Q104" s="128"/>
    </row>
    <row r="105" spans="14:17" ht="14.1" customHeight="1">
      <c r="N105" s="128"/>
      <c r="O105" s="128"/>
      <c r="P105" s="132"/>
      <c r="Q105" s="128"/>
    </row>
    <row r="106" spans="14:17" ht="14.1" customHeight="1">
      <c r="N106" s="128"/>
      <c r="O106" s="128"/>
      <c r="P106" s="132"/>
      <c r="Q106" s="128"/>
    </row>
    <row r="107" spans="14:17" ht="14.1" customHeight="1">
      <c r="N107" s="128"/>
      <c r="O107" s="128"/>
      <c r="P107" s="132"/>
      <c r="Q107" s="128"/>
    </row>
    <row r="108" spans="14:17" ht="14.1" customHeight="1">
      <c r="N108" s="128"/>
      <c r="O108" s="128"/>
      <c r="P108" s="132"/>
      <c r="Q108" s="128"/>
    </row>
    <row r="109" spans="14:17" ht="14.1" customHeight="1">
      <c r="N109" s="128"/>
      <c r="O109" s="128"/>
      <c r="P109" s="132"/>
      <c r="Q109" s="128"/>
    </row>
    <row r="110" spans="14:17" ht="14.1" customHeight="1">
      <c r="N110" s="128"/>
      <c r="O110" s="128"/>
      <c r="P110" s="132"/>
      <c r="Q110" s="128"/>
    </row>
    <row r="111" spans="14:17" ht="14.1" customHeight="1">
      <c r="N111" s="128"/>
      <c r="O111" s="128"/>
      <c r="P111" s="132"/>
      <c r="Q111" s="128"/>
    </row>
    <row r="112" spans="14:17" ht="14.1" customHeight="1">
      <c r="N112" s="128"/>
      <c r="O112" s="128"/>
      <c r="P112" s="132"/>
      <c r="Q112" s="128"/>
    </row>
    <row r="113" spans="14:17" ht="14.1" customHeight="1">
      <c r="N113" s="128"/>
      <c r="O113" s="128"/>
      <c r="P113" s="132"/>
      <c r="Q113" s="128"/>
    </row>
    <row r="114" spans="14:17" ht="14.1" customHeight="1">
      <c r="N114" s="128"/>
      <c r="O114" s="128"/>
      <c r="P114" s="132"/>
      <c r="Q114" s="128"/>
    </row>
    <row r="115" spans="14:17" ht="14.1" customHeight="1">
      <c r="N115" s="128"/>
      <c r="O115" s="128"/>
      <c r="P115" s="132"/>
      <c r="Q115" s="128"/>
    </row>
    <row r="116" spans="14:17" ht="14.1" customHeight="1">
      <c r="N116" s="128"/>
      <c r="O116" s="128"/>
      <c r="P116" s="132"/>
      <c r="Q116" s="128"/>
    </row>
    <row r="117" spans="14:17" ht="14.1" customHeight="1">
      <c r="N117" s="128"/>
      <c r="O117" s="128"/>
      <c r="P117" s="132"/>
      <c r="Q117" s="128"/>
    </row>
    <row r="118" spans="14:17" ht="14.1" customHeight="1">
      <c r="N118" s="128"/>
      <c r="O118" s="128"/>
      <c r="P118" s="132"/>
      <c r="Q118" s="128"/>
    </row>
    <row r="119" spans="14:17" ht="14.1" customHeight="1">
      <c r="N119" s="128"/>
      <c r="O119" s="128"/>
      <c r="P119" s="132"/>
      <c r="Q119" s="128"/>
    </row>
    <row r="120" spans="14:17" ht="14.1" customHeight="1">
      <c r="N120" s="128"/>
      <c r="O120" s="128"/>
      <c r="P120" s="132"/>
      <c r="Q120" s="128"/>
    </row>
    <row r="121" spans="14:17" ht="14.1" customHeight="1">
      <c r="N121" s="128"/>
      <c r="O121" s="128"/>
      <c r="P121" s="132"/>
      <c r="Q121" s="128"/>
    </row>
    <row r="122" spans="14:17" ht="14.1" customHeight="1">
      <c r="N122" s="128"/>
      <c r="O122" s="128"/>
      <c r="P122" s="132"/>
      <c r="Q122" s="128"/>
    </row>
    <row r="123" spans="14:17" ht="14.1" customHeight="1">
      <c r="N123" s="128"/>
      <c r="O123" s="128"/>
      <c r="P123" s="132"/>
      <c r="Q123" s="128"/>
    </row>
    <row r="124" spans="14:17" ht="14.1" customHeight="1">
      <c r="N124" s="128"/>
      <c r="O124" s="128"/>
      <c r="P124" s="132"/>
      <c r="Q124" s="128"/>
    </row>
    <row r="125" spans="14:17" ht="14.1" customHeight="1">
      <c r="N125" s="128"/>
      <c r="O125" s="128"/>
      <c r="P125" s="132"/>
      <c r="Q125" s="128"/>
    </row>
    <row r="126" spans="14:17" ht="14.1" customHeight="1">
      <c r="N126" s="128"/>
      <c r="O126" s="128"/>
      <c r="P126" s="132"/>
      <c r="Q126" s="128"/>
    </row>
    <row r="127" spans="14:17" ht="14.1" customHeight="1">
      <c r="N127" s="128"/>
      <c r="O127" s="128"/>
      <c r="P127" s="132"/>
      <c r="Q127" s="128"/>
    </row>
    <row r="128" spans="14:17" ht="14.1" customHeight="1">
      <c r="N128" s="128"/>
      <c r="O128" s="128"/>
      <c r="P128" s="132"/>
      <c r="Q128" s="128"/>
    </row>
    <row r="129" spans="14:17" ht="14.1" customHeight="1">
      <c r="N129" s="128"/>
      <c r="O129" s="128"/>
      <c r="P129" s="132"/>
      <c r="Q129" s="128"/>
    </row>
    <row r="130" spans="14:17" ht="14.1" customHeight="1">
      <c r="N130" s="128"/>
      <c r="O130" s="128"/>
      <c r="P130" s="132"/>
      <c r="Q130" s="128"/>
    </row>
    <row r="131" spans="14:17" ht="14.1" customHeight="1">
      <c r="N131" s="128"/>
      <c r="O131" s="128"/>
      <c r="P131" s="132"/>
      <c r="Q131" s="128"/>
    </row>
    <row r="132" spans="14:17" ht="14.1" customHeight="1">
      <c r="N132" s="128"/>
      <c r="O132" s="128"/>
      <c r="P132" s="132"/>
      <c r="Q132" s="128"/>
    </row>
    <row r="133" spans="14:17" ht="14.1" customHeight="1">
      <c r="N133" s="128"/>
      <c r="O133" s="128"/>
      <c r="P133" s="132"/>
      <c r="Q133" s="128"/>
    </row>
    <row r="134" spans="14:17" ht="14.1" customHeight="1">
      <c r="N134" s="128"/>
      <c r="O134" s="128"/>
      <c r="P134" s="132"/>
      <c r="Q134" s="128"/>
    </row>
    <row r="135" spans="14:17" ht="14.1" customHeight="1">
      <c r="N135" s="128"/>
      <c r="O135" s="128"/>
      <c r="P135" s="132"/>
      <c r="Q135" s="128"/>
    </row>
    <row r="136" spans="14:17" ht="14.1" customHeight="1">
      <c r="N136" s="128"/>
      <c r="O136" s="128"/>
      <c r="P136" s="132"/>
      <c r="Q136" s="128"/>
    </row>
    <row r="137" spans="14:17" ht="14.1" customHeight="1">
      <c r="N137" s="128"/>
      <c r="O137" s="128"/>
      <c r="P137" s="132"/>
      <c r="Q137" s="128"/>
    </row>
    <row r="138" spans="14:17" ht="14.1" customHeight="1">
      <c r="N138" s="128"/>
      <c r="O138" s="128"/>
      <c r="P138" s="132"/>
      <c r="Q138" s="128"/>
    </row>
    <row r="139" spans="14:17" ht="14.1" customHeight="1">
      <c r="N139" s="128"/>
      <c r="O139" s="128"/>
      <c r="P139" s="132"/>
      <c r="Q139" s="128"/>
    </row>
    <row r="140" spans="14:17" ht="14.1" customHeight="1">
      <c r="N140" s="128"/>
      <c r="O140" s="128"/>
      <c r="P140" s="132"/>
      <c r="Q140" s="128"/>
    </row>
    <row r="141" spans="14:17" ht="14.1" customHeight="1">
      <c r="N141" s="128"/>
      <c r="O141" s="128"/>
      <c r="P141" s="132"/>
      <c r="Q141" s="128"/>
    </row>
    <row r="142" spans="14:17" ht="14.1" customHeight="1">
      <c r="N142" s="128"/>
      <c r="O142" s="128"/>
      <c r="P142" s="132"/>
      <c r="Q142" s="128"/>
    </row>
    <row r="143" spans="14:17" ht="14.1" customHeight="1">
      <c r="N143" s="128"/>
      <c r="O143" s="128"/>
      <c r="P143" s="132"/>
      <c r="Q143" s="128"/>
    </row>
    <row r="144" spans="14:17" ht="14.1" customHeight="1">
      <c r="N144" s="128"/>
      <c r="O144" s="128"/>
      <c r="P144" s="132"/>
      <c r="Q144" s="128"/>
    </row>
    <row r="145" spans="14:17" ht="14.1" customHeight="1">
      <c r="N145" s="128"/>
      <c r="O145" s="128"/>
      <c r="P145" s="132"/>
      <c r="Q145" s="128"/>
    </row>
    <row r="146" spans="14:17" ht="14.1" customHeight="1">
      <c r="N146" s="128"/>
      <c r="O146" s="128"/>
      <c r="P146" s="132"/>
      <c r="Q146" s="128"/>
    </row>
    <row r="147" spans="14:17" ht="14.1" customHeight="1">
      <c r="N147" s="128"/>
      <c r="O147" s="128"/>
      <c r="P147" s="132"/>
      <c r="Q147" s="128"/>
    </row>
    <row r="148" spans="14:17" ht="14.1" customHeight="1">
      <c r="N148" s="128"/>
      <c r="O148" s="128"/>
      <c r="P148" s="132"/>
      <c r="Q148" s="128"/>
    </row>
    <row r="149" spans="14:17" ht="14.1" customHeight="1">
      <c r="N149" s="128"/>
      <c r="O149" s="128"/>
      <c r="P149" s="132"/>
      <c r="Q149" s="128"/>
    </row>
    <row r="150" spans="14:17" ht="14.1" customHeight="1">
      <c r="N150" s="128"/>
      <c r="O150" s="128"/>
      <c r="P150" s="132"/>
      <c r="Q150" s="128"/>
    </row>
    <row r="151" spans="14:17" ht="14.1" customHeight="1">
      <c r="N151" s="128"/>
      <c r="O151" s="128"/>
      <c r="P151" s="132"/>
      <c r="Q151" s="128"/>
    </row>
    <row r="152" spans="14:17" ht="14.1" customHeight="1">
      <c r="N152" s="128"/>
      <c r="O152" s="128"/>
      <c r="P152" s="132"/>
      <c r="Q152" s="128"/>
    </row>
    <row r="153" spans="14:17" ht="14.1" customHeight="1">
      <c r="N153" s="128"/>
      <c r="O153" s="128"/>
      <c r="P153" s="132"/>
      <c r="Q153" s="128"/>
    </row>
    <row r="154" spans="14:17" ht="14.1" customHeight="1">
      <c r="N154" s="128"/>
      <c r="O154" s="128"/>
      <c r="P154" s="132"/>
      <c r="Q154" s="128"/>
    </row>
    <row r="155" spans="14:17" ht="14.1" customHeight="1">
      <c r="N155" s="128"/>
      <c r="O155" s="128"/>
      <c r="P155" s="132"/>
      <c r="Q155" s="128"/>
    </row>
    <row r="156" spans="14:17" ht="14.1" customHeight="1">
      <c r="N156" s="128"/>
      <c r="O156" s="128"/>
      <c r="P156" s="132"/>
      <c r="Q156" s="128"/>
    </row>
    <row r="157" spans="14:17" ht="14.1" customHeight="1">
      <c r="N157" s="128"/>
      <c r="O157" s="128"/>
      <c r="P157" s="132"/>
      <c r="Q157" s="128"/>
    </row>
    <row r="158" spans="14:17" ht="14.1" customHeight="1">
      <c r="N158" s="128"/>
      <c r="O158" s="128"/>
      <c r="P158" s="132"/>
      <c r="Q158" s="128"/>
    </row>
    <row r="159" spans="14:17" ht="14.1" customHeight="1">
      <c r="N159" s="128"/>
      <c r="O159" s="128"/>
      <c r="P159" s="132"/>
      <c r="Q159" s="128"/>
    </row>
    <row r="160" spans="14:17" ht="14.1" customHeight="1">
      <c r="N160" s="128"/>
      <c r="O160" s="128"/>
      <c r="P160" s="132"/>
      <c r="Q160" s="128"/>
    </row>
    <row r="161" spans="14:17" ht="14.1" customHeight="1">
      <c r="N161" s="128"/>
      <c r="O161" s="128"/>
      <c r="P161" s="132"/>
      <c r="Q161" s="128"/>
    </row>
    <row r="162" spans="14:17" ht="14.1" customHeight="1">
      <c r="N162" s="128"/>
      <c r="O162" s="128"/>
      <c r="P162" s="132"/>
      <c r="Q162" s="128"/>
    </row>
    <row r="163" spans="14:17" ht="14.1" customHeight="1">
      <c r="N163" s="128"/>
      <c r="O163" s="128"/>
      <c r="P163" s="132"/>
      <c r="Q163" s="128"/>
    </row>
    <row r="164" spans="14:17" ht="14.1" customHeight="1">
      <c r="N164" s="128"/>
      <c r="O164" s="128"/>
      <c r="P164" s="132"/>
      <c r="Q164" s="128"/>
    </row>
    <row r="165" spans="14:17" ht="14.1" customHeight="1">
      <c r="N165" s="128"/>
      <c r="O165" s="128"/>
      <c r="P165" s="132"/>
      <c r="Q165" s="128"/>
    </row>
    <row r="166" spans="14:17" ht="14.1" customHeight="1">
      <c r="N166" s="128"/>
      <c r="O166" s="128"/>
      <c r="P166" s="132"/>
      <c r="Q166" s="128"/>
    </row>
  </sheetData>
  <mergeCells count="2">
    <mergeCell ref="G1:K1"/>
    <mergeCell ref="L1:M1"/>
  </mergeCells>
  <phoneticPr fontId="2" type="noConversion"/>
  <conditionalFormatting sqref="H30">
    <cfRule type="cellIs" dxfId="0" priority="1" operator="greaterThan">
      <formula>38*0.8</formula>
    </cfRule>
  </conditionalFormatting>
  <pageMargins left="0.25" right="0.2" top="0.25" bottom="0.2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77"/>
  <sheetViews>
    <sheetView tabSelected="1" zoomScale="130" zoomScaleNormal="130" workbookViewId="0">
      <pane xSplit="4" ySplit="2" topLeftCell="E3" activePane="bottomRight" state="frozen"/>
      <selection activeCell="L19" sqref="L19"/>
      <selection pane="topRight" activeCell="L19" sqref="L19"/>
      <selection pane="bottomLeft" activeCell="L19" sqref="L19"/>
      <selection pane="bottomRight" activeCell="A5" sqref="A5:XFD8"/>
    </sheetView>
  </sheetViews>
  <sheetFormatPr defaultColWidth="9.140625" defaultRowHeight="14.45" customHeight="1"/>
  <cols>
    <col min="1" max="1" width="9.42578125" style="69" customWidth="1"/>
    <col min="2" max="2" width="11.140625" style="108" customWidth="1"/>
    <col min="3" max="3" width="31.5703125" style="108" customWidth="1"/>
    <col min="4" max="4" width="5.85546875" style="108" customWidth="1"/>
    <col min="5" max="5" width="6.140625" style="105" customWidth="1"/>
    <col min="6" max="6" width="7.28515625" style="106" customWidth="1"/>
    <col min="7" max="8" width="6.42578125" style="106" customWidth="1"/>
    <col min="9" max="9" width="5.5703125" style="106" bestFit="1" customWidth="1"/>
    <col min="10" max="10" width="7.140625" style="106" customWidth="1"/>
    <col min="11" max="12" width="9.42578125" style="63" customWidth="1"/>
    <col min="13" max="13" width="10" style="63" customWidth="1"/>
    <col min="14" max="14" width="7.42578125" style="105" customWidth="1"/>
    <col min="15" max="15" width="9" style="107" customWidth="1"/>
    <col min="16" max="16" width="9.5703125" style="69" customWidth="1"/>
    <col min="17" max="16384" width="9.140625" style="69"/>
  </cols>
  <sheetData>
    <row r="1" spans="1:16" s="89" customFormat="1" ht="24" customHeight="1">
      <c r="A1" s="77" t="s">
        <v>185</v>
      </c>
      <c r="B1" s="78"/>
      <c r="C1" s="78"/>
      <c r="D1" s="79"/>
      <c r="E1" s="80" t="s">
        <v>186</v>
      </c>
      <c r="F1" s="81"/>
      <c r="G1" s="82"/>
      <c r="H1" s="80" t="s">
        <v>187</v>
      </c>
      <c r="I1" s="83"/>
      <c r="J1" s="84"/>
      <c r="K1" s="85" t="s">
        <v>188</v>
      </c>
      <c r="L1" s="85" t="s">
        <v>189</v>
      </c>
      <c r="M1" s="85" t="s">
        <v>190</v>
      </c>
      <c r="N1" s="86" t="s">
        <v>191</v>
      </c>
      <c r="O1" s="87" t="s">
        <v>122</v>
      </c>
      <c r="P1" s="88" t="s">
        <v>122</v>
      </c>
    </row>
    <row r="2" spans="1:16" s="96" customFormat="1" ht="20.100000000000001" customHeight="1">
      <c r="A2" s="77"/>
      <c r="B2" s="64" t="s">
        <v>1</v>
      </c>
      <c r="C2" s="64" t="s">
        <v>2</v>
      </c>
      <c r="D2" s="90" t="s">
        <v>3</v>
      </c>
      <c r="E2" s="91" t="s">
        <v>70</v>
      </c>
      <c r="F2" s="64" t="s">
        <v>192</v>
      </c>
      <c r="G2" s="43" t="s">
        <v>123</v>
      </c>
      <c r="H2" s="91" t="s">
        <v>70</v>
      </c>
      <c r="I2" s="64" t="s">
        <v>192</v>
      </c>
      <c r="J2" s="43" t="s">
        <v>123</v>
      </c>
      <c r="K2" s="92" t="s">
        <v>70</v>
      </c>
      <c r="L2" s="92" t="s">
        <v>70</v>
      </c>
      <c r="M2" s="92" t="s">
        <v>122</v>
      </c>
      <c r="N2" s="93"/>
      <c r="O2" s="94" t="s">
        <v>193</v>
      </c>
      <c r="P2" s="95" t="s">
        <v>194</v>
      </c>
    </row>
    <row r="3" spans="1:16" ht="14.45" customHeight="1">
      <c r="A3" s="97">
        <v>44523</v>
      </c>
      <c r="B3" s="17" t="str">
        <f>Rollover!A3</f>
        <v>Acura</v>
      </c>
      <c r="C3" s="17" t="str">
        <f>Rollover!B3</f>
        <v>MDX SUV AWD</v>
      </c>
      <c r="D3" s="16">
        <f>Rollover!C3</f>
        <v>2022</v>
      </c>
      <c r="E3" s="98">
        <f>Front!AW3</f>
        <v>4</v>
      </c>
      <c r="F3" s="17">
        <f>Front!AX3</f>
        <v>4</v>
      </c>
      <c r="G3" s="17">
        <f>Front!AY3</f>
        <v>4</v>
      </c>
      <c r="H3" s="98">
        <f>'Side MDB'!AC3</f>
        <v>5</v>
      </c>
      <c r="I3" s="98">
        <f>'Side MDB'!AD3</f>
        <v>5</v>
      </c>
      <c r="J3" s="98">
        <f>'Side MDB'!AE3</f>
        <v>5</v>
      </c>
      <c r="K3" s="99">
        <f>'Side Pole'!P3</f>
        <v>5</v>
      </c>
      <c r="L3" s="99">
        <f>'Side Pole'!S3</f>
        <v>5</v>
      </c>
      <c r="M3" s="99">
        <f>'Side Pole'!V3</f>
        <v>5</v>
      </c>
      <c r="N3" s="100" t="e">
        <f>Rollover!J3</f>
        <v>#NUM!</v>
      </c>
      <c r="O3" s="101" t="e">
        <f>ROUND(5/12*Front!AV3+4/12*'Side Pole'!U3+3/12*Rollover!I3,2)</f>
        <v>#NUM!</v>
      </c>
      <c r="P3" s="102" t="e">
        <f t="shared" ref="P3:P8" si="0">IF(O3&lt;0.67,5,IF(O3&lt;1,4,IF(O3&lt;1.33,3,IF(O3&lt;2.67,2,1))))</f>
        <v>#NUM!</v>
      </c>
    </row>
    <row r="4" spans="1:16" ht="14.45" customHeight="1">
      <c r="A4" s="97">
        <v>44523</v>
      </c>
      <c r="B4" s="17" t="str">
        <f>Rollover!A4</f>
        <v>Acura</v>
      </c>
      <c r="C4" s="17" t="str">
        <f>Rollover!B4</f>
        <v>MDX SUV FWD</v>
      </c>
      <c r="D4" s="16">
        <f>Rollover!C4</f>
        <v>2022</v>
      </c>
      <c r="E4" s="98">
        <f>Front!AW4</f>
        <v>4</v>
      </c>
      <c r="F4" s="17">
        <f>Front!AX4</f>
        <v>4</v>
      </c>
      <c r="G4" s="17">
        <f>Front!AY4</f>
        <v>4</v>
      </c>
      <c r="H4" s="98">
        <f>'Side MDB'!AC4</f>
        <v>5</v>
      </c>
      <c r="I4" s="98">
        <f>'Side MDB'!AD4</f>
        <v>5</v>
      </c>
      <c r="J4" s="98">
        <f>'Side MDB'!AE4</f>
        <v>5</v>
      </c>
      <c r="K4" s="99">
        <f>'Side Pole'!P4</f>
        <v>5</v>
      </c>
      <c r="L4" s="99">
        <f>'Side Pole'!S4</f>
        <v>5</v>
      </c>
      <c r="M4" s="99">
        <f>'Side Pole'!V4</f>
        <v>5</v>
      </c>
      <c r="N4" s="100">
        <f>Rollover!J4</f>
        <v>4</v>
      </c>
      <c r="O4" s="101">
        <f>ROUND(5/12*Front!AV4+4/12*'Side Pole'!U4+3/12*Rollover!I4,2)</f>
        <v>0.57999999999999996</v>
      </c>
      <c r="P4" s="102">
        <f t="shared" si="0"/>
        <v>5</v>
      </c>
    </row>
    <row r="5" spans="1:16" ht="14.45" customHeight="1">
      <c r="A5" s="103">
        <v>44784</v>
      </c>
      <c r="B5" s="17" t="str">
        <f>Rollover!A5</f>
        <v>Chevrolet</v>
      </c>
      <c r="C5" s="17" t="str">
        <f>Rollover!B5</f>
        <v>Silverado 1500 PU/CC 2WD</v>
      </c>
      <c r="D5" s="16">
        <f>Rollover!C5</f>
        <v>2022</v>
      </c>
      <c r="E5" s="98">
        <f>Front!AW5</f>
        <v>5</v>
      </c>
      <c r="F5" s="17">
        <f>Front!AX5</f>
        <v>4</v>
      </c>
      <c r="G5" s="17">
        <f>Front!AY5</f>
        <v>4</v>
      </c>
      <c r="H5" s="98">
        <f>'Side MDB'!AC5</f>
        <v>5</v>
      </c>
      <c r="I5" s="98">
        <f>'Side MDB'!AD5</f>
        <v>5</v>
      </c>
      <c r="J5" s="98">
        <f>'Side MDB'!AE5</f>
        <v>5</v>
      </c>
      <c r="K5" s="99">
        <f>'Side Pole'!P5</f>
        <v>5</v>
      </c>
      <c r="L5" s="99">
        <f>'Side Pole'!S5</f>
        <v>5</v>
      </c>
      <c r="M5" s="99">
        <f>'Side Pole'!V5</f>
        <v>5</v>
      </c>
      <c r="N5" s="100">
        <f>Rollover!J5</f>
        <v>4</v>
      </c>
      <c r="O5" s="101">
        <f>ROUND(5/12*Front!AV5+4/12*'Side Pole'!U5+3/12*Rollover!I5,2)</f>
        <v>0.64</v>
      </c>
      <c r="P5" s="102">
        <f t="shared" si="0"/>
        <v>5</v>
      </c>
    </row>
    <row r="6" spans="1:16" ht="14.45" customHeight="1">
      <c r="A6" s="103">
        <v>44784</v>
      </c>
      <c r="B6" s="17" t="str">
        <f>Rollover!A6</f>
        <v>Chevrolet</v>
      </c>
      <c r="C6" s="17" t="str">
        <f>Rollover!B6</f>
        <v>Silverado 1500 PU/CC 4WD</v>
      </c>
      <c r="D6" s="16">
        <f>Rollover!C6</f>
        <v>2022</v>
      </c>
      <c r="E6" s="98">
        <f>Front!AW6</f>
        <v>5</v>
      </c>
      <c r="F6" s="17">
        <f>Front!AX6</f>
        <v>4</v>
      </c>
      <c r="G6" s="17">
        <f>Front!AY6</f>
        <v>4</v>
      </c>
      <c r="H6" s="98">
        <f>'Side MDB'!AC6</f>
        <v>5</v>
      </c>
      <c r="I6" s="98">
        <f>'Side MDB'!AD6</f>
        <v>5</v>
      </c>
      <c r="J6" s="98">
        <f>'Side MDB'!AE6</f>
        <v>5</v>
      </c>
      <c r="K6" s="99">
        <f>'Side Pole'!P6</f>
        <v>5</v>
      </c>
      <c r="L6" s="99">
        <f>'Side Pole'!S6</f>
        <v>5</v>
      </c>
      <c r="M6" s="99">
        <f>'Side Pole'!V6</f>
        <v>5</v>
      </c>
      <c r="N6" s="100">
        <f>Rollover!J6</f>
        <v>4</v>
      </c>
      <c r="O6" s="101">
        <f>ROUND(5/12*Front!AV6+4/12*'Side Pole'!U6+3/12*Rollover!I6,2)</f>
        <v>0.65</v>
      </c>
      <c r="P6" s="102">
        <f t="shared" si="0"/>
        <v>5</v>
      </c>
    </row>
    <row r="7" spans="1:16" ht="14.45" customHeight="1">
      <c r="A7" s="103">
        <v>44784</v>
      </c>
      <c r="B7" s="16" t="str">
        <f>Rollover!A7</f>
        <v>GMC</v>
      </c>
      <c r="C7" s="16" t="str">
        <f>Rollover!B7</f>
        <v>Sierra 1500 PU/CC 2WD</v>
      </c>
      <c r="D7" s="16">
        <f>Rollover!C7</f>
        <v>2022</v>
      </c>
      <c r="E7" s="98">
        <f>Front!AW7</f>
        <v>5</v>
      </c>
      <c r="F7" s="17">
        <f>Front!AX7</f>
        <v>4</v>
      </c>
      <c r="G7" s="17">
        <f>Front!AY7</f>
        <v>4</v>
      </c>
      <c r="H7" s="98">
        <f>'Side MDB'!AC7</f>
        <v>5</v>
      </c>
      <c r="I7" s="98">
        <f>'Side MDB'!AD7</f>
        <v>5</v>
      </c>
      <c r="J7" s="98">
        <f>'Side MDB'!AE7</f>
        <v>5</v>
      </c>
      <c r="K7" s="99">
        <f>'Side Pole'!P7</f>
        <v>5</v>
      </c>
      <c r="L7" s="99">
        <f>'Side Pole'!S7</f>
        <v>5</v>
      </c>
      <c r="M7" s="99">
        <f>'Side Pole'!V7</f>
        <v>5</v>
      </c>
      <c r="N7" s="100">
        <f>Rollover!J7</f>
        <v>4</v>
      </c>
      <c r="O7" s="101">
        <f>ROUND(5/12*Front!AV7+4/12*'Side Pole'!U7+3/12*Rollover!I7,2)</f>
        <v>0.64</v>
      </c>
      <c r="P7" s="102">
        <f t="shared" si="0"/>
        <v>5</v>
      </c>
    </row>
    <row r="8" spans="1:16" ht="14.45" customHeight="1">
      <c r="A8" s="103">
        <v>44784</v>
      </c>
      <c r="B8" s="16" t="str">
        <f>Rollover!A8</f>
        <v>GMC</v>
      </c>
      <c r="C8" s="16" t="str">
        <f>Rollover!B8</f>
        <v>Sierra 1500 PU/CC 4WD</v>
      </c>
      <c r="D8" s="16">
        <f>Rollover!C8</f>
        <v>2022</v>
      </c>
      <c r="E8" s="98">
        <f>Front!AW8</f>
        <v>5</v>
      </c>
      <c r="F8" s="17">
        <f>Front!AX8</f>
        <v>4</v>
      </c>
      <c r="G8" s="17">
        <f>Front!AY8</f>
        <v>4</v>
      </c>
      <c r="H8" s="98">
        <f>'Side MDB'!AC8</f>
        <v>5</v>
      </c>
      <c r="I8" s="98">
        <f>'Side MDB'!AD8</f>
        <v>5</v>
      </c>
      <c r="J8" s="98">
        <f>'Side MDB'!AE8</f>
        <v>5</v>
      </c>
      <c r="K8" s="99">
        <f>'Side Pole'!P8</f>
        <v>5</v>
      </c>
      <c r="L8" s="99">
        <f>'Side Pole'!S8</f>
        <v>5</v>
      </c>
      <c r="M8" s="99">
        <f>'Side Pole'!V8</f>
        <v>5</v>
      </c>
      <c r="N8" s="100">
        <f>Rollover!J8</f>
        <v>4</v>
      </c>
      <c r="O8" s="101">
        <f>ROUND(5/12*Front!AV8+4/12*'Side Pole'!U8+3/12*Rollover!I8,2)</f>
        <v>0.65</v>
      </c>
      <c r="P8" s="102">
        <f t="shared" si="0"/>
        <v>5</v>
      </c>
    </row>
    <row r="9" spans="1:16" ht="14.45" customHeight="1">
      <c r="A9" s="97">
        <v>44678</v>
      </c>
      <c r="B9" s="17" t="str">
        <f>Rollover!A9</f>
        <v>Ford</v>
      </c>
      <c r="C9" s="17" t="str">
        <f>Rollover!B9</f>
        <v>Bronco 4 DR SUV 4WD</v>
      </c>
      <c r="D9" s="16">
        <f>Rollover!C9</f>
        <v>2022</v>
      </c>
      <c r="E9" s="98">
        <f>Front!AW9</f>
        <v>4</v>
      </c>
      <c r="F9" s="17">
        <f>Front!AX9</f>
        <v>5</v>
      </c>
      <c r="G9" s="17">
        <f>Front!AY9</f>
        <v>4</v>
      </c>
      <c r="H9" s="98" t="e">
        <f>'Side MDB'!AC9</f>
        <v>#NUM!</v>
      </c>
      <c r="I9" s="98" t="e">
        <f>'Side MDB'!AD9</f>
        <v>#NUM!</v>
      </c>
      <c r="J9" s="98" t="e">
        <f>'Side MDB'!AE9</f>
        <v>#NUM!</v>
      </c>
      <c r="K9" s="99" t="e">
        <f>'Side Pole'!P9</f>
        <v>#NUM!</v>
      </c>
      <c r="L9" s="99" t="e">
        <f>'Side Pole'!S9</f>
        <v>#NUM!</v>
      </c>
      <c r="M9" s="99" t="e">
        <f>'Side Pole'!V9</f>
        <v>#NUM!</v>
      </c>
      <c r="N9" s="100">
        <f>Rollover!J9</f>
        <v>3</v>
      </c>
      <c r="O9" s="101" t="e">
        <f>ROUND(5/12*Front!AV9+4/12*'Side Pole'!U9+3/12*Rollover!I9,2)</f>
        <v>#NUM!</v>
      </c>
      <c r="P9" s="102" t="e">
        <f t="shared" ref="P9:P36" si="1">IF(O9&lt;0.67,5,IF(O9&lt;1,4,IF(O9&lt;1.33,3,IF(O9&lt;2.67,2,1))))</f>
        <v>#NUM!</v>
      </c>
    </row>
    <row r="10" spans="1:16" ht="14.45" customHeight="1">
      <c r="A10" s="97">
        <v>44721</v>
      </c>
      <c r="B10" s="17" t="str">
        <f>Rollover!A10</f>
        <v>Ford</v>
      </c>
      <c r="C10" s="17" t="str">
        <f>Rollover!B10</f>
        <v>Escape PHEV SUV FWD</v>
      </c>
      <c r="D10" s="16">
        <f>Rollover!C10</f>
        <v>2022</v>
      </c>
      <c r="E10" s="98">
        <f>Front!AW10</f>
        <v>4</v>
      </c>
      <c r="F10" s="17">
        <f>Front!AX10</f>
        <v>5</v>
      </c>
      <c r="G10" s="17">
        <f>Front!AY10</f>
        <v>4</v>
      </c>
      <c r="H10" s="98">
        <f>'Side MDB'!AC10</f>
        <v>5</v>
      </c>
      <c r="I10" s="98">
        <f>'Side MDB'!AD10</f>
        <v>5</v>
      </c>
      <c r="J10" s="98">
        <f>'Side MDB'!AE10</f>
        <v>5</v>
      </c>
      <c r="K10" s="99">
        <f>'Side Pole'!P10</f>
        <v>5</v>
      </c>
      <c r="L10" s="99">
        <f>'Side Pole'!S10</f>
        <v>5</v>
      </c>
      <c r="M10" s="99">
        <f>'Side Pole'!V10</f>
        <v>5</v>
      </c>
      <c r="N10" s="100" t="e">
        <f>Rollover!J10</f>
        <v>#NUM!</v>
      </c>
      <c r="O10" s="101" t="e">
        <f>ROUND(5/12*Front!AV10+4/12*'Side Pole'!U10+3/12*Rollover!I10,2)</f>
        <v>#NUM!</v>
      </c>
      <c r="P10" s="102" t="e">
        <f t="shared" si="1"/>
        <v>#NUM!</v>
      </c>
    </row>
    <row r="11" spans="1:16" ht="14.45" customHeight="1">
      <c r="A11" s="97">
        <v>44721</v>
      </c>
      <c r="B11" s="16" t="str">
        <f>Rollover!A11</f>
        <v>Lincoln</v>
      </c>
      <c r="C11" s="16" t="str">
        <f>Rollover!B11</f>
        <v>Corsair PHEV SUV AWD</v>
      </c>
      <c r="D11" s="16">
        <f>Rollover!C11</f>
        <v>2022</v>
      </c>
      <c r="E11" s="98">
        <f>Front!AW11</f>
        <v>4</v>
      </c>
      <c r="F11" s="17">
        <f>Front!AX11</f>
        <v>5</v>
      </c>
      <c r="G11" s="17">
        <f>Front!AY11</f>
        <v>4</v>
      </c>
      <c r="H11" s="98">
        <f>'Side MDB'!AC11</f>
        <v>5</v>
      </c>
      <c r="I11" s="98">
        <f>'Side MDB'!AD11</f>
        <v>5</v>
      </c>
      <c r="J11" s="98">
        <f>'Side MDB'!AE11</f>
        <v>5</v>
      </c>
      <c r="K11" s="99">
        <f>'Side Pole'!P11</f>
        <v>5</v>
      </c>
      <c r="L11" s="99">
        <f>'Side Pole'!S11</f>
        <v>5</v>
      </c>
      <c r="M11" s="99">
        <f>'Side Pole'!V11</f>
        <v>5</v>
      </c>
      <c r="N11" s="100" t="e">
        <f>Rollover!J11</f>
        <v>#NUM!</v>
      </c>
      <c r="O11" s="101" t="e">
        <f>ROUND(5/12*Front!AV11+4/12*'Side Pole'!U11+3/12*Rollover!I11,2)</f>
        <v>#NUM!</v>
      </c>
      <c r="P11" s="102" t="e">
        <f t="shared" si="1"/>
        <v>#NUM!</v>
      </c>
    </row>
    <row r="12" spans="1:16" ht="14.45" customHeight="1">
      <c r="A12" s="103"/>
      <c r="B12" s="17" t="str">
        <f>Rollover!A12</f>
        <v>Ford</v>
      </c>
      <c r="C12" s="17" t="str">
        <f>Rollover!B12</f>
        <v>F-150 Super Crew HEV PU/CC 2WD</v>
      </c>
      <c r="D12" s="16">
        <f>Rollover!C12</f>
        <v>2022</v>
      </c>
      <c r="E12" s="98" t="e">
        <f>Front!AW12</f>
        <v>#NUM!</v>
      </c>
      <c r="F12" s="17" t="e">
        <f>Front!AX12</f>
        <v>#NUM!</v>
      </c>
      <c r="G12" s="17" t="e">
        <f>Front!AY12</f>
        <v>#NUM!</v>
      </c>
      <c r="H12" s="98" t="e">
        <f>'Side MDB'!AC12</f>
        <v>#NUM!</v>
      </c>
      <c r="I12" s="98" t="e">
        <f>'Side MDB'!AD12</f>
        <v>#NUM!</v>
      </c>
      <c r="J12" s="98" t="e">
        <f>'Side MDB'!AE12</f>
        <v>#NUM!</v>
      </c>
      <c r="K12" s="99" t="e">
        <f>'Side Pole'!P12</f>
        <v>#NUM!</v>
      </c>
      <c r="L12" s="99" t="e">
        <f>'Side Pole'!S12</f>
        <v>#NUM!</v>
      </c>
      <c r="M12" s="99" t="e">
        <f>'Side Pole'!V12</f>
        <v>#NUM!</v>
      </c>
      <c r="N12" s="100">
        <f>Rollover!J12</f>
        <v>4</v>
      </c>
      <c r="O12" s="101" t="e">
        <f>ROUND(5/12*Front!AV12+4/12*'Side Pole'!U12+3/12*Rollover!I12,2)</f>
        <v>#NUM!</v>
      </c>
      <c r="P12" s="102" t="e">
        <f t="shared" si="1"/>
        <v>#NUM!</v>
      </c>
    </row>
    <row r="13" spans="1:16" ht="14.45" customHeight="1">
      <c r="A13" s="103"/>
      <c r="B13" s="17" t="str">
        <f>Rollover!A13</f>
        <v>Ford</v>
      </c>
      <c r="C13" s="17" t="str">
        <f>Rollover!B13</f>
        <v>F-150 Super Crew HEV PU/CC 4WD</v>
      </c>
      <c r="D13" s="16">
        <f>Rollover!C13</f>
        <v>2022</v>
      </c>
      <c r="E13" s="98" t="e">
        <f>Front!AW13</f>
        <v>#NUM!</v>
      </c>
      <c r="F13" s="17" t="e">
        <f>Front!AX13</f>
        <v>#NUM!</v>
      </c>
      <c r="G13" s="17" t="e">
        <f>Front!AY13</f>
        <v>#NUM!</v>
      </c>
      <c r="H13" s="98" t="e">
        <f>'Side MDB'!AC13</f>
        <v>#NUM!</v>
      </c>
      <c r="I13" s="98" t="e">
        <f>'Side MDB'!AD13</f>
        <v>#NUM!</v>
      </c>
      <c r="J13" s="98" t="e">
        <f>'Side MDB'!AE13</f>
        <v>#NUM!</v>
      </c>
      <c r="K13" s="99" t="e">
        <f>'Side Pole'!P13</f>
        <v>#NUM!</v>
      </c>
      <c r="L13" s="99" t="e">
        <f>'Side Pole'!S13</f>
        <v>#NUM!</v>
      </c>
      <c r="M13" s="99" t="e">
        <f>'Side Pole'!V13</f>
        <v>#NUM!</v>
      </c>
      <c r="N13" s="100">
        <f>Rollover!J13</f>
        <v>4</v>
      </c>
      <c r="O13" s="101" t="e">
        <f>ROUND(5/12*Front!AV13+4/12*'Side Pole'!U13+3/12*Rollover!I13,2)</f>
        <v>#NUM!</v>
      </c>
      <c r="P13" s="102" t="e">
        <f t="shared" si="1"/>
        <v>#NUM!</v>
      </c>
    </row>
    <row r="14" spans="1:16" ht="14.45" customHeight="1">
      <c r="A14" s="97">
        <v>44631</v>
      </c>
      <c r="B14" s="17" t="str">
        <f>Rollover!A14</f>
        <v>Honda</v>
      </c>
      <c r="C14" s="17" t="str">
        <f>Rollover!B14</f>
        <v>Civic 4DR FWD</v>
      </c>
      <c r="D14" s="16">
        <f>Rollover!C14</f>
        <v>2022</v>
      </c>
      <c r="E14" s="98">
        <f>Front!AW14</f>
        <v>5</v>
      </c>
      <c r="F14" s="17">
        <f>Front!AX14</f>
        <v>4</v>
      </c>
      <c r="G14" s="17">
        <f>Front!AY14</f>
        <v>4</v>
      </c>
      <c r="H14" s="98">
        <f>'Side MDB'!AC14</f>
        <v>5</v>
      </c>
      <c r="I14" s="98">
        <f>'Side MDB'!AD14</f>
        <v>5</v>
      </c>
      <c r="J14" s="98">
        <f>'Side MDB'!AE14</f>
        <v>5</v>
      </c>
      <c r="K14" s="99">
        <f>'Side Pole'!P14</f>
        <v>5</v>
      </c>
      <c r="L14" s="99">
        <f>'Side Pole'!S14</f>
        <v>5</v>
      </c>
      <c r="M14" s="99">
        <f>'Side Pole'!V14</f>
        <v>5</v>
      </c>
      <c r="N14" s="100">
        <f>Rollover!J14</f>
        <v>5</v>
      </c>
      <c r="O14" s="101">
        <f>ROUND(5/12*Front!AV14+4/12*'Side Pole'!U14+3/12*Rollover!I14,2)</f>
        <v>0.53</v>
      </c>
      <c r="P14" s="102">
        <f t="shared" si="1"/>
        <v>5</v>
      </c>
    </row>
    <row r="15" spans="1:16" ht="14.45" customHeight="1">
      <c r="A15" s="97">
        <v>44631</v>
      </c>
      <c r="B15" s="16" t="str">
        <f>Rollover!A15</f>
        <v>Honda</v>
      </c>
      <c r="C15" s="16" t="str">
        <f>Rollover!B15</f>
        <v>Civic SI 4DR FWD</v>
      </c>
      <c r="D15" s="16">
        <f>Rollover!C15</f>
        <v>2022</v>
      </c>
      <c r="E15" s="98">
        <f>Front!AW15</f>
        <v>5</v>
      </c>
      <c r="F15" s="17">
        <f>Front!AX15</f>
        <v>4</v>
      </c>
      <c r="G15" s="17">
        <f>Front!AY15</f>
        <v>4</v>
      </c>
      <c r="H15" s="98">
        <f>'Side MDB'!AC15</f>
        <v>5</v>
      </c>
      <c r="I15" s="98">
        <f>'Side MDB'!AD15</f>
        <v>5</v>
      </c>
      <c r="J15" s="98">
        <f>'Side MDB'!AE15</f>
        <v>5</v>
      </c>
      <c r="K15" s="99">
        <f>'Side Pole'!P15</f>
        <v>5</v>
      </c>
      <c r="L15" s="99">
        <f>'Side Pole'!S15</f>
        <v>5</v>
      </c>
      <c r="M15" s="99">
        <f>'Side Pole'!V15</f>
        <v>5</v>
      </c>
      <c r="N15" s="100">
        <f>Rollover!J15</f>
        <v>5</v>
      </c>
      <c r="O15" s="101">
        <f>ROUND(5/12*Front!AV15+4/12*'Side Pole'!U15+3/12*Rollover!I15,2)</f>
        <v>0.53</v>
      </c>
      <c r="P15" s="102">
        <f t="shared" si="1"/>
        <v>5</v>
      </c>
    </row>
    <row r="16" spans="1:16" ht="14.45" customHeight="1">
      <c r="A16" s="97">
        <v>44631</v>
      </c>
      <c r="B16" s="16" t="str">
        <f>Rollover!A16</f>
        <v>Honda</v>
      </c>
      <c r="C16" s="16" t="str">
        <f>Rollover!B16</f>
        <v>Civic 5HB FWD</v>
      </c>
      <c r="D16" s="16">
        <f>Rollover!C16</f>
        <v>2022</v>
      </c>
      <c r="E16" s="98">
        <f>Front!AW16</f>
        <v>5</v>
      </c>
      <c r="F16" s="17">
        <f>Front!AX16</f>
        <v>4</v>
      </c>
      <c r="G16" s="17">
        <f>Front!AY16</f>
        <v>4</v>
      </c>
      <c r="H16" s="98">
        <f>'Side MDB'!AC16</f>
        <v>5</v>
      </c>
      <c r="I16" s="98">
        <f>'Side MDB'!AD16</f>
        <v>5</v>
      </c>
      <c r="J16" s="98">
        <f>'Side MDB'!AE16</f>
        <v>5</v>
      </c>
      <c r="K16" s="99">
        <f>'Side Pole'!P16</f>
        <v>5</v>
      </c>
      <c r="L16" s="99">
        <f>'Side Pole'!S16</f>
        <v>5</v>
      </c>
      <c r="M16" s="99">
        <f>'Side Pole'!V16</f>
        <v>5</v>
      </c>
      <c r="N16" s="100">
        <f>Rollover!J16</f>
        <v>5</v>
      </c>
      <c r="O16" s="101">
        <f>ROUND(5/12*Front!AV16+4/12*'Side Pole'!U16+3/12*Rollover!I16,2)</f>
        <v>0.53</v>
      </c>
      <c r="P16" s="102">
        <f t="shared" si="1"/>
        <v>5</v>
      </c>
    </row>
    <row r="17" spans="1:16" ht="14.45" customHeight="1">
      <c r="A17" s="97">
        <v>44631</v>
      </c>
      <c r="B17" s="17" t="str">
        <f>Rollover!A17</f>
        <v>Hyundai</v>
      </c>
      <c r="C17" s="17" t="str">
        <f>Rollover!B17</f>
        <v>Tucson SUV FWD early release</v>
      </c>
      <c r="D17" s="16">
        <f>Rollover!C17</f>
        <v>2022</v>
      </c>
      <c r="E17" s="98">
        <f>Front!AW17</f>
        <v>4</v>
      </c>
      <c r="F17" s="17">
        <f>Front!AX17</f>
        <v>4</v>
      </c>
      <c r="G17" s="17">
        <f>Front!AY17</f>
        <v>4</v>
      </c>
      <c r="H17" s="98">
        <f>'Side MDB'!AC17</f>
        <v>5</v>
      </c>
      <c r="I17" s="98">
        <f>'Side MDB'!AD17</f>
        <v>5</v>
      </c>
      <c r="J17" s="98">
        <f>'Side MDB'!AE17</f>
        <v>5</v>
      </c>
      <c r="K17" s="99">
        <f>'Side Pole'!P17</f>
        <v>5</v>
      </c>
      <c r="L17" s="99">
        <f>'Side Pole'!S17</f>
        <v>5</v>
      </c>
      <c r="M17" s="99">
        <f>'Side Pole'!V17</f>
        <v>5</v>
      </c>
      <c r="N17" s="100">
        <f>Rollover!J17</f>
        <v>4</v>
      </c>
      <c r="O17" s="101">
        <f>ROUND(5/12*Front!AV17+4/12*'Side Pole'!U17+3/12*Rollover!I17,2)</f>
        <v>0.67</v>
      </c>
      <c r="P17" s="102">
        <f t="shared" si="1"/>
        <v>4</v>
      </c>
    </row>
    <row r="18" spans="1:16" ht="14.45" customHeight="1">
      <c r="A18" s="97">
        <v>44631</v>
      </c>
      <c r="B18" s="17" t="str">
        <f>Rollover!A18</f>
        <v>Hyundai</v>
      </c>
      <c r="C18" s="17" t="str">
        <f>Rollover!B18</f>
        <v>Tucson SUV AWD early release</v>
      </c>
      <c r="D18" s="16">
        <f>Rollover!C18</f>
        <v>2022</v>
      </c>
      <c r="E18" s="98">
        <f>Front!AW18</f>
        <v>4</v>
      </c>
      <c r="F18" s="17">
        <f>Front!AX18</f>
        <v>4</v>
      </c>
      <c r="G18" s="17">
        <f>Front!AY18</f>
        <v>4</v>
      </c>
      <c r="H18" s="98">
        <f>'Side MDB'!AC18</f>
        <v>5</v>
      </c>
      <c r="I18" s="98">
        <f>'Side MDB'!AD18</f>
        <v>5</v>
      </c>
      <c r="J18" s="98">
        <f>'Side MDB'!AE18</f>
        <v>5</v>
      </c>
      <c r="K18" s="99">
        <f>'Side Pole'!P18</f>
        <v>5</v>
      </c>
      <c r="L18" s="99">
        <f>'Side Pole'!S18</f>
        <v>5</v>
      </c>
      <c r="M18" s="99">
        <f>'Side Pole'!V18</f>
        <v>5</v>
      </c>
      <c r="N18" s="100">
        <f>Rollover!J18</f>
        <v>4</v>
      </c>
      <c r="O18" s="101">
        <f>ROUND(5/12*Front!AV18+4/12*'Side Pole'!U18+3/12*Rollover!I18,2)</f>
        <v>0.7</v>
      </c>
      <c r="P18" s="102">
        <f t="shared" si="1"/>
        <v>4</v>
      </c>
    </row>
    <row r="19" spans="1:16" ht="14.45" customHeight="1">
      <c r="A19" s="97">
        <v>44631</v>
      </c>
      <c r="B19" s="16" t="str">
        <f>Rollover!A19</f>
        <v>Hyundai</v>
      </c>
      <c r="C19" s="16" t="str">
        <f>Rollover!B19</f>
        <v>Tucson HEV SUV FWD early release</v>
      </c>
      <c r="D19" s="16">
        <f>Rollover!C19</f>
        <v>2022</v>
      </c>
      <c r="E19" s="98">
        <f>Front!AW19</f>
        <v>4</v>
      </c>
      <c r="F19" s="17">
        <f>Front!AX19</f>
        <v>4</v>
      </c>
      <c r="G19" s="17">
        <f>Front!AY19</f>
        <v>4</v>
      </c>
      <c r="H19" s="98">
        <f>'Side MDB'!AC19</f>
        <v>5</v>
      </c>
      <c r="I19" s="98">
        <f>'Side MDB'!AD19</f>
        <v>5</v>
      </c>
      <c r="J19" s="98">
        <f>'Side MDB'!AE19</f>
        <v>5</v>
      </c>
      <c r="K19" s="99">
        <f>'Side Pole'!P19</f>
        <v>5</v>
      </c>
      <c r="L19" s="99">
        <f>'Side Pole'!S19</f>
        <v>5</v>
      </c>
      <c r="M19" s="99">
        <f>'Side Pole'!V19</f>
        <v>5</v>
      </c>
      <c r="N19" s="100">
        <f>Rollover!J19</f>
        <v>4</v>
      </c>
      <c r="O19" s="101">
        <f>ROUND(5/12*Front!AV19+4/12*'Side Pole'!U19+3/12*Rollover!I19,2)</f>
        <v>0.67</v>
      </c>
      <c r="P19" s="102">
        <f t="shared" si="1"/>
        <v>4</v>
      </c>
    </row>
    <row r="20" spans="1:16" ht="14.45" customHeight="1">
      <c r="A20" s="97">
        <v>44631</v>
      </c>
      <c r="B20" s="16" t="str">
        <f>Rollover!A20</f>
        <v>Hyundai</v>
      </c>
      <c r="C20" s="16" t="str">
        <f>Rollover!B20</f>
        <v>Tucson HEV SUV AWD early release</v>
      </c>
      <c r="D20" s="16">
        <f>Rollover!C20</f>
        <v>2022</v>
      </c>
      <c r="E20" s="98">
        <f>Front!AW20</f>
        <v>4</v>
      </c>
      <c r="F20" s="17">
        <f>Front!AX20</f>
        <v>4</v>
      </c>
      <c r="G20" s="17">
        <f>Front!AY20</f>
        <v>4</v>
      </c>
      <c r="H20" s="98">
        <f>'Side MDB'!AC20</f>
        <v>5</v>
      </c>
      <c r="I20" s="98">
        <f>'Side MDB'!AD20</f>
        <v>5</v>
      </c>
      <c r="J20" s="98">
        <f>'Side MDB'!AE20</f>
        <v>5</v>
      </c>
      <c r="K20" s="99">
        <f>'Side Pole'!P20</f>
        <v>5</v>
      </c>
      <c r="L20" s="99">
        <f>'Side Pole'!S20</f>
        <v>5</v>
      </c>
      <c r="M20" s="99">
        <f>'Side Pole'!V20</f>
        <v>5</v>
      </c>
      <c r="N20" s="100">
        <f>Rollover!J20</f>
        <v>4</v>
      </c>
      <c r="O20" s="101">
        <f>ROUND(5/12*Front!AV20+4/12*'Side Pole'!U20+3/12*Rollover!I20,2)</f>
        <v>0.7</v>
      </c>
      <c r="P20" s="102">
        <f t="shared" si="1"/>
        <v>4</v>
      </c>
    </row>
    <row r="21" spans="1:16" ht="14.45" customHeight="1">
      <c r="A21" s="103">
        <v>44720</v>
      </c>
      <c r="B21" s="17" t="str">
        <f>Rollover!A21</f>
        <v>Hyundai</v>
      </c>
      <c r="C21" s="17" t="str">
        <f>Rollover!B21</f>
        <v>Tucson SUV FWD later release</v>
      </c>
      <c r="D21" s="16">
        <f>Rollover!C21</f>
        <v>2022</v>
      </c>
      <c r="E21" s="98">
        <f>Front!AW21</f>
        <v>4</v>
      </c>
      <c r="F21" s="17">
        <f>Front!AX21</f>
        <v>5</v>
      </c>
      <c r="G21" s="17">
        <f>Front!AY21</f>
        <v>5</v>
      </c>
      <c r="H21" s="98">
        <f>'Side MDB'!AC21</f>
        <v>5</v>
      </c>
      <c r="I21" s="98">
        <f>'Side MDB'!AD21</f>
        <v>5</v>
      </c>
      <c r="J21" s="98">
        <f>'Side MDB'!AE21</f>
        <v>5</v>
      </c>
      <c r="K21" s="99">
        <f>'Side Pole'!P21</f>
        <v>5</v>
      </c>
      <c r="L21" s="99">
        <f>'Side Pole'!S21</f>
        <v>5</v>
      </c>
      <c r="M21" s="99">
        <f>'Side Pole'!V21</f>
        <v>5</v>
      </c>
      <c r="N21" s="100">
        <f>Rollover!J21</f>
        <v>4</v>
      </c>
      <c r="O21" s="101">
        <f>ROUND(5/12*Front!AV21+4/12*'Side Pole'!U21+3/12*Rollover!I21,2)</f>
        <v>0.64</v>
      </c>
      <c r="P21" s="102">
        <f t="shared" si="1"/>
        <v>5</v>
      </c>
    </row>
    <row r="22" spans="1:16" ht="14.45" customHeight="1">
      <c r="A22" s="103">
        <v>44672</v>
      </c>
      <c r="B22" s="17" t="str">
        <f>Rollover!A22</f>
        <v>Hyundai</v>
      </c>
      <c r="C22" s="17" t="str">
        <f>Rollover!B22</f>
        <v>Tucson SUV AWD later release</v>
      </c>
      <c r="D22" s="16">
        <f>Rollover!C22</f>
        <v>2022</v>
      </c>
      <c r="E22" s="98">
        <f>Front!AW22</f>
        <v>4</v>
      </c>
      <c r="F22" s="17">
        <f>Front!AX22</f>
        <v>5</v>
      </c>
      <c r="G22" s="17">
        <f>Front!AY22</f>
        <v>5</v>
      </c>
      <c r="H22" s="98">
        <f>'Side MDB'!AC22</f>
        <v>5</v>
      </c>
      <c r="I22" s="98">
        <f>'Side MDB'!AD22</f>
        <v>5</v>
      </c>
      <c r="J22" s="98">
        <f>'Side MDB'!AE22</f>
        <v>5</v>
      </c>
      <c r="K22" s="99">
        <f>'Side Pole'!P22</f>
        <v>5</v>
      </c>
      <c r="L22" s="99">
        <f>'Side Pole'!S22</f>
        <v>5</v>
      </c>
      <c r="M22" s="99">
        <f>'Side Pole'!V22</f>
        <v>5</v>
      </c>
      <c r="N22" s="100">
        <f>Rollover!J22</f>
        <v>4</v>
      </c>
      <c r="O22" s="101">
        <f>ROUND(5/12*Front!AV22+4/12*'Side Pole'!U22+3/12*Rollover!I22,2)</f>
        <v>0.67</v>
      </c>
      <c r="P22" s="102">
        <f t="shared" si="1"/>
        <v>4</v>
      </c>
    </row>
    <row r="23" spans="1:16" ht="14.45" customHeight="1">
      <c r="A23" s="103">
        <v>44720</v>
      </c>
      <c r="B23" s="17" t="str">
        <f>Rollover!A23</f>
        <v>Hyundai</v>
      </c>
      <c r="C23" s="17" t="str">
        <f>Rollover!B23</f>
        <v>Tucson HEV SUV FWD later release</v>
      </c>
      <c r="D23" s="16">
        <f>Rollover!C23</f>
        <v>2022</v>
      </c>
      <c r="E23" s="98">
        <f>Front!AW23</f>
        <v>4</v>
      </c>
      <c r="F23" s="17">
        <f>Front!AX23</f>
        <v>5</v>
      </c>
      <c r="G23" s="17">
        <f>Front!AY23</f>
        <v>5</v>
      </c>
      <c r="H23" s="98">
        <f>'Side MDB'!AC23</f>
        <v>5</v>
      </c>
      <c r="I23" s="98">
        <f>'Side MDB'!AD23</f>
        <v>5</v>
      </c>
      <c r="J23" s="98">
        <f>'Side MDB'!AE23</f>
        <v>5</v>
      </c>
      <c r="K23" s="99">
        <f>'Side Pole'!P23</f>
        <v>5</v>
      </c>
      <c r="L23" s="99">
        <f>'Side Pole'!S23</f>
        <v>5</v>
      </c>
      <c r="M23" s="99">
        <f>'Side Pole'!V23</f>
        <v>5</v>
      </c>
      <c r="N23" s="100">
        <f>Rollover!J23</f>
        <v>4</v>
      </c>
      <c r="O23" s="101">
        <f>ROUND(5/12*Front!AV23+4/12*'Side Pole'!U23+3/12*Rollover!I23,2)</f>
        <v>0.64</v>
      </c>
      <c r="P23" s="102">
        <f t="shared" si="1"/>
        <v>5</v>
      </c>
    </row>
    <row r="24" spans="1:16" ht="14.45" customHeight="1">
      <c r="A24" s="103">
        <v>44672</v>
      </c>
      <c r="B24" s="17" t="str">
        <f>Rollover!A24</f>
        <v>Hyundai</v>
      </c>
      <c r="C24" s="17" t="str">
        <f>Rollover!B24</f>
        <v>Tucson HEV SUV AWD later release</v>
      </c>
      <c r="D24" s="16">
        <f>Rollover!C24</f>
        <v>2022</v>
      </c>
      <c r="E24" s="98">
        <f>Front!AW24</f>
        <v>4</v>
      </c>
      <c r="F24" s="17">
        <f>Front!AX24</f>
        <v>5</v>
      </c>
      <c r="G24" s="17">
        <f>Front!AY24</f>
        <v>5</v>
      </c>
      <c r="H24" s="98">
        <f>'Side MDB'!AC24</f>
        <v>5</v>
      </c>
      <c r="I24" s="98">
        <f>'Side MDB'!AD24</f>
        <v>5</v>
      </c>
      <c r="J24" s="98">
        <f>'Side MDB'!AE24</f>
        <v>5</v>
      </c>
      <c r="K24" s="99">
        <f>'Side Pole'!P24</f>
        <v>5</v>
      </c>
      <c r="L24" s="99">
        <f>'Side Pole'!S24</f>
        <v>5</v>
      </c>
      <c r="M24" s="99">
        <f>'Side Pole'!V24</f>
        <v>5</v>
      </c>
      <c r="N24" s="100">
        <f>Rollover!J24</f>
        <v>4</v>
      </c>
      <c r="O24" s="101">
        <f>ROUND(5/12*Front!AV24+4/12*'Side Pole'!U24+3/12*Rollover!I24,2)</f>
        <v>0.67</v>
      </c>
      <c r="P24" s="102">
        <f t="shared" si="1"/>
        <v>4</v>
      </c>
    </row>
    <row r="25" spans="1:16" ht="14.45" customHeight="1">
      <c r="A25" s="103">
        <v>44691</v>
      </c>
      <c r="B25" s="17" t="str">
        <f>Rollover!A25</f>
        <v>Jeep</v>
      </c>
      <c r="C25" s="17" t="str">
        <f>Rollover!B25</f>
        <v>Compass SUV FWD</v>
      </c>
      <c r="D25" s="16">
        <f>Rollover!C25</f>
        <v>2022</v>
      </c>
      <c r="E25" s="98">
        <f>Front!AW25</f>
        <v>4</v>
      </c>
      <c r="F25" s="17">
        <f>Front!AX25</f>
        <v>4</v>
      </c>
      <c r="G25" s="17">
        <f>Front!AY25</f>
        <v>4</v>
      </c>
      <c r="H25" s="98">
        <f>'Side MDB'!AC25</f>
        <v>5</v>
      </c>
      <c r="I25" s="98">
        <f>'Side MDB'!AD25</f>
        <v>5</v>
      </c>
      <c r="J25" s="98">
        <f>'Side MDB'!AE25</f>
        <v>5</v>
      </c>
      <c r="K25" s="99">
        <f>'Side Pole'!P25</f>
        <v>5</v>
      </c>
      <c r="L25" s="99">
        <f>'Side Pole'!S25</f>
        <v>5</v>
      </c>
      <c r="M25" s="99">
        <f>'Side Pole'!V25</f>
        <v>5</v>
      </c>
      <c r="N25" s="100">
        <f>Rollover!J25</f>
        <v>3</v>
      </c>
      <c r="O25" s="101">
        <f>ROUND(5/12*Front!AV25+4/12*'Side Pole'!U25+3/12*Rollover!I25,2)</f>
        <v>0.75</v>
      </c>
      <c r="P25" s="102">
        <f t="shared" si="1"/>
        <v>4</v>
      </c>
    </row>
    <row r="26" spans="1:16" ht="14.45" customHeight="1">
      <c r="A26" s="103">
        <v>44691</v>
      </c>
      <c r="B26" s="17" t="str">
        <f>Rollover!A26</f>
        <v>Jeep</v>
      </c>
      <c r="C26" s="17" t="str">
        <f>Rollover!B26</f>
        <v>Compass SUV AWD</v>
      </c>
      <c r="D26" s="16">
        <f>Rollover!C26</f>
        <v>2022</v>
      </c>
      <c r="E26" s="98">
        <f>Front!AW26</f>
        <v>4</v>
      </c>
      <c r="F26" s="17">
        <f>Front!AX26</f>
        <v>4</v>
      </c>
      <c r="G26" s="17">
        <f>Front!AY26</f>
        <v>4</v>
      </c>
      <c r="H26" s="98">
        <f>'Side MDB'!AC26</f>
        <v>5</v>
      </c>
      <c r="I26" s="98">
        <f>'Side MDB'!AD26</f>
        <v>5</v>
      </c>
      <c r="J26" s="98">
        <f>'Side MDB'!AE26</f>
        <v>5</v>
      </c>
      <c r="K26" s="99">
        <f>'Side Pole'!P26</f>
        <v>5</v>
      </c>
      <c r="L26" s="99">
        <f>'Side Pole'!S26</f>
        <v>5</v>
      </c>
      <c r="M26" s="99">
        <f>'Side Pole'!V26</f>
        <v>5</v>
      </c>
      <c r="N26" s="100">
        <f>Rollover!J26</f>
        <v>3</v>
      </c>
      <c r="O26" s="101">
        <f>ROUND(5/12*Front!AV26+4/12*'Side Pole'!U26+3/12*Rollover!I26,2)</f>
        <v>0.75</v>
      </c>
      <c r="P26" s="102">
        <f t="shared" si="1"/>
        <v>4</v>
      </c>
    </row>
    <row r="27" spans="1:16" ht="14.45" customHeight="1">
      <c r="A27" s="97">
        <v>44656</v>
      </c>
      <c r="B27" s="17" t="str">
        <f>Rollover!A27</f>
        <v>Kia</v>
      </c>
      <c r="C27" s="17" t="str">
        <f>Rollover!B27</f>
        <v>Niro Electric SUV FWD</v>
      </c>
      <c r="D27" s="16">
        <f>Rollover!C27</f>
        <v>2022</v>
      </c>
      <c r="E27" s="98">
        <f>Front!AW27</f>
        <v>4</v>
      </c>
      <c r="F27" s="17">
        <f>Front!AX27</f>
        <v>4</v>
      </c>
      <c r="G27" s="17">
        <f>Front!AY27</f>
        <v>4</v>
      </c>
      <c r="H27" s="98">
        <f>'Side MDB'!AC27</f>
        <v>5</v>
      </c>
      <c r="I27" s="98">
        <f>'Side MDB'!AD27</f>
        <v>5</v>
      </c>
      <c r="J27" s="98">
        <f>'Side MDB'!AE27</f>
        <v>5</v>
      </c>
      <c r="K27" s="99">
        <f>'Side Pole'!P27</f>
        <v>5</v>
      </c>
      <c r="L27" s="99">
        <f>'Side Pole'!S27</f>
        <v>5</v>
      </c>
      <c r="M27" s="99">
        <f>'Side Pole'!V27</f>
        <v>5</v>
      </c>
      <c r="N27" s="100">
        <f>Rollover!J27</f>
        <v>5</v>
      </c>
      <c r="O27" s="101">
        <f>ROUND(5/12*Front!AV27+4/12*'Side Pole'!U27+3/12*Rollover!I27,2)</f>
        <v>0.54</v>
      </c>
      <c r="P27" s="102">
        <f t="shared" si="1"/>
        <v>5</v>
      </c>
    </row>
    <row r="28" spans="1:16" ht="14.45" customHeight="1">
      <c r="A28" s="103">
        <v>44645</v>
      </c>
      <c r="B28" s="17" t="str">
        <f>Rollover!A28</f>
        <v>Mazda</v>
      </c>
      <c r="C28" s="17" t="str">
        <f>Rollover!B28</f>
        <v>MX-30 5HB FWD</v>
      </c>
      <c r="D28" s="16">
        <f>Rollover!C28</f>
        <v>2022</v>
      </c>
      <c r="E28" s="98">
        <f>Front!AW28</f>
        <v>5</v>
      </c>
      <c r="F28" s="17">
        <f>Front!AX28</f>
        <v>5</v>
      </c>
      <c r="G28" s="17">
        <f>Front!AY28</f>
        <v>5</v>
      </c>
      <c r="H28" s="98">
        <f>'Side MDB'!AC28</f>
        <v>5</v>
      </c>
      <c r="I28" s="98">
        <f>'Side MDB'!AD28</f>
        <v>5</v>
      </c>
      <c r="J28" s="98">
        <f>'Side MDB'!AE28</f>
        <v>5</v>
      </c>
      <c r="K28" s="99">
        <f>'Side Pole'!P28</f>
        <v>5</v>
      </c>
      <c r="L28" s="99">
        <f>'Side Pole'!S28</f>
        <v>5</v>
      </c>
      <c r="M28" s="99">
        <f>'Side Pole'!V28</f>
        <v>5</v>
      </c>
      <c r="N28" s="100">
        <f>Rollover!J28</f>
        <v>4</v>
      </c>
      <c r="O28" s="101">
        <f>ROUND(5/12*Front!AV28+4/12*'Side Pole'!U28+3/12*Rollover!I28,2)</f>
        <v>0.56000000000000005</v>
      </c>
      <c r="P28" s="102">
        <f t="shared" si="1"/>
        <v>5</v>
      </c>
    </row>
    <row r="29" spans="1:16" ht="14.45" customHeight="1">
      <c r="A29" s="103">
        <v>44372</v>
      </c>
      <c r="B29" s="17" t="str">
        <f>Rollover!A29</f>
        <v xml:space="preserve">Mitsubishi </v>
      </c>
      <c r="C29" s="17" t="str">
        <f>Rollover!B29</f>
        <v>Eclipse Cross SUV AWD</v>
      </c>
      <c r="D29" s="16">
        <f>Rollover!C29</f>
        <v>2022</v>
      </c>
      <c r="E29" s="98">
        <f>Front!AW29</f>
        <v>4</v>
      </c>
      <c r="F29" s="17">
        <f>Front!AX29</f>
        <v>4</v>
      </c>
      <c r="G29" s="17">
        <f>Front!AY29</f>
        <v>4</v>
      </c>
      <c r="H29" s="98">
        <f>'Side MDB'!AC29</f>
        <v>5</v>
      </c>
      <c r="I29" s="98">
        <f>'Side MDB'!AD29</f>
        <v>5</v>
      </c>
      <c r="J29" s="98">
        <f>'Side MDB'!AE29</f>
        <v>5</v>
      </c>
      <c r="K29" s="99">
        <f>'Side Pole'!P29</f>
        <v>5</v>
      </c>
      <c r="L29" s="99">
        <f>'Side Pole'!S29</f>
        <v>5</v>
      </c>
      <c r="M29" s="99">
        <f>'Side Pole'!V29</f>
        <v>5</v>
      </c>
      <c r="N29" s="100">
        <f>Rollover!J29</f>
        <v>4</v>
      </c>
      <c r="O29" s="101">
        <f>ROUND(5/12*Front!AV29+4/12*'Side Pole'!U29+3/12*Rollover!I29,2)</f>
        <v>0.66</v>
      </c>
      <c r="P29" s="102">
        <f t="shared" si="1"/>
        <v>5</v>
      </c>
    </row>
    <row r="30" spans="1:16" ht="14.45" customHeight="1">
      <c r="A30" s="103">
        <v>44372</v>
      </c>
      <c r="B30" s="17" t="str">
        <f>Rollover!A30</f>
        <v xml:space="preserve">Mitsubishi </v>
      </c>
      <c r="C30" s="17" t="str">
        <f>Rollover!B30</f>
        <v>Eclipse Cross SUV FWD</v>
      </c>
      <c r="D30" s="16">
        <f>Rollover!C30</f>
        <v>2022</v>
      </c>
      <c r="E30" s="98">
        <f>Front!AW30</f>
        <v>4</v>
      </c>
      <c r="F30" s="17">
        <f>Front!AX30</f>
        <v>4</v>
      </c>
      <c r="G30" s="17">
        <f>Front!AY30</f>
        <v>4</v>
      </c>
      <c r="H30" s="98">
        <f>'Side MDB'!AC30</f>
        <v>5</v>
      </c>
      <c r="I30" s="98">
        <f>'Side MDB'!AD30</f>
        <v>5</v>
      </c>
      <c r="J30" s="98">
        <f>'Side MDB'!AE30</f>
        <v>5</v>
      </c>
      <c r="K30" s="99">
        <f>'Side Pole'!P30</f>
        <v>5</v>
      </c>
      <c r="L30" s="99">
        <f>'Side Pole'!S30</f>
        <v>5</v>
      </c>
      <c r="M30" s="99">
        <f>'Side Pole'!V30</f>
        <v>5</v>
      </c>
      <c r="N30" s="100">
        <f>Rollover!J30</f>
        <v>4</v>
      </c>
      <c r="O30" s="101">
        <f>ROUND(5/12*Front!AV30+4/12*'Side Pole'!U30+3/12*Rollover!I30,2)</f>
        <v>0.66</v>
      </c>
      <c r="P30" s="102">
        <f t="shared" si="1"/>
        <v>5</v>
      </c>
    </row>
    <row r="31" spans="1:16" ht="14.45" customHeight="1">
      <c r="A31" s="97">
        <v>44685</v>
      </c>
      <c r="B31" s="17" t="str">
        <f>Rollover!A31</f>
        <v>Nissan</v>
      </c>
      <c r="C31" s="17" t="str">
        <f>Rollover!B31</f>
        <v>Altima 4DR FWD</v>
      </c>
      <c r="D31" s="16">
        <f>Rollover!C31</f>
        <v>2022</v>
      </c>
      <c r="E31" s="98">
        <f>Front!AW31</f>
        <v>5</v>
      </c>
      <c r="F31" s="17">
        <f>Front!AX31</f>
        <v>4</v>
      </c>
      <c r="G31" s="17">
        <f>Front!AY31</f>
        <v>4</v>
      </c>
      <c r="H31" s="98">
        <f>'Side MDB'!AC31</f>
        <v>4</v>
      </c>
      <c r="I31" s="98">
        <f>'Side MDB'!AD31</f>
        <v>5</v>
      </c>
      <c r="J31" s="98">
        <f>'Side MDB'!AE31</f>
        <v>5</v>
      </c>
      <c r="K31" s="99">
        <f>'Side Pole'!P31</f>
        <v>5</v>
      </c>
      <c r="L31" s="99">
        <f>'Side Pole'!S31</f>
        <v>5</v>
      </c>
      <c r="M31" s="99">
        <f>'Side Pole'!V31</f>
        <v>5</v>
      </c>
      <c r="N31" s="100">
        <f>Rollover!J31</f>
        <v>5</v>
      </c>
      <c r="O31" s="101">
        <f>ROUND(5/12*Front!AV31+4/12*'Side Pole'!U31+3/12*Rollover!I31,2)</f>
        <v>0.56999999999999995</v>
      </c>
      <c r="P31" s="102">
        <f t="shared" ref="P31:P32" si="2">IF(O31&lt;0.67,5,IF(O31&lt;1,4,IF(O31&lt;1.33,3,IF(O31&lt;2.67,2,1))))</f>
        <v>5</v>
      </c>
    </row>
    <row r="32" spans="1:16" ht="14.45" customHeight="1">
      <c r="A32" s="97">
        <v>44685</v>
      </c>
      <c r="B32" s="17" t="str">
        <f>Rollover!A32</f>
        <v>Nissan</v>
      </c>
      <c r="C32" s="17" t="str">
        <f>Rollover!B32</f>
        <v>Altima 4DR AWD</v>
      </c>
      <c r="D32" s="16">
        <f>Rollover!C32</f>
        <v>2022</v>
      </c>
      <c r="E32" s="98">
        <f>Front!AW32</f>
        <v>5</v>
      </c>
      <c r="F32" s="17">
        <f>Front!AX32</f>
        <v>4</v>
      </c>
      <c r="G32" s="17">
        <f>Front!AY32</f>
        <v>4</v>
      </c>
      <c r="H32" s="98">
        <f>'Side MDB'!AC32</f>
        <v>4</v>
      </c>
      <c r="I32" s="98">
        <f>'Side MDB'!AD32</f>
        <v>5</v>
      </c>
      <c r="J32" s="98">
        <f>'Side MDB'!AE32</f>
        <v>5</v>
      </c>
      <c r="K32" s="99">
        <f>'Side Pole'!P32</f>
        <v>5</v>
      </c>
      <c r="L32" s="99">
        <f>'Side Pole'!S32</f>
        <v>5</v>
      </c>
      <c r="M32" s="99">
        <f>'Side Pole'!V32</f>
        <v>5</v>
      </c>
      <c r="N32" s="100">
        <f>Rollover!J32</f>
        <v>5</v>
      </c>
      <c r="O32" s="101">
        <f>ROUND(5/12*Front!AV32+4/12*'Side Pole'!U32+3/12*Rollover!I32,2)</f>
        <v>0.56999999999999995</v>
      </c>
      <c r="P32" s="102">
        <f t="shared" si="2"/>
        <v>5</v>
      </c>
    </row>
    <row r="33" spans="1:16" ht="14.45" customHeight="1">
      <c r="A33" s="97">
        <v>44666</v>
      </c>
      <c r="B33" s="17" t="str">
        <f>Rollover!A33</f>
        <v>Nissan</v>
      </c>
      <c r="C33" s="17" t="str">
        <f>Rollover!B33</f>
        <v>Frontier Crew Cab PU/CC RWD</v>
      </c>
      <c r="D33" s="16">
        <f>Rollover!C33</f>
        <v>2022</v>
      </c>
      <c r="E33" s="98">
        <f>Front!AW33</f>
        <v>3</v>
      </c>
      <c r="F33" s="17">
        <f>Front!AX33</f>
        <v>4</v>
      </c>
      <c r="G33" s="17">
        <f>Front!AY33</f>
        <v>4</v>
      </c>
      <c r="H33" s="98">
        <f>'Side MDB'!AC33</f>
        <v>5</v>
      </c>
      <c r="I33" s="98">
        <f>'Side MDB'!AD33</f>
        <v>5</v>
      </c>
      <c r="J33" s="98">
        <f>'Side MDB'!AE33</f>
        <v>5</v>
      </c>
      <c r="K33" s="99">
        <f>'Side Pole'!P33</f>
        <v>5</v>
      </c>
      <c r="L33" s="99">
        <f>'Side Pole'!S33</f>
        <v>5</v>
      </c>
      <c r="M33" s="99">
        <f>'Side Pole'!V33</f>
        <v>5</v>
      </c>
      <c r="N33" s="100" t="e">
        <f>Rollover!J33</f>
        <v>#NUM!</v>
      </c>
      <c r="O33" s="101" t="e">
        <f>ROUND(5/12*Front!AV33+4/12*'Side Pole'!U33+3/12*Rollover!I33,2)</f>
        <v>#NUM!</v>
      </c>
      <c r="P33" s="102" t="e">
        <f t="shared" si="1"/>
        <v>#NUM!</v>
      </c>
    </row>
    <row r="34" spans="1:16" ht="14.45" customHeight="1">
      <c r="A34" s="97">
        <v>44666</v>
      </c>
      <c r="B34" s="17" t="str">
        <f>Rollover!A34</f>
        <v>Nissan</v>
      </c>
      <c r="C34" s="17" t="str">
        <f>Rollover!B34</f>
        <v>Frontier Crew Cab PU/CC 4WD</v>
      </c>
      <c r="D34" s="16">
        <f>Rollover!C34</f>
        <v>2022</v>
      </c>
      <c r="E34" s="98">
        <f>Front!AW34</f>
        <v>3</v>
      </c>
      <c r="F34" s="17">
        <f>Front!AX34</f>
        <v>4</v>
      </c>
      <c r="G34" s="17">
        <f>Front!AY34</f>
        <v>4</v>
      </c>
      <c r="H34" s="98">
        <f>'Side MDB'!AC34</f>
        <v>5</v>
      </c>
      <c r="I34" s="98">
        <f>'Side MDB'!AD34</f>
        <v>5</v>
      </c>
      <c r="J34" s="98">
        <f>'Side MDB'!AE34</f>
        <v>5</v>
      </c>
      <c r="K34" s="99">
        <f>'Side Pole'!P34</f>
        <v>5</v>
      </c>
      <c r="L34" s="99">
        <f>'Side Pole'!S34</f>
        <v>5</v>
      </c>
      <c r="M34" s="99">
        <f>'Side Pole'!V34</f>
        <v>5</v>
      </c>
      <c r="N34" s="100">
        <f>Rollover!J34</f>
        <v>3</v>
      </c>
      <c r="O34" s="101">
        <f>ROUND(5/12*Front!AV34+4/12*'Side Pole'!U34+3/12*Rollover!I34,2)</f>
        <v>0.83</v>
      </c>
      <c r="P34" s="102">
        <f t="shared" si="1"/>
        <v>4</v>
      </c>
    </row>
    <row r="35" spans="1:16" ht="14.45" customHeight="1">
      <c r="A35" s="97"/>
      <c r="B35" s="16" t="str">
        <f>Rollover!A35</f>
        <v>Nissan</v>
      </c>
      <c r="C35" s="16" t="str">
        <f>Rollover!B35</f>
        <v>Frontier King Cab PU/EC RWD</v>
      </c>
      <c r="D35" s="16">
        <f>Rollover!C35</f>
        <v>2022</v>
      </c>
      <c r="E35" s="98" t="e">
        <f>Front!AW35</f>
        <v>#NUM!</v>
      </c>
      <c r="F35" s="17" t="e">
        <f>Front!AX35</f>
        <v>#NUM!</v>
      </c>
      <c r="G35" s="17" t="e">
        <f>Front!AY35</f>
        <v>#NUM!</v>
      </c>
      <c r="H35" s="98" t="e">
        <f>'Side MDB'!AC35</f>
        <v>#NUM!</v>
      </c>
      <c r="I35" s="98" t="e">
        <f>'Side MDB'!AD35</f>
        <v>#NUM!</v>
      </c>
      <c r="J35" s="98" t="e">
        <f>'Side MDB'!AE35</f>
        <v>#NUM!</v>
      </c>
      <c r="K35" s="99" t="e">
        <f>'Side Pole'!P35</f>
        <v>#NUM!</v>
      </c>
      <c r="L35" s="99" t="e">
        <f>'Side Pole'!S35</f>
        <v>#NUM!</v>
      </c>
      <c r="M35" s="99" t="e">
        <f>'Side Pole'!V35</f>
        <v>#NUM!</v>
      </c>
      <c r="N35" s="100" t="e">
        <f>Rollover!J35</f>
        <v>#NUM!</v>
      </c>
      <c r="O35" s="101" t="e">
        <f>ROUND(5/12*Front!AV35+4/12*'Side Pole'!U35+3/12*Rollover!I35,2)</f>
        <v>#NUM!</v>
      </c>
      <c r="P35" s="102" t="e">
        <f t="shared" si="1"/>
        <v>#NUM!</v>
      </c>
    </row>
    <row r="36" spans="1:16" ht="14.45" customHeight="1">
      <c r="A36" s="97"/>
      <c r="B36" s="16" t="str">
        <f>Rollover!A36</f>
        <v>Nissan</v>
      </c>
      <c r="C36" s="16" t="str">
        <f>Rollover!B36</f>
        <v>Frontier King Cab PU/EC 4WD</v>
      </c>
      <c r="D36" s="16">
        <f>Rollover!C36</f>
        <v>2022</v>
      </c>
      <c r="E36" s="98" t="e">
        <f>Front!AW36</f>
        <v>#NUM!</v>
      </c>
      <c r="F36" s="17" t="e">
        <f>Front!AX36</f>
        <v>#NUM!</v>
      </c>
      <c r="G36" s="17" t="e">
        <f>Front!AY36</f>
        <v>#NUM!</v>
      </c>
      <c r="H36" s="98" t="e">
        <f>'Side MDB'!AC36</f>
        <v>#NUM!</v>
      </c>
      <c r="I36" s="98" t="e">
        <f>'Side MDB'!AD36</f>
        <v>#NUM!</v>
      </c>
      <c r="J36" s="98" t="e">
        <f>'Side MDB'!AE36</f>
        <v>#NUM!</v>
      </c>
      <c r="K36" s="99" t="e">
        <f>'Side Pole'!P36</f>
        <v>#NUM!</v>
      </c>
      <c r="L36" s="99" t="e">
        <f>'Side Pole'!S36</f>
        <v>#NUM!</v>
      </c>
      <c r="M36" s="99" t="e">
        <f>'Side Pole'!V36</f>
        <v>#NUM!</v>
      </c>
      <c r="N36" s="100">
        <f>Rollover!J36</f>
        <v>3</v>
      </c>
      <c r="O36" s="101" t="e">
        <f>ROUND(5/12*Front!AV36+4/12*'Side Pole'!U36+3/12*Rollover!I36,2)</f>
        <v>#NUM!</v>
      </c>
      <c r="P36" s="102" t="e">
        <f t="shared" si="1"/>
        <v>#NUM!</v>
      </c>
    </row>
    <row r="37" spans="1:16" ht="14.45" customHeight="1">
      <c r="A37" s="97">
        <v>44715</v>
      </c>
      <c r="B37" s="17" t="str">
        <f>Rollover!A37</f>
        <v>Nissan</v>
      </c>
      <c r="C37" s="17" t="str">
        <f>Rollover!B37</f>
        <v>Rogue AWD (Later Release)</v>
      </c>
      <c r="D37" s="16">
        <f>Rollover!C37</f>
        <v>2022</v>
      </c>
      <c r="E37" s="98">
        <f>Front!AW37</f>
        <v>4</v>
      </c>
      <c r="F37" s="17">
        <f>Front!AX37</f>
        <v>4</v>
      </c>
      <c r="G37" s="17">
        <f>Front!AY37</f>
        <v>4</v>
      </c>
      <c r="H37" s="98">
        <f>'Side MDB'!AC37</f>
        <v>5</v>
      </c>
      <c r="I37" s="98">
        <f>'Side MDB'!AD37</f>
        <v>5</v>
      </c>
      <c r="J37" s="98">
        <f>'Side MDB'!AE37</f>
        <v>5</v>
      </c>
      <c r="K37" s="99">
        <f>'Side Pole'!P37</f>
        <v>5</v>
      </c>
      <c r="L37" s="99">
        <f>'Side Pole'!S37</f>
        <v>5</v>
      </c>
      <c r="M37" s="99">
        <f>'Side Pole'!V37</f>
        <v>5</v>
      </c>
      <c r="N37" s="100">
        <f>Rollover!J37</f>
        <v>4</v>
      </c>
      <c r="O37" s="101">
        <f>ROUND(5/12*Front!AV37+4/12*'Side Pole'!U37+3/12*Rollover!I37,2)</f>
        <v>0.66</v>
      </c>
      <c r="P37" s="102">
        <f t="shared" ref="P37:P38" si="3">IF(O37&lt;0.67,5,IF(O37&lt;1,4,IF(O37&lt;1.33,3,IF(O37&lt;2.67,2,1))))</f>
        <v>5</v>
      </c>
    </row>
    <row r="38" spans="1:16" ht="14.45" customHeight="1">
      <c r="A38" s="97">
        <v>44715</v>
      </c>
      <c r="B38" s="17" t="str">
        <f>Rollover!A38</f>
        <v>Nissan</v>
      </c>
      <c r="C38" s="17" t="str">
        <f>Rollover!B38</f>
        <v>Rogue FWD (Later Release)</v>
      </c>
      <c r="D38" s="16">
        <f>Rollover!C38</f>
        <v>2022</v>
      </c>
      <c r="E38" s="98">
        <f>Front!AW38</f>
        <v>4</v>
      </c>
      <c r="F38" s="17">
        <f>Front!AX38</f>
        <v>4</v>
      </c>
      <c r="G38" s="17">
        <f>Front!AY38</f>
        <v>4</v>
      </c>
      <c r="H38" s="98">
        <f>'Side MDB'!AC38</f>
        <v>5</v>
      </c>
      <c r="I38" s="98">
        <f>'Side MDB'!AD38</f>
        <v>5</v>
      </c>
      <c r="J38" s="98">
        <f>'Side MDB'!AE38</f>
        <v>5</v>
      </c>
      <c r="K38" s="99">
        <f>'Side Pole'!P38</f>
        <v>5</v>
      </c>
      <c r="L38" s="99">
        <f>'Side Pole'!S38</f>
        <v>5</v>
      </c>
      <c r="M38" s="99">
        <f>'Side Pole'!V38</f>
        <v>5</v>
      </c>
      <c r="N38" s="100">
        <f>Rollover!J38</f>
        <v>4</v>
      </c>
      <c r="O38" s="101">
        <f>ROUND(5/12*Front!AV38+4/12*'Side Pole'!U38+3/12*Rollover!I38,2)</f>
        <v>0.66</v>
      </c>
      <c r="P38" s="102">
        <f t="shared" si="3"/>
        <v>5</v>
      </c>
    </row>
    <row r="39" spans="1:16" ht="14.45" customHeight="1">
      <c r="A39" s="97">
        <v>44742</v>
      </c>
      <c r="B39" s="17" t="str">
        <f>Rollover!A39</f>
        <v>Volkswagen</v>
      </c>
      <c r="C39" s="17" t="str">
        <f>Rollover!B39</f>
        <v>Jetta 4DR FWD</v>
      </c>
      <c r="D39" s="16">
        <f>Rollover!C39</f>
        <v>2022</v>
      </c>
      <c r="E39" s="98">
        <f>Front!AW39</f>
        <v>4</v>
      </c>
      <c r="F39" s="17">
        <f>Front!AX39</f>
        <v>4</v>
      </c>
      <c r="G39" s="17">
        <f>Front!AY39</f>
        <v>4</v>
      </c>
      <c r="H39" s="98">
        <f>'Side MDB'!AC39</f>
        <v>5</v>
      </c>
      <c r="I39" s="98">
        <f>'Side MDB'!AD39</f>
        <v>5</v>
      </c>
      <c r="J39" s="98">
        <f>'Side MDB'!AE39</f>
        <v>5</v>
      </c>
      <c r="K39" s="99">
        <f>'Side Pole'!P39</f>
        <v>5</v>
      </c>
      <c r="L39" s="99">
        <f>'Side Pole'!S39</f>
        <v>5</v>
      </c>
      <c r="M39" s="99">
        <f>'Side Pole'!V39</f>
        <v>5</v>
      </c>
      <c r="N39" s="100">
        <f>Rollover!J39</f>
        <v>4</v>
      </c>
      <c r="O39" s="101">
        <f>ROUND(5/12*Front!AV39+4/12*'Side Pole'!U39+3/12*Rollover!I39,2)</f>
        <v>0.64</v>
      </c>
      <c r="P39" s="102">
        <f t="shared" ref="P39:P42" si="4">IF(O39&lt;0.67,5,IF(O39&lt;1,4,IF(O39&lt;1.33,3,IF(O39&lt;2.67,2,1))))</f>
        <v>5</v>
      </c>
    </row>
    <row r="40" spans="1:16" ht="14.45" customHeight="1">
      <c r="A40" s="97">
        <v>44742</v>
      </c>
      <c r="B40" s="16" t="str">
        <f>Rollover!A40</f>
        <v>Volkswagen</v>
      </c>
      <c r="C40" s="16" t="str">
        <f>Rollover!B40</f>
        <v>Jetta GLI 4DR FWD</v>
      </c>
      <c r="D40" s="16">
        <f>Rollover!C40</f>
        <v>2022</v>
      </c>
      <c r="E40" s="98">
        <f>Front!AW40</f>
        <v>4</v>
      </c>
      <c r="F40" s="17">
        <f>Front!AX40</f>
        <v>4</v>
      </c>
      <c r="G40" s="17">
        <f>Front!AY40</f>
        <v>4</v>
      </c>
      <c r="H40" s="98">
        <f>'Side MDB'!AC40</f>
        <v>5</v>
      </c>
      <c r="I40" s="98">
        <f>'Side MDB'!AD40</f>
        <v>5</v>
      </c>
      <c r="J40" s="98">
        <f>'Side MDB'!AE40</f>
        <v>5</v>
      </c>
      <c r="K40" s="99">
        <f>'Side Pole'!P40</f>
        <v>5</v>
      </c>
      <c r="L40" s="99">
        <f>'Side Pole'!S40</f>
        <v>5</v>
      </c>
      <c r="M40" s="99">
        <f>'Side Pole'!V40</f>
        <v>5</v>
      </c>
      <c r="N40" s="100">
        <f>Rollover!J40</f>
        <v>4</v>
      </c>
      <c r="O40" s="101">
        <f>ROUND(5/12*Front!AV40+4/12*'Side Pole'!U40+3/12*Rollover!I40,2)</f>
        <v>0.64</v>
      </c>
      <c r="P40" s="102">
        <f t="shared" si="4"/>
        <v>5</v>
      </c>
    </row>
    <row r="41" spans="1:16" ht="14.45" customHeight="1">
      <c r="A41" s="97">
        <v>44783</v>
      </c>
      <c r="B41" s="17" t="str">
        <f>Rollover!A41</f>
        <v>Volkswagen</v>
      </c>
      <c r="C41" s="17" t="str">
        <f>Rollover!B41</f>
        <v>Taos SUV FWD</v>
      </c>
      <c r="D41" s="16">
        <f>Rollover!C41</f>
        <v>2022</v>
      </c>
      <c r="E41" s="98">
        <f>Front!AW41</f>
        <v>4</v>
      </c>
      <c r="F41" s="17">
        <f>Front!AX41</f>
        <v>4</v>
      </c>
      <c r="G41" s="17">
        <f>Front!AY41</f>
        <v>4</v>
      </c>
      <c r="H41" s="98">
        <f>'Side MDB'!AC41</f>
        <v>5</v>
      </c>
      <c r="I41" s="98">
        <f>'Side MDB'!AD41</f>
        <v>5</v>
      </c>
      <c r="J41" s="98">
        <f>'Side MDB'!AE41</f>
        <v>5</v>
      </c>
      <c r="K41" s="99">
        <f>'Side Pole'!P41</f>
        <v>5</v>
      </c>
      <c r="L41" s="99">
        <f>'Side Pole'!S41</f>
        <v>5</v>
      </c>
      <c r="M41" s="99">
        <f>'Side Pole'!V41</f>
        <v>5</v>
      </c>
      <c r="N41" s="100">
        <f>Rollover!J41</f>
        <v>4</v>
      </c>
      <c r="O41" s="101">
        <f>ROUND(5/12*Front!AV41+4/12*'Side Pole'!U41+3/12*Rollover!I41,2)</f>
        <v>0.76</v>
      </c>
      <c r="P41" s="102">
        <f t="shared" si="4"/>
        <v>4</v>
      </c>
    </row>
    <row r="42" spans="1:16" ht="14.45" customHeight="1">
      <c r="A42" s="97">
        <v>44783</v>
      </c>
      <c r="B42" s="17" t="str">
        <f>Rollover!A42</f>
        <v>Volkswagen</v>
      </c>
      <c r="C42" s="17" t="str">
        <f>Rollover!B42</f>
        <v>Taos SUV AWD</v>
      </c>
      <c r="D42" s="16">
        <f>Rollover!C42</f>
        <v>2022</v>
      </c>
      <c r="E42" s="98">
        <f>Front!AW42</f>
        <v>4</v>
      </c>
      <c r="F42" s="17">
        <f>Front!AX42</f>
        <v>4</v>
      </c>
      <c r="G42" s="17">
        <f>Front!AY42</f>
        <v>4</v>
      </c>
      <c r="H42" s="98">
        <f>'Side MDB'!AC42</f>
        <v>5</v>
      </c>
      <c r="I42" s="98">
        <f>'Side MDB'!AD42</f>
        <v>5</v>
      </c>
      <c r="J42" s="98">
        <f>'Side MDB'!AE42</f>
        <v>5</v>
      </c>
      <c r="K42" s="99">
        <f>'Side Pole'!P42</f>
        <v>5</v>
      </c>
      <c r="L42" s="99">
        <f>'Side Pole'!S42</f>
        <v>5</v>
      </c>
      <c r="M42" s="99">
        <f>'Side Pole'!V42</f>
        <v>5</v>
      </c>
      <c r="N42" s="100">
        <f>Rollover!J42</f>
        <v>4</v>
      </c>
      <c r="O42" s="101">
        <f>ROUND(5/12*Front!AV42+4/12*'Side Pole'!U42+3/12*Rollover!I42,2)</f>
        <v>0.71</v>
      </c>
      <c r="P42" s="102">
        <f t="shared" si="4"/>
        <v>4</v>
      </c>
    </row>
    <row r="43" spans="1:16" ht="14.45" customHeight="1">
      <c r="B43" s="104"/>
      <c r="C43" s="104"/>
      <c r="D43" s="104"/>
    </row>
    <row r="44" spans="1:16" ht="14.45" customHeight="1">
      <c r="B44" s="104"/>
      <c r="C44" s="104"/>
      <c r="D44" s="104"/>
    </row>
    <row r="45" spans="1:16" ht="14.45" customHeight="1">
      <c r="B45" s="104"/>
      <c r="C45" s="104"/>
      <c r="D45" s="104"/>
    </row>
    <row r="46" spans="1:16" ht="14.45" customHeight="1">
      <c r="B46" s="104"/>
      <c r="C46" s="104"/>
      <c r="D46" s="104"/>
    </row>
    <row r="47" spans="1:16" ht="14.45" customHeight="1">
      <c r="B47" s="104"/>
      <c r="C47" s="104"/>
      <c r="D47" s="104"/>
    </row>
    <row r="48" spans="1:16" ht="14.45" customHeight="1">
      <c r="B48" s="104"/>
      <c r="C48" s="104"/>
      <c r="D48" s="104"/>
      <c r="H48" s="63"/>
      <c r="I48" s="63"/>
      <c r="J48" s="63"/>
    </row>
    <row r="49" spans="2:10" ht="14.45" customHeight="1">
      <c r="H49" s="63"/>
      <c r="I49" s="63"/>
      <c r="J49" s="63"/>
    </row>
    <row r="50" spans="2:10" ht="14.45" customHeight="1">
      <c r="H50" s="63"/>
      <c r="I50" s="63"/>
      <c r="J50" s="63"/>
    </row>
    <row r="51" spans="2:10" ht="14.45" customHeight="1">
      <c r="B51" s="109"/>
      <c r="C51" s="109"/>
      <c r="D51" s="109"/>
      <c r="E51" s="110"/>
      <c r="F51" s="104"/>
      <c r="H51" s="63"/>
      <c r="I51" s="63"/>
      <c r="J51" s="63"/>
    </row>
    <row r="52" spans="2:10" ht="14.45" customHeight="1">
      <c r="B52" s="109"/>
      <c r="C52" s="109"/>
      <c r="D52" s="109"/>
      <c r="E52" s="110"/>
      <c r="F52" s="104"/>
      <c r="H52" s="63"/>
      <c r="I52" s="63"/>
      <c r="J52" s="63"/>
    </row>
    <row r="53" spans="2:10" ht="14.45" customHeight="1">
      <c r="B53" s="109"/>
      <c r="C53" s="109"/>
      <c r="D53" s="109"/>
      <c r="E53" s="110"/>
      <c r="F53" s="104"/>
      <c r="H53" s="63"/>
      <c r="I53" s="63"/>
      <c r="J53" s="63"/>
    </row>
    <row r="54" spans="2:10" ht="14.45" customHeight="1">
      <c r="B54" s="109"/>
      <c r="C54" s="109"/>
      <c r="D54" s="109"/>
      <c r="E54" s="110"/>
      <c r="F54" s="104"/>
      <c r="H54" s="63"/>
      <c r="I54" s="63"/>
      <c r="J54" s="63"/>
    </row>
    <row r="55" spans="2:10" ht="14.45" customHeight="1">
      <c r="B55" s="109"/>
      <c r="C55" s="109"/>
      <c r="D55" s="109"/>
      <c r="E55" s="110"/>
      <c r="F55" s="104"/>
      <c r="H55" s="63"/>
      <c r="I55" s="63"/>
      <c r="J55" s="63"/>
    </row>
    <row r="56" spans="2:10" ht="14.45" customHeight="1">
      <c r="B56" s="109"/>
      <c r="C56" s="109"/>
      <c r="D56" s="109"/>
      <c r="E56" s="110"/>
      <c r="F56" s="104"/>
      <c r="H56" s="63"/>
      <c r="I56" s="63"/>
      <c r="J56" s="63"/>
    </row>
    <row r="57" spans="2:10" ht="14.45" customHeight="1">
      <c r="B57" s="109"/>
      <c r="C57" s="109"/>
      <c r="D57" s="109"/>
      <c r="E57" s="110"/>
      <c r="F57" s="104"/>
    </row>
    <row r="58" spans="2:10" ht="14.45" customHeight="1">
      <c r="B58" s="109"/>
      <c r="C58" s="109"/>
      <c r="D58" s="109"/>
      <c r="E58" s="110"/>
      <c r="F58" s="104"/>
    </row>
    <row r="59" spans="2:10" ht="14.45" customHeight="1">
      <c r="B59" s="109"/>
      <c r="C59" s="109"/>
      <c r="D59" s="109"/>
      <c r="E59" s="110"/>
      <c r="F59" s="104"/>
    </row>
    <row r="60" spans="2:10" ht="14.45" customHeight="1">
      <c r="B60" s="109"/>
      <c r="C60" s="109"/>
      <c r="D60" s="109"/>
      <c r="E60" s="110"/>
      <c r="F60" s="104"/>
    </row>
    <row r="61" spans="2:10" ht="14.45" customHeight="1">
      <c r="E61" s="110"/>
      <c r="F61" s="104"/>
    </row>
    <row r="62" spans="2:10" ht="14.45" customHeight="1">
      <c r="E62" s="110"/>
      <c r="F62" s="104"/>
    </row>
    <row r="63" spans="2:10" ht="14.45" customHeight="1">
      <c r="B63" s="109"/>
      <c r="C63" s="109"/>
      <c r="D63" s="109"/>
      <c r="E63" s="110"/>
      <c r="F63" s="104"/>
    </row>
    <row r="64" spans="2:10" ht="14.45" customHeight="1">
      <c r="B64" s="109"/>
      <c r="C64" s="109"/>
      <c r="D64" s="109"/>
      <c r="E64" s="110"/>
      <c r="F64" s="104"/>
    </row>
    <row r="65" spans="2:10" ht="14.45" customHeight="1">
      <c r="B65" s="109"/>
      <c r="C65" s="109"/>
      <c r="D65" s="109"/>
      <c r="E65" s="110"/>
      <c r="F65" s="104"/>
    </row>
    <row r="66" spans="2:10" ht="14.45" customHeight="1">
      <c r="B66" s="109"/>
      <c r="C66" s="109"/>
      <c r="D66" s="109"/>
      <c r="E66" s="110"/>
      <c r="F66" s="104"/>
      <c r="H66" s="111"/>
      <c r="I66" s="111"/>
      <c r="J66" s="111"/>
    </row>
    <row r="67" spans="2:10" ht="14.45" customHeight="1">
      <c r="B67" s="109"/>
      <c r="C67" s="109"/>
      <c r="D67" s="109"/>
      <c r="F67" s="63"/>
      <c r="G67" s="63"/>
      <c r="H67" s="111"/>
      <c r="I67" s="111"/>
      <c r="J67" s="111"/>
    </row>
    <row r="68" spans="2:10" ht="14.45" customHeight="1">
      <c r="B68" s="109"/>
      <c r="C68" s="109"/>
      <c r="D68" s="109"/>
      <c r="F68" s="63"/>
      <c r="G68" s="63"/>
      <c r="H68" s="111"/>
      <c r="I68" s="111"/>
      <c r="J68" s="111"/>
    </row>
    <row r="69" spans="2:10" ht="14.45" customHeight="1">
      <c r="B69" s="112"/>
      <c r="C69" s="112"/>
      <c r="D69" s="112"/>
      <c r="E69" s="113"/>
      <c r="F69" s="63"/>
      <c r="G69" s="63"/>
      <c r="H69" s="111"/>
      <c r="I69" s="111"/>
      <c r="J69" s="111"/>
    </row>
    <row r="70" spans="2:10" ht="14.45" customHeight="1">
      <c r="B70" s="104"/>
      <c r="C70" s="104"/>
      <c r="D70" s="104"/>
      <c r="F70" s="63"/>
      <c r="G70" s="63"/>
      <c r="H70" s="111"/>
      <c r="I70" s="111"/>
      <c r="J70" s="111"/>
    </row>
    <row r="71" spans="2:10" ht="14.45" customHeight="1">
      <c r="B71" s="109"/>
      <c r="C71" s="109"/>
      <c r="D71" s="109"/>
      <c r="F71" s="63"/>
      <c r="G71" s="63"/>
      <c r="H71" s="111"/>
      <c r="I71" s="111"/>
      <c r="J71" s="111"/>
    </row>
    <row r="72" spans="2:10" ht="14.45" customHeight="1">
      <c r="B72" s="109"/>
      <c r="C72" s="109"/>
      <c r="D72" s="109"/>
      <c r="F72" s="63"/>
      <c r="G72" s="63"/>
      <c r="H72" s="111"/>
      <c r="I72" s="111"/>
      <c r="J72" s="111"/>
    </row>
    <row r="73" spans="2:10" ht="14.45" customHeight="1">
      <c r="B73" s="109"/>
      <c r="C73" s="109"/>
      <c r="D73" s="109"/>
      <c r="F73" s="63"/>
      <c r="G73" s="63"/>
      <c r="H73" s="111"/>
      <c r="I73" s="111"/>
      <c r="J73" s="111"/>
    </row>
    <row r="74" spans="2:10" ht="14.45" customHeight="1">
      <c r="B74" s="109"/>
      <c r="C74" s="109"/>
      <c r="D74" s="109"/>
      <c r="F74" s="63"/>
      <c r="G74" s="63"/>
      <c r="H74" s="111"/>
      <c r="I74" s="111"/>
      <c r="J74" s="111"/>
    </row>
    <row r="75" spans="2:10" ht="14.45" customHeight="1">
      <c r="B75" s="104"/>
      <c r="C75" s="104"/>
      <c r="D75" s="104"/>
      <c r="F75" s="63"/>
      <c r="G75" s="63"/>
      <c r="H75" s="111"/>
      <c r="I75" s="111"/>
      <c r="J75" s="111"/>
    </row>
    <row r="76" spans="2:10" ht="14.45" customHeight="1">
      <c r="F76" s="63"/>
      <c r="G76" s="63"/>
      <c r="H76" s="111"/>
      <c r="I76" s="111"/>
      <c r="J76" s="111"/>
    </row>
    <row r="77" spans="2:10" ht="14.45" customHeight="1">
      <c r="F77" s="63"/>
      <c r="G77" s="63"/>
      <c r="H77" s="111"/>
      <c r="I77" s="111"/>
      <c r="J77" s="111"/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Manager/>
  <Company>USDOT\NHTSA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Felicia McKoy</dc:creator>
  <cp:keywords/>
  <dc:description/>
  <cp:lastModifiedBy>Moore, Vanessa (NHTSA)</cp:lastModifiedBy>
  <cp:revision/>
  <dcterms:created xsi:type="dcterms:W3CDTF">2007-06-14T17:31:50Z</dcterms:created>
  <dcterms:modified xsi:type="dcterms:W3CDTF">2022-08-11T15:37:59Z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