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2 web and docket data\"/>
    </mc:Choice>
  </mc:AlternateContent>
  <xr:revisionPtr revIDLastSave="0" documentId="13_ncr:1_{385EB28A-7FAA-4CAB-B5A2-853D3FEC7E5F}" xr6:coauthVersionLast="45" xr6:coauthVersionMax="45" xr10:uidLastSave="{00000000-0000-0000-0000-000000000000}"/>
  <bookViews>
    <workbookView xWindow="5580" yWindow="1080" windowWidth="29655" windowHeight="19500" tabRatio="74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1" l="1"/>
  <c r="C13" i="31"/>
  <c r="B13" i="31"/>
  <c r="M13" i="29"/>
  <c r="L13" i="29"/>
  <c r="F13" i="29"/>
  <c r="D13" i="29"/>
  <c r="C13" i="29"/>
  <c r="V13" i="22"/>
  <c r="U13" i="22"/>
  <c r="T13" i="22"/>
  <c r="S13" i="22"/>
  <c r="R13" i="22"/>
  <c r="Q13" i="22"/>
  <c r="F13" i="22"/>
  <c r="D13" i="22"/>
  <c r="C13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3" i="24"/>
  <c r="H13" i="24" s="1"/>
  <c r="I13" i="24" s="1"/>
  <c r="J13" i="24" s="1"/>
  <c r="N13" i="31" s="1"/>
  <c r="AP13" i="21" l="1"/>
  <c r="AF13" i="21"/>
  <c r="X13" i="22"/>
  <c r="AA13" i="22" s="1"/>
  <c r="AD13" i="22" s="1"/>
  <c r="I13" i="31" s="1"/>
  <c r="AA13" i="21"/>
  <c r="AK13" i="21"/>
  <c r="N13" i="29"/>
  <c r="O13" i="29" s="1"/>
  <c r="P13" i="29" s="1"/>
  <c r="K13" i="31" s="1"/>
  <c r="W13" i="22"/>
  <c r="Z13" i="22" s="1"/>
  <c r="AC13" i="22" s="1"/>
  <c r="H13" i="31" s="1"/>
  <c r="C4" i="21"/>
  <c r="C5" i="21"/>
  <c r="C6" i="21"/>
  <c r="C7" i="21"/>
  <c r="C8" i="21"/>
  <c r="C9" i="21"/>
  <c r="C10" i="21"/>
  <c r="C11" i="21"/>
  <c r="C12" i="21"/>
  <c r="C14" i="21"/>
  <c r="C15" i="21"/>
  <c r="Y13" i="22" l="1"/>
  <c r="AB13" i="22" s="1"/>
  <c r="AE13" i="22" s="1"/>
  <c r="J13" i="31" s="1"/>
  <c r="AR13" i="21"/>
  <c r="AU13" i="21" s="1"/>
  <c r="AX13" i="21" s="1"/>
  <c r="F13" i="31" s="1"/>
  <c r="AQ13" i="21"/>
  <c r="AT13" i="21" s="1"/>
  <c r="AW13" i="21" s="1"/>
  <c r="E13" i="31" s="1"/>
  <c r="T13" i="29"/>
  <c r="U13" i="29" s="1"/>
  <c r="V13" i="29" s="1"/>
  <c r="M13" i="31" s="1"/>
  <c r="Q13" i="29"/>
  <c r="R13" i="29" s="1"/>
  <c r="S13" i="29" s="1"/>
  <c r="L13" i="31" s="1"/>
  <c r="AS13" i="21" l="1"/>
  <c r="AV13" i="21" s="1"/>
  <c r="AY13" i="21" s="1"/>
  <c r="G13" i="31" s="1"/>
  <c r="F11" i="21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D11" i="21"/>
  <c r="G11" i="24"/>
  <c r="H11" i="24" s="1"/>
  <c r="I11" i="24" s="1"/>
  <c r="J11" i="24" s="1"/>
  <c r="N11" i="31" s="1"/>
  <c r="O13" i="31" l="1"/>
  <c r="P13" i="31" s="1"/>
  <c r="N11" i="29"/>
  <c r="O11" i="29" s="1"/>
  <c r="P11" i="29" s="1"/>
  <c r="K11" i="31" s="1"/>
  <c r="AF11" i="21"/>
  <c r="W11" i="22"/>
  <c r="X11" i="22"/>
  <c r="AA11" i="22" s="1"/>
  <c r="AD11" i="22" s="1"/>
  <c r="I11" i="31" s="1"/>
  <c r="AP11" i="21"/>
  <c r="AK11" i="21"/>
  <c r="AA11" i="21"/>
  <c r="D15" i="21"/>
  <c r="Q11" i="29" l="1"/>
  <c r="R11" i="29" s="1"/>
  <c r="S11" i="29" s="1"/>
  <c r="L11" i="31" s="1"/>
  <c r="AQ11" i="21"/>
  <c r="AT11" i="21" s="1"/>
  <c r="AW11" i="21" s="1"/>
  <c r="E11" i="31" s="1"/>
  <c r="Z11" i="22"/>
  <c r="AC11" i="22" s="1"/>
  <c r="H11" i="31" s="1"/>
  <c r="T11" i="29"/>
  <c r="U11" i="29" s="1"/>
  <c r="V11" i="29" s="1"/>
  <c r="M11" i="31" s="1"/>
  <c r="Y11" i="22"/>
  <c r="AB11" i="22" s="1"/>
  <c r="AE11" i="22" s="1"/>
  <c r="J11" i="31" s="1"/>
  <c r="AR11" i="21"/>
  <c r="AU11" i="21" s="1"/>
  <c r="AX11" i="21" s="1"/>
  <c r="F11" i="31" s="1"/>
  <c r="AS11" i="21" l="1"/>
  <c r="AV11" i="21" s="1"/>
  <c r="AY11" i="21" l="1"/>
  <c r="G11" i="31" s="1"/>
  <c r="O11" i="31"/>
  <c r="P11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D5" i="21"/>
  <c r="D6" i="21"/>
  <c r="D7" i="21"/>
  <c r="D8" i="21"/>
  <c r="D9" i="21"/>
  <c r="D10" i="21"/>
  <c r="D12" i="21"/>
  <c r="D14" i="21"/>
  <c r="D14" i="31"/>
  <c r="C14" i="31"/>
  <c r="B14" i="31"/>
  <c r="M14" i="29"/>
  <c r="L14" i="29"/>
  <c r="F14" i="29"/>
  <c r="D14" i="29"/>
  <c r="C14" i="29"/>
  <c r="V14" i="22"/>
  <c r="U14" i="22"/>
  <c r="T14" i="22"/>
  <c r="S14" i="22"/>
  <c r="R14" i="22"/>
  <c r="Q14" i="22"/>
  <c r="F14" i="22"/>
  <c r="D14" i="22"/>
  <c r="C14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G14" i="24"/>
  <c r="H14" i="24" s="1"/>
  <c r="I14" i="24" s="1"/>
  <c r="J14" i="24" s="1"/>
  <c r="N14" i="31" s="1"/>
  <c r="D7" i="31"/>
  <c r="C7" i="31"/>
  <c r="B7" i="31"/>
  <c r="D6" i="31"/>
  <c r="C6" i="31"/>
  <c r="B6" i="31"/>
  <c r="D5" i="31"/>
  <c r="C5" i="31"/>
  <c r="B5" i="31"/>
  <c r="M7" i="29"/>
  <c r="L7" i="29"/>
  <c r="F7" i="29"/>
  <c r="D7" i="29"/>
  <c r="C7" i="29"/>
  <c r="M6" i="29"/>
  <c r="L6" i="29"/>
  <c r="F6" i="29"/>
  <c r="D6" i="29"/>
  <c r="C6" i="29"/>
  <c r="M5" i="29"/>
  <c r="L5" i="29"/>
  <c r="F5" i="29"/>
  <c r="D5" i="29"/>
  <c r="C5" i="29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G7" i="24"/>
  <c r="H7" i="24" s="1"/>
  <c r="I7" i="24" s="1"/>
  <c r="J7" i="24" s="1"/>
  <c r="N7" i="31" s="1"/>
  <c r="G6" i="24"/>
  <c r="H6" i="24" s="1"/>
  <c r="I6" i="24" s="1"/>
  <c r="J6" i="24" s="1"/>
  <c r="N6" i="31" s="1"/>
  <c r="G5" i="24"/>
  <c r="H5" i="24" s="1"/>
  <c r="I5" i="24" s="1"/>
  <c r="J5" i="24" s="1"/>
  <c r="N5" i="31" s="1"/>
  <c r="D15" i="31"/>
  <c r="C15" i="31"/>
  <c r="B15" i="31"/>
  <c r="M15" i="29"/>
  <c r="L15" i="29"/>
  <c r="F15" i="29"/>
  <c r="D15" i="29"/>
  <c r="C15" i="29"/>
  <c r="V15" i="22"/>
  <c r="U15" i="22"/>
  <c r="T15" i="22"/>
  <c r="S15" i="22"/>
  <c r="R15" i="22"/>
  <c r="Q15" i="22"/>
  <c r="F15" i="22"/>
  <c r="D15" i="22"/>
  <c r="C15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G15" i="24"/>
  <c r="H15" i="24" s="1"/>
  <c r="I15" i="24" s="1"/>
  <c r="J15" i="24" s="1"/>
  <c r="N15" i="31" s="1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G12" i="24"/>
  <c r="H12" i="24" s="1"/>
  <c r="I12" i="24" s="1"/>
  <c r="J12" i="24" s="1"/>
  <c r="N12" i="31" s="1"/>
  <c r="D10" i="31"/>
  <c r="C10" i="31"/>
  <c r="B10" i="31"/>
  <c r="D9" i="31"/>
  <c r="C9" i="31"/>
  <c r="B9" i="31"/>
  <c r="D8" i="31"/>
  <c r="C8" i="31"/>
  <c r="B8" i="31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N8" i="31" s="1"/>
  <c r="AK4" i="21" l="1"/>
  <c r="N15" i="29"/>
  <c r="O15" i="29" s="1"/>
  <c r="P15" i="29" s="1"/>
  <c r="K15" i="31" s="1"/>
  <c r="X10" i="22"/>
  <c r="AA10" i="22" s="1"/>
  <c r="AD10" i="22" s="1"/>
  <c r="I10" i="31" s="1"/>
  <c r="N12" i="29"/>
  <c r="O12" i="29" s="1"/>
  <c r="P12" i="29" s="1"/>
  <c r="K12" i="31" s="1"/>
  <c r="AP5" i="21"/>
  <c r="AF6" i="21"/>
  <c r="AF15" i="21"/>
  <c r="AP9" i="21"/>
  <c r="N14" i="29"/>
  <c r="O14" i="29" s="1"/>
  <c r="P14" i="29" s="1"/>
  <c r="K14" i="31" s="1"/>
  <c r="AA14" i="21"/>
  <c r="X14" i="22"/>
  <c r="AA14" i="22" s="1"/>
  <c r="AD14" i="22" s="1"/>
  <c r="I14" i="31" s="1"/>
  <c r="N9" i="29"/>
  <c r="O9" i="29" s="1"/>
  <c r="P9" i="29" s="1"/>
  <c r="K9" i="31" s="1"/>
  <c r="AP12" i="21"/>
  <c r="AP15" i="21"/>
  <c r="AA8" i="21"/>
  <c r="AF14" i="21"/>
  <c r="W12" i="22"/>
  <c r="X15" i="22"/>
  <c r="AA15" i="22" s="1"/>
  <c r="AD15" i="22" s="1"/>
  <c r="I15" i="31" s="1"/>
  <c r="AK6" i="21"/>
  <c r="AP6" i="21"/>
  <c r="AA7" i="21"/>
  <c r="AF7" i="21"/>
  <c r="AK7" i="21"/>
  <c r="W6" i="22"/>
  <c r="X7" i="22"/>
  <c r="AA7" i="22" s="1"/>
  <c r="AD7" i="22" s="1"/>
  <c r="I7" i="31" s="1"/>
  <c r="N7" i="29"/>
  <c r="O7" i="29" s="1"/>
  <c r="P7" i="29" s="1"/>
  <c r="K7" i="31" s="1"/>
  <c r="X9" i="22"/>
  <c r="AA9" i="22" s="1"/>
  <c r="AD9" i="22" s="1"/>
  <c r="I9" i="31" s="1"/>
  <c r="N8" i="29"/>
  <c r="O8" i="29" s="1"/>
  <c r="P8" i="29" s="1"/>
  <c r="K8" i="31" s="1"/>
  <c r="AK5" i="21"/>
  <c r="AP3" i="21"/>
  <c r="N3" i="29"/>
  <c r="O3" i="29" s="1"/>
  <c r="P3" i="29" s="1"/>
  <c r="K3" i="31" s="1"/>
  <c r="AK8" i="21"/>
  <c r="AF9" i="21"/>
  <c r="AK9" i="21"/>
  <c r="AF10" i="21"/>
  <c r="AP10" i="21"/>
  <c r="AA5" i="21"/>
  <c r="AF5" i="21"/>
  <c r="X5" i="22"/>
  <c r="AA5" i="22" s="1"/>
  <c r="AD5" i="22" s="1"/>
  <c r="I5" i="31" s="1"/>
  <c r="N5" i="29"/>
  <c r="O5" i="29" s="1"/>
  <c r="P5" i="29" s="1"/>
  <c r="K5" i="31" s="1"/>
  <c r="AK14" i="21"/>
  <c r="AP14" i="21"/>
  <c r="W14" i="22"/>
  <c r="AA4" i="21"/>
  <c r="AF4" i="21"/>
  <c r="W8" i="22"/>
  <c r="X8" i="22"/>
  <c r="AA8" i="22" s="1"/>
  <c r="AD8" i="22" s="1"/>
  <c r="I8" i="31" s="1"/>
  <c r="W9" i="22"/>
  <c r="W15" i="22"/>
  <c r="AP7" i="21"/>
  <c r="AF8" i="21"/>
  <c r="AP8" i="21"/>
  <c r="AA10" i="21"/>
  <c r="AK10" i="21"/>
  <c r="N10" i="29"/>
  <c r="O10" i="29" s="1"/>
  <c r="P10" i="29" s="1"/>
  <c r="K10" i="31" s="1"/>
  <c r="W5" i="22"/>
  <c r="X6" i="22"/>
  <c r="AA6" i="22" s="1"/>
  <c r="AD6" i="22" s="1"/>
  <c r="I6" i="31" s="1"/>
  <c r="W7" i="22"/>
  <c r="Z7" i="22" s="1"/>
  <c r="AC7" i="22" s="1"/>
  <c r="H7" i="31" s="1"/>
  <c r="N6" i="29"/>
  <c r="O6" i="29" s="1"/>
  <c r="P6" i="29" s="1"/>
  <c r="K6" i="31" s="1"/>
  <c r="AA3" i="21"/>
  <c r="AF12" i="21"/>
  <c r="X12" i="22"/>
  <c r="AA15" i="21"/>
  <c r="AK15" i="21"/>
  <c r="X4" i="22"/>
  <c r="AA4" i="22" s="1"/>
  <c r="AD4" i="22" s="1"/>
  <c r="I4" i="31" s="1"/>
  <c r="AA12" i="21"/>
  <c r="AK12" i="21"/>
  <c r="AA9" i="21"/>
  <c r="W10" i="22"/>
  <c r="AA6" i="21"/>
  <c r="N4" i="29"/>
  <c r="AK3" i="21"/>
  <c r="X3" i="22"/>
  <c r="AA3" i="22" s="1"/>
  <c r="AD3" i="22" s="1"/>
  <c r="I3" i="31" s="1"/>
  <c r="AP4" i="21"/>
  <c r="AF3" i="21"/>
  <c r="W3" i="22"/>
  <c r="Z3" i="22" s="1"/>
  <c r="AC3" i="22" s="1"/>
  <c r="H3" i="31" s="1"/>
  <c r="W4" i="22"/>
  <c r="AR4" i="21" l="1"/>
  <c r="AU4" i="21" s="1"/>
  <c r="AX4" i="21" s="1"/>
  <c r="F4" i="31" s="1"/>
  <c r="AR12" i="21"/>
  <c r="AU12" i="21" s="1"/>
  <c r="AX12" i="21" s="1"/>
  <c r="F12" i="31" s="1"/>
  <c r="Q12" i="29"/>
  <c r="R12" i="29" s="1"/>
  <c r="S12" i="29" s="1"/>
  <c r="L12" i="31" s="1"/>
  <c r="T15" i="29"/>
  <c r="U15" i="29" s="1"/>
  <c r="V15" i="29" s="1"/>
  <c r="M15" i="31" s="1"/>
  <c r="AQ4" i="21"/>
  <c r="AT4" i="21" s="1"/>
  <c r="AW4" i="21" s="1"/>
  <c r="E4" i="31" s="1"/>
  <c r="Q9" i="29"/>
  <c r="R9" i="29" s="1"/>
  <c r="S9" i="29" s="1"/>
  <c r="L9" i="31" s="1"/>
  <c r="AQ6" i="21"/>
  <c r="AT6" i="21" s="1"/>
  <c r="AW6" i="21" s="1"/>
  <c r="E6" i="31" s="1"/>
  <c r="AQ10" i="21"/>
  <c r="AT10" i="21" s="1"/>
  <c r="AW10" i="21" s="1"/>
  <c r="E10" i="31" s="1"/>
  <c r="Z12" i="22"/>
  <c r="AC12" i="22" s="1"/>
  <c r="H12" i="31" s="1"/>
  <c r="AQ15" i="21"/>
  <c r="AT15" i="21" s="1"/>
  <c r="AW15" i="21" s="1"/>
  <c r="E15" i="31" s="1"/>
  <c r="AR7" i="21"/>
  <c r="AU7" i="21" s="1"/>
  <c r="AX7" i="21" s="1"/>
  <c r="F7" i="31" s="1"/>
  <c r="AR10" i="21"/>
  <c r="Z9" i="22"/>
  <c r="AC9" i="22" s="1"/>
  <c r="H9" i="31" s="1"/>
  <c r="Q5" i="29"/>
  <c r="R5" i="29" s="1"/>
  <c r="S5" i="29" s="1"/>
  <c r="L5" i="31" s="1"/>
  <c r="AQ5" i="21"/>
  <c r="AT5" i="21" s="1"/>
  <c r="AW5" i="21" s="1"/>
  <c r="E5" i="31" s="1"/>
  <c r="AR9" i="21"/>
  <c r="AU9" i="21" s="1"/>
  <c r="AX9" i="21" s="1"/>
  <c r="F9" i="31" s="1"/>
  <c r="AR5" i="21"/>
  <c r="AU5" i="21" s="1"/>
  <c r="AX5" i="21" s="1"/>
  <c r="F5" i="31" s="1"/>
  <c r="AQ14" i="21"/>
  <c r="AT14" i="21" s="1"/>
  <c r="AW14" i="21" s="1"/>
  <c r="E14" i="31" s="1"/>
  <c r="AQ8" i="21"/>
  <c r="AT8" i="21" s="1"/>
  <c r="AW8" i="21" s="1"/>
  <c r="E8" i="31" s="1"/>
  <c r="AR15" i="21"/>
  <c r="Z5" i="22"/>
  <c r="AC5" i="22" s="1"/>
  <c r="H5" i="31" s="1"/>
  <c r="Y9" i="22"/>
  <c r="AB9" i="22" s="1"/>
  <c r="AE9" i="22" s="1"/>
  <c r="J9" i="31" s="1"/>
  <c r="AR14" i="21"/>
  <c r="AU14" i="21" s="1"/>
  <c r="AX14" i="21" s="1"/>
  <c r="F14" i="31" s="1"/>
  <c r="Q6" i="29"/>
  <c r="R6" i="29" s="1"/>
  <c r="S6" i="29" s="1"/>
  <c r="L6" i="31" s="1"/>
  <c r="AQ7" i="21"/>
  <c r="AT7" i="21" s="1"/>
  <c r="AW7" i="21" s="1"/>
  <c r="E7" i="31" s="1"/>
  <c r="T9" i="29"/>
  <c r="U9" i="29" s="1"/>
  <c r="V9" i="29" s="1"/>
  <c r="M9" i="31" s="1"/>
  <c r="Q8" i="29"/>
  <c r="R8" i="29" s="1"/>
  <c r="S8" i="29" s="1"/>
  <c r="L8" i="31" s="1"/>
  <c r="T6" i="29"/>
  <c r="U6" i="29" s="1"/>
  <c r="V6" i="29" s="1"/>
  <c r="M6" i="31" s="1"/>
  <c r="AA12" i="22"/>
  <c r="AD12" i="22" s="1"/>
  <c r="I12" i="31" s="1"/>
  <c r="T12" i="29"/>
  <c r="U12" i="29" s="1"/>
  <c r="V12" i="29" s="1"/>
  <c r="M12" i="31" s="1"/>
  <c r="AR3" i="21"/>
  <c r="AU3" i="21" s="1"/>
  <c r="AX3" i="21" s="1"/>
  <c r="F3" i="31" s="1"/>
  <c r="T4" i="29"/>
  <c r="U4" i="29" s="1"/>
  <c r="AQ9" i="21"/>
  <c r="AT9" i="21" s="1"/>
  <c r="AW9" i="21" s="1"/>
  <c r="E9" i="31" s="1"/>
  <c r="AQ12" i="21"/>
  <c r="AT12" i="21" s="1"/>
  <c r="AW12" i="21" s="1"/>
  <c r="E12" i="31" s="1"/>
  <c r="AR6" i="2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7" i="22"/>
  <c r="AB7" i="22" s="1"/>
  <c r="AE7" i="22" s="1"/>
  <c r="J7" i="31" s="1"/>
  <c r="Q7" i="29"/>
  <c r="R7" i="29" s="1"/>
  <c r="S7" i="29" s="1"/>
  <c r="L7" i="31" s="1"/>
  <c r="T5" i="29"/>
  <c r="U5" i="29" s="1"/>
  <c r="V5" i="29" s="1"/>
  <c r="M5" i="31" s="1"/>
  <c r="Z6" i="22"/>
  <c r="AC6" i="22" s="1"/>
  <c r="H6" i="31" s="1"/>
  <c r="Y14" i="22"/>
  <c r="AB14" i="22" s="1"/>
  <c r="AE14" i="22" s="1"/>
  <c r="J14" i="31" s="1"/>
  <c r="Z14" i="22"/>
  <c r="AC14" i="22" s="1"/>
  <c r="H14" i="31" s="1"/>
  <c r="T14" i="29"/>
  <c r="U14" i="29" s="1"/>
  <c r="V14" i="29" s="1"/>
  <c r="M14" i="31" s="1"/>
  <c r="Q14" i="29"/>
  <c r="R14" i="29" s="1"/>
  <c r="S14" i="29" s="1"/>
  <c r="L14" i="31" s="1"/>
  <c r="AQ3" i="21"/>
  <c r="Y4" i="22"/>
  <c r="AB4" i="22" s="1"/>
  <c r="AE4" i="22" s="1"/>
  <c r="J4" i="31" s="1"/>
  <c r="T7" i="29"/>
  <c r="U7" i="29" s="1"/>
  <c r="V7" i="29" s="1"/>
  <c r="M7" i="31" s="1"/>
  <c r="Y5" i="22"/>
  <c r="AB5" i="22" s="1"/>
  <c r="AE5" i="22" s="1"/>
  <c r="J5" i="31" s="1"/>
  <c r="Y12" i="22"/>
  <c r="AB12" i="22" s="1"/>
  <c r="AE12" i="22" s="1"/>
  <c r="J12" i="31" s="1"/>
  <c r="AR8" i="21"/>
  <c r="AU8" i="21" s="1"/>
  <c r="AX8" i="21" s="1"/>
  <c r="F8" i="31" s="1"/>
  <c r="Z8" i="22"/>
  <c r="AC8" i="22" s="1"/>
  <c r="H8" i="31" s="1"/>
  <c r="T8" i="29"/>
  <c r="U8" i="29" s="1"/>
  <c r="V8" i="29" s="1"/>
  <c r="M8" i="31" s="1"/>
  <c r="Y8" i="22"/>
  <c r="AB8" i="22" s="1"/>
  <c r="AE8" i="22" s="1"/>
  <c r="J8" i="31" s="1"/>
  <c r="Y6" i="22"/>
  <c r="AB6" i="22" s="1"/>
  <c r="AE6" i="22" s="1"/>
  <c r="J6" i="31" s="1"/>
  <c r="Z15" i="22"/>
  <c r="AC15" i="22" s="1"/>
  <c r="H15" i="31" s="1"/>
  <c r="Y15" i="22"/>
  <c r="AB15" i="22" s="1"/>
  <c r="AE15" i="22" s="1"/>
  <c r="J15" i="31" s="1"/>
  <c r="Q15" i="29"/>
  <c r="R15" i="29" s="1"/>
  <c r="S15" i="29" s="1"/>
  <c r="L15" i="31" s="1"/>
  <c r="Z10" i="22"/>
  <c r="AC10" i="22" s="1"/>
  <c r="H10" i="31" s="1"/>
  <c r="T10" i="29"/>
  <c r="U10" i="29" s="1"/>
  <c r="Q10" i="29"/>
  <c r="R10" i="29" s="1"/>
  <c r="S10" i="29" s="1"/>
  <c r="L10" i="31" s="1"/>
  <c r="Y10" i="22"/>
  <c r="AB10" i="22" s="1"/>
  <c r="AE10" i="22" s="1"/>
  <c r="J10" i="31" s="1"/>
  <c r="Z4" i="22"/>
  <c r="AC4" i="22" s="1"/>
  <c r="H4" i="31" s="1"/>
  <c r="AS4" i="21" l="1"/>
  <c r="AV4" i="21" s="1"/>
  <c r="AY4" i="21" s="1"/>
  <c r="G4" i="31" s="1"/>
  <c r="AS6" i="21"/>
  <c r="AV6" i="21" s="1"/>
  <c r="AY6" i="21" s="1"/>
  <c r="G6" i="31" s="1"/>
  <c r="AS12" i="21"/>
  <c r="AV12" i="21" s="1"/>
  <c r="AY12" i="21" s="1"/>
  <c r="G12" i="31" s="1"/>
  <c r="AS10" i="21"/>
  <c r="AV10" i="21" s="1"/>
  <c r="AY10" i="21" s="1"/>
  <c r="G10" i="31" s="1"/>
  <c r="AU10" i="21"/>
  <c r="AX10" i="21" s="1"/>
  <c r="F10" i="31" s="1"/>
  <c r="AU6" i="21"/>
  <c r="AX6" i="21" s="1"/>
  <c r="F6" i="31" s="1"/>
  <c r="AS7" i="21"/>
  <c r="AV7" i="21" s="1"/>
  <c r="AY7" i="21" s="1"/>
  <c r="G7" i="31" s="1"/>
  <c r="AS15" i="21"/>
  <c r="AV15" i="21" s="1"/>
  <c r="O15" i="31" s="1"/>
  <c r="P15" i="31" s="1"/>
  <c r="AS5" i="21"/>
  <c r="AV5" i="21" s="1"/>
  <c r="AY5" i="21" s="1"/>
  <c r="G5" i="31" s="1"/>
  <c r="AS9" i="21"/>
  <c r="AV9" i="21" s="1"/>
  <c r="AY9" i="21" s="1"/>
  <c r="G9" i="31" s="1"/>
  <c r="AU15" i="21"/>
  <c r="AX15" i="21" s="1"/>
  <c r="F15" i="31" s="1"/>
  <c r="V4" i="29"/>
  <c r="M4" i="31" s="1"/>
  <c r="AS8" i="21"/>
  <c r="AV8" i="21" s="1"/>
  <c r="O8" i="31" s="1"/>
  <c r="P8" i="31" s="1"/>
  <c r="AS14" i="21"/>
  <c r="AV14" i="21" s="1"/>
  <c r="O14" i="31" s="1"/>
  <c r="P14" i="31" s="1"/>
  <c r="AT3" i="21"/>
  <c r="AW3" i="21" s="1"/>
  <c r="E3" i="31" s="1"/>
  <c r="AS3" i="21"/>
  <c r="AV3" i="21" s="1"/>
  <c r="V10" i="29"/>
  <c r="M10" i="31" s="1"/>
  <c r="O6" i="31"/>
  <c r="P6" i="31" s="1"/>
  <c r="O12" i="31" l="1"/>
  <c r="P12" i="31" s="1"/>
  <c r="O4" i="31"/>
  <c r="P4" i="31" s="1"/>
  <c r="O10" i="31"/>
  <c r="P10" i="31" s="1"/>
  <c r="AY15" i="21"/>
  <c r="G15" i="31" s="1"/>
  <c r="O7" i="31"/>
  <c r="P7" i="31" s="1"/>
  <c r="O5" i="31"/>
  <c r="P5" i="31" s="1"/>
  <c r="O9" i="31"/>
  <c r="P9" i="31" s="1"/>
  <c r="AY14" i="21"/>
  <c r="G14" i="31" s="1"/>
  <c r="AY8" i="21"/>
  <c r="G8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<sst xmlns="http://schemas.openxmlformats.org/spreadsheetml/2006/main" count="302" uniqueCount="129">
  <si>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</si>
  <si>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</si>
  <si>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</si>
  <si>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</si>
  <si>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</si>
  <si>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</si>
  <si>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</si>
  <si>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</si>
  <si>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</si>
  <si>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</si>
  <si>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</si>
  <si>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</si>
  <si>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</si>
  <si>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</si>
  <si>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</si>
  <si>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</si>
  <si>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</si>
  <si>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</si>
  <si>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</si>
  <si>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</si>
  <si>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</si>
  <si>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</si>
  <si>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</si>
  <si>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</si>
  <si>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</si>
  <si>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</si>
  <si>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</si>
  <si>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</si>
  <si>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</si>
  <si>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</si>
  <si>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</si>
  <si>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</si>
  <si>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</si>
  <si>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</si>
  <si>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</si>
  <si>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</si>
  <si>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</si>
  <si>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</si>
  <si>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</si>
  <si>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</si>
  <si>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</si>
  <si>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</si>
  <si>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</si>
  <si>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</si>
  <si>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</si>
  <si>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</si>
  <si>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</si>
  <si>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</si>
  <si>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</si>
  <si>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</si>
  <si>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</si>
  <si>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</si>
  <si>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</si>
  <si>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</si>
  <si>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</si>
  <si>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</si>
  <si>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</si>
  <si>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</si>
  <si>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</si>
  <si>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</si>
  <si>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</si>
  <si>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</si>
  <si>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</si>
  <si>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</si>
  <si>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</si>
  <si>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</si>
  <si>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</si>
  <si>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</si>
  <si>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</si>
  <si>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</si>
  <si>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</si>
  <si>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</si>
  <si>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</si>
  <si>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</si>
  <si>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</si>
  <si>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</si>
  <si>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</si>
  <si>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</si>
  <si>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</si>
  <si>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</si>
  <si>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</si>
  <si>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</si>
  <si>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</si>
  <si>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</si>
  <si>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</si>
  <si>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</si>
  <si>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 xml:space="preserve">Mitsubishi </t>
  </si>
  <si>
    <t>Y</t>
  </si>
  <si>
    <t>N</t>
  </si>
  <si>
    <t>M20205602</t>
  </si>
  <si>
    <t>CAL</t>
  </si>
  <si>
    <t>M20205601</t>
  </si>
  <si>
    <t>Acura</t>
  </si>
  <si>
    <t>MDX SUV AWD</t>
  </si>
  <si>
    <t>MDX SUV FWD</t>
  </si>
  <si>
    <t>Eclipse Cross SUV AWD</t>
  </si>
  <si>
    <t>Eclipse Cross SUV FWD</t>
  </si>
  <si>
    <t>O20225600</t>
  </si>
  <si>
    <t>Calspan</t>
  </si>
  <si>
    <t>Honda</t>
  </si>
  <si>
    <t>Civic 4DR FWD</t>
  </si>
  <si>
    <t>Civic 5HB FWD</t>
  </si>
  <si>
    <t>Civic SI 4DR FWD</t>
  </si>
  <si>
    <t>Hyundai</t>
  </si>
  <si>
    <t>Kia</t>
  </si>
  <si>
    <t>Niro Electric SUV FWD</t>
  </si>
  <si>
    <t>MGA</t>
  </si>
  <si>
    <t>Mazda</t>
  </si>
  <si>
    <t>Tucson SUV FWD early release</t>
  </si>
  <si>
    <t>Tucson SUV AWD early release</t>
  </si>
  <si>
    <t>Tucson HEV SUV FWD early release</t>
  </si>
  <si>
    <t>Tucson HEV SUV AWD early release</t>
  </si>
  <si>
    <t>O20225300</t>
  </si>
  <si>
    <t>O20225302</t>
  </si>
  <si>
    <t>O20225301</t>
  </si>
  <si>
    <t>M20224208</t>
  </si>
  <si>
    <t>M20224206</t>
  </si>
  <si>
    <t>M20224207</t>
  </si>
  <si>
    <t>O20225305</t>
  </si>
  <si>
    <t>O20225304</t>
  </si>
  <si>
    <t>O20225402</t>
  </si>
  <si>
    <t>TBD</t>
  </si>
  <si>
    <t>O20225303</t>
  </si>
  <si>
    <t>O20225401</t>
  </si>
  <si>
    <t>O20225400</t>
  </si>
  <si>
    <t>M20224211</t>
  </si>
  <si>
    <t>M20224209</t>
  </si>
  <si>
    <t>MX-30 5HB FWD</t>
  </si>
  <si>
    <t>M20224210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</si>
</sst>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8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zoomScale="115" zoomScaleNormal="115" workbookViewId="0">
      <selection activeCell="A12" sqref="A12:XFD12"/>
    </sheetView>
  </sheetViews>
  <sheetFormatPr defaultColWidth="9.140625" defaultRowHeight="13.35" customHeight="1"/>
  <cols>
    <col min="1" max="1" width="15.5703125" style="69" customWidth="1"/>
    <col min="2" max="2" width="25.42578125" style="69" customWidth="1"/>
    <col min="3" max="3" width="4.5703125" style="65" bestFit="1" customWidth="1"/>
    <col min="4" max="4" width="4.42578125" style="65" bestFit="1" customWidth="1"/>
    <col min="5" max="5" width="18" style="65" bestFit="1" customWidth="1"/>
    <col min="6" max="6" width="13.140625" style="65" bestFit="1" customWidth="1"/>
    <col min="7" max="7" width="7.5703125" style="70" customWidth="1"/>
    <col min="8" max="8" width="7.42578125" style="70" bestFit="1" customWidth="1"/>
    <col min="9" max="9" width="7.5703125" style="71" bestFit="1" customWidth="1"/>
    <col min="10" max="10" width="7.140625" style="70" bestFit="1" customWidth="1"/>
    <col min="11" max="16384" width="9.140625" style="65"/>
  </cols>
  <sheetData>
    <row r="1" spans="1:10" s="59" customFormat="1" ht="13.35" customHeight="1">
      <c r="A1" s="16"/>
      <c r="B1" s="16"/>
      <c r="C1" s="16"/>
      <c r="D1" s="16"/>
      <c r="E1" s="16"/>
      <c r="F1" s="16"/>
      <c r="G1" s="57"/>
      <c r="H1" s="57"/>
      <c r="I1" s="58"/>
      <c r="J1" s="57" t="s">
        <v>18</v>
      </c>
    </row>
    <row r="2" spans="1:10" s="59" customFormat="1" ht="13.35" customHeight="1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71</v>
      </c>
      <c r="F2" s="16" t="s">
        <v>72</v>
      </c>
      <c r="G2" s="57" t="s">
        <v>48</v>
      </c>
      <c r="H2" s="57" t="s">
        <v>8</v>
      </c>
      <c r="I2" s="58" t="s">
        <v>69</v>
      </c>
      <c r="J2" s="57" t="s">
        <v>45</v>
      </c>
    </row>
    <row r="3" spans="1:10" ht="13.35" customHeight="1">
      <c r="A3" s="34" t="s">
        <v>92</v>
      </c>
      <c r="B3" s="60" t="s">
        <v>93</v>
      </c>
      <c r="C3" s="61">
        <v>2022</v>
      </c>
      <c r="D3" s="62"/>
      <c r="E3" s="62"/>
      <c r="F3" s="62"/>
      <c r="G3" s="63" t="e">
        <f t="shared" ref="G3:G4" si="0">IF(F3="Y",((1/(1+EXP(2.6968+(1.1686*LN(D3-0.9)))))),((1/(1+EXP(2.8891+(1.1686*(LN(D3-0.9))))))))</f>
        <v>#NUM!</v>
      </c>
      <c r="H3" s="63" t="e">
        <f t="shared" ref="H3:H4" si="1">ROUND(G3,3)</f>
        <v>#NUM!</v>
      </c>
      <c r="I3" s="64" t="e">
        <f t="shared" ref="I3:I4" si="2">ROUND(H3/0.15,2)</f>
        <v>#NUM!</v>
      </c>
      <c r="J3" s="57" t="e">
        <f t="shared" ref="J3:J4" si="3">IF(I3&lt;0.673,5,IF(I3&lt;1.33,4,IF(I3&lt;2,3,IF(I3&lt;2.67,2,1))))</f>
        <v>#NUM!</v>
      </c>
    </row>
    <row r="4" spans="1:10" ht="13.35" customHeight="1">
      <c r="A4" s="34" t="s">
        <v>92</v>
      </c>
      <c r="B4" s="60" t="s">
        <v>94</v>
      </c>
      <c r="C4" s="61">
        <v>2022</v>
      </c>
      <c r="D4" s="66">
        <v>1.27</v>
      </c>
      <c r="E4" s="66" t="s">
        <v>87</v>
      </c>
      <c r="F4" s="66" t="s">
        <v>88</v>
      </c>
      <c r="G4" s="63">
        <f t="shared" si="0"/>
        <v>0.15094392869398887</v>
      </c>
      <c r="H4" s="63">
        <f t="shared" si="1"/>
        <v>0.151</v>
      </c>
      <c r="I4" s="64">
        <f t="shared" si="2"/>
        <v>1.01</v>
      </c>
      <c r="J4" s="57">
        <f t="shared" si="3"/>
        <v>4</v>
      </c>
    </row>
    <row r="5" spans="1:10" ht="13.35" customHeight="1">
      <c r="A5" s="34" t="s">
        <v>99</v>
      </c>
      <c r="B5" s="34" t="s">
        <v>100</v>
      </c>
      <c r="C5" s="61">
        <v>2022</v>
      </c>
      <c r="D5" s="66">
        <v>1.48</v>
      </c>
      <c r="E5" s="66" t="s">
        <v>87</v>
      </c>
      <c r="F5" s="66" t="s">
        <v>88</v>
      </c>
      <c r="G5" s="63">
        <f t="shared" ref="G5:G11" si="4">IF(F5="Y",((1/(1+EXP(2.6968+(1.1686*LN(D5-0.9)))))),((1/(1+EXP(2.8891+(1.1686*(LN(D5-0.9))))))))</f>
        <v>9.5131298699074329E-2</v>
      </c>
      <c r="H5" s="63">
        <f t="shared" ref="H5:H11" si="5">ROUND(G5,3)</f>
        <v>9.5000000000000001E-2</v>
      </c>
      <c r="I5" s="64">
        <f t="shared" ref="I5:I11" si="6">ROUND(H5/0.15,2)</f>
        <v>0.63</v>
      </c>
      <c r="J5" s="57">
        <f t="shared" ref="J5:J11" si="7">IF(I5&lt;0.673,5,IF(I5&lt;1.33,4,IF(I5&lt;2,3,IF(I5&lt;2.67,2,1))))</f>
        <v>5</v>
      </c>
    </row>
    <row r="6" spans="1:10" ht="13.35" customHeight="1">
      <c r="A6" s="67" t="s">
        <v>99</v>
      </c>
      <c r="B6" s="67" t="s">
        <v>102</v>
      </c>
      <c r="C6" s="61">
        <v>2022</v>
      </c>
      <c r="D6" s="66">
        <v>1.48</v>
      </c>
      <c r="E6" s="66" t="s">
        <v>87</v>
      </c>
      <c r="F6" s="66" t="s">
        <v>88</v>
      </c>
      <c r="G6" s="63">
        <f t="shared" si="4"/>
        <v>9.5131298699074329E-2</v>
      </c>
      <c r="H6" s="63">
        <f t="shared" si="5"/>
        <v>9.5000000000000001E-2</v>
      </c>
      <c r="I6" s="64">
        <f t="shared" si="6"/>
        <v>0.63</v>
      </c>
      <c r="J6" s="57">
        <f t="shared" si="7"/>
        <v>5</v>
      </c>
    </row>
    <row r="7" spans="1:10" ht="13.35" customHeight="1">
      <c r="A7" s="67" t="s">
        <v>99</v>
      </c>
      <c r="B7" s="67" t="s">
        <v>101</v>
      </c>
      <c r="C7" s="61">
        <v>2022</v>
      </c>
      <c r="D7" s="66">
        <v>1.48</v>
      </c>
      <c r="E7" s="66" t="s">
        <v>87</v>
      </c>
      <c r="F7" s="66" t="s">
        <v>88</v>
      </c>
      <c r="G7" s="63">
        <f t="shared" si="4"/>
        <v>9.5131298699074329E-2</v>
      </c>
      <c r="H7" s="63">
        <f t="shared" si="5"/>
        <v>9.5000000000000001E-2</v>
      </c>
      <c r="I7" s="64">
        <f t="shared" si="6"/>
        <v>0.63</v>
      </c>
      <c r="J7" s="57">
        <f t="shared" si="7"/>
        <v>5</v>
      </c>
    </row>
    <row r="8" spans="1:10" ht="13.35" customHeight="1">
      <c r="A8" s="32" t="s">
        <v>103</v>
      </c>
      <c r="B8" s="60" t="s">
        <v>108</v>
      </c>
      <c r="C8" s="61">
        <v>2022</v>
      </c>
      <c r="D8" s="62"/>
      <c r="E8" s="62"/>
      <c r="F8" s="62"/>
      <c r="G8" s="63" t="e">
        <f t="shared" si="4"/>
        <v>#NUM!</v>
      </c>
      <c r="H8" s="63" t="e">
        <f t="shared" si="5"/>
        <v>#NUM!</v>
      </c>
      <c r="I8" s="64" t="e">
        <f t="shared" si="6"/>
        <v>#NUM!</v>
      </c>
      <c r="J8" s="57" t="e">
        <f t="shared" si="7"/>
        <v>#NUM!</v>
      </c>
    </row>
    <row r="9" spans="1:10" ht="13.35" customHeight="1">
      <c r="A9" s="32" t="s">
        <v>103</v>
      </c>
      <c r="B9" s="60" t="s">
        <v>109</v>
      </c>
      <c r="C9" s="61">
        <v>2022</v>
      </c>
      <c r="D9" s="62">
        <v>1.22</v>
      </c>
      <c r="E9" s="62" t="s">
        <v>87</v>
      </c>
      <c r="F9" s="62" t="s">
        <v>88</v>
      </c>
      <c r="G9" s="63">
        <f t="shared" si="4"/>
        <v>0.17399746725853527</v>
      </c>
      <c r="H9" s="63">
        <f t="shared" si="5"/>
        <v>0.17399999999999999</v>
      </c>
      <c r="I9" s="64">
        <f t="shared" si="6"/>
        <v>1.1599999999999999</v>
      </c>
      <c r="J9" s="57">
        <f t="shared" si="7"/>
        <v>4</v>
      </c>
    </row>
    <row r="10" spans="1:10" ht="13.35" customHeight="1">
      <c r="A10" s="35" t="s">
        <v>103</v>
      </c>
      <c r="B10" s="68" t="s">
        <v>110</v>
      </c>
      <c r="C10" s="61">
        <v>2022</v>
      </c>
      <c r="D10" s="62"/>
      <c r="E10" s="62"/>
      <c r="F10" s="62"/>
      <c r="G10" s="63" t="e">
        <f t="shared" si="4"/>
        <v>#NUM!</v>
      </c>
      <c r="H10" s="63" t="e">
        <f t="shared" si="5"/>
        <v>#NUM!</v>
      </c>
      <c r="I10" s="64" t="e">
        <f t="shared" si="6"/>
        <v>#NUM!</v>
      </c>
      <c r="J10" s="57" t="e">
        <f t="shared" si="7"/>
        <v>#NUM!</v>
      </c>
    </row>
    <row r="11" spans="1:10" ht="13.35" customHeight="1">
      <c r="A11" s="35" t="s">
        <v>103</v>
      </c>
      <c r="B11" s="68" t="s">
        <v>111</v>
      </c>
      <c r="C11" s="61">
        <v>2022</v>
      </c>
      <c r="D11" s="62">
        <v>1.22</v>
      </c>
      <c r="E11" s="62" t="s">
        <v>87</v>
      </c>
      <c r="F11" s="62" t="s">
        <v>88</v>
      </c>
      <c r="G11" s="63">
        <f t="shared" si="4"/>
        <v>0.17399746725853527</v>
      </c>
      <c r="H11" s="63">
        <f t="shared" si="5"/>
        <v>0.17399999999999999</v>
      </c>
      <c r="I11" s="64">
        <f t="shared" si="6"/>
        <v>1.1599999999999999</v>
      </c>
      <c r="J11" s="57">
        <f t="shared" si="7"/>
        <v>4</v>
      </c>
    </row>
    <row r="12" spans="1:10" ht="13.35" customHeight="1">
      <c r="A12" s="33" t="s">
        <v>104</v>
      </c>
      <c r="B12" s="14" t="s">
        <v>105</v>
      </c>
      <c r="C12" s="61">
        <v>2022</v>
      </c>
      <c r="D12" s="62">
        <v>1.45</v>
      </c>
      <c r="E12" s="62" t="s">
        <v>87</v>
      </c>
      <c r="F12" s="62" t="s">
        <v>88</v>
      </c>
      <c r="G12" s="63">
        <f t="shared" ref="G12:G13" si="8">IF(F12="Y",((1/(1+EXP(2.6968+(1.1686*LN(D12-0.9)))))),((1/(1+EXP(2.8891+(1.1686*(LN(D12-0.9))))))))</f>
        <v>0.10060976640917974</v>
      </c>
      <c r="H12" s="63">
        <f t="shared" ref="H12:H13" si="9">ROUND(G12,3)</f>
        <v>0.10100000000000001</v>
      </c>
      <c r="I12" s="64">
        <f t="shared" ref="I12:I13" si="10">ROUND(H12/0.15,2)</f>
        <v>0.67</v>
      </c>
      <c r="J12" s="57">
        <f t="shared" ref="J12:J13" si="11">IF(I12&lt;0.673,5,IF(I12&lt;1.33,4,IF(I12&lt;2,3,IF(I12&lt;2.67,2,1))))</f>
        <v>5</v>
      </c>
    </row>
    <row r="13" spans="1:10" ht="13.35" customHeight="1">
      <c r="A13" s="14" t="s">
        <v>107</v>
      </c>
      <c r="B13" s="14" t="s">
        <v>127</v>
      </c>
      <c r="C13" s="61">
        <v>2022</v>
      </c>
      <c r="D13" s="66">
        <v>1.38</v>
      </c>
      <c r="E13" s="66" t="s">
        <v>88</v>
      </c>
      <c r="F13" s="66" t="s">
        <v>88</v>
      </c>
      <c r="G13" s="63">
        <f t="shared" si="8"/>
        <v>0.11594702085375087</v>
      </c>
      <c r="H13" s="63">
        <f t="shared" si="9"/>
        <v>0.11600000000000001</v>
      </c>
      <c r="I13" s="64">
        <f t="shared" si="10"/>
        <v>0.77</v>
      </c>
      <c r="J13" s="57">
        <f t="shared" si="11"/>
        <v>4</v>
      </c>
    </row>
    <row r="14" spans="1:10" ht="13.35" customHeight="1">
      <c r="A14" s="34" t="s">
        <v>86</v>
      </c>
      <c r="B14" s="60" t="s">
        <v>95</v>
      </c>
      <c r="C14" s="61">
        <v>2022</v>
      </c>
      <c r="D14" s="66">
        <v>1.2</v>
      </c>
      <c r="E14" s="66" t="s">
        <v>87</v>
      </c>
      <c r="F14" s="66" t="s">
        <v>88</v>
      </c>
      <c r="G14" s="63">
        <f t="shared" ref="G14:G15" si="12">IF(F14="Y",((1/(1+EXP(2.6968+(1.1686*LN(D14-0.9)))))),((1/(1+EXP(2.8891+(1.1686*(LN(D14-0.9))))))))</f>
        <v>0.1851047975833634</v>
      </c>
      <c r="H14" s="63">
        <f t="shared" ref="H14:H15" si="13">ROUND(G14,3)</f>
        <v>0.185</v>
      </c>
      <c r="I14" s="64">
        <f t="shared" ref="I14:I15" si="14">ROUND(H14/0.15,2)</f>
        <v>1.23</v>
      </c>
      <c r="J14" s="57">
        <f t="shared" ref="J14:J15" si="15">IF(I14&lt;0.673,5,IF(I14&lt;1.33,4,IF(I14&lt;2,3,IF(I14&lt;2.67,2,1))))</f>
        <v>4</v>
      </c>
    </row>
    <row r="15" spans="1:10" ht="13.35" customHeight="1">
      <c r="A15" s="34" t="s">
        <v>86</v>
      </c>
      <c r="B15" s="60" t="s">
        <v>96</v>
      </c>
      <c r="C15" s="61">
        <v>2022</v>
      </c>
      <c r="D15" s="66">
        <v>1.2</v>
      </c>
      <c r="E15" s="66" t="s">
        <v>87</v>
      </c>
      <c r="F15" s="66" t="s">
        <v>88</v>
      </c>
      <c r="G15" s="63">
        <f t="shared" si="12"/>
        <v>0.1851047975833634</v>
      </c>
      <c r="H15" s="63">
        <f t="shared" si="13"/>
        <v>0.185</v>
      </c>
      <c r="I15" s="64">
        <f t="shared" si="14"/>
        <v>1.23</v>
      </c>
      <c r="J15" s="57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5"/>
  <sheetViews>
    <sheetView zoomScaleNormal="100" workbookViewId="0">
      <pane xSplit="6" ySplit="2" topLeftCell="G3" activePane="bottomRight" state="frozen"/>
      <selection activeCell="D25" sqref="D25"/>
      <selection pane="topRight" activeCell="D25" sqref="D25"/>
      <selection pane="bottomLeft" activeCell="D25" sqref="D25"/>
      <selection pane="bottomRight" activeCell="A12" sqref="A12:XFD12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3.5703125" style="100" bestFit="1" customWidth="1"/>
    <col min="4" max="4" width="29" style="100" bestFit="1" customWidth="1"/>
    <col min="5" max="5" width="7.42578125" style="100" customWidth="1"/>
    <col min="6" max="6" width="4.5703125" style="100" bestFit="1" customWidth="1"/>
    <col min="7" max="9" width="8.5703125" style="171" customWidth="1"/>
    <col min="10" max="10" width="8.5703125" style="171" bestFit="1" customWidth="1"/>
    <col min="11" max="22" width="8.5703125" style="171" customWidth="1"/>
    <col min="23" max="23" width="7" style="104" customWidth="1"/>
    <col min="24" max="24" width="5.42578125" style="104" customWidth="1"/>
    <col min="25" max="25" width="9" style="104" customWidth="1"/>
    <col min="26" max="26" width="10" style="104" customWidth="1"/>
    <col min="27" max="27" width="7.42578125" style="104" customWidth="1"/>
    <col min="28" max="28" width="6.85546875" style="104" customWidth="1"/>
    <col min="29" max="29" width="6.85546875" style="65" customWidth="1"/>
    <col min="30" max="30" width="7.85546875" style="65" customWidth="1"/>
    <col min="31" max="31" width="8" style="65" customWidth="1"/>
    <col min="32" max="33" width="7" style="65" customWidth="1"/>
    <col min="34" max="34" width="4.85546875" style="65" customWidth="1"/>
    <col min="35" max="35" width="9" style="65" customWidth="1"/>
    <col min="36" max="36" width="10.140625" style="65" customWidth="1"/>
    <col min="37" max="37" width="6.42578125" style="65" customWidth="1"/>
    <col min="38" max="39" width="6.85546875" style="65" customWidth="1"/>
    <col min="40" max="40" width="7.85546875" style="65" customWidth="1"/>
    <col min="41" max="41" width="8" style="65" customWidth="1"/>
    <col min="42" max="42" width="7" style="65" customWidth="1"/>
    <col min="43" max="43" width="7.5703125" style="65" customWidth="1"/>
    <col min="44" max="44" width="9.7109375" style="65" bestFit="1" customWidth="1"/>
    <col min="45" max="45" width="7.28515625" style="65" bestFit="1" customWidth="1"/>
    <col min="46" max="46" width="5.7109375" style="104" bestFit="1" customWidth="1"/>
    <col min="47" max="47" width="9.7109375" style="104" bestFit="1" customWidth="1"/>
    <col min="48" max="48" width="6" style="104" bestFit="1" customWidth="1"/>
    <col min="49" max="49" width="5.7109375" style="172" bestFit="1" customWidth="1"/>
    <col min="50" max="50" width="9.7109375" style="172" bestFit="1" customWidth="1"/>
    <col min="51" max="51" width="6" style="173" bestFit="1" customWidth="1"/>
    <col min="52" max="16384" width="9.140625" style="65"/>
  </cols>
  <sheetData>
    <row r="1" spans="1:51" s="59" customFormat="1" ht="18.75" customHeight="1">
      <c r="A1" s="16"/>
      <c r="B1" s="16"/>
      <c r="C1" s="145"/>
      <c r="D1" s="145"/>
      <c r="E1" s="146"/>
      <c r="F1" s="146"/>
      <c r="G1" s="147" t="s">
        <v>28</v>
      </c>
      <c r="H1" s="148"/>
      <c r="I1" s="148"/>
      <c r="J1" s="148"/>
      <c r="K1" s="148"/>
      <c r="L1" s="148"/>
      <c r="M1" s="148"/>
      <c r="N1" s="149"/>
      <c r="O1" s="116" t="s">
        <v>29</v>
      </c>
      <c r="P1" s="150"/>
      <c r="Q1" s="150"/>
      <c r="R1" s="150"/>
      <c r="S1" s="150"/>
      <c r="T1" s="150"/>
      <c r="U1" s="150"/>
      <c r="V1" s="150"/>
      <c r="W1" s="151" t="s">
        <v>30</v>
      </c>
      <c r="X1" s="152"/>
      <c r="Y1" s="152"/>
      <c r="Z1" s="152"/>
      <c r="AA1" s="152"/>
      <c r="AB1" s="152"/>
      <c r="AC1" s="152"/>
      <c r="AD1" s="152"/>
      <c r="AE1" s="152"/>
      <c r="AF1" s="153"/>
      <c r="AG1" s="154" t="s">
        <v>31</v>
      </c>
      <c r="AH1" s="155"/>
      <c r="AI1" s="155"/>
      <c r="AJ1" s="155"/>
      <c r="AK1" s="155"/>
      <c r="AL1" s="155"/>
      <c r="AM1" s="155"/>
      <c r="AN1" s="155"/>
      <c r="AO1" s="155"/>
      <c r="AP1" s="156"/>
      <c r="AQ1" s="157" t="s">
        <v>13</v>
      </c>
      <c r="AR1" s="16" t="s">
        <v>16</v>
      </c>
      <c r="AS1" s="16" t="s">
        <v>9</v>
      </c>
      <c r="AT1" s="5" t="s">
        <v>13</v>
      </c>
      <c r="AU1" s="5" t="s">
        <v>16</v>
      </c>
      <c r="AV1" s="5" t="s">
        <v>51</v>
      </c>
      <c r="AW1" s="24" t="s">
        <v>13</v>
      </c>
      <c r="AX1" s="24" t="s">
        <v>16</v>
      </c>
      <c r="AY1" s="24" t="s">
        <v>51</v>
      </c>
    </row>
    <row r="2" spans="1:51" s="59" customFormat="1" ht="33.75">
      <c r="A2" s="16" t="s">
        <v>27</v>
      </c>
      <c r="B2" s="16" t="s">
        <v>85</v>
      </c>
      <c r="C2" s="16" t="s">
        <v>19</v>
      </c>
      <c r="D2" s="16" t="s">
        <v>20</v>
      </c>
      <c r="E2" s="36" t="s">
        <v>77</v>
      </c>
      <c r="F2" s="146" t="s">
        <v>21</v>
      </c>
      <c r="G2" s="40" t="s">
        <v>25</v>
      </c>
      <c r="H2" s="11" t="s">
        <v>0</v>
      </c>
      <c r="I2" s="43" t="s">
        <v>34</v>
      </c>
      <c r="J2" s="43" t="s">
        <v>63</v>
      </c>
      <c r="K2" s="43" t="s">
        <v>35</v>
      </c>
      <c r="L2" s="42" t="s">
        <v>36</v>
      </c>
      <c r="M2" s="43" t="s">
        <v>37</v>
      </c>
      <c r="N2" s="158" t="s">
        <v>38</v>
      </c>
      <c r="O2" s="40" t="s">
        <v>25</v>
      </c>
      <c r="P2" s="11" t="s">
        <v>0</v>
      </c>
      <c r="Q2" s="43" t="s">
        <v>34</v>
      </c>
      <c r="R2" s="43" t="s">
        <v>63</v>
      </c>
      <c r="S2" s="43" t="s">
        <v>35</v>
      </c>
      <c r="T2" s="42" t="s">
        <v>36</v>
      </c>
      <c r="U2" s="43" t="s">
        <v>37</v>
      </c>
      <c r="V2" s="159" t="s">
        <v>38</v>
      </c>
      <c r="W2" s="160" t="s">
        <v>26</v>
      </c>
      <c r="X2" s="161" t="s">
        <v>2</v>
      </c>
      <c r="Y2" s="5" t="s">
        <v>5</v>
      </c>
      <c r="Z2" s="5" t="s">
        <v>64</v>
      </c>
      <c r="AA2" s="161" t="s">
        <v>6</v>
      </c>
      <c r="AB2" s="5" t="s">
        <v>3</v>
      </c>
      <c r="AC2" s="16" t="s">
        <v>3</v>
      </c>
      <c r="AD2" s="16" t="s">
        <v>23</v>
      </c>
      <c r="AE2" s="16" t="s">
        <v>24</v>
      </c>
      <c r="AF2" s="97" t="s">
        <v>4</v>
      </c>
      <c r="AG2" s="40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62" t="s">
        <v>4</v>
      </c>
      <c r="AQ2" s="157" t="s">
        <v>7</v>
      </c>
      <c r="AR2" s="16" t="s">
        <v>8</v>
      </c>
      <c r="AS2" s="16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4" t="s">
        <v>32</v>
      </c>
    </row>
    <row r="3" spans="1:51">
      <c r="A3" s="62">
        <v>11663</v>
      </c>
      <c r="B3" s="62" t="s">
        <v>112</v>
      </c>
      <c r="C3" s="57" t="str">
        <f>Rollover!A3</f>
        <v>Acura</v>
      </c>
      <c r="D3" s="57" t="str">
        <f>Rollover!B3</f>
        <v>MDX SUV AWD</v>
      </c>
      <c r="E3" s="143" t="s">
        <v>106</v>
      </c>
      <c r="F3" s="163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51">
        <v>2037.548</v>
      </c>
      <c r="W3" s="46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55">
        <f t="shared" ref="AF3:AF4" si="9">MAX(AD3,AE3)</f>
        <v>1.0044368256037261E-2</v>
      </c>
      <c r="AG3" s="46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55">
        <f t="shared" ref="AP3:AP4" si="19">MAX(AN3,AO3)</f>
        <v>1.4168109998371752E-2</v>
      </c>
      <c r="AQ3" s="142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3">
        <f t="shared" ref="AT3:AT4" si="23">ROUND(AQ3/0.15,2)</f>
        <v>0.67</v>
      </c>
      <c r="AU3" s="23">
        <f t="shared" ref="AU3:AU4" si="24">ROUND(AR3/0.15,2)</f>
        <v>0.68</v>
      </c>
      <c r="AV3" s="23">
        <f t="shared" ref="AV3:AV4" si="25">ROUND(AS3/0.15,2)</f>
        <v>0.67</v>
      </c>
      <c r="AW3" s="24">
        <f t="shared" ref="AW3:AW4" si="26">IF(AT3&lt;0.67,5,IF(AT3&lt;1,4,IF(AT3&lt;1.33,3,IF(AT3&lt;2.67,2,1))))</f>
        <v>4</v>
      </c>
      <c r="AX3" s="24">
        <f t="shared" ref="AX3:AX4" si="27">IF(AU3&lt;0.67,5,IF(AU3&lt;1,4,IF(AU3&lt;1.33,3,IF(AU3&lt;2.67,2,1))))</f>
        <v>4</v>
      </c>
      <c r="AY3" s="24">
        <f t="shared" ref="AY3:AY4" si="28">IF(AV3&lt;0.67,5,IF(AV3&lt;1,4,IF(AV3&lt;1.33,3,IF(AV3&lt;2.67,2,1))))</f>
        <v>4</v>
      </c>
    </row>
    <row r="4" spans="1:51">
      <c r="A4" s="62">
        <v>11663</v>
      </c>
      <c r="B4" s="62" t="s">
        <v>112</v>
      </c>
      <c r="C4" s="57" t="str">
        <f>Rollover!A4</f>
        <v>Acura</v>
      </c>
      <c r="D4" s="57" t="str">
        <f>Rollover!B4</f>
        <v>MDX SUV FWD</v>
      </c>
      <c r="E4" s="143" t="s">
        <v>106</v>
      </c>
      <c r="F4" s="163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51">
        <v>2037.548</v>
      </c>
      <c r="W4" s="46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55">
        <f t="shared" si="9"/>
        <v>1.0044368256037261E-2</v>
      </c>
      <c r="AG4" s="46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55">
        <f t="shared" si="19"/>
        <v>1.4168109998371752E-2</v>
      </c>
      <c r="AQ4" s="142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3">
        <f t="shared" si="23"/>
        <v>0.67</v>
      </c>
      <c r="AU4" s="23">
        <f t="shared" si="24"/>
        <v>0.68</v>
      </c>
      <c r="AV4" s="23">
        <f t="shared" si="25"/>
        <v>0.67</v>
      </c>
      <c r="AW4" s="24">
        <f t="shared" si="26"/>
        <v>4</v>
      </c>
      <c r="AX4" s="24">
        <f t="shared" si="27"/>
        <v>4</v>
      </c>
      <c r="AY4" s="24">
        <f t="shared" si="28"/>
        <v>4</v>
      </c>
    </row>
    <row r="5" spans="1:51">
      <c r="A5" s="66" t="s">
        <v>121</v>
      </c>
      <c r="B5" s="66" t="s">
        <v>122</v>
      </c>
      <c r="C5" s="57" t="str">
        <f>Rollover!A5</f>
        <v>Honda</v>
      </c>
      <c r="D5" s="57" t="str">
        <f>Rollover!B5</f>
        <v>Civic 4DR FWD</v>
      </c>
      <c r="E5" s="143" t="s">
        <v>106</v>
      </c>
      <c r="F5" s="163">
        <f>Rollover!C5</f>
        <v>2022</v>
      </c>
      <c r="G5" s="46">
        <v>325.346</v>
      </c>
      <c r="H5" s="10">
        <v>0.30299999999999999</v>
      </c>
      <c r="I5" s="10">
        <v>1071.037</v>
      </c>
      <c r="J5" s="10">
        <v>103.711</v>
      </c>
      <c r="K5" s="10">
        <v>19.547999999999998</v>
      </c>
      <c r="L5" s="10">
        <v>36.225000000000001</v>
      </c>
      <c r="M5" s="10">
        <v>838.65499999999997</v>
      </c>
      <c r="N5" s="55">
        <v>1653.34</v>
      </c>
      <c r="O5" s="46">
        <v>444.48</v>
      </c>
      <c r="P5" s="10">
        <v>0.249</v>
      </c>
      <c r="Q5" s="10">
        <v>840.15099999999995</v>
      </c>
      <c r="R5" s="10">
        <v>272.31299999999999</v>
      </c>
      <c r="S5" s="10">
        <v>11.391</v>
      </c>
      <c r="T5" s="10">
        <v>41.145000000000003</v>
      </c>
      <c r="U5" s="10">
        <v>1222.229</v>
      </c>
      <c r="V5" s="56">
        <v>730.42200000000003</v>
      </c>
      <c r="W5" s="46">
        <f t="shared" ref="W5:W11" si="29">NORMDIST(LN(G5),7.45231,0.73998,1)</f>
        <v>1.2119105160907128E-2</v>
      </c>
      <c r="X5" s="10">
        <f t="shared" ref="X5:X11" si="30">1/(1+EXP(3.2269-1.9688*H5))</f>
        <v>6.7210278929979619E-2</v>
      </c>
      <c r="Y5" s="10">
        <f t="shared" ref="Y5:Y11" si="31">1/(1+EXP(10.9745-2.375*I5/1000))</f>
        <v>2.1800225503727924E-4</v>
      </c>
      <c r="Z5" s="10">
        <f t="shared" ref="Z5:Z11" si="32">1/(1+EXP(10.9745-2.375*J5/1000))</f>
        <v>2.1917869540360902E-5</v>
      </c>
      <c r="AA5" s="10">
        <f t="shared" ref="AA5:AA11" si="33">MAX(X5,Y5,Z5)</f>
        <v>6.7210278929979619E-2</v>
      </c>
      <c r="AB5" s="10">
        <f t="shared" ref="AB5:AB11" si="34">1/(1+EXP(12.597-0.05861*35-1.568*(K5^0.4612)))</f>
        <v>1.2514219721766848E-2</v>
      </c>
      <c r="AC5" s="10">
        <f t="shared" ref="AC5:AC11" si="35">AB5</f>
        <v>1.2514219721766848E-2</v>
      </c>
      <c r="AD5" s="10">
        <f t="shared" ref="AD5:AD11" si="36">1/(1+EXP(5.7949-0.5196*M5/1000))</f>
        <v>4.68294167724723E-3</v>
      </c>
      <c r="AE5" s="10">
        <f t="shared" ref="AE5:AE11" si="37">1/(1+EXP(5.7949-0.5196*N5/1000))</f>
        <v>7.1332852608337804E-3</v>
      </c>
      <c r="AF5" s="55">
        <f t="shared" ref="AF5:AF11" si="38">MAX(AD5,AE5)</f>
        <v>7.1332852608337804E-3</v>
      </c>
      <c r="AG5" s="46">
        <f t="shared" ref="AG5:AG11" si="39">NORMDIST(LN(O5),7.45231,0.73998,1)</f>
        <v>3.3499718824108474E-2</v>
      </c>
      <c r="AH5" s="10">
        <f t="shared" ref="AH5:AH11" si="40">1/(1+EXP(3.2269-1.9688*P5))</f>
        <v>6.0843976465800663E-2</v>
      </c>
      <c r="AI5" s="10">
        <f t="shared" ref="AI5:AI11" si="41">1/(1+EXP(10.958-3.77*Q5/1000))</f>
        <v>4.1342094928034341E-4</v>
      </c>
      <c r="AJ5" s="10">
        <f t="shared" ref="AJ5:AJ11" si="42">1/(1+EXP(10.958-3.77*R5/1000))</f>
        <v>4.8622284007813228E-5</v>
      </c>
      <c r="AK5" s="10">
        <f t="shared" ref="AK5:AK11" si="43">MAX(AH5,AI5,AJ5)</f>
        <v>6.0843976465800663E-2</v>
      </c>
      <c r="AL5" s="10">
        <f t="shared" ref="AL5:AL11" si="44">1/(1+EXP(12.597-0.05861*35-1.568*((S5/0.817)^0.4612)))</f>
        <v>5.1695276264507248E-3</v>
      </c>
      <c r="AM5" s="10">
        <f t="shared" ref="AM5:AM11" si="45">AL5</f>
        <v>5.1695276264507248E-3</v>
      </c>
      <c r="AN5" s="10">
        <f t="shared" ref="AN5:AN11" si="46">1/(1+EXP(5.7949-0.7619*U5/1000))</f>
        <v>7.6628136247878197E-3</v>
      </c>
      <c r="AO5" s="10">
        <f t="shared" ref="AO5:AO11" si="47">1/(1+EXP(5.7949-0.7619*V5/1000))</f>
        <v>5.2807548602380227E-3</v>
      </c>
      <c r="AP5" s="55">
        <f t="shared" ref="AP5:AP11" si="48">MAX(AN5,AO5)</f>
        <v>7.6628136247878197E-3</v>
      </c>
      <c r="AQ5" s="142">
        <f t="shared" ref="AQ5:AQ11" si="49">ROUND(1-(1-W5)*(1-AA5)*(1-AC5)*(1-AF5),3)</f>
        <v>9.7000000000000003E-2</v>
      </c>
      <c r="AR5" s="10">
        <f t="shared" ref="AR5:AR11" si="50">ROUND(1-(1-AG5)*(1-AK5)*(1-AM5)*(1-AP5),3)</f>
        <v>0.104</v>
      </c>
      <c r="AS5" s="10">
        <f t="shared" ref="AS5:AS11" si="51">ROUND(AVERAGE(AR5,AQ5),3)</f>
        <v>0.10100000000000001</v>
      </c>
      <c r="AT5" s="23">
        <f t="shared" ref="AT5:AT11" si="52">ROUND(AQ5/0.15,2)</f>
        <v>0.65</v>
      </c>
      <c r="AU5" s="23">
        <f t="shared" ref="AU5:AU11" si="53">ROUND(AR5/0.15,2)</f>
        <v>0.69</v>
      </c>
      <c r="AV5" s="23">
        <f t="shared" ref="AV5:AV11" si="54">ROUND(AS5/0.15,2)</f>
        <v>0.67</v>
      </c>
      <c r="AW5" s="24">
        <f t="shared" ref="AW5:AW11" si="55">IF(AT5&lt;0.67,5,IF(AT5&lt;1,4,IF(AT5&lt;1.33,3,IF(AT5&lt;2.67,2,1))))</f>
        <v>5</v>
      </c>
      <c r="AX5" s="24">
        <f t="shared" ref="AX5:AX11" si="56">IF(AU5&lt;0.67,5,IF(AU5&lt;1,4,IF(AU5&lt;1.33,3,IF(AU5&lt;2.67,2,1))))</f>
        <v>4</v>
      </c>
      <c r="AY5" s="24">
        <f t="shared" ref="AY5:AY11" si="57">IF(AV5&lt;0.67,5,IF(AV5&lt;1,4,IF(AV5&lt;1.33,3,IF(AV5&lt;2.67,2,1))))</f>
        <v>4</v>
      </c>
    </row>
    <row r="6" spans="1:51">
      <c r="A6" s="66" t="s">
        <v>121</v>
      </c>
      <c r="B6" s="66" t="s">
        <v>122</v>
      </c>
      <c r="C6" s="164" t="str">
        <f>Rollover!A6</f>
        <v>Honda</v>
      </c>
      <c r="D6" s="164" t="str">
        <f>Rollover!B6</f>
        <v>Civic SI 4DR FWD</v>
      </c>
      <c r="E6" s="143" t="s">
        <v>106</v>
      </c>
      <c r="F6" s="163">
        <f>Rollover!C6</f>
        <v>2022</v>
      </c>
      <c r="G6" s="46">
        <v>325.346</v>
      </c>
      <c r="H6" s="10">
        <v>0.30299999999999999</v>
      </c>
      <c r="I6" s="10">
        <v>1071.037</v>
      </c>
      <c r="J6" s="10">
        <v>103.711</v>
      </c>
      <c r="K6" s="10">
        <v>19.547999999999998</v>
      </c>
      <c r="L6" s="10">
        <v>36.225000000000001</v>
      </c>
      <c r="M6" s="10">
        <v>838.65499999999997</v>
      </c>
      <c r="N6" s="55">
        <v>1653.34</v>
      </c>
      <c r="O6" s="46">
        <v>444.48</v>
      </c>
      <c r="P6" s="10">
        <v>0.249</v>
      </c>
      <c r="Q6" s="10">
        <v>840.15099999999995</v>
      </c>
      <c r="R6" s="10">
        <v>272.31299999999999</v>
      </c>
      <c r="S6" s="10">
        <v>11.391</v>
      </c>
      <c r="T6" s="10">
        <v>41.145000000000003</v>
      </c>
      <c r="U6" s="10">
        <v>1222.229</v>
      </c>
      <c r="V6" s="56">
        <v>730.42200000000003</v>
      </c>
      <c r="W6" s="46">
        <f t="shared" si="29"/>
        <v>1.2119105160907128E-2</v>
      </c>
      <c r="X6" s="10">
        <f t="shared" si="30"/>
        <v>6.7210278929979619E-2</v>
      </c>
      <c r="Y6" s="10">
        <f t="shared" si="31"/>
        <v>2.1800225503727924E-4</v>
      </c>
      <c r="Z6" s="10">
        <f t="shared" si="32"/>
        <v>2.1917869540360902E-5</v>
      </c>
      <c r="AA6" s="10">
        <f t="shared" si="33"/>
        <v>6.7210278929979619E-2</v>
      </c>
      <c r="AB6" s="10">
        <f t="shared" si="34"/>
        <v>1.2514219721766848E-2</v>
      </c>
      <c r="AC6" s="10">
        <f t="shared" si="35"/>
        <v>1.2514219721766848E-2</v>
      </c>
      <c r="AD6" s="10">
        <f t="shared" si="36"/>
        <v>4.68294167724723E-3</v>
      </c>
      <c r="AE6" s="10">
        <f t="shared" si="37"/>
        <v>7.1332852608337804E-3</v>
      </c>
      <c r="AF6" s="55">
        <f t="shared" si="38"/>
        <v>7.1332852608337804E-3</v>
      </c>
      <c r="AG6" s="46">
        <f t="shared" si="39"/>
        <v>3.3499718824108474E-2</v>
      </c>
      <c r="AH6" s="10">
        <f t="shared" si="40"/>
        <v>6.0843976465800663E-2</v>
      </c>
      <c r="AI6" s="10">
        <f t="shared" si="41"/>
        <v>4.1342094928034341E-4</v>
      </c>
      <c r="AJ6" s="10">
        <f t="shared" si="42"/>
        <v>4.8622284007813228E-5</v>
      </c>
      <c r="AK6" s="10">
        <f t="shared" si="43"/>
        <v>6.0843976465800663E-2</v>
      </c>
      <c r="AL6" s="10">
        <f t="shared" si="44"/>
        <v>5.1695276264507248E-3</v>
      </c>
      <c r="AM6" s="10">
        <f t="shared" si="45"/>
        <v>5.1695276264507248E-3</v>
      </c>
      <c r="AN6" s="10">
        <f t="shared" si="46"/>
        <v>7.6628136247878197E-3</v>
      </c>
      <c r="AO6" s="10">
        <f t="shared" si="47"/>
        <v>5.2807548602380227E-3</v>
      </c>
      <c r="AP6" s="55">
        <f t="shared" si="48"/>
        <v>7.6628136247878197E-3</v>
      </c>
      <c r="AQ6" s="142">
        <f t="shared" si="49"/>
        <v>9.7000000000000003E-2</v>
      </c>
      <c r="AR6" s="10">
        <f t="shared" si="50"/>
        <v>0.104</v>
      </c>
      <c r="AS6" s="10">
        <f t="shared" si="51"/>
        <v>0.10100000000000001</v>
      </c>
      <c r="AT6" s="23">
        <f t="shared" si="52"/>
        <v>0.65</v>
      </c>
      <c r="AU6" s="23">
        <f t="shared" si="53"/>
        <v>0.69</v>
      </c>
      <c r="AV6" s="23">
        <f t="shared" si="54"/>
        <v>0.67</v>
      </c>
      <c r="AW6" s="24">
        <f t="shared" si="55"/>
        <v>5</v>
      </c>
      <c r="AX6" s="24">
        <f t="shared" si="56"/>
        <v>4</v>
      </c>
      <c r="AY6" s="24">
        <f t="shared" si="57"/>
        <v>4</v>
      </c>
    </row>
    <row r="7" spans="1:51">
      <c r="A7" s="66" t="s">
        <v>121</v>
      </c>
      <c r="B7" s="66" t="s">
        <v>122</v>
      </c>
      <c r="C7" s="164" t="str">
        <f>Rollover!A7</f>
        <v>Honda</v>
      </c>
      <c r="D7" s="164" t="str">
        <f>Rollover!B7</f>
        <v>Civic 5HB FWD</v>
      </c>
      <c r="E7" s="143" t="s">
        <v>106</v>
      </c>
      <c r="F7" s="163">
        <f>Rollover!C7</f>
        <v>2022</v>
      </c>
      <c r="G7" s="46">
        <v>325.346</v>
      </c>
      <c r="H7" s="10">
        <v>0.30299999999999999</v>
      </c>
      <c r="I7" s="10">
        <v>1071.037</v>
      </c>
      <c r="J7" s="10">
        <v>103.711</v>
      </c>
      <c r="K7" s="10">
        <v>19.547999999999998</v>
      </c>
      <c r="L7" s="10">
        <v>36.225000000000001</v>
      </c>
      <c r="M7" s="10">
        <v>838.65499999999997</v>
      </c>
      <c r="N7" s="55">
        <v>1653.34</v>
      </c>
      <c r="O7" s="46">
        <v>444.48</v>
      </c>
      <c r="P7" s="10">
        <v>0.249</v>
      </c>
      <c r="Q7" s="10">
        <v>840.15099999999995</v>
      </c>
      <c r="R7" s="10">
        <v>272.31299999999999</v>
      </c>
      <c r="S7" s="10">
        <v>11.391</v>
      </c>
      <c r="T7" s="10">
        <v>41.145000000000003</v>
      </c>
      <c r="U7" s="10">
        <v>1222.229</v>
      </c>
      <c r="V7" s="56">
        <v>730.42200000000003</v>
      </c>
      <c r="W7" s="46">
        <f t="shared" si="29"/>
        <v>1.2119105160907128E-2</v>
      </c>
      <c r="X7" s="10">
        <f t="shared" si="30"/>
        <v>6.7210278929979619E-2</v>
      </c>
      <c r="Y7" s="10">
        <f t="shared" si="31"/>
        <v>2.1800225503727924E-4</v>
      </c>
      <c r="Z7" s="10">
        <f t="shared" si="32"/>
        <v>2.1917869540360902E-5</v>
      </c>
      <c r="AA7" s="10">
        <f t="shared" si="33"/>
        <v>6.7210278929979619E-2</v>
      </c>
      <c r="AB7" s="10">
        <f t="shared" si="34"/>
        <v>1.2514219721766848E-2</v>
      </c>
      <c r="AC7" s="10">
        <f t="shared" si="35"/>
        <v>1.2514219721766848E-2</v>
      </c>
      <c r="AD7" s="10">
        <f t="shared" si="36"/>
        <v>4.68294167724723E-3</v>
      </c>
      <c r="AE7" s="10">
        <f t="shared" si="37"/>
        <v>7.1332852608337804E-3</v>
      </c>
      <c r="AF7" s="55">
        <f t="shared" si="38"/>
        <v>7.1332852608337804E-3</v>
      </c>
      <c r="AG7" s="46">
        <f t="shared" si="39"/>
        <v>3.3499718824108474E-2</v>
      </c>
      <c r="AH7" s="10">
        <f t="shared" si="40"/>
        <v>6.0843976465800663E-2</v>
      </c>
      <c r="AI7" s="10">
        <f t="shared" si="41"/>
        <v>4.1342094928034341E-4</v>
      </c>
      <c r="AJ7" s="10">
        <f t="shared" si="42"/>
        <v>4.8622284007813228E-5</v>
      </c>
      <c r="AK7" s="10">
        <f t="shared" si="43"/>
        <v>6.0843976465800663E-2</v>
      </c>
      <c r="AL7" s="10">
        <f t="shared" si="44"/>
        <v>5.1695276264507248E-3</v>
      </c>
      <c r="AM7" s="10">
        <f t="shared" si="45"/>
        <v>5.1695276264507248E-3</v>
      </c>
      <c r="AN7" s="10">
        <f t="shared" si="46"/>
        <v>7.6628136247878197E-3</v>
      </c>
      <c r="AO7" s="10">
        <f t="shared" si="47"/>
        <v>5.2807548602380227E-3</v>
      </c>
      <c r="AP7" s="55">
        <f t="shared" si="48"/>
        <v>7.6628136247878197E-3</v>
      </c>
      <c r="AQ7" s="142">
        <f t="shared" si="49"/>
        <v>9.7000000000000003E-2</v>
      </c>
      <c r="AR7" s="10">
        <f t="shared" si="50"/>
        <v>0.104</v>
      </c>
      <c r="AS7" s="10">
        <f t="shared" si="51"/>
        <v>0.10100000000000001</v>
      </c>
      <c r="AT7" s="23">
        <f t="shared" si="52"/>
        <v>0.65</v>
      </c>
      <c r="AU7" s="23">
        <f t="shared" si="53"/>
        <v>0.69</v>
      </c>
      <c r="AV7" s="23">
        <f t="shared" si="54"/>
        <v>0.67</v>
      </c>
      <c r="AW7" s="24">
        <f t="shared" si="55"/>
        <v>5</v>
      </c>
      <c r="AX7" s="24">
        <f t="shared" si="56"/>
        <v>4</v>
      </c>
      <c r="AY7" s="24">
        <f t="shared" si="57"/>
        <v>4</v>
      </c>
    </row>
    <row r="8" spans="1:51">
      <c r="A8" s="62">
        <v>11668</v>
      </c>
      <c r="B8" s="62" t="s">
        <v>116</v>
      </c>
      <c r="C8" s="57" t="str">
        <f>Rollover!A8</f>
        <v>Hyundai</v>
      </c>
      <c r="D8" s="57" t="str">
        <f>Rollover!B8</f>
        <v>Tucson SUV FWD early release</v>
      </c>
      <c r="E8" s="143" t="s">
        <v>106</v>
      </c>
      <c r="F8" s="163">
        <f>Rollover!C8</f>
        <v>2022</v>
      </c>
      <c r="G8" s="27">
        <v>267.52699999999999</v>
      </c>
      <c r="H8" s="28">
        <v>0.193</v>
      </c>
      <c r="I8" s="28">
        <v>909.03499999999997</v>
      </c>
      <c r="J8" s="28">
        <v>169.642</v>
      </c>
      <c r="K8" s="28">
        <v>29.463999999999999</v>
      </c>
      <c r="L8" s="28">
        <v>45.265999999999998</v>
      </c>
      <c r="M8" s="28">
        <v>343.78800000000001</v>
      </c>
      <c r="N8" s="29">
        <v>322.36399999999998</v>
      </c>
      <c r="O8" s="27">
        <v>347.56700000000001</v>
      </c>
      <c r="P8" s="28">
        <v>0.45700000000000002</v>
      </c>
      <c r="Q8" s="28">
        <v>603.88300000000004</v>
      </c>
      <c r="R8" s="28">
        <v>185.166</v>
      </c>
      <c r="S8" s="28">
        <v>17.440000000000001</v>
      </c>
      <c r="T8" s="28">
        <v>44.649000000000001</v>
      </c>
      <c r="U8" s="28">
        <v>89.647999999999996</v>
      </c>
      <c r="V8" s="51">
        <v>356.18099999999998</v>
      </c>
      <c r="W8" s="46">
        <f t="shared" si="29"/>
        <v>5.9052458583925931E-3</v>
      </c>
      <c r="X8" s="10">
        <f t="shared" si="30"/>
        <v>5.4840661938768687E-2</v>
      </c>
      <c r="Y8" s="10">
        <f t="shared" si="31"/>
        <v>1.4838648949714293E-4</v>
      </c>
      <c r="Z8" s="10">
        <f t="shared" si="32"/>
        <v>2.5633104856438446E-5</v>
      </c>
      <c r="AA8" s="10">
        <f t="shared" si="33"/>
        <v>5.4840661938768687E-2</v>
      </c>
      <c r="AB8" s="10">
        <f t="shared" si="34"/>
        <v>4.3879032917146649E-2</v>
      </c>
      <c r="AC8" s="10">
        <f t="shared" si="35"/>
        <v>4.3879032917146649E-2</v>
      </c>
      <c r="AD8" s="10">
        <f t="shared" si="36"/>
        <v>3.6250059568330665E-3</v>
      </c>
      <c r="AE8" s="10">
        <f t="shared" si="37"/>
        <v>3.5850203535062832E-3</v>
      </c>
      <c r="AF8" s="55">
        <f t="shared" si="38"/>
        <v>3.6250059568330665E-3</v>
      </c>
      <c r="AG8" s="46">
        <f t="shared" si="39"/>
        <v>1.523031685539155E-2</v>
      </c>
      <c r="AH8" s="10">
        <f t="shared" si="40"/>
        <v>8.8898551642244056E-2</v>
      </c>
      <c r="AI8" s="10">
        <f t="shared" si="41"/>
        <v>1.6969110629316321E-4</v>
      </c>
      <c r="AJ8" s="10">
        <f t="shared" si="42"/>
        <v>3.5007116529496676E-5</v>
      </c>
      <c r="AK8" s="10">
        <f t="shared" si="43"/>
        <v>8.8898551642244056E-2</v>
      </c>
      <c r="AL8" s="10">
        <f t="shared" si="44"/>
        <v>1.610484474409454E-2</v>
      </c>
      <c r="AM8" s="10">
        <f t="shared" si="45"/>
        <v>1.610484474409454E-2</v>
      </c>
      <c r="AN8" s="10">
        <f t="shared" si="46"/>
        <v>3.2475642089999121E-3</v>
      </c>
      <c r="AO8" s="10">
        <f t="shared" si="47"/>
        <v>3.9758786963701026E-3</v>
      </c>
      <c r="AP8" s="55">
        <f t="shared" si="48"/>
        <v>3.9758786963701026E-3</v>
      </c>
      <c r="AQ8" s="142">
        <f t="shared" si="49"/>
        <v>0.105</v>
      </c>
      <c r="AR8" s="10">
        <f t="shared" si="50"/>
        <v>0.121</v>
      </c>
      <c r="AS8" s="10">
        <f t="shared" si="51"/>
        <v>0.113</v>
      </c>
      <c r="AT8" s="23">
        <f t="shared" si="52"/>
        <v>0.7</v>
      </c>
      <c r="AU8" s="23">
        <f t="shared" si="53"/>
        <v>0.81</v>
      </c>
      <c r="AV8" s="23">
        <f t="shared" si="54"/>
        <v>0.75</v>
      </c>
      <c r="AW8" s="24">
        <f t="shared" si="55"/>
        <v>4</v>
      </c>
      <c r="AX8" s="24">
        <f t="shared" si="56"/>
        <v>4</v>
      </c>
      <c r="AY8" s="24">
        <f t="shared" si="57"/>
        <v>4</v>
      </c>
    </row>
    <row r="9" spans="1:51">
      <c r="A9" s="62">
        <v>11668</v>
      </c>
      <c r="B9" s="62" t="s">
        <v>116</v>
      </c>
      <c r="C9" s="57" t="str">
        <f>Rollover!A9</f>
        <v>Hyundai</v>
      </c>
      <c r="D9" s="57" t="str">
        <f>Rollover!B9</f>
        <v>Tucson SUV AWD early release</v>
      </c>
      <c r="E9" s="143" t="s">
        <v>106</v>
      </c>
      <c r="F9" s="163">
        <f>Rollover!C9</f>
        <v>2022</v>
      </c>
      <c r="G9" s="27">
        <v>267.52699999999999</v>
      </c>
      <c r="H9" s="28">
        <v>0.193</v>
      </c>
      <c r="I9" s="28">
        <v>909.03499999999997</v>
      </c>
      <c r="J9" s="28">
        <v>169.642</v>
      </c>
      <c r="K9" s="28">
        <v>29.463999999999999</v>
      </c>
      <c r="L9" s="28">
        <v>45.265999999999998</v>
      </c>
      <c r="M9" s="28">
        <v>343.78800000000001</v>
      </c>
      <c r="N9" s="29">
        <v>322.36399999999998</v>
      </c>
      <c r="O9" s="27">
        <v>347.56700000000001</v>
      </c>
      <c r="P9" s="28">
        <v>0.45700000000000002</v>
      </c>
      <c r="Q9" s="28">
        <v>603.88300000000004</v>
      </c>
      <c r="R9" s="28">
        <v>185.166</v>
      </c>
      <c r="S9" s="28">
        <v>17.440000000000001</v>
      </c>
      <c r="T9" s="28">
        <v>44.649000000000001</v>
      </c>
      <c r="U9" s="28">
        <v>89.647999999999996</v>
      </c>
      <c r="V9" s="51">
        <v>356.18099999999998</v>
      </c>
      <c r="W9" s="46">
        <f t="shared" si="29"/>
        <v>5.9052458583925931E-3</v>
      </c>
      <c r="X9" s="10">
        <f t="shared" si="30"/>
        <v>5.4840661938768687E-2</v>
      </c>
      <c r="Y9" s="10">
        <f t="shared" si="31"/>
        <v>1.4838648949714293E-4</v>
      </c>
      <c r="Z9" s="10">
        <f t="shared" si="32"/>
        <v>2.5633104856438446E-5</v>
      </c>
      <c r="AA9" s="10">
        <f t="shared" si="33"/>
        <v>5.4840661938768687E-2</v>
      </c>
      <c r="AB9" s="10">
        <f t="shared" si="34"/>
        <v>4.3879032917146649E-2</v>
      </c>
      <c r="AC9" s="10">
        <f t="shared" si="35"/>
        <v>4.3879032917146649E-2</v>
      </c>
      <c r="AD9" s="10">
        <f t="shared" si="36"/>
        <v>3.6250059568330665E-3</v>
      </c>
      <c r="AE9" s="10">
        <f t="shared" si="37"/>
        <v>3.5850203535062832E-3</v>
      </c>
      <c r="AF9" s="55">
        <f t="shared" si="38"/>
        <v>3.6250059568330665E-3</v>
      </c>
      <c r="AG9" s="46">
        <f t="shared" si="39"/>
        <v>1.523031685539155E-2</v>
      </c>
      <c r="AH9" s="10">
        <f t="shared" si="40"/>
        <v>8.8898551642244056E-2</v>
      </c>
      <c r="AI9" s="10">
        <f t="shared" si="41"/>
        <v>1.6969110629316321E-4</v>
      </c>
      <c r="AJ9" s="10">
        <f t="shared" si="42"/>
        <v>3.5007116529496676E-5</v>
      </c>
      <c r="AK9" s="10">
        <f t="shared" si="43"/>
        <v>8.8898551642244056E-2</v>
      </c>
      <c r="AL9" s="10">
        <f t="shared" si="44"/>
        <v>1.610484474409454E-2</v>
      </c>
      <c r="AM9" s="10">
        <f t="shared" si="45"/>
        <v>1.610484474409454E-2</v>
      </c>
      <c r="AN9" s="10">
        <f t="shared" si="46"/>
        <v>3.2475642089999121E-3</v>
      </c>
      <c r="AO9" s="10">
        <f t="shared" si="47"/>
        <v>3.9758786963701026E-3</v>
      </c>
      <c r="AP9" s="55">
        <f t="shared" si="48"/>
        <v>3.9758786963701026E-3</v>
      </c>
      <c r="AQ9" s="142">
        <f t="shared" si="49"/>
        <v>0.105</v>
      </c>
      <c r="AR9" s="10">
        <f t="shared" si="50"/>
        <v>0.121</v>
      </c>
      <c r="AS9" s="10">
        <f t="shared" si="51"/>
        <v>0.113</v>
      </c>
      <c r="AT9" s="23">
        <f t="shared" si="52"/>
        <v>0.7</v>
      </c>
      <c r="AU9" s="23">
        <f t="shared" si="53"/>
        <v>0.81</v>
      </c>
      <c r="AV9" s="23">
        <f t="shared" si="54"/>
        <v>0.75</v>
      </c>
      <c r="AW9" s="24">
        <f t="shared" si="55"/>
        <v>4</v>
      </c>
      <c r="AX9" s="24">
        <f t="shared" si="56"/>
        <v>4</v>
      </c>
      <c r="AY9" s="24">
        <f t="shared" si="57"/>
        <v>4</v>
      </c>
    </row>
    <row r="10" spans="1:51">
      <c r="A10" s="66">
        <v>11668</v>
      </c>
      <c r="B10" s="62" t="s">
        <v>116</v>
      </c>
      <c r="C10" s="164" t="str">
        <f>Rollover!A10</f>
        <v>Hyundai</v>
      </c>
      <c r="D10" s="164" t="str">
        <f>Rollover!B10</f>
        <v>Tucson HEV SUV FWD early release</v>
      </c>
      <c r="E10" s="143" t="s">
        <v>106</v>
      </c>
      <c r="F10" s="163">
        <f>Rollover!C10</f>
        <v>2022</v>
      </c>
      <c r="G10" s="17">
        <v>267.52699999999999</v>
      </c>
      <c r="H10" s="18">
        <v>0.193</v>
      </c>
      <c r="I10" s="18">
        <v>909.03499999999997</v>
      </c>
      <c r="J10" s="18">
        <v>169.642</v>
      </c>
      <c r="K10" s="18">
        <v>29.463999999999999</v>
      </c>
      <c r="L10" s="18">
        <v>45.265999999999998</v>
      </c>
      <c r="M10" s="18">
        <v>343.78800000000001</v>
      </c>
      <c r="N10" s="19">
        <v>322.36399999999998</v>
      </c>
      <c r="O10" s="17">
        <v>347.56700000000001</v>
      </c>
      <c r="P10" s="18">
        <v>0.45700000000000002</v>
      </c>
      <c r="Q10" s="18">
        <v>603.88300000000004</v>
      </c>
      <c r="R10" s="18">
        <v>185.166</v>
      </c>
      <c r="S10" s="18">
        <v>17.440000000000001</v>
      </c>
      <c r="T10" s="18">
        <v>44.649000000000001</v>
      </c>
      <c r="U10" s="18">
        <v>89.647999999999996</v>
      </c>
      <c r="V10" s="45">
        <v>356.18099999999998</v>
      </c>
      <c r="W10" s="46">
        <f t="shared" si="29"/>
        <v>5.9052458583925931E-3</v>
      </c>
      <c r="X10" s="10">
        <f t="shared" si="30"/>
        <v>5.4840661938768687E-2</v>
      </c>
      <c r="Y10" s="10">
        <f t="shared" si="31"/>
        <v>1.4838648949714293E-4</v>
      </c>
      <c r="Z10" s="10">
        <f t="shared" si="32"/>
        <v>2.5633104856438446E-5</v>
      </c>
      <c r="AA10" s="10">
        <f t="shared" si="33"/>
        <v>5.4840661938768687E-2</v>
      </c>
      <c r="AB10" s="10">
        <f t="shared" si="34"/>
        <v>4.3879032917146649E-2</v>
      </c>
      <c r="AC10" s="10">
        <f t="shared" si="35"/>
        <v>4.3879032917146649E-2</v>
      </c>
      <c r="AD10" s="10">
        <f t="shared" si="36"/>
        <v>3.6250059568330665E-3</v>
      </c>
      <c r="AE10" s="10">
        <f t="shared" si="37"/>
        <v>3.5850203535062832E-3</v>
      </c>
      <c r="AF10" s="55">
        <f t="shared" si="38"/>
        <v>3.6250059568330665E-3</v>
      </c>
      <c r="AG10" s="46">
        <f t="shared" si="39"/>
        <v>1.523031685539155E-2</v>
      </c>
      <c r="AH10" s="10">
        <f t="shared" si="40"/>
        <v>8.8898551642244056E-2</v>
      </c>
      <c r="AI10" s="10">
        <f t="shared" si="41"/>
        <v>1.6969110629316321E-4</v>
      </c>
      <c r="AJ10" s="10">
        <f t="shared" si="42"/>
        <v>3.5007116529496676E-5</v>
      </c>
      <c r="AK10" s="10">
        <f t="shared" si="43"/>
        <v>8.8898551642244056E-2</v>
      </c>
      <c r="AL10" s="10">
        <f t="shared" si="44"/>
        <v>1.610484474409454E-2</v>
      </c>
      <c r="AM10" s="10">
        <f t="shared" si="45"/>
        <v>1.610484474409454E-2</v>
      </c>
      <c r="AN10" s="10">
        <f t="shared" si="46"/>
        <v>3.2475642089999121E-3</v>
      </c>
      <c r="AO10" s="10">
        <f t="shared" si="47"/>
        <v>3.9758786963701026E-3</v>
      </c>
      <c r="AP10" s="55">
        <f t="shared" si="48"/>
        <v>3.9758786963701026E-3</v>
      </c>
      <c r="AQ10" s="142">
        <f t="shared" si="49"/>
        <v>0.105</v>
      </c>
      <c r="AR10" s="10">
        <f t="shared" si="50"/>
        <v>0.121</v>
      </c>
      <c r="AS10" s="10">
        <f t="shared" si="51"/>
        <v>0.113</v>
      </c>
      <c r="AT10" s="23">
        <f t="shared" si="52"/>
        <v>0.7</v>
      </c>
      <c r="AU10" s="23">
        <f t="shared" si="53"/>
        <v>0.81</v>
      </c>
      <c r="AV10" s="23">
        <f t="shared" si="54"/>
        <v>0.75</v>
      </c>
      <c r="AW10" s="24">
        <f t="shared" si="55"/>
        <v>4</v>
      </c>
      <c r="AX10" s="24">
        <f t="shared" si="56"/>
        <v>4</v>
      </c>
      <c r="AY10" s="24">
        <f t="shared" si="57"/>
        <v>4</v>
      </c>
    </row>
    <row r="11" spans="1:51">
      <c r="A11" s="66">
        <v>11668</v>
      </c>
      <c r="B11" s="62" t="s">
        <v>116</v>
      </c>
      <c r="C11" s="164" t="str">
        <f>Rollover!A11</f>
        <v>Hyundai</v>
      </c>
      <c r="D11" s="164" t="str">
        <f>Rollover!B11</f>
        <v>Tucson HEV SUV AWD early release</v>
      </c>
      <c r="E11" s="143" t="s">
        <v>106</v>
      </c>
      <c r="F11" s="163">
        <f>Rollover!C11</f>
        <v>2022</v>
      </c>
      <c r="G11" s="17">
        <v>267.52699999999999</v>
      </c>
      <c r="H11" s="18">
        <v>0.193</v>
      </c>
      <c r="I11" s="18">
        <v>909.03499999999997</v>
      </c>
      <c r="J11" s="18">
        <v>169.642</v>
      </c>
      <c r="K11" s="18">
        <v>29.463999999999999</v>
      </c>
      <c r="L11" s="18">
        <v>45.265999999999998</v>
      </c>
      <c r="M11" s="18">
        <v>343.78800000000001</v>
      </c>
      <c r="N11" s="19">
        <v>322.36399999999998</v>
      </c>
      <c r="O11" s="17">
        <v>347.56700000000001</v>
      </c>
      <c r="P11" s="18">
        <v>0.45700000000000002</v>
      </c>
      <c r="Q11" s="18">
        <v>603.88300000000004</v>
      </c>
      <c r="R11" s="18">
        <v>185.166</v>
      </c>
      <c r="S11" s="18">
        <v>17.440000000000001</v>
      </c>
      <c r="T11" s="18">
        <v>44.649000000000001</v>
      </c>
      <c r="U11" s="18">
        <v>89.647999999999996</v>
      </c>
      <c r="V11" s="45">
        <v>356.18099999999998</v>
      </c>
      <c r="W11" s="46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55">
        <f t="shared" si="38"/>
        <v>3.6250059568330665E-3</v>
      </c>
      <c r="AG11" s="46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55">
        <f t="shared" si="48"/>
        <v>3.9758786963701026E-3</v>
      </c>
      <c r="AQ11" s="142">
        <f t="shared" si="49"/>
        <v>0.105</v>
      </c>
      <c r="AR11" s="10">
        <f t="shared" si="50"/>
        <v>0.121</v>
      </c>
      <c r="AS11" s="10">
        <f t="shared" si="51"/>
        <v>0.113</v>
      </c>
      <c r="AT11" s="23">
        <f t="shared" si="52"/>
        <v>0.7</v>
      </c>
      <c r="AU11" s="23">
        <f t="shared" si="53"/>
        <v>0.81</v>
      </c>
      <c r="AV11" s="23">
        <f t="shared" si="54"/>
        <v>0.75</v>
      </c>
      <c r="AW11" s="24">
        <f t="shared" si="55"/>
        <v>4</v>
      </c>
      <c r="AX11" s="24">
        <f t="shared" si="56"/>
        <v>4</v>
      </c>
      <c r="AY11" s="24">
        <f t="shared" si="57"/>
        <v>4</v>
      </c>
    </row>
    <row r="12" spans="1:51">
      <c r="A12" s="66">
        <v>14056</v>
      </c>
      <c r="B12" s="66" t="s">
        <v>126</v>
      </c>
      <c r="C12" s="57" t="str">
        <f>Rollover!A12</f>
        <v>Kia</v>
      </c>
      <c r="D12" s="57" t="str">
        <f>Rollover!B12</f>
        <v>Niro Electric SUV FWD</v>
      </c>
      <c r="E12" s="143" t="s">
        <v>98</v>
      </c>
      <c r="F12" s="163">
        <f>Rollover!C12</f>
        <v>2022</v>
      </c>
      <c r="G12" s="165">
        <v>179.66499999999999</v>
      </c>
      <c r="H12" s="166">
        <v>0.20899999999999999</v>
      </c>
      <c r="I12" s="166">
        <v>927.024</v>
      </c>
      <c r="J12" s="166">
        <v>219.84899999999999</v>
      </c>
      <c r="K12" s="166">
        <v>31.553000000000001</v>
      </c>
      <c r="L12" s="166">
        <v>38.085999999999999</v>
      </c>
      <c r="M12" s="166">
        <v>625.928</v>
      </c>
      <c r="N12" s="167">
        <v>1192.384</v>
      </c>
      <c r="O12" s="168">
        <v>229.261</v>
      </c>
      <c r="P12" s="169">
        <v>0.41</v>
      </c>
      <c r="Q12" s="169">
        <v>809.42499999999995</v>
      </c>
      <c r="R12" s="169">
        <v>105.453</v>
      </c>
      <c r="S12" s="169">
        <v>16.265999999999998</v>
      </c>
      <c r="T12" s="169">
        <v>45.726999999999997</v>
      </c>
      <c r="U12" s="166">
        <v>1178.143</v>
      </c>
      <c r="V12" s="170">
        <v>96.569000000000003</v>
      </c>
      <c r="W12" s="46">
        <f t="shared" ref="W12:W13" si="58">NORMDIST(LN(G12),7.45231,0.73998,1)</f>
        <v>1.1223799466167307E-3</v>
      </c>
      <c r="X12" s="10">
        <f t="shared" ref="X12:X13" si="59">1/(1+EXP(3.2269-1.9688*H12))</f>
        <v>5.6496531186568832E-2</v>
      </c>
      <c r="Y12" s="10">
        <f t="shared" ref="Y12:Y13" si="60">1/(1+EXP(10.9745-2.375*I12/1000))</f>
        <v>1.5486250883043796E-4</v>
      </c>
      <c r="Z12" s="10">
        <f t="shared" ref="Z12:Z13" si="61">1/(1+EXP(10.9745-2.375*J12/1000))</f>
        <v>2.8879241600394377E-5</v>
      </c>
      <c r="AA12" s="10">
        <f t="shared" ref="AA12:AA13" si="62">MAX(X12,Y12,Z12)</f>
        <v>5.6496531186568832E-2</v>
      </c>
      <c r="AB12" s="10">
        <f t="shared" ref="AB12:AB13" si="63">1/(1+EXP(12.597-0.05861*35-1.568*(K12^0.4612)))</f>
        <v>5.5102849579929725E-2</v>
      </c>
      <c r="AC12" s="10">
        <f t="shared" ref="AC12:AC13" si="64">AB12</f>
        <v>5.5102849579929725E-2</v>
      </c>
      <c r="AD12" s="10">
        <f t="shared" ref="AD12:AD13" si="65">1/(1+EXP(5.7949-0.5196*M12/1000))</f>
        <v>4.1949594967939262E-3</v>
      </c>
      <c r="AE12" s="10">
        <f t="shared" ref="AE12:AE13" si="66">1/(1+EXP(5.7949-0.5196*N12/1000))</f>
        <v>5.6225180853177658E-3</v>
      </c>
      <c r="AF12" s="55">
        <f t="shared" ref="AF12:AF13" si="67">MAX(AD12,AE12)</f>
        <v>5.6225180853177658E-3</v>
      </c>
      <c r="AG12" s="46">
        <f t="shared" ref="AG12:AG13" si="68">NORMDIST(LN(O12),7.45231,0.73998,1)</f>
        <v>3.2018944821605166E-3</v>
      </c>
      <c r="AH12" s="10">
        <f t="shared" ref="AH12:AH13" si="69">1/(1+EXP(3.2269-1.9688*P12))</f>
        <v>8.1683355930183013E-2</v>
      </c>
      <c r="AI12" s="10">
        <f t="shared" ref="AI12:AI13" si="70">1/(1+EXP(10.958-3.77*Q12/1000))</f>
        <v>3.6821776740016891E-4</v>
      </c>
      <c r="AJ12" s="10">
        <f t="shared" ref="AJ12:AJ13" si="71">1/(1+EXP(10.958-3.77*R12/1000))</f>
        <v>2.5920714764987255E-5</v>
      </c>
      <c r="AK12" s="10">
        <f t="shared" ref="AK12:AK13" si="72">MAX(AH12,AI12,AJ12)</f>
        <v>8.1683355930183013E-2</v>
      </c>
      <c r="AL12" s="10">
        <f t="shared" ref="AL12:AL13" si="73">1/(1+EXP(12.597-0.05861*35-1.568*((S12/0.817)^0.4612)))</f>
        <v>1.3178777711553315E-2</v>
      </c>
      <c r="AM12" s="10">
        <f t="shared" ref="AM12:AM13" si="74">AL12</f>
        <v>1.3178777711553315E-2</v>
      </c>
      <c r="AN12" s="10">
        <f t="shared" ref="AN12:AN13" si="75">1/(1+EXP(5.7949-0.7619*U12/1000))</f>
        <v>7.4115771051933921E-3</v>
      </c>
      <c r="AO12" s="10">
        <f t="shared" ref="AO12:AO13" si="76">1/(1+EXP(5.7949-0.7619*V12/1000))</f>
        <v>3.2646781473252133E-3</v>
      </c>
      <c r="AP12" s="55">
        <f t="shared" ref="AP12:AP13" si="77">MAX(AN12,AO12)</f>
        <v>7.4115771051933921E-3</v>
      </c>
      <c r="AQ12" s="142">
        <f t="shared" ref="AQ12:AQ13" si="78">ROUND(1-(1-W12)*(1-AA12)*(1-AC12)*(1-AF12),3)</f>
        <v>0.114</v>
      </c>
      <c r="AR12" s="10">
        <f t="shared" ref="AR12:AR13" si="79">ROUND(1-(1-AG12)*(1-AK12)*(1-AM12)*(1-AP12),3)</f>
        <v>0.10299999999999999</v>
      </c>
      <c r="AS12" s="10">
        <f t="shared" ref="AS12:AS13" si="80">ROUND(AVERAGE(AR12,AQ12),3)</f>
        <v>0.109</v>
      </c>
      <c r="AT12" s="23">
        <f t="shared" ref="AT12:AT13" si="81">ROUND(AQ12/0.15,2)</f>
        <v>0.76</v>
      </c>
      <c r="AU12" s="23">
        <f t="shared" ref="AU12:AU13" si="82">ROUND(AR12/0.15,2)</f>
        <v>0.69</v>
      </c>
      <c r="AV12" s="23">
        <f t="shared" ref="AV12:AV13" si="83">ROUND(AS12/0.15,2)</f>
        <v>0.73</v>
      </c>
      <c r="AW12" s="24">
        <f t="shared" ref="AW12:AW13" si="84">IF(AT12&lt;0.67,5,IF(AT12&lt;1,4,IF(AT12&lt;1.33,3,IF(AT12&lt;2.67,2,1))))</f>
        <v>4</v>
      </c>
      <c r="AX12" s="24">
        <f t="shared" ref="AX12:AX13" si="85">IF(AU12&lt;0.67,5,IF(AU12&lt;1,4,IF(AU12&lt;1.33,3,IF(AU12&lt;2.67,2,1))))</f>
        <v>4</v>
      </c>
      <c r="AY12" s="24">
        <f t="shared" ref="AY12:AY13" si="86">IF(AV12&lt;0.67,5,IF(AV12&lt;1,4,IF(AV12&lt;1.33,3,IF(AV12&lt;2.67,2,1))))</f>
        <v>4</v>
      </c>
    </row>
    <row r="13" spans="1:51">
      <c r="A13" s="25">
        <v>14051</v>
      </c>
      <c r="B13" s="66" t="s">
        <v>124</v>
      </c>
      <c r="C13" s="57" t="str">
        <f>Rollover!A13</f>
        <v>Mazda</v>
      </c>
      <c r="D13" s="57" t="str">
        <f>Rollover!B13</f>
        <v>MX-30 5HB FWD</v>
      </c>
      <c r="E13" s="143" t="s">
        <v>106</v>
      </c>
      <c r="F13" s="163">
        <f>Rollover!C13</f>
        <v>2022</v>
      </c>
      <c r="G13" s="17">
        <v>122.843</v>
      </c>
      <c r="H13" s="18">
        <v>0.218</v>
      </c>
      <c r="I13" s="18">
        <v>1059.325</v>
      </c>
      <c r="J13" s="18">
        <v>46.963000000000001</v>
      </c>
      <c r="K13" s="18">
        <v>23.853999999999999</v>
      </c>
      <c r="L13" s="18">
        <v>35.033000000000001</v>
      </c>
      <c r="M13" s="18">
        <v>911.96</v>
      </c>
      <c r="N13" s="19">
        <v>1179.2</v>
      </c>
      <c r="O13" s="17">
        <v>158.255</v>
      </c>
      <c r="P13" s="18">
        <v>0.28799999999999998</v>
      </c>
      <c r="Q13" s="18">
        <v>1119.2380000000001</v>
      </c>
      <c r="R13" s="18">
        <v>274.40899999999999</v>
      </c>
      <c r="S13" s="18">
        <v>10.207000000000001</v>
      </c>
      <c r="T13" s="18">
        <v>42.386000000000003</v>
      </c>
      <c r="U13" s="18">
        <v>739.61</v>
      </c>
      <c r="V13" s="45">
        <v>745.91399999999999</v>
      </c>
      <c r="W13" s="46">
        <f t="shared" si="58"/>
        <v>1.7879077353310805E-4</v>
      </c>
      <c r="X13" s="10">
        <f t="shared" si="59"/>
        <v>5.7448503543772476E-2</v>
      </c>
      <c r="Y13" s="10">
        <f t="shared" si="60"/>
        <v>2.1202313314999096E-4</v>
      </c>
      <c r="Z13" s="10">
        <f t="shared" si="61"/>
        <v>1.9154324803962128E-5</v>
      </c>
      <c r="AA13" s="10">
        <f t="shared" si="62"/>
        <v>5.7448503543772476E-2</v>
      </c>
      <c r="AB13" s="10">
        <f t="shared" si="63"/>
        <v>2.2438820183819475E-2</v>
      </c>
      <c r="AC13" s="10">
        <f t="shared" si="64"/>
        <v>2.2438820183819475E-2</v>
      </c>
      <c r="AD13" s="10">
        <f t="shared" si="65"/>
        <v>4.8638677761054247E-3</v>
      </c>
      <c r="AE13" s="10">
        <f t="shared" si="66"/>
        <v>5.584347532325556E-3</v>
      </c>
      <c r="AF13" s="55">
        <f t="shared" si="67"/>
        <v>5.584347532325556E-3</v>
      </c>
      <c r="AG13" s="46">
        <f t="shared" si="68"/>
        <v>6.2492545734484616E-4</v>
      </c>
      <c r="AH13" s="10">
        <f t="shared" si="69"/>
        <v>6.5382323773201578E-2</v>
      </c>
      <c r="AI13" s="10">
        <f t="shared" si="70"/>
        <v>1.1830534729891373E-3</v>
      </c>
      <c r="AJ13" s="10">
        <f t="shared" si="71"/>
        <v>4.9007996504574076E-5</v>
      </c>
      <c r="AK13" s="10">
        <f t="shared" si="72"/>
        <v>6.5382323773201578E-2</v>
      </c>
      <c r="AL13" s="10">
        <f t="shared" si="73"/>
        <v>3.9871446218945374E-3</v>
      </c>
      <c r="AM13" s="10">
        <f t="shared" si="74"/>
        <v>3.9871446218945374E-3</v>
      </c>
      <c r="AN13" s="10">
        <f t="shared" si="75"/>
        <v>5.3176543506080745E-3</v>
      </c>
      <c r="AO13" s="10">
        <f t="shared" si="76"/>
        <v>5.3431197770488882E-3</v>
      </c>
      <c r="AP13" s="55">
        <f t="shared" si="77"/>
        <v>5.3431197770488882E-3</v>
      </c>
      <c r="AQ13" s="142">
        <f t="shared" si="78"/>
        <v>8.4000000000000005E-2</v>
      </c>
      <c r="AR13" s="10">
        <f t="shared" si="79"/>
        <v>7.4999999999999997E-2</v>
      </c>
      <c r="AS13" s="10">
        <f t="shared" si="80"/>
        <v>0.08</v>
      </c>
      <c r="AT13" s="23">
        <f t="shared" si="81"/>
        <v>0.56000000000000005</v>
      </c>
      <c r="AU13" s="23">
        <f t="shared" si="82"/>
        <v>0.5</v>
      </c>
      <c r="AV13" s="23">
        <f t="shared" si="83"/>
        <v>0.53</v>
      </c>
      <c r="AW13" s="24">
        <f t="shared" si="84"/>
        <v>5</v>
      </c>
      <c r="AX13" s="24">
        <f t="shared" si="85"/>
        <v>5</v>
      </c>
      <c r="AY13" s="24">
        <f t="shared" si="86"/>
        <v>5</v>
      </c>
    </row>
    <row r="14" spans="1:51">
      <c r="A14" s="66">
        <v>11591</v>
      </c>
      <c r="B14" s="66" t="s">
        <v>97</v>
      </c>
      <c r="C14" s="57" t="str">
        <f>Rollover!A14</f>
        <v xml:space="preserve">Mitsubishi </v>
      </c>
      <c r="D14" s="57" t="str">
        <f>Rollover!B14</f>
        <v>Eclipse Cross SUV AWD</v>
      </c>
      <c r="E14" s="143" t="s">
        <v>98</v>
      </c>
      <c r="F14" s="163">
        <f>Rollover!C14</f>
        <v>2022</v>
      </c>
      <c r="G14" s="17">
        <v>244.76300000000001</v>
      </c>
      <c r="H14" s="18">
        <v>0.38700000000000001</v>
      </c>
      <c r="I14" s="18">
        <v>1887.3040000000001</v>
      </c>
      <c r="J14" s="18">
        <v>146.84</v>
      </c>
      <c r="K14" s="18">
        <v>25.515999999999998</v>
      </c>
      <c r="L14" s="18">
        <v>38.767000000000003</v>
      </c>
      <c r="M14" s="18">
        <v>818.67</v>
      </c>
      <c r="N14" s="19">
        <v>1442.079</v>
      </c>
      <c r="O14" s="17">
        <v>215.107</v>
      </c>
      <c r="P14" s="18">
        <v>0.39700000000000002</v>
      </c>
      <c r="Q14" s="18">
        <v>810.95399999999995</v>
      </c>
      <c r="R14" s="18">
        <v>242.499</v>
      </c>
      <c r="S14" s="18">
        <v>18.186</v>
      </c>
      <c r="T14" s="18">
        <v>43.472999999999999</v>
      </c>
      <c r="U14" s="18">
        <v>1473.2270000000001</v>
      </c>
      <c r="V14" s="45">
        <v>882.15</v>
      </c>
      <c r="W14" s="46">
        <f t="shared" ref="W14:W15" si="87">NORMDIST(LN(G14),7.45231,0.73998,1)</f>
        <v>4.1706207191667772E-3</v>
      </c>
      <c r="X14" s="10">
        <f t="shared" ref="X14:X15" si="88">1/(1+EXP(3.2269-1.9688*H14))</f>
        <v>7.835037355987394E-2</v>
      </c>
      <c r="Y14" s="10">
        <f t="shared" ref="Y14:Y15" si="89">1/(1+EXP(10.9745-2.375*I14/1000))</f>
        <v>1.5129904801883148E-3</v>
      </c>
      <c r="Z14" s="10">
        <f t="shared" ref="Z14:Z15" si="90">1/(1+EXP(10.9745-2.375*J14/1000))</f>
        <v>2.4281901430972256E-5</v>
      </c>
      <c r="AA14" s="10">
        <f t="shared" ref="AA14:AA15" si="91">MAX(X14,Y14,Z14)</f>
        <v>7.835037355987394E-2</v>
      </c>
      <c r="AB14" s="10">
        <f t="shared" ref="AB14:AB15" si="92">1/(1+EXP(12.597-0.05861*35-1.568*(K14^0.4612)))</f>
        <v>2.7635649065957786E-2</v>
      </c>
      <c r="AC14" s="10">
        <f t="shared" ref="AC14:AC15" si="93">AB14</f>
        <v>2.7635649065957786E-2</v>
      </c>
      <c r="AD14" s="10">
        <f t="shared" ref="AD14:AD15" si="94">1/(1+EXP(5.7949-0.5196*M14/1000))</f>
        <v>4.6347888766228446E-3</v>
      </c>
      <c r="AE14" s="10">
        <f t="shared" ref="AE14:AE15" si="95">1/(1+EXP(5.7949-0.5196*N14/1000))</f>
        <v>6.3964460816202211E-3</v>
      </c>
      <c r="AF14" s="55">
        <f t="shared" ref="AF14:AF15" si="96">MAX(AD14,AE14)</f>
        <v>6.3964460816202211E-3</v>
      </c>
      <c r="AG14" s="46">
        <f t="shared" ref="AG14:AG15" si="97">NORMDIST(LN(O14),7.45231,0.73998,1)</f>
        <v>2.4581008122460833E-3</v>
      </c>
      <c r="AH14" s="10">
        <f t="shared" ref="AH14:AH15" si="98">1/(1+EXP(3.2269-1.9688*P14))</f>
        <v>7.9783929664732134E-2</v>
      </c>
      <c r="AI14" s="10">
        <f t="shared" ref="AI14:AI15" si="99">1/(1+EXP(10.958-3.77*Q14/1000))</f>
        <v>3.7034563703347708E-4</v>
      </c>
      <c r="AJ14" s="10">
        <f t="shared" ref="AJ14:AJ15" si="100">1/(1+EXP(10.958-3.77*R14/1000))</f>
        <v>4.345336672080946E-5</v>
      </c>
      <c r="AK14" s="10">
        <f t="shared" ref="AK14:AK15" si="101">MAX(AH14,AI14,AJ14)</f>
        <v>7.9783929664732134E-2</v>
      </c>
      <c r="AL14" s="10">
        <f t="shared" ref="AL14:AL15" si="102">1/(1+EXP(12.597-0.05861*35-1.568*((S14/0.817)^0.4612)))</f>
        <v>1.8218777225080283E-2</v>
      </c>
      <c r="AM14" s="10">
        <f t="shared" ref="AM14:AM15" si="103">AL14</f>
        <v>1.8218777225080283E-2</v>
      </c>
      <c r="AN14" s="10">
        <f t="shared" ref="AN14:AN15" si="104">1/(1+EXP(5.7949-0.7619*U14/1000))</f>
        <v>9.262750306857602E-3</v>
      </c>
      <c r="AO14" s="10">
        <f t="shared" ref="AO14:AO15" si="105">1/(1+EXP(5.7949-0.7619*V14/1000))</f>
        <v>5.9240697903116292E-3</v>
      </c>
      <c r="AP14" s="55">
        <f t="shared" ref="AP14:AP15" si="106">MAX(AN14,AO14)</f>
        <v>9.262750306857602E-3</v>
      </c>
      <c r="AQ14" s="142">
        <f t="shared" ref="AQ14:AQ15" si="107">ROUND(1-(1-W14)*(1-AA14)*(1-AC14)*(1-AF14),3)</f>
        <v>0.113</v>
      </c>
      <c r="AR14" s="10">
        <f t="shared" ref="AR14:AR15" si="108">ROUND(1-(1-AG14)*(1-AK14)*(1-AM14)*(1-AP14),3)</f>
        <v>0.107</v>
      </c>
      <c r="AS14" s="10">
        <f t="shared" ref="AS14:AS15" si="109">ROUND(AVERAGE(AR14,AQ14),3)</f>
        <v>0.11</v>
      </c>
      <c r="AT14" s="23">
        <f t="shared" ref="AT14:AT15" si="110">ROUND(AQ14/0.15,2)</f>
        <v>0.75</v>
      </c>
      <c r="AU14" s="23">
        <f t="shared" ref="AU14:AU15" si="111">ROUND(AR14/0.15,2)</f>
        <v>0.71</v>
      </c>
      <c r="AV14" s="23">
        <f t="shared" ref="AV14:AV15" si="112">ROUND(AS14/0.15,2)</f>
        <v>0.73</v>
      </c>
      <c r="AW14" s="24">
        <f t="shared" ref="AW14:AW15" si="113">IF(AT14&lt;0.67,5,IF(AT14&lt;1,4,IF(AT14&lt;1.33,3,IF(AT14&lt;2.67,2,1))))</f>
        <v>4</v>
      </c>
      <c r="AX14" s="24">
        <f t="shared" ref="AX14:AX15" si="114">IF(AU14&lt;0.67,5,IF(AU14&lt;1,4,IF(AU14&lt;1.33,3,IF(AU14&lt;2.67,2,1))))</f>
        <v>4</v>
      </c>
      <c r="AY14" s="24">
        <f t="shared" ref="AY14:AY15" si="115">IF(AV14&lt;0.67,5,IF(AV14&lt;1,4,IF(AV14&lt;1.33,3,IF(AV14&lt;2.67,2,1))))</f>
        <v>4</v>
      </c>
    </row>
    <row r="15" spans="1:51">
      <c r="A15" s="66">
        <v>11591</v>
      </c>
      <c r="B15" s="66" t="s">
        <v>97</v>
      </c>
      <c r="C15" s="57" t="str">
        <f>Rollover!A15</f>
        <v xml:space="preserve">Mitsubishi </v>
      </c>
      <c r="D15" s="57" t="str">
        <f>Rollover!B15</f>
        <v>Eclipse Cross SUV FWD</v>
      </c>
      <c r="E15" s="143" t="s">
        <v>98</v>
      </c>
      <c r="F15" s="163">
        <f>Rollover!C15</f>
        <v>2022</v>
      </c>
      <c r="G15" s="17">
        <v>244.76300000000001</v>
      </c>
      <c r="H15" s="18">
        <v>0.38700000000000001</v>
      </c>
      <c r="I15" s="18">
        <v>1887.3040000000001</v>
      </c>
      <c r="J15" s="18">
        <v>146.84</v>
      </c>
      <c r="K15" s="18">
        <v>25.515999999999998</v>
      </c>
      <c r="L15" s="18">
        <v>38.767000000000003</v>
      </c>
      <c r="M15" s="18">
        <v>818.67</v>
      </c>
      <c r="N15" s="19">
        <v>1442.079</v>
      </c>
      <c r="O15" s="17">
        <v>215.107</v>
      </c>
      <c r="P15" s="18">
        <v>0.39700000000000002</v>
      </c>
      <c r="Q15" s="18">
        <v>810.95399999999995</v>
      </c>
      <c r="R15" s="18">
        <v>242.499</v>
      </c>
      <c r="S15" s="18">
        <v>18.186</v>
      </c>
      <c r="T15" s="18">
        <v>43.472999999999999</v>
      </c>
      <c r="U15" s="18">
        <v>1473.2270000000001</v>
      </c>
      <c r="V15" s="45">
        <v>882.15</v>
      </c>
      <c r="W15" s="46">
        <f t="shared" si="87"/>
        <v>4.1706207191667772E-3</v>
      </c>
      <c r="X15" s="10">
        <f t="shared" si="88"/>
        <v>7.835037355987394E-2</v>
      </c>
      <c r="Y15" s="10">
        <f t="shared" si="89"/>
        <v>1.5129904801883148E-3</v>
      </c>
      <c r="Z15" s="10">
        <f t="shared" si="90"/>
        <v>2.4281901430972256E-5</v>
      </c>
      <c r="AA15" s="10">
        <f t="shared" si="91"/>
        <v>7.835037355987394E-2</v>
      </c>
      <c r="AB15" s="10">
        <f t="shared" si="92"/>
        <v>2.7635649065957786E-2</v>
      </c>
      <c r="AC15" s="10">
        <f t="shared" si="93"/>
        <v>2.7635649065957786E-2</v>
      </c>
      <c r="AD15" s="10">
        <f t="shared" si="94"/>
        <v>4.6347888766228446E-3</v>
      </c>
      <c r="AE15" s="10">
        <f t="shared" si="95"/>
        <v>6.3964460816202211E-3</v>
      </c>
      <c r="AF15" s="55">
        <f t="shared" si="96"/>
        <v>6.3964460816202211E-3</v>
      </c>
      <c r="AG15" s="46">
        <f t="shared" si="97"/>
        <v>2.4581008122460833E-3</v>
      </c>
      <c r="AH15" s="10">
        <f t="shared" si="98"/>
        <v>7.9783929664732134E-2</v>
      </c>
      <c r="AI15" s="10">
        <f t="shared" si="99"/>
        <v>3.7034563703347708E-4</v>
      </c>
      <c r="AJ15" s="10">
        <f t="shared" si="100"/>
        <v>4.345336672080946E-5</v>
      </c>
      <c r="AK15" s="10">
        <f t="shared" si="101"/>
        <v>7.9783929664732134E-2</v>
      </c>
      <c r="AL15" s="10">
        <f t="shared" si="102"/>
        <v>1.8218777225080283E-2</v>
      </c>
      <c r="AM15" s="10">
        <f t="shared" si="103"/>
        <v>1.8218777225080283E-2</v>
      </c>
      <c r="AN15" s="10">
        <f t="shared" si="104"/>
        <v>9.262750306857602E-3</v>
      </c>
      <c r="AO15" s="10">
        <f t="shared" si="105"/>
        <v>5.9240697903116292E-3</v>
      </c>
      <c r="AP15" s="55">
        <f t="shared" si="106"/>
        <v>9.262750306857602E-3</v>
      </c>
      <c r="AQ15" s="142">
        <f t="shared" si="107"/>
        <v>0.113</v>
      </c>
      <c r="AR15" s="10">
        <f t="shared" si="108"/>
        <v>0.107</v>
      </c>
      <c r="AS15" s="10">
        <f t="shared" si="109"/>
        <v>0.11</v>
      </c>
      <c r="AT15" s="23">
        <f t="shared" si="110"/>
        <v>0.75</v>
      </c>
      <c r="AU15" s="23">
        <f t="shared" si="111"/>
        <v>0.71</v>
      </c>
      <c r="AV15" s="23">
        <f t="shared" si="112"/>
        <v>0.73</v>
      </c>
      <c r="AW15" s="24">
        <f t="shared" si="113"/>
        <v>4</v>
      </c>
      <c r="AX15" s="24">
        <f t="shared" si="114"/>
        <v>4</v>
      </c>
      <c r="AY15" s="24">
        <f t="shared" si="115"/>
        <v>4</v>
      </c>
    </row>
    <row r="16" spans="1:51">
      <c r="A16" s="99"/>
      <c r="B16" s="99"/>
      <c r="C16" s="99"/>
    </row>
    <row r="17" spans="1:26">
      <c r="A17" s="99"/>
      <c r="B17" s="99"/>
      <c r="C17" s="99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spans="1:26">
      <c r="A18" s="99"/>
      <c r="B18" s="99"/>
      <c r="C18" s="99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</row>
    <row r="19" spans="1:26">
      <c r="A19" s="99"/>
      <c r="B19" s="99"/>
      <c r="C19" s="99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</row>
    <row r="20" spans="1:26">
      <c r="A20" s="99"/>
      <c r="B20" s="99"/>
      <c r="C20" s="99"/>
      <c r="D20" s="99"/>
      <c r="E20" s="99"/>
      <c r="F20" s="99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</row>
    <row r="21" spans="1:26">
      <c r="A21" s="99"/>
      <c r="B21" s="99"/>
      <c r="C21" s="99"/>
      <c r="D21" s="99"/>
      <c r="E21" s="99"/>
      <c r="F21" s="99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</row>
    <row r="22" spans="1:26">
      <c r="A22" s="99"/>
      <c r="B22" s="99"/>
      <c r="C22" s="99"/>
      <c r="D22" s="99"/>
      <c r="E22" s="99"/>
      <c r="F22" s="99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spans="1:26">
      <c r="A23" s="99"/>
      <c r="B23" s="99"/>
      <c r="C23" s="99"/>
      <c r="D23" s="99"/>
      <c r="E23" s="99"/>
      <c r="F23" s="99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</row>
    <row r="24" spans="1:26">
      <c r="A24" s="99"/>
      <c r="B24" s="99"/>
      <c r="C24" s="99"/>
      <c r="D24" s="99"/>
      <c r="E24" s="99"/>
      <c r="F24" s="99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</row>
    <row r="25" spans="1:26">
      <c r="A25" s="99"/>
      <c r="B25" s="99"/>
      <c r="C25" s="99"/>
      <c r="D25" s="99"/>
      <c r="E25" s="99"/>
      <c r="F25" s="99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</row>
    <row r="26" spans="1:26">
      <c r="A26" s="175"/>
      <c r="B26" s="175"/>
      <c r="C26" s="99"/>
      <c r="D26" s="99"/>
      <c r="E26" s="99"/>
      <c r="F26" s="99"/>
      <c r="G26" s="174"/>
      <c r="H26" s="174"/>
      <c r="I26" s="174"/>
      <c r="J26" s="174"/>
      <c r="K26" s="174"/>
      <c r="L26" s="176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65"/>
      <c r="X26" s="65"/>
      <c r="Y26" s="65"/>
      <c r="Z26" s="65"/>
    </row>
    <row r="27" spans="1:26">
      <c r="L27" s="176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65"/>
      <c r="X27" s="65"/>
      <c r="Y27" s="65"/>
      <c r="Z27" s="65"/>
    </row>
    <row r="28" spans="1:26">
      <c r="L28" s="176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65"/>
      <c r="X28" s="65"/>
      <c r="Y28" s="65"/>
      <c r="Z28" s="65"/>
    </row>
    <row r="29" spans="1:26">
      <c r="C29" s="105"/>
      <c r="D29" s="105"/>
      <c r="E29" s="105"/>
      <c r="F29" s="105"/>
      <c r="G29" s="177"/>
      <c r="H29" s="177"/>
      <c r="K29" s="177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65"/>
      <c r="X29" s="65"/>
      <c r="Y29" s="65"/>
      <c r="Z29" s="65"/>
    </row>
    <row r="30" spans="1:26">
      <c r="C30" s="105"/>
      <c r="D30" s="105"/>
      <c r="E30" s="105"/>
      <c r="F30" s="105"/>
      <c r="G30" s="177"/>
      <c r="H30" s="177"/>
      <c r="K30" s="178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65"/>
      <c r="X30" s="65"/>
      <c r="Y30" s="65"/>
      <c r="Z30" s="65"/>
    </row>
    <row r="31" spans="1:26">
      <c r="C31" s="105"/>
      <c r="D31" s="105"/>
      <c r="E31" s="105"/>
      <c r="F31" s="105"/>
      <c r="G31" s="177"/>
      <c r="H31" s="177"/>
      <c r="K31" s="177"/>
      <c r="L31" s="176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65"/>
      <c r="X31" s="65"/>
      <c r="Y31" s="65"/>
      <c r="Z31" s="65"/>
    </row>
    <row r="32" spans="1:26">
      <c r="C32" s="105"/>
      <c r="D32" s="105"/>
      <c r="E32" s="105"/>
      <c r="F32" s="105"/>
      <c r="G32" s="177"/>
      <c r="H32" s="177"/>
      <c r="K32" s="177"/>
      <c r="L32" s="176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65"/>
      <c r="X32" s="65"/>
      <c r="Y32" s="65"/>
      <c r="Z32" s="65"/>
    </row>
    <row r="33" spans="1:31">
      <c r="C33" s="105"/>
      <c r="D33" s="105"/>
      <c r="E33" s="105"/>
      <c r="F33" s="105"/>
      <c r="G33" s="177"/>
      <c r="H33" s="177"/>
      <c r="K33" s="178"/>
      <c r="L33" s="176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65"/>
      <c r="X33" s="65"/>
      <c r="Y33" s="65"/>
      <c r="Z33" s="65"/>
    </row>
    <row r="34" spans="1:31">
      <c r="C34" s="105"/>
      <c r="D34" s="105"/>
      <c r="E34" s="105"/>
      <c r="F34" s="105"/>
      <c r="G34" s="177"/>
      <c r="H34" s="177"/>
      <c r="K34" s="177"/>
      <c r="L34" s="176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65"/>
      <c r="X34" s="65"/>
      <c r="Y34" s="65"/>
      <c r="Z34" s="65"/>
    </row>
    <row r="35" spans="1:31">
      <c r="C35" s="105"/>
      <c r="D35" s="105"/>
      <c r="E35" s="105"/>
      <c r="F35" s="105"/>
      <c r="G35" s="177"/>
      <c r="H35" s="177"/>
      <c r="K35" s="177"/>
    </row>
    <row r="36" spans="1:31">
      <c r="C36" s="105"/>
      <c r="D36" s="105"/>
      <c r="E36" s="105"/>
      <c r="F36" s="105"/>
      <c r="G36" s="177"/>
      <c r="H36" s="177"/>
      <c r="K36" s="177"/>
    </row>
    <row r="37" spans="1:31">
      <c r="C37" s="105"/>
      <c r="D37" s="105"/>
      <c r="E37" s="105"/>
      <c r="F37" s="105"/>
      <c r="G37" s="177"/>
      <c r="H37" s="177"/>
      <c r="K37" s="178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</row>
    <row r="38" spans="1:31">
      <c r="C38" s="105"/>
      <c r="D38" s="105"/>
      <c r="E38" s="105"/>
      <c r="F38" s="105"/>
      <c r="G38" s="177"/>
      <c r="H38" s="177"/>
      <c r="K38" s="177"/>
    </row>
    <row r="39" spans="1:31">
      <c r="G39" s="177"/>
      <c r="H39" s="177"/>
      <c r="K39" s="177"/>
    </row>
    <row r="40" spans="1:31">
      <c r="G40" s="177"/>
      <c r="H40" s="177"/>
      <c r="K40" s="177"/>
    </row>
    <row r="41" spans="1:31">
      <c r="C41" s="105"/>
      <c r="D41" s="105"/>
      <c r="E41" s="105"/>
      <c r="F41" s="105"/>
      <c r="G41" s="177"/>
      <c r="H41" s="177"/>
      <c r="K41" s="177"/>
    </row>
    <row r="42" spans="1:31">
      <c r="A42" s="99"/>
      <c r="B42" s="99"/>
      <c r="C42" s="105"/>
      <c r="D42" s="105"/>
      <c r="E42" s="105"/>
      <c r="F42" s="105"/>
      <c r="G42" s="177"/>
      <c r="H42" s="177"/>
      <c r="K42" s="177"/>
    </row>
    <row r="43" spans="1:31">
      <c r="A43" s="99"/>
      <c r="B43" s="99"/>
      <c r="C43" s="105"/>
      <c r="D43" s="105"/>
      <c r="E43" s="105"/>
      <c r="F43" s="105"/>
      <c r="G43" s="177"/>
      <c r="H43" s="177"/>
      <c r="K43" s="177"/>
    </row>
    <row r="44" spans="1:31">
      <c r="A44" s="99"/>
      <c r="B44" s="99"/>
      <c r="C44" s="105"/>
      <c r="D44" s="105"/>
      <c r="E44" s="105"/>
      <c r="F44" s="105"/>
      <c r="G44" s="177"/>
      <c r="H44" s="177"/>
      <c r="K44" s="177"/>
      <c r="N44" s="177"/>
      <c r="O44" s="177"/>
      <c r="P44" s="177"/>
      <c r="Q44" s="177"/>
      <c r="R44" s="177"/>
      <c r="S44" s="177"/>
      <c r="T44" s="177"/>
      <c r="U44" s="177"/>
      <c r="V44" s="177"/>
      <c r="W44" s="179"/>
      <c r="X44" s="180"/>
      <c r="Y44" s="179"/>
      <c r="Z44" s="179"/>
      <c r="AA44" s="105"/>
      <c r="AB44" s="105"/>
      <c r="AC44" s="105"/>
      <c r="AD44" s="105"/>
      <c r="AE44" s="105"/>
    </row>
    <row r="45" spans="1:31">
      <c r="C45" s="105"/>
      <c r="D45" s="105"/>
      <c r="E45" s="105"/>
      <c r="F45" s="105"/>
      <c r="H45" s="124"/>
      <c r="I45" s="124"/>
      <c r="J45" s="124"/>
      <c r="K45" s="124"/>
      <c r="L45" s="124"/>
      <c r="M45" s="124"/>
      <c r="N45" s="177"/>
      <c r="O45" s="177"/>
      <c r="P45" s="177"/>
      <c r="Q45" s="177"/>
      <c r="R45" s="177"/>
      <c r="S45" s="177"/>
      <c r="T45" s="177"/>
      <c r="U45" s="177"/>
      <c r="V45" s="177"/>
      <c r="W45" s="179"/>
      <c r="X45" s="180"/>
      <c r="Y45" s="179"/>
      <c r="Z45" s="179"/>
      <c r="AA45" s="69"/>
      <c r="AB45" s="69"/>
      <c r="AC45" s="69"/>
      <c r="AD45" s="69"/>
      <c r="AE45" s="69"/>
    </row>
    <row r="46" spans="1:31">
      <c r="C46" s="105"/>
      <c r="D46" s="105"/>
      <c r="E46" s="105"/>
      <c r="F46" s="105"/>
      <c r="H46" s="124"/>
      <c r="I46" s="124"/>
      <c r="J46" s="124"/>
      <c r="K46" s="124"/>
      <c r="L46" s="124"/>
      <c r="M46" s="124"/>
      <c r="N46" s="177"/>
      <c r="O46" s="177"/>
      <c r="P46" s="177"/>
      <c r="Q46" s="177"/>
      <c r="R46" s="177"/>
      <c r="S46" s="177"/>
      <c r="T46" s="177"/>
      <c r="U46" s="177"/>
      <c r="V46" s="177"/>
      <c r="W46" s="179"/>
      <c r="X46" s="180"/>
      <c r="Y46" s="179"/>
      <c r="Z46" s="179"/>
      <c r="AA46" s="54"/>
      <c r="AB46" s="179"/>
      <c r="AC46" s="179"/>
      <c r="AD46" s="54"/>
      <c r="AE46" s="54"/>
    </row>
    <row r="47" spans="1:31">
      <c r="A47" s="181"/>
      <c r="B47" s="181"/>
      <c r="C47" s="108"/>
      <c r="D47" s="108"/>
      <c r="E47" s="108"/>
      <c r="F47" s="108"/>
      <c r="G47" s="182"/>
      <c r="H47" s="124"/>
      <c r="I47" s="124"/>
      <c r="J47" s="124"/>
      <c r="K47" s="124"/>
      <c r="L47" s="124"/>
      <c r="M47" s="124"/>
      <c r="N47" s="177"/>
      <c r="O47" s="177"/>
      <c r="P47" s="177"/>
      <c r="Q47" s="177"/>
      <c r="R47" s="177"/>
      <c r="S47" s="177"/>
      <c r="T47" s="177"/>
      <c r="U47" s="177"/>
      <c r="V47" s="177"/>
      <c r="W47" s="179"/>
      <c r="X47" s="180"/>
      <c r="Y47" s="179"/>
      <c r="Z47" s="179"/>
      <c r="AA47" s="54"/>
      <c r="AB47" s="179"/>
      <c r="AC47" s="179"/>
      <c r="AD47" s="54"/>
      <c r="AE47" s="54"/>
    </row>
    <row r="48" spans="1:31">
      <c r="A48" s="99"/>
      <c r="B48" s="99"/>
      <c r="C48" s="99"/>
      <c r="D48" s="99"/>
      <c r="E48" s="99"/>
      <c r="F48" s="99"/>
      <c r="G48" s="174"/>
      <c r="H48" s="124"/>
      <c r="I48" s="124"/>
      <c r="J48" s="124"/>
      <c r="K48" s="124"/>
      <c r="L48" s="124"/>
      <c r="M48" s="124"/>
      <c r="N48" s="177"/>
      <c r="O48" s="177"/>
      <c r="P48" s="177"/>
      <c r="Q48" s="177"/>
      <c r="R48" s="177"/>
      <c r="S48" s="177"/>
      <c r="T48" s="177"/>
      <c r="U48" s="177"/>
      <c r="V48" s="177"/>
      <c r="W48" s="179"/>
      <c r="X48" s="180"/>
      <c r="Y48" s="179"/>
      <c r="Z48" s="179"/>
      <c r="AA48" s="54"/>
      <c r="AB48" s="179"/>
      <c r="AC48" s="179"/>
      <c r="AD48" s="54"/>
      <c r="AE48" s="54"/>
    </row>
    <row r="49" spans="1:31">
      <c r="C49" s="105"/>
      <c r="D49" s="105"/>
      <c r="E49" s="105"/>
      <c r="F49" s="105"/>
      <c r="H49" s="124"/>
      <c r="I49" s="124"/>
      <c r="J49" s="124"/>
      <c r="K49" s="124"/>
      <c r="L49" s="124"/>
      <c r="M49" s="124"/>
      <c r="N49" s="177"/>
      <c r="O49" s="177"/>
      <c r="P49" s="177"/>
      <c r="Q49" s="177"/>
      <c r="R49" s="177"/>
      <c r="S49" s="177"/>
      <c r="T49" s="177"/>
      <c r="U49" s="177"/>
      <c r="V49" s="177"/>
      <c r="W49" s="179"/>
      <c r="X49" s="180"/>
      <c r="Y49" s="179"/>
      <c r="Z49" s="179"/>
      <c r="AA49" s="54"/>
      <c r="AB49" s="179"/>
      <c r="AC49" s="179"/>
      <c r="AD49" s="54"/>
      <c r="AE49" s="54"/>
    </row>
    <row r="50" spans="1:31">
      <c r="A50" s="99"/>
      <c r="B50" s="99"/>
      <c r="C50" s="105"/>
      <c r="D50" s="105"/>
      <c r="E50" s="105"/>
      <c r="F50" s="105"/>
      <c r="H50" s="124"/>
      <c r="I50" s="124"/>
      <c r="J50" s="124"/>
      <c r="K50" s="124"/>
      <c r="L50" s="124"/>
      <c r="M50" s="124"/>
      <c r="N50" s="177"/>
      <c r="O50" s="177"/>
      <c r="P50" s="177"/>
      <c r="Q50" s="177"/>
      <c r="R50" s="177"/>
      <c r="S50" s="177"/>
      <c r="T50" s="177"/>
      <c r="U50" s="177"/>
      <c r="V50" s="177"/>
      <c r="W50" s="179"/>
      <c r="X50" s="180"/>
      <c r="Y50" s="179"/>
      <c r="Z50" s="179"/>
      <c r="AA50" s="54"/>
      <c r="AB50" s="179"/>
      <c r="AC50" s="179"/>
      <c r="AD50" s="54"/>
      <c r="AE50" s="54"/>
    </row>
    <row r="51" spans="1:31">
      <c r="C51" s="105"/>
      <c r="D51" s="105"/>
      <c r="E51" s="105"/>
      <c r="F51" s="105"/>
      <c r="H51" s="124"/>
      <c r="I51" s="124"/>
      <c r="J51" s="124"/>
      <c r="K51" s="124"/>
      <c r="L51" s="124"/>
      <c r="M51" s="124"/>
      <c r="N51" s="177"/>
      <c r="O51" s="177"/>
      <c r="P51" s="177"/>
      <c r="Q51" s="177"/>
      <c r="R51" s="177"/>
      <c r="S51" s="177"/>
      <c r="T51" s="177"/>
      <c r="U51" s="177"/>
      <c r="V51" s="177"/>
      <c r="W51" s="179"/>
      <c r="X51" s="180"/>
      <c r="Y51" s="179"/>
      <c r="Z51" s="179"/>
      <c r="AA51" s="54"/>
      <c r="AB51" s="179"/>
      <c r="AC51" s="179"/>
      <c r="AD51" s="54"/>
      <c r="AE51" s="54"/>
    </row>
    <row r="52" spans="1:31">
      <c r="C52" s="105"/>
      <c r="D52" s="105"/>
      <c r="E52" s="105"/>
      <c r="F52" s="105"/>
      <c r="H52" s="124"/>
      <c r="I52" s="124"/>
      <c r="J52" s="124"/>
      <c r="K52" s="124"/>
      <c r="L52" s="124"/>
      <c r="M52" s="124"/>
      <c r="N52" s="177"/>
      <c r="O52" s="177"/>
      <c r="P52" s="177"/>
      <c r="Q52" s="177"/>
      <c r="R52" s="177"/>
      <c r="S52" s="177"/>
      <c r="T52" s="177"/>
      <c r="U52" s="177"/>
      <c r="V52" s="177"/>
      <c r="W52" s="179"/>
      <c r="X52" s="180"/>
      <c r="Y52" s="179"/>
      <c r="Z52" s="179"/>
      <c r="AA52" s="54"/>
      <c r="AB52" s="179"/>
      <c r="AC52" s="179"/>
      <c r="AD52" s="54"/>
      <c r="AE52" s="54"/>
    </row>
    <row r="53" spans="1:31">
      <c r="A53" s="99"/>
      <c r="B53" s="99"/>
      <c r="C53" s="99"/>
      <c r="D53" s="99"/>
      <c r="E53" s="99"/>
      <c r="F53" s="99"/>
      <c r="G53" s="174"/>
      <c r="H53" s="124"/>
      <c r="I53" s="124"/>
      <c r="J53" s="124"/>
      <c r="K53" s="124"/>
      <c r="L53" s="124"/>
      <c r="M53" s="124"/>
      <c r="N53" s="177"/>
      <c r="O53" s="177"/>
      <c r="P53" s="177"/>
      <c r="Q53" s="177"/>
      <c r="R53" s="177"/>
      <c r="S53" s="177"/>
      <c r="T53" s="177"/>
      <c r="U53" s="177"/>
      <c r="V53" s="177"/>
      <c r="W53" s="179"/>
      <c r="X53" s="180"/>
      <c r="Y53" s="179"/>
      <c r="Z53" s="179"/>
      <c r="AA53" s="54"/>
      <c r="AB53" s="179"/>
      <c r="AC53" s="179"/>
      <c r="AD53" s="54"/>
      <c r="AE53" s="54"/>
    </row>
    <row r="54" spans="1:31">
      <c r="H54" s="124"/>
      <c r="I54" s="124"/>
      <c r="J54" s="124"/>
      <c r="K54" s="124"/>
      <c r="L54" s="124"/>
      <c r="M54" s="124"/>
      <c r="N54" s="177"/>
      <c r="O54" s="177"/>
      <c r="P54" s="177"/>
      <c r="Q54" s="177"/>
      <c r="R54" s="177"/>
      <c r="S54" s="177"/>
      <c r="T54" s="177"/>
      <c r="U54" s="177"/>
      <c r="V54" s="177"/>
      <c r="W54" s="179"/>
      <c r="X54" s="180"/>
      <c r="Y54" s="179"/>
      <c r="Z54" s="179"/>
      <c r="AA54" s="54"/>
      <c r="AB54" s="179"/>
      <c r="AC54" s="179"/>
      <c r="AD54" s="54"/>
      <c r="AE54" s="54"/>
    </row>
    <row r="55" spans="1:31">
      <c r="H55" s="124"/>
      <c r="I55" s="124"/>
      <c r="J55" s="124"/>
      <c r="K55" s="124"/>
      <c r="L55" s="124"/>
      <c r="M55" s="124"/>
      <c r="N55" s="177"/>
      <c r="O55" s="177"/>
      <c r="P55" s="177"/>
      <c r="Q55" s="177"/>
      <c r="R55" s="177"/>
      <c r="S55" s="177"/>
      <c r="T55" s="177"/>
      <c r="U55" s="177"/>
      <c r="V55" s="177"/>
      <c r="W55" s="179"/>
      <c r="X55" s="180"/>
      <c r="Y55" s="179"/>
      <c r="Z55" s="179"/>
      <c r="AA55" s="54"/>
      <c r="AB55" s="179"/>
      <c r="AC55" s="179"/>
      <c r="AD55" s="54"/>
      <c r="AE55" s="5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74"/>
  <sheetViews>
    <sheetView zoomScaleNormal="100" workbookViewId="0">
      <pane xSplit="6" ySplit="2" topLeftCell="G3" activePane="bottomRight" state="frozen"/>
      <selection activeCell="D25" sqref="D25"/>
      <selection pane="topRight" activeCell="D25" sqref="D25"/>
      <selection pane="bottomLeft" activeCell="D25" sqref="D25"/>
      <selection pane="bottomRight" activeCell="A12" sqref="A12:XFD12"/>
    </sheetView>
  </sheetViews>
  <sheetFormatPr defaultRowHeight="12.75"/>
  <cols>
    <col min="1" max="1" width="7.42578125" style="144" customWidth="1"/>
    <col min="2" max="2" width="9" style="144" bestFit="1" customWidth="1"/>
    <col min="3" max="3" width="13.5703125" style="65" bestFit="1" customWidth="1"/>
    <col min="4" max="4" width="28" style="65" bestFit="1" customWidth="1"/>
    <col min="5" max="5" width="6.5703125" style="65" bestFit="1" customWidth="1"/>
    <col min="6" max="6" width="5.5703125" style="65" customWidth="1"/>
    <col min="7" max="16" width="8.5703125" style="124" customWidth="1"/>
    <col min="17" max="20" width="9.140625" style="65" customWidth="1"/>
    <col min="21" max="21" width="10.5703125" style="65" customWidth="1"/>
    <col min="22" max="22" width="8.140625" style="65" customWidth="1"/>
    <col min="23" max="23" width="8" style="54" customWidth="1"/>
    <col min="24" max="24" width="10.140625" style="54" customWidth="1"/>
    <col min="25" max="25" width="9.140625" style="54" customWidth="1"/>
    <col min="26" max="26" width="8" style="54" customWidth="1"/>
    <col min="27" max="27" width="9.5703125" style="54" customWidth="1"/>
    <col min="28" max="28" width="6.140625" style="54" customWidth="1"/>
    <col min="29" max="29" width="5.5703125" style="2" customWidth="1"/>
    <col min="30" max="30" width="9" style="2" customWidth="1"/>
    <col min="31" max="31" width="8" style="1" customWidth="1"/>
    <col min="32" max="16384" width="9.140625" style="65"/>
  </cols>
  <sheetData>
    <row r="1" spans="1:51" s="59" customFormat="1">
      <c r="A1" s="14"/>
      <c r="B1" s="14"/>
      <c r="C1" s="16"/>
      <c r="D1" s="16"/>
      <c r="E1" s="36"/>
      <c r="F1" s="36"/>
      <c r="G1" s="133" t="s">
        <v>41</v>
      </c>
      <c r="H1" s="134"/>
      <c r="I1" s="134"/>
      <c r="J1" s="134"/>
      <c r="K1" s="135"/>
      <c r="L1" s="136" t="s">
        <v>42</v>
      </c>
      <c r="M1" s="137"/>
      <c r="N1" s="137"/>
      <c r="O1" s="137"/>
      <c r="P1" s="138"/>
      <c r="Q1" s="139" t="s">
        <v>43</v>
      </c>
      <c r="R1" s="140"/>
      <c r="S1" s="140"/>
      <c r="T1" s="140"/>
      <c r="U1" s="37" t="s">
        <v>42</v>
      </c>
      <c r="V1" s="38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4" t="s">
        <v>13</v>
      </c>
      <c r="AD1" s="24" t="s">
        <v>16</v>
      </c>
      <c r="AE1" s="24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6" t="s">
        <v>19</v>
      </c>
      <c r="D2" s="16" t="s">
        <v>20</v>
      </c>
      <c r="E2" s="36" t="s">
        <v>77</v>
      </c>
      <c r="F2" s="36" t="s">
        <v>21</v>
      </c>
      <c r="G2" s="119" t="s">
        <v>59</v>
      </c>
      <c r="H2" s="42" t="s">
        <v>33</v>
      </c>
      <c r="I2" s="42" t="s">
        <v>10</v>
      </c>
      <c r="J2" s="42" t="s">
        <v>11</v>
      </c>
      <c r="K2" s="141" t="s">
        <v>12</v>
      </c>
      <c r="L2" s="119" t="s">
        <v>59</v>
      </c>
      <c r="M2" s="42" t="s">
        <v>33</v>
      </c>
      <c r="N2" s="42" t="s">
        <v>10</v>
      </c>
      <c r="O2" s="42" t="s">
        <v>39</v>
      </c>
      <c r="P2" s="141" t="s">
        <v>40</v>
      </c>
      <c r="Q2" s="6" t="s">
        <v>1</v>
      </c>
      <c r="R2" s="24" t="s">
        <v>3</v>
      </c>
      <c r="S2" s="24" t="s">
        <v>14</v>
      </c>
      <c r="T2" s="24" t="s">
        <v>15</v>
      </c>
      <c r="U2" s="24" t="s">
        <v>1</v>
      </c>
      <c r="V2" s="24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4" t="s">
        <v>45</v>
      </c>
      <c r="AF2" s="52"/>
      <c r="AG2" s="52"/>
      <c r="AH2" s="53"/>
      <c r="AI2" s="53"/>
      <c r="AJ2" s="53"/>
      <c r="AK2" s="53"/>
      <c r="AL2" s="21"/>
      <c r="AM2" s="21"/>
      <c r="AN2" s="21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>
      <c r="A3" s="66">
        <v>11661</v>
      </c>
      <c r="B3" s="66" t="s">
        <v>113</v>
      </c>
      <c r="C3" s="15" t="str">
        <f>Rollover!A3</f>
        <v>Acura</v>
      </c>
      <c r="D3" s="15" t="str">
        <f>Rollover!B3</f>
        <v>MDX SUV AWD</v>
      </c>
      <c r="E3" s="15" t="s">
        <v>106</v>
      </c>
      <c r="F3" s="16">
        <f>Rollover!C3</f>
        <v>2022</v>
      </c>
      <c r="G3" s="17">
        <v>106.59699999999999</v>
      </c>
      <c r="H3" s="18">
        <v>14.831</v>
      </c>
      <c r="I3" s="18">
        <v>14.744</v>
      </c>
      <c r="J3" s="18">
        <v>466.76799999999997</v>
      </c>
      <c r="K3" s="19">
        <v>1005.9930000000001</v>
      </c>
      <c r="L3" s="17">
        <v>142.44800000000001</v>
      </c>
      <c r="M3" s="18">
        <v>8.0890000000000004</v>
      </c>
      <c r="N3" s="18">
        <v>40.819000000000003</v>
      </c>
      <c r="O3" s="18">
        <v>18.484999999999999</v>
      </c>
      <c r="P3" s="19">
        <v>746.63499999999999</v>
      </c>
      <c r="Q3" s="142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3">
        <f t="shared" ref="Z3:Z4" si="9">ROUND(W3/0.15,2)</f>
        <v>0.17</v>
      </c>
      <c r="AA3" s="23">
        <f t="shared" ref="AA3:AA4" si="10">IF(L3="N/A", L3, ROUND(X3/0.15,2))</f>
        <v>0.03</v>
      </c>
      <c r="AB3" s="23">
        <f t="shared" ref="AB3:AB4" si="11">ROUND(Y3/0.15,2)</f>
        <v>0.1</v>
      </c>
      <c r="AC3" s="24">
        <f t="shared" ref="AC3:AC4" si="12">IF(Z3&lt;0.67,5,IF(Z3&lt;1,4,IF(Z3&lt;1.33,3,IF(Z3&lt;2.67,2,1))))</f>
        <v>5</v>
      </c>
      <c r="AD3" s="24">
        <f t="shared" ref="AD3:AD4" si="13">IF(L3="N/A",L3,IF(AA3&lt;0.67,5,IF(AA3&lt;1,4,IF(AA3&lt;1.33,3,IF(AA3&lt;2.67,2,1)))))</f>
        <v>5</v>
      </c>
      <c r="AE3" s="24">
        <f t="shared" ref="AE3:AE4" si="14">IF(AB3&lt;0.67,5,IF(AB3&lt;1,4,IF(AB3&lt;1.33,3,IF(AB3&lt;2.67,2,1))))</f>
        <v>5</v>
      </c>
      <c r="AF3" s="20"/>
      <c r="AG3" s="20"/>
      <c r="AH3" s="22"/>
      <c r="AI3" s="22"/>
      <c r="AJ3" s="22"/>
      <c r="AK3" s="22"/>
      <c r="AL3" s="21"/>
      <c r="AM3" s="21"/>
      <c r="AN3" s="21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59" customFormat="1">
      <c r="A4" s="66">
        <v>11661</v>
      </c>
      <c r="B4" s="66" t="s">
        <v>113</v>
      </c>
      <c r="C4" s="16" t="str">
        <f>Rollover!A4</f>
        <v>Acura</v>
      </c>
      <c r="D4" s="16" t="str">
        <f>Rollover!B4</f>
        <v>MDX SUV FWD</v>
      </c>
      <c r="E4" s="15" t="s">
        <v>106</v>
      </c>
      <c r="F4" s="16">
        <f>Rollover!C4</f>
        <v>2022</v>
      </c>
      <c r="G4" s="17">
        <v>106.59699999999999</v>
      </c>
      <c r="H4" s="18">
        <v>14.831</v>
      </c>
      <c r="I4" s="18">
        <v>14.744</v>
      </c>
      <c r="J4" s="18">
        <v>466.76799999999997</v>
      </c>
      <c r="K4" s="19">
        <v>1005.9930000000001</v>
      </c>
      <c r="L4" s="17">
        <v>142.44800000000001</v>
      </c>
      <c r="M4" s="18">
        <v>8.0890000000000004</v>
      </c>
      <c r="N4" s="18">
        <v>40.819000000000003</v>
      </c>
      <c r="O4" s="18">
        <v>18.484999999999999</v>
      </c>
      <c r="P4" s="19">
        <v>746.63499999999999</v>
      </c>
      <c r="Q4" s="142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3">
        <f t="shared" si="9"/>
        <v>0.17</v>
      </c>
      <c r="AA4" s="23">
        <f t="shared" si="10"/>
        <v>0.03</v>
      </c>
      <c r="AB4" s="23">
        <f t="shared" si="11"/>
        <v>0.1</v>
      </c>
      <c r="AC4" s="24">
        <f t="shared" si="12"/>
        <v>5</v>
      </c>
      <c r="AD4" s="24">
        <f t="shared" si="13"/>
        <v>5</v>
      </c>
      <c r="AE4" s="24">
        <f t="shared" si="14"/>
        <v>5</v>
      </c>
      <c r="AF4" s="30"/>
      <c r="AG4" s="30"/>
      <c r="AH4" s="3"/>
      <c r="AI4" s="3"/>
      <c r="AJ4" s="3"/>
      <c r="AK4" s="3"/>
      <c r="AL4" s="31"/>
      <c r="AM4" s="31"/>
      <c r="AN4" s="3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>
      <c r="A5" s="66">
        <v>14049</v>
      </c>
      <c r="B5" s="66" t="s">
        <v>118</v>
      </c>
      <c r="C5" s="16" t="str">
        <f>Rollover!A5</f>
        <v>Honda</v>
      </c>
      <c r="D5" s="16" t="str">
        <f>Rollover!B5</f>
        <v>Civic 4DR FWD</v>
      </c>
      <c r="E5" s="15" t="s">
        <v>106</v>
      </c>
      <c r="F5" s="16">
        <f>Rollover!C5</f>
        <v>2022</v>
      </c>
      <c r="G5" s="17">
        <v>193.22300000000001</v>
      </c>
      <c r="H5" s="18">
        <v>19.169</v>
      </c>
      <c r="I5" s="18">
        <v>34.246000000000002</v>
      </c>
      <c r="J5" s="18">
        <v>1272.172</v>
      </c>
      <c r="K5" s="19">
        <v>1273.163</v>
      </c>
      <c r="L5" s="17">
        <v>267.30500000000001</v>
      </c>
      <c r="M5" s="18">
        <v>21.327000000000002</v>
      </c>
      <c r="N5" s="18">
        <v>78.626999999999995</v>
      </c>
      <c r="O5" s="18">
        <v>15.616</v>
      </c>
      <c r="P5" s="19">
        <v>2294.511</v>
      </c>
      <c r="Q5" s="142">
        <f t="shared" ref="Q5:Q11" si="15">NORMDIST(LN(G5),7.45231,0.73998,1)</f>
        <v>1.5508992117815668E-3</v>
      </c>
      <c r="R5" s="10">
        <f t="shared" ref="R5:R11" si="16">1/(1+EXP(5.3895-0.0919*H5))</f>
        <v>2.5884919719050149E-2</v>
      </c>
      <c r="S5" s="10">
        <f t="shared" ref="S5:S11" si="17">1/(1+EXP(6.04044-0.002133*J5))</f>
        <v>3.4659898372854034E-2</v>
      </c>
      <c r="T5" s="10">
        <f t="shared" ref="T5:T11" si="18">1/(1+EXP(7.5969-0.0011*K5))</f>
        <v>2.0325678464427127E-3</v>
      </c>
      <c r="U5" s="10">
        <f t="shared" ref="U5:U11" si="19">NORMDIST(LN(L5),7.45231,0.73998,1)</f>
        <v>5.8864645985183617E-3</v>
      </c>
      <c r="V5" s="10">
        <f t="shared" ref="V5:V11" si="20">1/(1+EXP(6.3055-0.00094*P5))</f>
        <v>1.5540248794763317E-2</v>
      </c>
      <c r="W5" s="10">
        <f t="shared" ref="W5:W11" si="21">ROUND(1-(1-Q5)*(1-R5)*(1-S5)*(1-T5),3)</f>
        <v>6.3E-2</v>
      </c>
      <c r="X5" s="10">
        <f t="shared" ref="X5:X11" si="22">IF(L5="N/A",L5,ROUND(1-(1-U5)*(1-V5),3))</f>
        <v>2.1000000000000001E-2</v>
      </c>
      <c r="Y5" s="10">
        <f t="shared" ref="Y5:Y11" si="23">ROUND(AVERAGE(W5:X5),3)</f>
        <v>4.2000000000000003E-2</v>
      </c>
      <c r="Z5" s="23">
        <f t="shared" ref="Z5:Z11" si="24">ROUND(W5/0.15,2)</f>
        <v>0.42</v>
      </c>
      <c r="AA5" s="23">
        <f t="shared" ref="AA5:AA11" si="25">IF(L5="N/A", L5, ROUND(X5/0.15,2))</f>
        <v>0.14000000000000001</v>
      </c>
      <c r="AB5" s="23">
        <f t="shared" ref="AB5:AB11" si="26">ROUND(Y5/0.15,2)</f>
        <v>0.28000000000000003</v>
      </c>
      <c r="AC5" s="24">
        <f t="shared" ref="AC5:AC11" si="27">IF(Z5&lt;0.67,5,IF(Z5&lt;1,4,IF(Z5&lt;1.33,3,IF(Z5&lt;2.67,2,1))))</f>
        <v>5</v>
      </c>
      <c r="AD5" s="24">
        <f t="shared" ref="AD5:AD11" si="28">IF(L5="N/A",L5,IF(AA5&lt;0.67,5,IF(AA5&lt;1,4,IF(AA5&lt;1.33,3,IF(AA5&lt;2.67,2,1)))))</f>
        <v>5</v>
      </c>
      <c r="AE5" s="24">
        <f t="shared" ref="AE5:AE11" si="29">IF(AB5&lt;0.67,5,IF(AB5&lt;1,4,IF(AB5&lt;1.33,3,IF(AB5&lt;2.67,2,1))))</f>
        <v>5</v>
      </c>
      <c r="AF5" s="20"/>
      <c r="AG5" s="20"/>
      <c r="AH5" s="22"/>
      <c r="AI5" s="22"/>
      <c r="AJ5" s="22"/>
      <c r="AK5" s="22"/>
      <c r="AL5" s="21"/>
      <c r="AM5" s="21"/>
      <c r="AN5" s="21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>
      <c r="A6" s="66">
        <v>14049</v>
      </c>
      <c r="B6" s="66" t="s">
        <v>118</v>
      </c>
      <c r="C6" s="15" t="str">
        <f>Rollover!A6</f>
        <v>Honda</v>
      </c>
      <c r="D6" s="15" t="str">
        <f>Rollover!B6</f>
        <v>Civic SI 4DR FWD</v>
      </c>
      <c r="E6" s="15" t="s">
        <v>106</v>
      </c>
      <c r="F6" s="16">
        <f>Rollover!C6</f>
        <v>2022</v>
      </c>
      <c r="G6" s="17">
        <v>193.22300000000001</v>
      </c>
      <c r="H6" s="18">
        <v>19.169</v>
      </c>
      <c r="I6" s="18">
        <v>34.246000000000002</v>
      </c>
      <c r="J6" s="18">
        <v>1272.172</v>
      </c>
      <c r="K6" s="19">
        <v>1273.163</v>
      </c>
      <c r="L6" s="17">
        <v>267.30500000000001</v>
      </c>
      <c r="M6" s="18">
        <v>21.327000000000002</v>
      </c>
      <c r="N6" s="18">
        <v>78.626999999999995</v>
      </c>
      <c r="O6" s="18">
        <v>15.616</v>
      </c>
      <c r="P6" s="19">
        <v>2294.511</v>
      </c>
      <c r="Q6" s="142">
        <f t="shared" si="15"/>
        <v>1.5508992117815668E-3</v>
      </c>
      <c r="R6" s="10">
        <f t="shared" si="16"/>
        <v>2.5884919719050149E-2</v>
      </c>
      <c r="S6" s="10">
        <f t="shared" si="17"/>
        <v>3.4659898372854034E-2</v>
      </c>
      <c r="T6" s="10">
        <f t="shared" si="18"/>
        <v>2.0325678464427127E-3</v>
      </c>
      <c r="U6" s="10">
        <f t="shared" si="19"/>
        <v>5.8864645985183617E-3</v>
      </c>
      <c r="V6" s="10">
        <f t="shared" si="20"/>
        <v>1.5540248794763317E-2</v>
      </c>
      <c r="W6" s="10">
        <f t="shared" si="21"/>
        <v>6.3E-2</v>
      </c>
      <c r="X6" s="10">
        <f t="shared" si="22"/>
        <v>2.1000000000000001E-2</v>
      </c>
      <c r="Y6" s="10">
        <f t="shared" si="23"/>
        <v>4.2000000000000003E-2</v>
      </c>
      <c r="Z6" s="23">
        <f t="shared" si="24"/>
        <v>0.42</v>
      </c>
      <c r="AA6" s="23">
        <f t="shared" si="25"/>
        <v>0.14000000000000001</v>
      </c>
      <c r="AB6" s="23">
        <f t="shared" si="26"/>
        <v>0.28000000000000003</v>
      </c>
      <c r="AC6" s="24">
        <f t="shared" si="27"/>
        <v>5</v>
      </c>
      <c r="AD6" s="24">
        <f t="shared" si="28"/>
        <v>5</v>
      </c>
      <c r="AE6" s="24">
        <f t="shared" si="29"/>
        <v>5</v>
      </c>
      <c r="AF6" s="20"/>
      <c r="AG6" s="20"/>
      <c r="AH6" s="22"/>
      <c r="AI6" s="22"/>
      <c r="AJ6" s="22"/>
      <c r="AK6" s="22"/>
      <c r="AL6" s="21"/>
      <c r="AM6" s="21"/>
      <c r="AN6" s="21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>
      <c r="A7" s="66">
        <v>14049</v>
      </c>
      <c r="B7" s="66" t="s">
        <v>118</v>
      </c>
      <c r="C7" s="15" t="str">
        <f>Rollover!A7</f>
        <v>Honda</v>
      </c>
      <c r="D7" s="15" t="str">
        <f>Rollover!B7</f>
        <v>Civic 5HB FWD</v>
      </c>
      <c r="E7" s="15" t="s">
        <v>106</v>
      </c>
      <c r="F7" s="16">
        <f>Rollover!C7</f>
        <v>2022</v>
      </c>
      <c r="G7" s="17">
        <v>193.22300000000001</v>
      </c>
      <c r="H7" s="18">
        <v>19.169</v>
      </c>
      <c r="I7" s="18">
        <v>34.246000000000002</v>
      </c>
      <c r="J7" s="18">
        <v>1272.172</v>
      </c>
      <c r="K7" s="19">
        <v>1273.163</v>
      </c>
      <c r="L7" s="17">
        <v>267.30500000000001</v>
      </c>
      <c r="M7" s="18">
        <v>21.327000000000002</v>
      </c>
      <c r="N7" s="18">
        <v>78.626999999999995</v>
      </c>
      <c r="O7" s="18">
        <v>15.616</v>
      </c>
      <c r="P7" s="19">
        <v>2294.511</v>
      </c>
      <c r="Q7" s="142">
        <f t="shared" si="15"/>
        <v>1.5508992117815668E-3</v>
      </c>
      <c r="R7" s="10">
        <f t="shared" si="16"/>
        <v>2.5884919719050149E-2</v>
      </c>
      <c r="S7" s="10">
        <f t="shared" si="17"/>
        <v>3.4659898372854034E-2</v>
      </c>
      <c r="T7" s="10">
        <f t="shared" si="18"/>
        <v>2.0325678464427127E-3</v>
      </c>
      <c r="U7" s="10">
        <f t="shared" si="19"/>
        <v>5.8864645985183617E-3</v>
      </c>
      <c r="V7" s="10">
        <f t="shared" si="20"/>
        <v>1.5540248794763317E-2</v>
      </c>
      <c r="W7" s="10">
        <f t="shared" si="21"/>
        <v>6.3E-2</v>
      </c>
      <c r="X7" s="10">
        <f t="shared" si="22"/>
        <v>2.1000000000000001E-2</v>
      </c>
      <c r="Y7" s="10">
        <f t="shared" si="23"/>
        <v>4.2000000000000003E-2</v>
      </c>
      <c r="Z7" s="23">
        <f t="shared" si="24"/>
        <v>0.42</v>
      </c>
      <c r="AA7" s="23">
        <f t="shared" si="25"/>
        <v>0.14000000000000001</v>
      </c>
      <c r="AB7" s="23">
        <f t="shared" si="26"/>
        <v>0.28000000000000003</v>
      </c>
      <c r="AC7" s="24">
        <f t="shared" si="27"/>
        <v>5</v>
      </c>
      <c r="AD7" s="24">
        <f t="shared" si="28"/>
        <v>5</v>
      </c>
      <c r="AE7" s="24">
        <f t="shared" si="29"/>
        <v>5</v>
      </c>
      <c r="AF7" s="20"/>
      <c r="AG7" s="20"/>
      <c r="AH7" s="22"/>
      <c r="AI7" s="22"/>
      <c r="AJ7" s="22"/>
      <c r="AK7" s="22"/>
      <c r="AL7" s="21"/>
      <c r="AM7" s="21"/>
      <c r="AN7" s="21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>
      <c r="A8" s="66">
        <v>11666</v>
      </c>
      <c r="B8" s="66" t="s">
        <v>115</v>
      </c>
      <c r="C8" s="15" t="str">
        <f>Rollover!A8</f>
        <v>Hyundai</v>
      </c>
      <c r="D8" s="15" t="str">
        <f>Rollover!B8</f>
        <v>Tucson SUV FWD early release</v>
      </c>
      <c r="E8" s="15" t="s">
        <v>106</v>
      </c>
      <c r="F8" s="16">
        <f>Rollover!C8</f>
        <v>2022</v>
      </c>
      <c r="G8" s="17">
        <v>70.632000000000005</v>
      </c>
      <c r="H8" s="18">
        <v>23.611000000000001</v>
      </c>
      <c r="I8" s="18">
        <v>33.793999999999997</v>
      </c>
      <c r="J8" s="18">
        <v>1083.5989999999999</v>
      </c>
      <c r="K8" s="19">
        <v>1964.2719999999999</v>
      </c>
      <c r="L8" s="17">
        <v>134.25700000000001</v>
      </c>
      <c r="M8" s="18">
        <v>16.059000000000001</v>
      </c>
      <c r="N8" s="18">
        <v>52.218000000000004</v>
      </c>
      <c r="O8" s="18">
        <v>38.298000000000002</v>
      </c>
      <c r="P8" s="19">
        <v>2835.7370000000001</v>
      </c>
      <c r="Q8" s="142">
        <f t="shared" si="15"/>
        <v>7.8921050607709401E-6</v>
      </c>
      <c r="R8" s="10">
        <f t="shared" si="16"/>
        <v>3.8432951212544829E-2</v>
      </c>
      <c r="S8" s="10">
        <f t="shared" si="17"/>
        <v>2.3450735662939242E-2</v>
      </c>
      <c r="T8" s="10">
        <f t="shared" si="18"/>
        <v>4.3371087423019978E-3</v>
      </c>
      <c r="U8" s="10">
        <f t="shared" si="19"/>
        <v>2.8082254074917945E-4</v>
      </c>
      <c r="V8" s="10">
        <f t="shared" si="20"/>
        <v>2.5583101086273031E-2</v>
      </c>
      <c r="W8" s="10">
        <f t="shared" si="21"/>
        <v>6.5000000000000002E-2</v>
      </c>
      <c r="X8" s="10">
        <f t="shared" si="22"/>
        <v>2.5999999999999999E-2</v>
      </c>
      <c r="Y8" s="10">
        <f t="shared" si="23"/>
        <v>4.5999999999999999E-2</v>
      </c>
      <c r="Z8" s="23">
        <f t="shared" si="24"/>
        <v>0.43</v>
      </c>
      <c r="AA8" s="23">
        <f t="shared" si="25"/>
        <v>0.17</v>
      </c>
      <c r="AB8" s="23">
        <f t="shared" si="26"/>
        <v>0.31</v>
      </c>
      <c r="AC8" s="24">
        <f t="shared" si="27"/>
        <v>5</v>
      </c>
      <c r="AD8" s="24">
        <f t="shared" si="28"/>
        <v>5</v>
      </c>
      <c r="AE8" s="24">
        <f t="shared" si="29"/>
        <v>5</v>
      </c>
      <c r="AF8" s="20"/>
      <c r="AG8" s="20"/>
      <c r="AH8" s="22"/>
      <c r="AI8" s="22"/>
      <c r="AJ8" s="22"/>
      <c r="AK8" s="22"/>
      <c r="AL8" s="21"/>
      <c r="AM8" s="21"/>
      <c r="AN8" s="21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>
      <c r="A9" s="66">
        <v>11666</v>
      </c>
      <c r="B9" s="66" t="s">
        <v>115</v>
      </c>
      <c r="C9" s="15" t="str">
        <f>Rollover!A9</f>
        <v>Hyundai</v>
      </c>
      <c r="D9" s="15" t="str">
        <f>Rollover!B9</f>
        <v>Tucson SUV AWD early release</v>
      </c>
      <c r="E9" s="15" t="s">
        <v>106</v>
      </c>
      <c r="F9" s="16">
        <f>Rollover!C9</f>
        <v>2022</v>
      </c>
      <c r="G9" s="17">
        <v>70.632000000000005</v>
      </c>
      <c r="H9" s="18">
        <v>23.611000000000001</v>
      </c>
      <c r="I9" s="18">
        <v>33.793999999999997</v>
      </c>
      <c r="J9" s="18">
        <v>1083.5989999999999</v>
      </c>
      <c r="K9" s="19">
        <v>1964.2719999999999</v>
      </c>
      <c r="L9" s="17">
        <v>134.25700000000001</v>
      </c>
      <c r="M9" s="18">
        <v>16.059000000000001</v>
      </c>
      <c r="N9" s="18">
        <v>52.218000000000004</v>
      </c>
      <c r="O9" s="18">
        <v>38.298000000000002</v>
      </c>
      <c r="P9" s="19">
        <v>2835.7370000000001</v>
      </c>
      <c r="Q9" s="142">
        <f t="shared" si="15"/>
        <v>7.8921050607709401E-6</v>
      </c>
      <c r="R9" s="10">
        <f t="shared" si="16"/>
        <v>3.8432951212544829E-2</v>
      </c>
      <c r="S9" s="10">
        <f t="shared" si="17"/>
        <v>2.3450735662939242E-2</v>
      </c>
      <c r="T9" s="10">
        <f t="shared" si="18"/>
        <v>4.3371087423019978E-3</v>
      </c>
      <c r="U9" s="10">
        <f t="shared" si="19"/>
        <v>2.8082254074917945E-4</v>
      </c>
      <c r="V9" s="10">
        <f t="shared" si="20"/>
        <v>2.5583101086273031E-2</v>
      </c>
      <c r="W9" s="10">
        <f t="shared" si="21"/>
        <v>6.5000000000000002E-2</v>
      </c>
      <c r="X9" s="10">
        <f t="shared" si="22"/>
        <v>2.5999999999999999E-2</v>
      </c>
      <c r="Y9" s="10">
        <f t="shared" si="23"/>
        <v>4.5999999999999999E-2</v>
      </c>
      <c r="Z9" s="23">
        <f t="shared" si="24"/>
        <v>0.43</v>
      </c>
      <c r="AA9" s="23">
        <f t="shared" si="25"/>
        <v>0.17</v>
      </c>
      <c r="AB9" s="23">
        <f t="shared" si="26"/>
        <v>0.31</v>
      </c>
      <c r="AC9" s="24">
        <f t="shared" si="27"/>
        <v>5</v>
      </c>
      <c r="AD9" s="24">
        <f t="shared" si="28"/>
        <v>5</v>
      </c>
      <c r="AE9" s="24">
        <f t="shared" si="29"/>
        <v>5</v>
      </c>
      <c r="AF9" s="20"/>
      <c r="AG9" s="20"/>
      <c r="AH9" s="22"/>
      <c r="AI9" s="22"/>
      <c r="AJ9" s="22"/>
      <c r="AK9" s="22"/>
      <c r="AL9" s="21"/>
      <c r="AM9" s="21"/>
      <c r="AN9" s="21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>
      <c r="A10" s="66">
        <v>11666</v>
      </c>
      <c r="B10" s="66" t="s">
        <v>115</v>
      </c>
      <c r="C10" s="15" t="str">
        <f>Rollover!A10</f>
        <v>Hyundai</v>
      </c>
      <c r="D10" s="15" t="str">
        <f>Rollover!B10</f>
        <v>Tucson HEV SUV FWD early release</v>
      </c>
      <c r="E10" s="15" t="s">
        <v>106</v>
      </c>
      <c r="F10" s="16">
        <f>Rollover!C10</f>
        <v>2022</v>
      </c>
      <c r="G10" s="17">
        <v>70.632000000000005</v>
      </c>
      <c r="H10" s="18">
        <v>23.611000000000001</v>
      </c>
      <c r="I10" s="18">
        <v>33.793999999999997</v>
      </c>
      <c r="J10" s="18">
        <v>1083.5989999999999</v>
      </c>
      <c r="K10" s="19">
        <v>1964.2719999999999</v>
      </c>
      <c r="L10" s="17">
        <v>134.25700000000001</v>
      </c>
      <c r="M10" s="18">
        <v>16.059000000000001</v>
      </c>
      <c r="N10" s="18">
        <v>52.218000000000004</v>
      </c>
      <c r="O10" s="18">
        <v>38.298000000000002</v>
      </c>
      <c r="P10" s="19">
        <v>2835.7370000000001</v>
      </c>
      <c r="Q10" s="142">
        <f t="shared" si="15"/>
        <v>7.8921050607709401E-6</v>
      </c>
      <c r="R10" s="10">
        <f t="shared" si="16"/>
        <v>3.8432951212544829E-2</v>
      </c>
      <c r="S10" s="10">
        <f t="shared" si="17"/>
        <v>2.3450735662939242E-2</v>
      </c>
      <c r="T10" s="10">
        <f t="shared" si="18"/>
        <v>4.3371087423019978E-3</v>
      </c>
      <c r="U10" s="10">
        <f t="shared" si="19"/>
        <v>2.8082254074917945E-4</v>
      </c>
      <c r="V10" s="10">
        <f t="shared" si="20"/>
        <v>2.5583101086273031E-2</v>
      </c>
      <c r="W10" s="10">
        <f t="shared" si="21"/>
        <v>6.5000000000000002E-2</v>
      </c>
      <c r="X10" s="10">
        <f t="shared" si="22"/>
        <v>2.5999999999999999E-2</v>
      </c>
      <c r="Y10" s="10">
        <f t="shared" si="23"/>
        <v>4.5999999999999999E-2</v>
      </c>
      <c r="Z10" s="23">
        <f t="shared" si="24"/>
        <v>0.43</v>
      </c>
      <c r="AA10" s="23">
        <f t="shared" si="25"/>
        <v>0.17</v>
      </c>
      <c r="AB10" s="23">
        <f t="shared" si="26"/>
        <v>0.31</v>
      </c>
      <c r="AC10" s="24">
        <f t="shared" si="27"/>
        <v>5</v>
      </c>
      <c r="AD10" s="24">
        <f t="shared" si="28"/>
        <v>5</v>
      </c>
      <c r="AE10" s="24">
        <f t="shared" si="29"/>
        <v>5</v>
      </c>
      <c r="AF10" s="20"/>
      <c r="AG10" s="20"/>
      <c r="AH10" s="22"/>
      <c r="AI10" s="22"/>
      <c r="AJ10" s="22"/>
      <c r="AK10" s="22"/>
      <c r="AL10" s="21"/>
      <c r="AM10" s="21"/>
      <c r="AN10" s="21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>
      <c r="A11" s="66">
        <v>11666</v>
      </c>
      <c r="B11" s="66" t="s">
        <v>115</v>
      </c>
      <c r="C11" s="16" t="str">
        <f>Rollover!A11</f>
        <v>Hyundai</v>
      </c>
      <c r="D11" s="16" t="str">
        <f>Rollover!B11</f>
        <v>Tucson HEV SUV AWD early release</v>
      </c>
      <c r="E11" s="15" t="s">
        <v>106</v>
      </c>
      <c r="F11" s="16">
        <f>Rollover!C11</f>
        <v>2022</v>
      </c>
      <c r="G11" s="17">
        <v>70.632000000000005</v>
      </c>
      <c r="H11" s="18">
        <v>23.611000000000001</v>
      </c>
      <c r="I11" s="18">
        <v>33.793999999999997</v>
      </c>
      <c r="J11" s="18">
        <v>1083.5989999999999</v>
      </c>
      <c r="K11" s="19">
        <v>1964.2719999999999</v>
      </c>
      <c r="L11" s="17">
        <v>134.25700000000001</v>
      </c>
      <c r="M11" s="18">
        <v>16.059000000000001</v>
      </c>
      <c r="N11" s="18">
        <v>52.218000000000004</v>
      </c>
      <c r="O11" s="18">
        <v>38.298000000000002</v>
      </c>
      <c r="P11" s="19">
        <v>2835.7370000000001</v>
      </c>
      <c r="Q11" s="142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3">
        <f t="shared" si="24"/>
        <v>0.43</v>
      </c>
      <c r="AA11" s="23">
        <f t="shared" si="25"/>
        <v>0.17</v>
      </c>
      <c r="AB11" s="23">
        <f t="shared" si="26"/>
        <v>0.31</v>
      </c>
      <c r="AC11" s="24">
        <f t="shared" si="27"/>
        <v>5</v>
      </c>
      <c r="AD11" s="24">
        <f t="shared" si="28"/>
        <v>5</v>
      </c>
      <c r="AE11" s="24">
        <f t="shared" si="29"/>
        <v>5</v>
      </c>
      <c r="AF11" s="20"/>
      <c r="AG11" s="20"/>
      <c r="AH11" s="22"/>
      <c r="AI11" s="22"/>
      <c r="AJ11" s="22"/>
      <c r="AK11" s="22"/>
      <c r="AL11" s="21"/>
      <c r="AM11" s="21"/>
      <c r="AN11" s="21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>
      <c r="A12" s="62">
        <v>14055</v>
      </c>
      <c r="B12" s="62" t="s">
        <v>125</v>
      </c>
      <c r="C12" s="16" t="str">
        <f>Rollover!A12</f>
        <v>Kia</v>
      </c>
      <c r="D12" s="16" t="str">
        <f>Rollover!B12</f>
        <v>Niro Electric SUV FWD</v>
      </c>
      <c r="E12" s="15" t="s">
        <v>90</v>
      </c>
      <c r="F12" s="16">
        <f>Rollover!C12</f>
        <v>2022</v>
      </c>
      <c r="G12" s="27">
        <v>131.911</v>
      </c>
      <c r="H12" s="28">
        <v>19.672999999999998</v>
      </c>
      <c r="I12" s="28">
        <v>25.791</v>
      </c>
      <c r="J12" s="28">
        <v>724.62699999999995</v>
      </c>
      <c r="K12" s="29">
        <v>1263.4960000000001</v>
      </c>
      <c r="L12" s="27">
        <v>84.546000000000006</v>
      </c>
      <c r="M12" s="28">
        <v>19.509</v>
      </c>
      <c r="N12" s="28">
        <v>57.100999999999999</v>
      </c>
      <c r="O12" s="28">
        <v>22.574999999999999</v>
      </c>
      <c r="P12" s="29">
        <v>2713.3850000000002</v>
      </c>
      <c r="Q12" s="142">
        <f t="shared" ref="Q12:Q13" si="30">NORMDIST(LN(G12),7.45231,0.73998,1)</f>
        <v>2.5703721947402814E-4</v>
      </c>
      <c r="R12" s="10">
        <f t="shared" ref="R12:R13" si="31">1/(1+EXP(5.3895-0.0919*H12))</f>
        <v>2.7078817344621441E-2</v>
      </c>
      <c r="S12" s="10">
        <f t="shared" ref="S12:S13" si="32">1/(1+EXP(6.04044-0.002133*J12))</f>
        <v>1.1043475079713644E-2</v>
      </c>
      <c r="T12" s="10">
        <f t="shared" ref="T12:T13" si="33">1/(1+EXP(7.5969-0.0011*K12))</f>
        <v>2.0111118776823451E-3</v>
      </c>
      <c r="U12" s="10">
        <f t="shared" ref="U12:U13" si="34">NORMDIST(LN(L12),7.45231,0.73998,1)</f>
        <v>2.3061245723877184E-5</v>
      </c>
      <c r="V12" s="10">
        <f t="shared" ref="V12:V13" si="35">1/(1+EXP(6.3055-0.00094*P12))</f>
        <v>2.2867220103251311E-2</v>
      </c>
      <c r="W12" s="10">
        <f t="shared" ref="W12:W13" si="36">ROUND(1-(1-Q12)*(1-R12)*(1-S12)*(1-T12),3)</f>
        <v>0.04</v>
      </c>
      <c r="X12" s="10">
        <f t="shared" ref="X12:X13" si="37">IF(L12="N/A",L12,ROUND(1-(1-U12)*(1-V12),3))</f>
        <v>2.3E-2</v>
      </c>
      <c r="Y12" s="10">
        <f t="shared" ref="Y12:Y13" si="38">ROUND(AVERAGE(W12:X12),3)</f>
        <v>3.2000000000000001E-2</v>
      </c>
      <c r="Z12" s="23">
        <f t="shared" ref="Z12:Z13" si="39">ROUND(W12/0.15,2)</f>
        <v>0.27</v>
      </c>
      <c r="AA12" s="23">
        <f t="shared" ref="AA12:AA13" si="40">IF(L12="N/A", L12, ROUND(X12/0.15,2))</f>
        <v>0.15</v>
      </c>
      <c r="AB12" s="23">
        <f t="shared" ref="AB12:AB13" si="41">ROUND(Y12/0.15,2)</f>
        <v>0.21</v>
      </c>
      <c r="AC12" s="24">
        <f t="shared" ref="AC12:AC13" si="42">IF(Z12&lt;0.67,5,IF(Z12&lt;1,4,IF(Z12&lt;1.33,3,IF(Z12&lt;2.67,2,1))))</f>
        <v>5</v>
      </c>
      <c r="AD12" s="24">
        <f t="shared" ref="AD12:AD13" si="43">IF(L12="N/A",L12,IF(AA12&lt;0.67,5,IF(AA12&lt;1,4,IF(AA12&lt;1.33,3,IF(AA12&lt;2.67,2,1)))))</f>
        <v>5</v>
      </c>
      <c r="AE12" s="24">
        <f t="shared" ref="AE12:AE13" si="44">IF(AB12&lt;0.67,5,IF(AB12&lt;1,4,IF(AB12&lt;1.33,3,IF(AB12&lt;2.67,2,1))))</f>
        <v>5</v>
      </c>
      <c r="AF12" s="20"/>
      <c r="AG12" s="20"/>
      <c r="AH12" s="22"/>
      <c r="AI12" s="22"/>
      <c r="AJ12" s="22"/>
      <c r="AK12" s="22"/>
      <c r="AL12" s="21"/>
      <c r="AM12" s="21"/>
      <c r="AN12" s="21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>
      <c r="A13" s="66">
        <v>14054</v>
      </c>
      <c r="B13" s="66" t="s">
        <v>120</v>
      </c>
      <c r="C13" s="16" t="str">
        <f>Rollover!A13</f>
        <v>Mazda</v>
      </c>
      <c r="D13" s="16" t="str">
        <f>Rollover!B13</f>
        <v>MX-30 5HB FWD</v>
      </c>
      <c r="E13" s="15" t="s">
        <v>106</v>
      </c>
      <c r="F13" s="16">
        <f>Rollover!C13</f>
        <v>2022</v>
      </c>
      <c r="G13" s="17">
        <v>92.474999999999994</v>
      </c>
      <c r="H13" s="18">
        <v>19.521999999999998</v>
      </c>
      <c r="I13" s="18">
        <v>22.855</v>
      </c>
      <c r="J13" s="18">
        <v>766.09699999999998</v>
      </c>
      <c r="K13" s="19">
        <v>1340.54</v>
      </c>
      <c r="L13" s="17">
        <v>427.46199999999999</v>
      </c>
      <c r="M13" s="18">
        <v>28.584</v>
      </c>
      <c r="N13" s="18">
        <v>70.613</v>
      </c>
      <c r="O13" s="18">
        <v>33.415999999999997</v>
      </c>
      <c r="P13" s="19">
        <v>3886.3119999999999</v>
      </c>
      <c r="Q13" s="142">
        <f t="shared" si="30"/>
        <v>3.8538446823701387E-5</v>
      </c>
      <c r="R13" s="10">
        <f t="shared" si="31"/>
        <v>2.6715612140481099E-2</v>
      </c>
      <c r="S13" s="10">
        <f t="shared" si="32"/>
        <v>1.2052528010456892E-2</v>
      </c>
      <c r="T13" s="10">
        <f t="shared" si="33"/>
        <v>2.1885917244560652E-3</v>
      </c>
      <c r="U13" s="10">
        <f t="shared" si="34"/>
        <v>2.9753043742267334E-2</v>
      </c>
      <c r="V13" s="10">
        <f t="shared" si="35"/>
        <v>6.5843287732628319E-2</v>
      </c>
      <c r="W13" s="10">
        <f t="shared" si="36"/>
        <v>4.1000000000000002E-2</v>
      </c>
      <c r="X13" s="10">
        <f t="shared" si="37"/>
        <v>9.4E-2</v>
      </c>
      <c r="Y13" s="10">
        <f t="shared" si="38"/>
        <v>6.8000000000000005E-2</v>
      </c>
      <c r="Z13" s="23">
        <f t="shared" si="39"/>
        <v>0.27</v>
      </c>
      <c r="AA13" s="23">
        <f t="shared" si="40"/>
        <v>0.63</v>
      </c>
      <c r="AB13" s="23">
        <f t="shared" si="41"/>
        <v>0.45</v>
      </c>
      <c r="AC13" s="24">
        <f t="shared" si="42"/>
        <v>5</v>
      </c>
      <c r="AD13" s="24">
        <f t="shared" si="43"/>
        <v>5</v>
      </c>
      <c r="AE13" s="24">
        <f t="shared" si="44"/>
        <v>5</v>
      </c>
      <c r="AF13" s="20"/>
      <c r="AG13" s="20"/>
      <c r="AH13" s="22"/>
      <c r="AI13" s="22"/>
      <c r="AJ13" s="22"/>
      <c r="AK13" s="22"/>
      <c r="AL13" s="21"/>
      <c r="AM13" s="21"/>
      <c r="AN13" s="21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>
      <c r="A14" s="66">
        <v>10835</v>
      </c>
      <c r="B14" s="143" t="s">
        <v>89</v>
      </c>
      <c r="C14" s="16" t="str">
        <f>Rollover!A14</f>
        <v xml:space="preserve">Mitsubishi </v>
      </c>
      <c r="D14" s="16" t="str">
        <f>Rollover!B14</f>
        <v>Eclipse Cross SUV AWD</v>
      </c>
      <c r="E14" s="15" t="s">
        <v>90</v>
      </c>
      <c r="F14" s="16">
        <f>Rollover!C14</f>
        <v>2022</v>
      </c>
      <c r="G14" s="17">
        <v>144.69499999999999</v>
      </c>
      <c r="H14" s="18">
        <v>11.705</v>
      </c>
      <c r="I14" s="18">
        <v>26.678999999999998</v>
      </c>
      <c r="J14" s="18">
        <v>683.97900000000004</v>
      </c>
      <c r="K14" s="19">
        <v>1298.925</v>
      </c>
      <c r="L14" s="17">
        <v>162.101</v>
      </c>
      <c r="M14" s="18">
        <v>15.973000000000001</v>
      </c>
      <c r="N14" s="18">
        <v>55.374000000000002</v>
      </c>
      <c r="O14" s="18">
        <v>38.148000000000003</v>
      </c>
      <c r="P14" s="19">
        <v>2064.259</v>
      </c>
      <c r="Q14" s="142">
        <f t="shared" ref="Q14:Q15" si="45">NORMDIST(LN(G14),7.45231,0.73998,1)</f>
        <v>4.065310636660894E-4</v>
      </c>
      <c r="R14" s="10">
        <f t="shared" ref="R14:R15" si="46">1/(1+EXP(5.3895-0.0919*H14))</f>
        <v>1.3205733279719625E-2</v>
      </c>
      <c r="S14" s="10">
        <f t="shared" ref="S14:S15" si="47">1/(1+EXP(6.04044-0.002133*J14))</f>
        <v>1.0135611960285668E-2</v>
      </c>
      <c r="T14" s="10">
        <f t="shared" ref="T14:T15" si="48">1/(1+EXP(7.5969-0.0011*K14))</f>
        <v>2.0908688999106092E-3</v>
      </c>
      <c r="U14" s="10">
        <f t="shared" ref="U14:U15" si="49">NORMDIST(LN(L14),7.45231,0.73998,1)</f>
        <v>6.9963133102703167E-4</v>
      </c>
      <c r="V14" s="10">
        <f t="shared" ref="V14:V15" si="50">1/(1+EXP(6.3055-0.00094*P14))</f>
        <v>1.2553825606703666E-2</v>
      </c>
      <c r="W14" s="10">
        <f t="shared" ref="W14:W15" si="51">ROUND(1-(1-Q14)*(1-R14)*(1-S14)*(1-T14),3)</f>
        <v>2.5999999999999999E-2</v>
      </c>
      <c r="X14" s="10">
        <f t="shared" ref="X14:X15" si="52">IF(L14="N/A",L14,ROUND(1-(1-U14)*(1-V14),3))</f>
        <v>1.2999999999999999E-2</v>
      </c>
      <c r="Y14" s="10">
        <f t="shared" ref="Y14:Y15" si="53">ROUND(AVERAGE(W14:X14),3)</f>
        <v>0.02</v>
      </c>
      <c r="Z14" s="23">
        <f t="shared" ref="Z14:Z15" si="54">ROUND(W14/0.15,2)</f>
        <v>0.17</v>
      </c>
      <c r="AA14" s="23">
        <f t="shared" ref="AA14:AA15" si="55">IF(L14="N/A", L14, ROUND(X14/0.15,2))</f>
        <v>0.09</v>
      </c>
      <c r="AB14" s="23">
        <f t="shared" ref="AB14:AB15" si="56">ROUND(Y14/0.15,2)</f>
        <v>0.13</v>
      </c>
      <c r="AC14" s="24">
        <f t="shared" ref="AC14:AC15" si="57">IF(Z14&lt;0.67,5,IF(Z14&lt;1,4,IF(Z14&lt;1.33,3,IF(Z14&lt;2.67,2,1))))</f>
        <v>5</v>
      </c>
      <c r="AD14" s="24">
        <f t="shared" ref="AD14:AD15" si="58">IF(L14="N/A",L14,IF(AA14&lt;0.67,5,IF(AA14&lt;1,4,IF(AA14&lt;1.33,3,IF(AA14&lt;2.67,2,1)))))</f>
        <v>5</v>
      </c>
      <c r="AE14" s="24">
        <f t="shared" ref="AE14:AE15" si="59">IF(AB14&lt;0.67,5,IF(AB14&lt;1,4,IF(AB14&lt;1.33,3,IF(AB14&lt;2.67,2,1))))</f>
        <v>5</v>
      </c>
      <c r="AF14" s="20"/>
      <c r="AG14" s="20"/>
      <c r="AH14" s="22"/>
      <c r="AI14" s="22"/>
      <c r="AJ14" s="22"/>
      <c r="AK14" s="22"/>
      <c r="AL14" s="21"/>
      <c r="AM14" s="21"/>
      <c r="AN14" s="2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>
      <c r="A15" s="66">
        <v>10835</v>
      </c>
      <c r="B15" s="143" t="s">
        <v>89</v>
      </c>
      <c r="C15" s="16" t="str">
        <f>Rollover!A15</f>
        <v xml:space="preserve">Mitsubishi </v>
      </c>
      <c r="D15" s="16" t="str">
        <f>Rollover!B15</f>
        <v>Eclipse Cross SUV FWD</v>
      </c>
      <c r="E15" s="15" t="s">
        <v>90</v>
      </c>
      <c r="F15" s="16">
        <f>Rollover!C15</f>
        <v>2022</v>
      </c>
      <c r="G15" s="17">
        <v>144.69499999999999</v>
      </c>
      <c r="H15" s="18">
        <v>11.705</v>
      </c>
      <c r="I15" s="18">
        <v>26.678999999999998</v>
      </c>
      <c r="J15" s="18">
        <v>683.97900000000004</v>
      </c>
      <c r="K15" s="19">
        <v>1298.925</v>
      </c>
      <c r="L15" s="17">
        <v>162.101</v>
      </c>
      <c r="M15" s="18">
        <v>15.973000000000001</v>
      </c>
      <c r="N15" s="18">
        <v>55.374000000000002</v>
      </c>
      <c r="O15" s="18">
        <v>38.148000000000003</v>
      </c>
      <c r="P15" s="19">
        <v>2064.259</v>
      </c>
      <c r="Q15" s="142">
        <f t="shared" si="45"/>
        <v>4.065310636660894E-4</v>
      </c>
      <c r="R15" s="10">
        <f t="shared" si="46"/>
        <v>1.3205733279719625E-2</v>
      </c>
      <c r="S15" s="10">
        <f t="shared" si="47"/>
        <v>1.0135611960285668E-2</v>
      </c>
      <c r="T15" s="10">
        <f t="shared" si="48"/>
        <v>2.0908688999106092E-3</v>
      </c>
      <c r="U15" s="10">
        <f t="shared" si="49"/>
        <v>6.9963133102703167E-4</v>
      </c>
      <c r="V15" s="10">
        <f t="shared" si="50"/>
        <v>1.2553825606703666E-2</v>
      </c>
      <c r="W15" s="10">
        <f t="shared" si="51"/>
        <v>2.5999999999999999E-2</v>
      </c>
      <c r="X15" s="10">
        <f t="shared" si="52"/>
        <v>1.2999999999999999E-2</v>
      </c>
      <c r="Y15" s="10">
        <f t="shared" si="53"/>
        <v>0.02</v>
      </c>
      <c r="Z15" s="23">
        <f t="shared" si="54"/>
        <v>0.17</v>
      </c>
      <c r="AA15" s="23">
        <f t="shared" si="55"/>
        <v>0.09</v>
      </c>
      <c r="AB15" s="23">
        <f t="shared" si="56"/>
        <v>0.13</v>
      </c>
      <c r="AC15" s="24">
        <f t="shared" si="57"/>
        <v>5</v>
      </c>
      <c r="AD15" s="24">
        <f t="shared" si="58"/>
        <v>5</v>
      </c>
      <c r="AE15" s="24">
        <f t="shared" si="59"/>
        <v>5</v>
      </c>
      <c r="AF15" s="20"/>
      <c r="AG15" s="20"/>
      <c r="AH15" s="22"/>
      <c r="AI15" s="22"/>
      <c r="AJ15" s="22"/>
      <c r="AK15" s="22"/>
      <c r="AL15" s="21"/>
      <c r="AM15" s="21"/>
      <c r="AN15" s="2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4"/>
  <sheetViews>
    <sheetView zoomScaleNormal="100" workbookViewId="0">
      <pane xSplit="6" ySplit="2" topLeftCell="G3" activePane="bottomRight" state="frozen"/>
      <selection activeCell="D25" sqref="D25"/>
      <selection pane="topRight" activeCell="D25" sqref="D25"/>
      <selection pane="bottomLeft" activeCell="D25" sqref="D25"/>
      <selection pane="bottomRight" activeCell="A12" sqref="A12:XFD12"/>
    </sheetView>
  </sheetViews>
  <sheetFormatPr defaultColWidth="9.140625" defaultRowHeight="14.1" customHeight="1"/>
  <cols>
    <col min="1" max="1" width="8.5703125" style="127" bestFit="1" customWidth="1"/>
    <col min="2" max="2" width="9" style="127" bestFit="1" customWidth="1"/>
    <col min="3" max="3" width="12" style="128" bestFit="1" customWidth="1"/>
    <col min="4" max="4" width="26.140625" style="128" customWidth="1"/>
    <col min="5" max="5" width="6.5703125" style="129" customWidth="1"/>
    <col min="6" max="6" width="7.42578125" style="130" bestFit="1" customWidth="1"/>
    <col min="7" max="10" width="8.5703125" style="124" customWidth="1"/>
    <col min="11" max="11" width="9.85546875" style="124" customWidth="1"/>
    <col min="12" max="12" width="7" style="124" customWidth="1"/>
    <col min="13" max="13" width="7.42578125" style="124" customWidth="1"/>
    <col min="14" max="14" width="7.85546875" style="131" customWidth="1"/>
    <col min="15" max="15" width="8" style="131" customWidth="1"/>
    <col min="16" max="16" width="8.42578125" style="132" customWidth="1"/>
    <col min="17" max="17" width="9.42578125" style="131" customWidth="1"/>
    <col min="18" max="18" width="10.140625" style="124" customWidth="1"/>
    <col min="19" max="19" width="6" style="127" customWidth="1"/>
    <col min="20" max="20" width="10.42578125" style="127" bestFit="1" customWidth="1"/>
    <col min="21" max="21" width="10.140625" style="127" customWidth="1"/>
    <col min="22" max="22" width="10.42578125" style="127" bestFit="1" customWidth="1"/>
    <col min="23" max="16384" width="9.140625" style="124"/>
  </cols>
  <sheetData>
    <row r="1" spans="1:37" s="118" customFormat="1" ht="14.1" customHeight="1">
      <c r="A1" s="24"/>
      <c r="B1" s="24"/>
      <c r="C1" s="110"/>
      <c r="D1" s="110"/>
      <c r="E1" s="111"/>
      <c r="F1" s="112"/>
      <c r="G1" s="113" t="s">
        <v>47</v>
      </c>
      <c r="H1" s="114"/>
      <c r="I1" s="114"/>
      <c r="J1" s="114"/>
      <c r="K1" s="115"/>
      <c r="L1" s="116" t="s">
        <v>47</v>
      </c>
      <c r="M1" s="117"/>
      <c r="N1" s="40" t="s">
        <v>13</v>
      </c>
      <c r="O1" s="11" t="s">
        <v>13</v>
      </c>
      <c r="P1" s="24" t="s">
        <v>46</v>
      </c>
      <c r="Q1" s="11" t="s">
        <v>13</v>
      </c>
      <c r="R1" s="39" t="s">
        <v>13</v>
      </c>
      <c r="S1" s="24" t="s">
        <v>13</v>
      </c>
      <c r="T1" s="24" t="s">
        <v>61</v>
      </c>
      <c r="U1" s="24" t="s">
        <v>78</v>
      </c>
      <c r="V1" s="24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18" customFormat="1" ht="14.1" customHeight="1">
      <c r="A2" s="24" t="s">
        <v>27</v>
      </c>
      <c r="B2" s="24" t="s">
        <v>85</v>
      </c>
      <c r="C2" s="110" t="s">
        <v>19</v>
      </c>
      <c r="D2" s="110" t="s">
        <v>20</v>
      </c>
      <c r="E2" s="111" t="s">
        <v>77</v>
      </c>
      <c r="F2" s="112" t="s">
        <v>21</v>
      </c>
      <c r="G2" s="119" t="s">
        <v>59</v>
      </c>
      <c r="H2" s="42" t="s">
        <v>74</v>
      </c>
      <c r="I2" s="42" t="s">
        <v>75</v>
      </c>
      <c r="J2" s="42" t="s">
        <v>73</v>
      </c>
      <c r="K2" s="120" t="s">
        <v>40</v>
      </c>
      <c r="L2" s="40" t="s">
        <v>1</v>
      </c>
      <c r="M2" s="41" t="s">
        <v>15</v>
      </c>
      <c r="N2" s="40" t="s">
        <v>17</v>
      </c>
      <c r="O2" s="11" t="s">
        <v>68</v>
      </c>
      <c r="P2" s="24" t="s">
        <v>45</v>
      </c>
      <c r="Q2" s="42" t="s">
        <v>81</v>
      </c>
      <c r="R2" s="43" t="s">
        <v>82</v>
      </c>
      <c r="S2" s="9" t="s">
        <v>83</v>
      </c>
      <c r="T2" s="42" t="s">
        <v>80</v>
      </c>
      <c r="U2" s="42" t="s">
        <v>79</v>
      </c>
      <c r="V2" s="9" t="s">
        <v>84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21">
        <v>11662</v>
      </c>
      <c r="B3" s="121" t="s">
        <v>114</v>
      </c>
      <c r="C3" s="122" t="str">
        <f>Rollover!A3</f>
        <v>Acura</v>
      </c>
      <c r="D3" s="122" t="str">
        <f>Rollover!B3</f>
        <v>MDX SUV AWD</v>
      </c>
      <c r="E3" s="63" t="s">
        <v>106</v>
      </c>
      <c r="F3" s="123">
        <f>Rollover!C3</f>
        <v>2022</v>
      </c>
      <c r="G3" s="44">
        <v>549.42999999999995</v>
      </c>
      <c r="H3" s="18">
        <v>23.844000000000001</v>
      </c>
      <c r="I3" s="18">
        <v>40.203000000000003</v>
      </c>
      <c r="J3" s="45">
        <v>23.867999999999999</v>
      </c>
      <c r="K3" s="45">
        <v>1886.6890000000001</v>
      </c>
      <c r="L3" s="46">
        <f t="shared" ref="L3" si="0">NORMDIST(LN(G3),7.45231,0.73998,1)</f>
        <v>6.1147063867622163E-2</v>
      </c>
      <c r="M3" s="56">
        <f t="shared" ref="M3:M4" si="1">1/(1+EXP(6.3055-0.00094*K3))</f>
        <v>1.0644479508367092E-2</v>
      </c>
      <c r="N3" s="46">
        <f t="shared" ref="N3:N4" si="2">ROUND(1-(1-L3)*(1-M3),3)</f>
        <v>7.0999999999999994E-2</v>
      </c>
      <c r="O3" s="10">
        <f t="shared" ref="O3:O4" si="3">ROUND(N3/0.15,2)</f>
        <v>0.47</v>
      </c>
      <c r="P3" s="24">
        <f t="shared" ref="P3:P4" si="4">IF(O3&lt;0.67,5,IF(O3&lt;1,4,IF(O3&lt;1.33,3,IF(O3&lt;2.67,2,1))))</f>
        <v>5</v>
      </c>
      <c r="Q3" s="47">
        <f>ROUND((0.8*'Side MDB'!W3+0.2*'Side Pole'!N3),3)</f>
        <v>3.4000000000000002E-2</v>
      </c>
      <c r="R3" s="47">
        <f t="shared" ref="R3:R4" si="5">ROUND((Q3)/0.15,2)</f>
        <v>0.23</v>
      </c>
      <c r="S3" s="24">
        <f t="shared" ref="S3:S4" si="6">IF(R3&lt;0.67,5,IF(R3&lt;1,4,IF(R3&lt;1.33,3,IF(R3&lt;2.67,2,1))))</f>
        <v>5</v>
      </c>
      <c r="T3" s="47">
        <f>ROUND(((0.8*'Side MDB'!W3+0.2*'Side Pole'!N3)+(IF('Side MDB'!X3="N/A",(0.8*'Side MDB'!W3+0.2*'Side Pole'!N3),'Side MDB'!X3)))/2,3)</f>
        <v>1.9E-2</v>
      </c>
      <c r="U3" s="47">
        <f t="shared" ref="U3:U4" si="7">ROUND((T3)/0.15,2)</f>
        <v>0.13</v>
      </c>
      <c r="V3" s="24">
        <f t="shared" ref="V3:V4" si="8">IF(U3&lt;0.67,5,IF(U3&lt;1,4,IF(U3&lt;1.33,3,IF(U3&lt;2.67,2,1))))</f>
        <v>5</v>
      </c>
      <c r="W3" s="22"/>
      <c r="X3" s="48"/>
      <c r="Y3" s="48"/>
      <c r="Z3" s="48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14.1" customHeight="1">
      <c r="A4" s="121">
        <v>11662</v>
      </c>
      <c r="B4" s="121" t="s">
        <v>114</v>
      </c>
      <c r="C4" s="110" t="str">
        <f>Rollover!A4</f>
        <v>Acura</v>
      </c>
      <c r="D4" s="110" t="str">
        <f>Rollover!B4</f>
        <v>MDX SUV FWD</v>
      </c>
      <c r="E4" s="63" t="s">
        <v>106</v>
      </c>
      <c r="F4" s="123">
        <f>Rollover!C4</f>
        <v>2022</v>
      </c>
      <c r="G4" s="44">
        <v>549.42999999999995</v>
      </c>
      <c r="H4" s="18">
        <v>23.844000000000001</v>
      </c>
      <c r="I4" s="18">
        <v>40.203000000000003</v>
      </c>
      <c r="J4" s="45">
        <v>23.867999999999999</v>
      </c>
      <c r="K4" s="45">
        <v>1886.6890000000001</v>
      </c>
      <c r="L4" s="46">
        <f>NORMDIST(LN(G4),7.45231,0.73998,1)</f>
        <v>6.1147063867622163E-2</v>
      </c>
      <c r="M4" s="56">
        <f t="shared" si="1"/>
        <v>1.0644479508367092E-2</v>
      </c>
      <c r="N4" s="46">
        <f t="shared" si="2"/>
        <v>7.0999999999999994E-2</v>
      </c>
      <c r="O4" s="10">
        <f t="shared" si="3"/>
        <v>0.47</v>
      </c>
      <c r="P4" s="24">
        <f t="shared" si="4"/>
        <v>5</v>
      </c>
      <c r="Q4" s="47">
        <f>ROUND((0.8*'Side MDB'!W4+0.2*'Side Pole'!N4),3)</f>
        <v>3.4000000000000002E-2</v>
      </c>
      <c r="R4" s="47">
        <f t="shared" si="5"/>
        <v>0.23</v>
      </c>
      <c r="S4" s="24">
        <f t="shared" si="6"/>
        <v>5</v>
      </c>
      <c r="T4" s="47">
        <f>ROUND(((0.8*'Side MDB'!W4+0.2*'Side Pole'!N4)+(IF('Side MDB'!X4="N/A",(0.8*'Side MDB'!W4+0.2*'Side Pole'!N4),'Side MDB'!X4)))/2,3)</f>
        <v>1.9E-2</v>
      </c>
      <c r="U4" s="47">
        <f t="shared" si="7"/>
        <v>0.13</v>
      </c>
      <c r="V4" s="24">
        <f t="shared" si="8"/>
        <v>5</v>
      </c>
      <c r="W4" s="22"/>
      <c r="X4" s="48"/>
      <c r="Y4" s="48"/>
      <c r="Z4" s="48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ht="14.1" customHeight="1">
      <c r="A5" s="121">
        <v>14050</v>
      </c>
      <c r="B5" s="121" t="s">
        <v>119</v>
      </c>
      <c r="C5" s="110" t="str">
        <f>Rollover!A5</f>
        <v>Honda</v>
      </c>
      <c r="D5" s="110" t="str">
        <f>Rollover!B5</f>
        <v>Civic 4DR FWD</v>
      </c>
      <c r="E5" s="63" t="s">
        <v>106</v>
      </c>
      <c r="F5" s="123">
        <f>Rollover!C5</f>
        <v>2022</v>
      </c>
      <c r="G5" s="44">
        <v>260.16300000000001</v>
      </c>
      <c r="H5" s="18">
        <v>18.45</v>
      </c>
      <c r="I5" s="18">
        <v>50.851999999999997</v>
      </c>
      <c r="J5" s="45">
        <v>26.135999999999999</v>
      </c>
      <c r="K5" s="45">
        <v>3579.76</v>
      </c>
      <c r="L5" s="46">
        <f t="shared" ref="L5:L11" si="9">NORMDIST(LN(G5),7.45231,0.73998,1)</f>
        <v>5.3021231425712861E-3</v>
      </c>
      <c r="M5" s="56">
        <f t="shared" ref="M5:M11" si="10">1/(1+EXP(6.3055-0.00094*K5))</f>
        <v>5.0186213198040945E-2</v>
      </c>
      <c r="N5" s="46">
        <f t="shared" ref="N5:N11" si="11">ROUND(1-(1-L5)*(1-M5),3)</f>
        <v>5.5E-2</v>
      </c>
      <c r="O5" s="10">
        <f t="shared" ref="O5:O11" si="12">ROUND(N5/0.15,2)</f>
        <v>0.37</v>
      </c>
      <c r="P5" s="24">
        <f t="shared" ref="P5:P11" si="13">IF(O5&lt;0.67,5,IF(O5&lt;1,4,IF(O5&lt;1.33,3,IF(O5&lt;2.67,2,1))))</f>
        <v>5</v>
      </c>
      <c r="Q5" s="47">
        <f>ROUND((0.8*'Side MDB'!W5+0.2*'Side Pole'!N5),3)</f>
        <v>6.0999999999999999E-2</v>
      </c>
      <c r="R5" s="47">
        <f t="shared" ref="R5:R11" si="14">ROUND((Q5)/0.15,2)</f>
        <v>0.41</v>
      </c>
      <c r="S5" s="24">
        <f t="shared" ref="S5:S11" si="15">IF(R5&lt;0.67,5,IF(R5&lt;1,4,IF(R5&lt;1.33,3,IF(R5&lt;2.67,2,1))))</f>
        <v>5</v>
      </c>
      <c r="T5" s="47">
        <f>ROUND(((0.8*'Side MDB'!W5+0.2*'Side Pole'!N5)+(IF('Side MDB'!X5="N/A",(0.8*'Side MDB'!W5+0.2*'Side Pole'!N5),'Side MDB'!X5)))/2,3)</f>
        <v>4.1000000000000002E-2</v>
      </c>
      <c r="U5" s="47">
        <f t="shared" ref="U5:U11" si="16">ROUND((T5)/0.15,2)</f>
        <v>0.27</v>
      </c>
      <c r="V5" s="24">
        <f t="shared" ref="V5:V11" si="17">IF(U5&lt;0.67,5,IF(U5&lt;1,4,IF(U5&lt;1.33,3,IF(U5&lt;2.67,2,1))))</f>
        <v>5</v>
      </c>
      <c r="W5" s="22"/>
      <c r="X5" s="48"/>
      <c r="Y5" s="48"/>
      <c r="Z5" s="48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37" ht="14.1" customHeight="1">
      <c r="A6" s="121">
        <v>14050</v>
      </c>
      <c r="B6" s="121" t="s">
        <v>119</v>
      </c>
      <c r="C6" s="122" t="str">
        <f>Rollover!A6</f>
        <v>Honda</v>
      </c>
      <c r="D6" s="122" t="str">
        <f>Rollover!B6</f>
        <v>Civic SI 4DR FWD</v>
      </c>
      <c r="E6" s="63" t="s">
        <v>106</v>
      </c>
      <c r="F6" s="123">
        <f>Rollover!C6</f>
        <v>2022</v>
      </c>
      <c r="G6" s="44">
        <v>260.16300000000001</v>
      </c>
      <c r="H6" s="18">
        <v>18.45</v>
      </c>
      <c r="I6" s="18">
        <v>50.851999999999997</v>
      </c>
      <c r="J6" s="45">
        <v>26.135999999999999</v>
      </c>
      <c r="K6" s="45">
        <v>3579.76</v>
      </c>
      <c r="L6" s="46">
        <f t="shared" si="9"/>
        <v>5.3021231425712861E-3</v>
      </c>
      <c r="M6" s="56">
        <f t="shared" si="10"/>
        <v>5.0186213198040945E-2</v>
      </c>
      <c r="N6" s="46">
        <f t="shared" si="11"/>
        <v>5.5E-2</v>
      </c>
      <c r="O6" s="10">
        <f t="shared" si="12"/>
        <v>0.37</v>
      </c>
      <c r="P6" s="24">
        <f t="shared" si="13"/>
        <v>5</v>
      </c>
      <c r="Q6" s="47">
        <f>ROUND((0.8*'Side MDB'!W6+0.2*'Side Pole'!N6),3)</f>
        <v>6.0999999999999999E-2</v>
      </c>
      <c r="R6" s="47">
        <f t="shared" si="14"/>
        <v>0.41</v>
      </c>
      <c r="S6" s="24">
        <f t="shared" si="15"/>
        <v>5</v>
      </c>
      <c r="T6" s="47">
        <f>ROUND(((0.8*'Side MDB'!W6+0.2*'Side Pole'!N6)+(IF('Side MDB'!X6="N/A",(0.8*'Side MDB'!W6+0.2*'Side Pole'!N6),'Side MDB'!X6)))/2,3)</f>
        <v>4.1000000000000002E-2</v>
      </c>
      <c r="U6" s="47">
        <f t="shared" si="16"/>
        <v>0.27</v>
      </c>
      <c r="V6" s="24">
        <f t="shared" si="17"/>
        <v>5</v>
      </c>
      <c r="W6" s="22"/>
      <c r="X6" s="48"/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</row>
    <row r="7" spans="1:37" ht="14.1" customHeight="1">
      <c r="A7" s="121">
        <v>14050</v>
      </c>
      <c r="B7" s="121" t="s">
        <v>119</v>
      </c>
      <c r="C7" s="122" t="str">
        <f>Rollover!A7</f>
        <v>Honda</v>
      </c>
      <c r="D7" s="122" t="str">
        <f>Rollover!B7</f>
        <v>Civic 5HB FWD</v>
      </c>
      <c r="E7" s="63" t="s">
        <v>106</v>
      </c>
      <c r="F7" s="123">
        <f>Rollover!C7</f>
        <v>2022</v>
      </c>
      <c r="G7" s="44">
        <v>260.16300000000001</v>
      </c>
      <c r="H7" s="18">
        <v>18.45</v>
      </c>
      <c r="I7" s="18">
        <v>50.851999999999997</v>
      </c>
      <c r="J7" s="45">
        <v>26.135999999999999</v>
      </c>
      <c r="K7" s="45">
        <v>3579.76</v>
      </c>
      <c r="L7" s="46">
        <f t="shared" si="9"/>
        <v>5.3021231425712861E-3</v>
      </c>
      <c r="M7" s="56">
        <f t="shared" si="10"/>
        <v>5.0186213198040945E-2</v>
      </c>
      <c r="N7" s="46">
        <f t="shared" si="11"/>
        <v>5.5E-2</v>
      </c>
      <c r="O7" s="10">
        <f t="shared" si="12"/>
        <v>0.37</v>
      </c>
      <c r="P7" s="24">
        <f t="shared" si="13"/>
        <v>5</v>
      </c>
      <c r="Q7" s="47">
        <f>ROUND((0.8*'Side MDB'!W7+0.2*'Side Pole'!N7),3)</f>
        <v>6.0999999999999999E-2</v>
      </c>
      <c r="R7" s="47">
        <f t="shared" si="14"/>
        <v>0.41</v>
      </c>
      <c r="S7" s="24">
        <f t="shared" si="15"/>
        <v>5</v>
      </c>
      <c r="T7" s="47">
        <f>ROUND(((0.8*'Side MDB'!W7+0.2*'Side Pole'!N7)+(IF('Side MDB'!X7="N/A",(0.8*'Side MDB'!W7+0.2*'Side Pole'!N7),'Side MDB'!X7)))/2,3)</f>
        <v>4.1000000000000002E-2</v>
      </c>
      <c r="U7" s="47">
        <f t="shared" si="16"/>
        <v>0.27</v>
      </c>
      <c r="V7" s="24">
        <f t="shared" si="17"/>
        <v>5</v>
      </c>
      <c r="W7" s="22"/>
      <c r="X7" s="48"/>
      <c r="Y7" s="48"/>
      <c r="Z7" s="48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4.1" customHeight="1">
      <c r="A8" s="121">
        <v>11667</v>
      </c>
      <c r="B8" s="121" t="s">
        <v>117</v>
      </c>
      <c r="C8" s="110" t="str">
        <f>Rollover!A8</f>
        <v>Hyundai</v>
      </c>
      <c r="D8" s="110" t="str">
        <f>Rollover!B8</f>
        <v>Tucson SUV FWD early release</v>
      </c>
      <c r="E8" s="63" t="s">
        <v>106</v>
      </c>
      <c r="F8" s="123">
        <f>Rollover!C8</f>
        <v>2022</v>
      </c>
      <c r="G8" s="44">
        <v>311.87900000000002</v>
      </c>
      <c r="H8" s="18">
        <v>24.306999999999999</v>
      </c>
      <c r="I8" s="18">
        <v>38.649000000000001</v>
      </c>
      <c r="J8" s="45">
        <v>24.606000000000002</v>
      </c>
      <c r="K8" s="45">
        <v>2673.1149999999998</v>
      </c>
      <c r="L8" s="46">
        <f t="shared" si="9"/>
        <v>1.0431330980103867E-2</v>
      </c>
      <c r="M8" s="56">
        <f t="shared" si="10"/>
        <v>2.2036506007926754E-2</v>
      </c>
      <c r="N8" s="46">
        <f t="shared" si="11"/>
        <v>3.2000000000000001E-2</v>
      </c>
      <c r="O8" s="10">
        <f t="shared" si="12"/>
        <v>0.21</v>
      </c>
      <c r="P8" s="24">
        <f t="shared" si="13"/>
        <v>5</v>
      </c>
      <c r="Q8" s="47">
        <f>ROUND((0.8*'Side MDB'!W8+0.2*'Side Pole'!N8),3)</f>
        <v>5.8000000000000003E-2</v>
      </c>
      <c r="R8" s="47">
        <f t="shared" si="14"/>
        <v>0.39</v>
      </c>
      <c r="S8" s="24">
        <f t="shared" si="15"/>
        <v>5</v>
      </c>
      <c r="T8" s="47">
        <f>ROUND(((0.8*'Side MDB'!W8+0.2*'Side Pole'!N8)+(IF('Side MDB'!X8="N/A",(0.8*'Side MDB'!W8+0.2*'Side Pole'!N8),'Side MDB'!X8)))/2,3)</f>
        <v>4.2000000000000003E-2</v>
      </c>
      <c r="U8" s="47">
        <f t="shared" si="16"/>
        <v>0.28000000000000003</v>
      </c>
      <c r="V8" s="24">
        <f t="shared" si="17"/>
        <v>5</v>
      </c>
      <c r="W8" s="22"/>
      <c r="X8" s="48"/>
      <c r="Y8" s="48"/>
      <c r="Z8" s="48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ht="14.1" customHeight="1">
      <c r="A9" s="121">
        <v>11667</v>
      </c>
      <c r="B9" s="121" t="s">
        <v>117</v>
      </c>
      <c r="C9" s="122" t="str">
        <f>Rollover!A9</f>
        <v>Hyundai</v>
      </c>
      <c r="D9" s="122" t="str">
        <f>Rollover!B9</f>
        <v>Tucson SUV AWD early release</v>
      </c>
      <c r="E9" s="63" t="s">
        <v>106</v>
      </c>
      <c r="F9" s="123">
        <f>Rollover!C9</f>
        <v>2022</v>
      </c>
      <c r="G9" s="44">
        <v>311.87900000000002</v>
      </c>
      <c r="H9" s="18">
        <v>24.306999999999999</v>
      </c>
      <c r="I9" s="18">
        <v>38.649000000000001</v>
      </c>
      <c r="J9" s="45">
        <v>24.606000000000002</v>
      </c>
      <c r="K9" s="45">
        <v>2673.1149999999998</v>
      </c>
      <c r="L9" s="46">
        <f t="shared" si="9"/>
        <v>1.0431330980103867E-2</v>
      </c>
      <c r="M9" s="56">
        <f t="shared" si="10"/>
        <v>2.2036506007926754E-2</v>
      </c>
      <c r="N9" s="46">
        <f t="shared" si="11"/>
        <v>3.2000000000000001E-2</v>
      </c>
      <c r="O9" s="10">
        <f t="shared" si="12"/>
        <v>0.21</v>
      </c>
      <c r="P9" s="24">
        <f t="shared" si="13"/>
        <v>5</v>
      </c>
      <c r="Q9" s="47">
        <f>ROUND((0.8*'Side MDB'!W9+0.2*'Side Pole'!N9),3)</f>
        <v>5.8000000000000003E-2</v>
      </c>
      <c r="R9" s="47">
        <f t="shared" si="14"/>
        <v>0.39</v>
      </c>
      <c r="S9" s="24">
        <f t="shared" si="15"/>
        <v>5</v>
      </c>
      <c r="T9" s="47">
        <f>ROUND(((0.8*'Side MDB'!W9+0.2*'Side Pole'!N9)+(IF('Side MDB'!X9="N/A",(0.8*'Side MDB'!W9+0.2*'Side Pole'!N9),'Side MDB'!X9)))/2,3)</f>
        <v>4.2000000000000003E-2</v>
      </c>
      <c r="U9" s="47">
        <f t="shared" si="16"/>
        <v>0.28000000000000003</v>
      </c>
      <c r="V9" s="24">
        <f t="shared" si="17"/>
        <v>5</v>
      </c>
      <c r="W9" s="22"/>
      <c r="X9" s="48"/>
      <c r="Y9" s="48"/>
      <c r="Z9" s="48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</row>
    <row r="10" spans="1:37" ht="14.1" customHeight="1">
      <c r="A10" s="121">
        <v>11667</v>
      </c>
      <c r="B10" s="121" t="s">
        <v>117</v>
      </c>
      <c r="C10" s="122" t="str">
        <f>Rollover!A10</f>
        <v>Hyundai</v>
      </c>
      <c r="D10" s="122" t="str">
        <f>Rollover!B10</f>
        <v>Tucson HEV SUV FWD early release</v>
      </c>
      <c r="E10" s="63" t="s">
        <v>106</v>
      </c>
      <c r="F10" s="123">
        <f>Rollover!C10</f>
        <v>2022</v>
      </c>
      <c r="G10" s="44">
        <v>311.87900000000002</v>
      </c>
      <c r="H10" s="18">
        <v>24.306999999999999</v>
      </c>
      <c r="I10" s="18">
        <v>38.649000000000001</v>
      </c>
      <c r="J10" s="45">
        <v>24.606000000000002</v>
      </c>
      <c r="K10" s="45">
        <v>2673.1149999999998</v>
      </c>
      <c r="L10" s="46">
        <f t="shared" si="9"/>
        <v>1.0431330980103867E-2</v>
      </c>
      <c r="M10" s="56">
        <f t="shared" si="10"/>
        <v>2.2036506007926754E-2</v>
      </c>
      <c r="N10" s="46">
        <f t="shared" si="11"/>
        <v>3.2000000000000001E-2</v>
      </c>
      <c r="O10" s="10">
        <f t="shared" si="12"/>
        <v>0.21</v>
      </c>
      <c r="P10" s="24">
        <f t="shared" si="13"/>
        <v>5</v>
      </c>
      <c r="Q10" s="47">
        <f>ROUND((0.8*'Side MDB'!W10+0.2*'Side Pole'!N10),3)</f>
        <v>5.8000000000000003E-2</v>
      </c>
      <c r="R10" s="47">
        <f t="shared" si="14"/>
        <v>0.39</v>
      </c>
      <c r="S10" s="24">
        <f t="shared" si="15"/>
        <v>5</v>
      </c>
      <c r="T10" s="47">
        <f>ROUND(((0.8*'Side MDB'!W10+0.2*'Side Pole'!N10)+(IF('Side MDB'!X10="N/A",(0.8*'Side MDB'!W10+0.2*'Side Pole'!N10),'Side MDB'!X10)))/2,3)</f>
        <v>4.2000000000000003E-2</v>
      </c>
      <c r="U10" s="47">
        <f t="shared" si="16"/>
        <v>0.28000000000000003</v>
      </c>
      <c r="V10" s="24">
        <f t="shared" si="17"/>
        <v>5</v>
      </c>
      <c r="W10" s="22"/>
      <c r="X10" s="48"/>
      <c r="Y10" s="48"/>
      <c r="Z10" s="48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14.1" customHeight="1">
      <c r="A11" s="121">
        <v>11667</v>
      </c>
      <c r="B11" s="121" t="s">
        <v>117</v>
      </c>
      <c r="C11" s="122" t="str">
        <f>Rollover!A11</f>
        <v>Hyundai</v>
      </c>
      <c r="D11" s="122" t="str">
        <f>Rollover!B11</f>
        <v>Tucson HEV SUV AWD early release</v>
      </c>
      <c r="E11" s="63" t="s">
        <v>106</v>
      </c>
      <c r="F11" s="123">
        <f>Rollover!C11</f>
        <v>2022</v>
      </c>
      <c r="G11" s="44">
        <v>311.87900000000002</v>
      </c>
      <c r="H11" s="18">
        <v>24.306999999999999</v>
      </c>
      <c r="I11" s="18">
        <v>38.649000000000001</v>
      </c>
      <c r="J11" s="45">
        <v>24.606000000000002</v>
      </c>
      <c r="K11" s="45">
        <v>2673.1149999999998</v>
      </c>
      <c r="L11" s="46">
        <f t="shared" si="9"/>
        <v>1.0431330980103867E-2</v>
      </c>
      <c r="M11" s="56">
        <f t="shared" si="10"/>
        <v>2.2036506007926754E-2</v>
      </c>
      <c r="N11" s="46">
        <f t="shared" si="11"/>
        <v>3.2000000000000001E-2</v>
      </c>
      <c r="O11" s="10">
        <f t="shared" si="12"/>
        <v>0.21</v>
      </c>
      <c r="P11" s="24">
        <f t="shared" si="13"/>
        <v>5</v>
      </c>
      <c r="Q11" s="47">
        <f>ROUND((0.8*'Side MDB'!W11+0.2*'Side Pole'!N11),3)</f>
        <v>5.8000000000000003E-2</v>
      </c>
      <c r="R11" s="47">
        <f t="shared" si="14"/>
        <v>0.39</v>
      </c>
      <c r="S11" s="24">
        <f t="shared" si="15"/>
        <v>5</v>
      </c>
      <c r="T11" s="47">
        <f>ROUND(((0.8*'Side MDB'!W11+0.2*'Side Pole'!N11)+(IF('Side MDB'!X11="N/A",(0.8*'Side MDB'!W11+0.2*'Side Pole'!N11),'Side MDB'!X11)))/2,3)</f>
        <v>4.2000000000000003E-2</v>
      </c>
      <c r="U11" s="47">
        <f t="shared" si="16"/>
        <v>0.28000000000000003</v>
      </c>
      <c r="V11" s="24">
        <f t="shared" si="17"/>
        <v>5</v>
      </c>
      <c r="W11" s="22"/>
      <c r="X11" s="48"/>
      <c r="Y11" s="48"/>
      <c r="Z11" s="48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</row>
    <row r="12" spans="1:37" ht="14.1" customHeight="1">
      <c r="A12" s="125">
        <v>14057</v>
      </c>
      <c r="B12" s="125" t="s">
        <v>128</v>
      </c>
      <c r="C12" s="110" t="str">
        <f>Rollover!A12</f>
        <v>Kia</v>
      </c>
      <c r="D12" s="110" t="str">
        <f>Rollover!B12</f>
        <v>Niro Electric SUV FWD</v>
      </c>
      <c r="E12" s="63" t="s">
        <v>90</v>
      </c>
      <c r="F12" s="123">
        <f>Rollover!C12</f>
        <v>2022</v>
      </c>
      <c r="G12" s="50">
        <v>188.41900000000001</v>
      </c>
      <c r="H12" s="28">
        <v>20.353000000000002</v>
      </c>
      <c r="I12" s="28">
        <v>40.506</v>
      </c>
      <c r="J12" s="51">
        <v>19.352</v>
      </c>
      <c r="K12" s="51">
        <v>2782.9290000000001</v>
      </c>
      <c r="L12" s="46">
        <f t="shared" ref="L12:L13" si="18">NORMDIST(LN(G12),7.45231,0.73998,1)</f>
        <v>1.388104152739133E-3</v>
      </c>
      <c r="M12" s="56">
        <f t="shared" ref="M12:M13" si="19">1/(1+EXP(6.3055-0.00094*K12))</f>
        <v>2.437437063287241E-2</v>
      </c>
      <c r="N12" s="46">
        <f t="shared" ref="N12:N13" si="20">ROUND(1-(1-L12)*(1-M12),3)</f>
        <v>2.5999999999999999E-2</v>
      </c>
      <c r="O12" s="10">
        <f t="shared" ref="O12:O13" si="21">ROUND(N12/0.15,2)</f>
        <v>0.17</v>
      </c>
      <c r="P12" s="24">
        <f t="shared" ref="P12:P13" si="22">IF(O12&lt;0.67,5,IF(O12&lt;1,4,IF(O12&lt;1.33,3,IF(O12&lt;2.67,2,1))))</f>
        <v>5</v>
      </c>
      <c r="Q12" s="47">
        <f>ROUND((0.8*'Side MDB'!W12+0.2*'Side Pole'!N12),3)</f>
        <v>3.6999999999999998E-2</v>
      </c>
      <c r="R12" s="47">
        <f t="shared" ref="R12:R13" si="23">ROUND((Q12)/0.15,2)</f>
        <v>0.25</v>
      </c>
      <c r="S12" s="24">
        <f t="shared" ref="S12:S13" si="24">IF(R12&lt;0.67,5,IF(R12&lt;1,4,IF(R12&lt;1.33,3,IF(R12&lt;2.67,2,1))))</f>
        <v>5</v>
      </c>
      <c r="T12" s="47">
        <f>ROUND(((0.8*'Side MDB'!W12+0.2*'Side Pole'!N12)+(IF('Side MDB'!X12="N/A",(0.8*'Side MDB'!W12+0.2*'Side Pole'!N12),'Side MDB'!X12)))/2,3)</f>
        <v>0.03</v>
      </c>
      <c r="U12" s="47">
        <f t="shared" ref="U12:U13" si="25">ROUND((T12)/0.15,2)</f>
        <v>0.2</v>
      </c>
      <c r="V12" s="24">
        <f t="shared" ref="V12:V13" si="26">IF(U12&lt;0.67,5,IF(U12&lt;1,4,IF(U12&lt;1.33,3,IF(U12&lt;2.67,2,1))))</f>
        <v>5</v>
      </c>
      <c r="W12" s="22"/>
      <c r="X12" s="48"/>
      <c r="Y12" s="48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</row>
    <row r="13" spans="1:37" ht="14.1" customHeight="1">
      <c r="A13" s="121">
        <v>14052</v>
      </c>
      <c r="B13" s="121" t="s">
        <v>123</v>
      </c>
      <c r="C13" s="110" t="str">
        <f>Rollover!A13</f>
        <v>Mazda</v>
      </c>
      <c r="D13" s="110" t="str">
        <f>Rollover!B13</f>
        <v>MX-30 5HB FWD</v>
      </c>
      <c r="E13" s="63" t="s">
        <v>106</v>
      </c>
      <c r="F13" s="123">
        <f>Rollover!C13</f>
        <v>2022</v>
      </c>
      <c r="G13" s="44">
        <v>259.31700000000001</v>
      </c>
      <c r="H13" s="18">
        <v>21.367999999999999</v>
      </c>
      <c r="I13" s="18">
        <v>36.945999999999998</v>
      </c>
      <c r="J13" s="45">
        <v>18.106999999999999</v>
      </c>
      <c r="K13" s="45">
        <v>2048.6390000000001</v>
      </c>
      <c r="L13" s="46">
        <f t="shared" si="18"/>
        <v>5.2354411220543132E-3</v>
      </c>
      <c r="M13" s="56">
        <f t="shared" si="19"/>
        <v>1.2373110919004501E-2</v>
      </c>
      <c r="N13" s="46">
        <f t="shared" si="20"/>
        <v>1.7999999999999999E-2</v>
      </c>
      <c r="O13" s="10">
        <f t="shared" si="21"/>
        <v>0.12</v>
      </c>
      <c r="P13" s="24">
        <f t="shared" si="22"/>
        <v>5</v>
      </c>
      <c r="Q13" s="47">
        <f>ROUND((0.8*'Side MDB'!W13+0.2*'Side Pole'!N13),3)</f>
        <v>3.5999999999999997E-2</v>
      </c>
      <c r="R13" s="47">
        <f t="shared" si="23"/>
        <v>0.24</v>
      </c>
      <c r="S13" s="24">
        <f t="shared" si="24"/>
        <v>5</v>
      </c>
      <c r="T13" s="47">
        <f>ROUND(((0.8*'Side MDB'!W13+0.2*'Side Pole'!N13)+(IF('Side MDB'!X13="N/A",(0.8*'Side MDB'!W13+0.2*'Side Pole'!N13),'Side MDB'!X13)))/2,3)</f>
        <v>6.5000000000000002E-2</v>
      </c>
      <c r="U13" s="47">
        <f t="shared" si="25"/>
        <v>0.43</v>
      </c>
      <c r="V13" s="24">
        <f t="shared" si="26"/>
        <v>5</v>
      </c>
      <c r="W13" s="22"/>
      <c r="X13" s="48"/>
      <c r="Y13" s="48"/>
      <c r="Z13" s="48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ht="14.1" customHeight="1">
      <c r="A14" s="121">
        <v>10834</v>
      </c>
      <c r="B14" s="121" t="s">
        <v>91</v>
      </c>
      <c r="C14" s="110" t="str">
        <f>Rollover!A14</f>
        <v xml:space="preserve">Mitsubishi </v>
      </c>
      <c r="D14" s="110" t="str">
        <f>Rollover!B14</f>
        <v>Eclipse Cross SUV AWD</v>
      </c>
      <c r="E14" s="63" t="s">
        <v>90</v>
      </c>
      <c r="F14" s="123">
        <f>Rollover!C14</f>
        <v>2022</v>
      </c>
      <c r="G14" s="44">
        <v>357.64400000000001</v>
      </c>
      <c r="H14" s="18">
        <v>25.074000000000002</v>
      </c>
      <c r="I14" s="18">
        <v>44.167000000000002</v>
      </c>
      <c r="J14" s="45">
        <v>39.39</v>
      </c>
      <c r="K14" s="45">
        <v>2766.826</v>
      </c>
      <c r="L14" s="46">
        <f t="shared" ref="L14:L15" si="27">NORMDIST(LN(G14),7.45231,0.73998,1)</f>
        <v>1.6775586962925859E-2</v>
      </c>
      <c r="M14" s="56">
        <f t="shared" ref="M14:M15" si="28">1/(1+EXP(6.3055-0.00094*K14))</f>
        <v>2.4016992857706355E-2</v>
      </c>
      <c r="N14" s="46">
        <f t="shared" ref="N14:N15" si="29">ROUND(1-(1-L14)*(1-M14),3)</f>
        <v>0.04</v>
      </c>
      <c r="O14" s="10">
        <f t="shared" ref="O14:O15" si="30">ROUND(N14/0.15,2)</f>
        <v>0.27</v>
      </c>
      <c r="P14" s="24">
        <f t="shared" ref="P14:P15" si="31">IF(O14&lt;0.67,5,IF(O14&lt;1,4,IF(O14&lt;1.33,3,IF(O14&lt;2.67,2,1))))</f>
        <v>5</v>
      </c>
      <c r="Q14" s="47">
        <f>ROUND((0.8*'Side MDB'!W14+0.2*'Side Pole'!N14),3)</f>
        <v>2.9000000000000001E-2</v>
      </c>
      <c r="R14" s="47">
        <f t="shared" ref="R14:R15" si="32">ROUND((Q14)/0.15,2)</f>
        <v>0.19</v>
      </c>
      <c r="S14" s="24">
        <f t="shared" ref="S14:S15" si="33">IF(R14&lt;0.67,5,IF(R14&lt;1,4,IF(R14&lt;1.33,3,IF(R14&lt;2.67,2,1))))</f>
        <v>5</v>
      </c>
      <c r="T14" s="47">
        <f>ROUND(((0.8*'Side MDB'!W14+0.2*'Side Pole'!N14)+(IF('Side MDB'!X14="N/A",(0.8*'Side MDB'!W14+0.2*'Side Pole'!N14),'Side MDB'!X14)))/2,3)</f>
        <v>2.1000000000000001E-2</v>
      </c>
      <c r="U14" s="47">
        <f t="shared" ref="U14:U15" si="34">ROUND((T14)/0.15,2)</f>
        <v>0.14000000000000001</v>
      </c>
      <c r="V14" s="24">
        <f t="shared" ref="V14:V15" si="35">IF(U14&lt;0.67,5,IF(U14&lt;1,4,IF(U14&lt;1.33,3,IF(U14&lt;2.67,2,1))))</f>
        <v>5</v>
      </c>
      <c r="W14" s="22"/>
      <c r="X14" s="48"/>
      <c r="Y14" s="48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4.1" customHeight="1">
      <c r="A15" s="126">
        <v>10834</v>
      </c>
      <c r="B15" s="121" t="s">
        <v>91</v>
      </c>
      <c r="C15" s="110" t="str">
        <f>Rollover!A15</f>
        <v xml:space="preserve">Mitsubishi </v>
      </c>
      <c r="D15" s="110" t="str">
        <f>Rollover!B15</f>
        <v>Eclipse Cross SUV FWD</v>
      </c>
      <c r="E15" s="63" t="s">
        <v>90</v>
      </c>
      <c r="F15" s="123">
        <f>Rollover!C15</f>
        <v>2022</v>
      </c>
      <c r="G15" s="44">
        <v>357.64400000000001</v>
      </c>
      <c r="H15" s="18">
        <v>25.074000000000002</v>
      </c>
      <c r="I15" s="18">
        <v>44.167000000000002</v>
      </c>
      <c r="J15" s="45">
        <v>39.39</v>
      </c>
      <c r="K15" s="45">
        <v>2766.826</v>
      </c>
      <c r="L15" s="46">
        <f t="shared" si="27"/>
        <v>1.6775586962925859E-2</v>
      </c>
      <c r="M15" s="56">
        <f t="shared" si="28"/>
        <v>2.4016992857706355E-2</v>
      </c>
      <c r="N15" s="46">
        <f t="shared" si="29"/>
        <v>0.04</v>
      </c>
      <c r="O15" s="10">
        <f t="shared" si="30"/>
        <v>0.27</v>
      </c>
      <c r="P15" s="24">
        <f t="shared" si="31"/>
        <v>5</v>
      </c>
      <c r="Q15" s="47">
        <f>ROUND((0.8*'Side MDB'!W15+0.2*'Side Pole'!N15),3)</f>
        <v>2.9000000000000001E-2</v>
      </c>
      <c r="R15" s="47">
        <f t="shared" si="32"/>
        <v>0.19</v>
      </c>
      <c r="S15" s="24">
        <f t="shared" si="33"/>
        <v>5</v>
      </c>
      <c r="T15" s="47">
        <f>ROUND(((0.8*'Side MDB'!W15+0.2*'Side Pole'!N15)+(IF('Side MDB'!X15="N/A",(0.8*'Side MDB'!W15+0.2*'Side Pole'!N15),'Side MDB'!X15)))/2,3)</f>
        <v>2.1000000000000001E-2</v>
      </c>
      <c r="U15" s="47">
        <f t="shared" si="34"/>
        <v>0.14000000000000001</v>
      </c>
      <c r="V15" s="24">
        <f t="shared" si="35"/>
        <v>5</v>
      </c>
      <c r="W15" s="22"/>
      <c r="X15" s="48"/>
      <c r="Y15" s="48"/>
      <c r="Z15" s="48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37" ht="14.1" customHeight="1">
      <c r="N16" s="124"/>
      <c r="O16" s="124"/>
      <c r="P16" s="127"/>
      <c r="Q16" s="124"/>
    </row>
    <row r="17" spans="14:17" ht="14.1" customHeight="1">
      <c r="N17" s="124"/>
      <c r="O17" s="124"/>
      <c r="P17" s="127"/>
      <c r="Q17" s="124"/>
    </row>
    <row r="18" spans="14:17" ht="14.1" customHeight="1">
      <c r="N18" s="124"/>
      <c r="O18" s="124"/>
      <c r="P18" s="127"/>
      <c r="Q18" s="124"/>
    </row>
    <row r="19" spans="14:17" ht="14.1" customHeight="1">
      <c r="N19" s="124"/>
      <c r="O19" s="124"/>
      <c r="P19" s="127"/>
      <c r="Q19" s="124"/>
    </row>
    <row r="20" spans="14:17" ht="14.1" customHeight="1">
      <c r="N20" s="124"/>
      <c r="O20" s="124"/>
      <c r="P20" s="127"/>
      <c r="Q20" s="124"/>
    </row>
    <row r="21" spans="14:17" ht="14.1" customHeight="1">
      <c r="N21" s="124"/>
      <c r="O21" s="124"/>
      <c r="P21" s="127"/>
      <c r="Q21" s="124"/>
    </row>
    <row r="22" spans="14:17" ht="14.1" customHeight="1">
      <c r="N22" s="124"/>
      <c r="O22" s="124"/>
      <c r="P22" s="127"/>
      <c r="Q22" s="124"/>
    </row>
    <row r="23" spans="14:17" ht="14.1" customHeight="1">
      <c r="N23" s="124"/>
      <c r="O23" s="124"/>
      <c r="P23" s="127"/>
      <c r="Q23" s="124"/>
    </row>
    <row r="24" spans="14:17" ht="14.1" customHeight="1">
      <c r="N24" s="124"/>
      <c r="O24" s="124"/>
      <c r="P24" s="127"/>
      <c r="Q24" s="124"/>
    </row>
    <row r="25" spans="14:17" ht="14.1" customHeight="1">
      <c r="N25" s="124"/>
      <c r="O25" s="124"/>
      <c r="P25" s="127"/>
      <c r="Q25" s="124"/>
    </row>
    <row r="26" spans="14:17" ht="14.1" customHeight="1">
      <c r="N26" s="124"/>
      <c r="O26" s="124"/>
      <c r="P26" s="127"/>
      <c r="Q26" s="124"/>
    </row>
    <row r="27" spans="14:17" ht="14.1" customHeight="1">
      <c r="N27" s="124"/>
      <c r="O27" s="124"/>
      <c r="P27" s="127"/>
      <c r="Q27" s="124"/>
    </row>
    <row r="28" spans="14:17" ht="14.1" customHeight="1">
      <c r="N28" s="124"/>
      <c r="O28" s="124"/>
      <c r="P28" s="127"/>
      <c r="Q28" s="124"/>
    </row>
    <row r="29" spans="14:17" ht="14.1" customHeight="1">
      <c r="N29" s="124"/>
      <c r="O29" s="124"/>
      <c r="P29" s="127"/>
      <c r="Q29" s="124"/>
    </row>
    <row r="30" spans="14:17" ht="14.1" customHeight="1">
      <c r="N30" s="124"/>
      <c r="O30" s="124"/>
      <c r="P30" s="127"/>
      <c r="Q30" s="124"/>
    </row>
    <row r="31" spans="14:17" ht="14.1" customHeight="1">
      <c r="N31" s="124"/>
      <c r="O31" s="124"/>
      <c r="P31" s="127"/>
      <c r="Q31" s="124"/>
    </row>
    <row r="32" spans="14:17" ht="14.1" customHeight="1">
      <c r="N32" s="124"/>
      <c r="O32" s="124"/>
      <c r="P32" s="127"/>
      <c r="Q32" s="124"/>
    </row>
    <row r="33" spans="14:17" ht="14.1" customHeight="1">
      <c r="N33" s="124"/>
      <c r="O33" s="124"/>
      <c r="P33" s="127"/>
      <c r="Q33" s="124"/>
    </row>
    <row r="34" spans="14:17" ht="14.1" customHeight="1">
      <c r="N34" s="124"/>
      <c r="O34" s="124"/>
      <c r="P34" s="127"/>
      <c r="Q34" s="124"/>
    </row>
    <row r="35" spans="14:17" ht="14.1" customHeight="1">
      <c r="N35" s="124"/>
      <c r="O35" s="124"/>
      <c r="P35" s="127"/>
      <c r="Q35" s="124"/>
    </row>
    <row r="36" spans="14:17" ht="14.1" customHeight="1">
      <c r="N36" s="124"/>
      <c r="O36" s="124"/>
      <c r="P36" s="127"/>
      <c r="Q36" s="124"/>
    </row>
    <row r="37" spans="14:17" ht="14.1" customHeight="1">
      <c r="N37" s="124"/>
      <c r="O37" s="124"/>
      <c r="P37" s="127"/>
      <c r="Q37" s="124"/>
    </row>
    <row r="38" spans="14:17" ht="14.1" customHeight="1">
      <c r="N38" s="124"/>
      <c r="O38" s="124"/>
      <c r="P38" s="127"/>
      <c r="Q38" s="124"/>
    </row>
    <row r="39" spans="14:17" ht="14.1" customHeight="1">
      <c r="N39" s="124"/>
      <c r="O39" s="124"/>
      <c r="P39" s="127"/>
      <c r="Q39" s="124"/>
    </row>
    <row r="40" spans="14:17" ht="14.1" customHeight="1">
      <c r="N40" s="124"/>
      <c r="O40" s="124"/>
      <c r="P40" s="127"/>
      <c r="Q40" s="124"/>
    </row>
    <row r="41" spans="14:17" ht="14.1" customHeight="1">
      <c r="N41" s="124"/>
      <c r="O41" s="124"/>
      <c r="P41" s="127"/>
      <c r="Q41" s="124"/>
    </row>
    <row r="42" spans="14:17" ht="14.1" customHeight="1">
      <c r="N42" s="124"/>
      <c r="O42" s="124"/>
      <c r="P42" s="127"/>
      <c r="Q42" s="124"/>
    </row>
    <row r="43" spans="14:17" ht="14.1" customHeight="1">
      <c r="N43" s="124"/>
      <c r="O43" s="124"/>
      <c r="P43" s="127"/>
      <c r="Q43" s="124"/>
    </row>
    <row r="44" spans="14:17" ht="14.1" customHeight="1">
      <c r="N44" s="124"/>
      <c r="O44" s="124"/>
      <c r="P44" s="127"/>
      <c r="Q44" s="124"/>
    </row>
    <row r="45" spans="14:17" ht="14.1" customHeight="1">
      <c r="N45" s="124"/>
      <c r="O45" s="124"/>
      <c r="P45" s="127"/>
      <c r="Q45" s="124"/>
    </row>
    <row r="46" spans="14:17" ht="14.1" customHeight="1">
      <c r="N46" s="124"/>
      <c r="O46" s="124"/>
      <c r="P46" s="127"/>
      <c r="Q46" s="124"/>
    </row>
    <row r="47" spans="14:17" ht="14.1" customHeight="1">
      <c r="N47" s="124"/>
      <c r="O47" s="124"/>
      <c r="P47" s="127"/>
      <c r="Q47" s="124"/>
    </row>
    <row r="48" spans="14:17" ht="14.1" customHeight="1">
      <c r="N48" s="124"/>
      <c r="O48" s="124"/>
      <c r="P48" s="127"/>
      <c r="Q48" s="124"/>
    </row>
    <row r="49" spans="14:17" ht="14.1" customHeight="1">
      <c r="N49" s="124"/>
      <c r="O49" s="124"/>
      <c r="P49" s="127"/>
      <c r="Q49" s="124"/>
    </row>
    <row r="50" spans="14:17" ht="14.1" customHeight="1">
      <c r="N50" s="124"/>
      <c r="O50" s="124"/>
      <c r="P50" s="127"/>
      <c r="Q50" s="124"/>
    </row>
    <row r="51" spans="14:17" ht="14.1" customHeight="1">
      <c r="N51" s="124"/>
      <c r="O51" s="124"/>
      <c r="P51" s="127"/>
      <c r="Q51" s="124"/>
    </row>
    <row r="52" spans="14:17" ht="14.1" customHeight="1">
      <c r="N52" s="124"/>
      <c r="O52" s="124"/>
      <c r="P52" s="127"/>
      <c r="Q52" s="124"/>
    </row>
    <row r="53" spans="14:17" ht="14.1" customHeight="1">
      <c r="N53" s="124"/>
      <c r="O53" s="124"/>
      <c r="P53" s="127"/>
      <c r="Q53" s="124"/>
    </row>
    <row r="54" spans="14:17" ht="14.1" customHeight="1">
      <c r="N54" s="124"/>
      <c r="O54" s="124"/>
      <c r="P54" s="127"/>
      <c r="Q54" s="124"/>
    </row>
    <row r="55" spans="14:17" ht="14.1" customHeight="1">
      <c r="N55" s="124"/>
      <c r="O55" s="124"/>
      <c r="P55" s="127"/>
      <c r="Q55" s="124"/>
    </row>
    <row r="56" spans="14:17" ht="14.1" customHeight="1">
      <c r="N56" s="124"/>
      <c r="O56" s="124"/>
      <c r="P56" s="127"/>
      <c r="Q56" s="124"/>
    </row>
    <row r="57" spans="14:17" ht="14.1" customHeight="1">
      <c r="N57" s="124"/>
      <c r="O57" s="124"/>
      <c r="P57" s="127"/>
      <c r="Q57" s="124"/>
    </row>
    <row r="58" spans="14:17" ht="14.1" customHeight="1">
      <c r="N58" s="124"/>
      <c r="O58" s="124"/>
      <c r="P58" s="127"/>
      <c r="Q58" s="124"/>
    </row>
    <row r="59" spans="14:17" ht="14.1" customHeight="1">
      <c r="N59" s="124"/>
      <c r="O59" s="124"/>
      <c r="P59" s="127"/>
      <c r="Q59" s="124"/>
    </row>
    <row r="60" spans="14:17" ht="14.1" customHeight="1">
      <c r="N60" s="124"/>
      <c r="O60" s="124"/>
      <c r="P60" s="127"/>
      <c r="Q60" s="124"/>
    </row>
    <row r="61" spans="14:17" ht="14.1" customHeight="1">
      <c r="N61" s="124"/>
      <c r="O61" s="124"/>
      <c r="P61" s="127"/>
      <c r="Q61" s="124"/>
    </row>
    <row r="62" spans="14:17" ht="14.1" customHeight="1">
      <c r="N62" s="124"/>
      <c r="O62" s="124"/>
      <c r="P62" s="127"/>
      <c r="Q62" s="124"/>
    </row>
    <row r="63" spans="14:17" ht="14.1" customHeight="1">
      <c r="N63" s="124"/>
      <c r="O63" s="124"/>
      <c r="P63" s="127"/>
      <c r="Q63" s="124"/>
    </row>
    <row r="64" spans="14:17" ht="14.1" customHeight="1">
      <c r="N64" s="124"/>
      <c r="O64" s="124"/>
      <c r="P64" s="127"/>
      <c r="Q64" s="124"/>
    </row>
    <row r="65" spans="14:17" ht="14.1" customHeight="1">
      <c r="N65" s="124"/>
      <c r="O65" s="124"/>
      <c r="P65" s="127"/>
      <c r="Q65" s="124"/>
    </row>
    <row r="66" spans="14:17" ht="14.1" customHeight="1">
      <c r="N66" s="124"/>
      <c r="O66" s="124"/>
      <c r="P66" s="127"/>
      <c r="Q66" s="124"/>
    </row>
    <row r="67" spans="14:17" ht="14.1" customHeight="1">
      <c r="N67" s="124"/>
      <c r="O67" s="124"/>
      <c r="P67" s="127"/>
      <c r="Q67" s="124"/>
    </row>
    <row r="68" spans="14:17" ht="14.1" customHeight="1">
      <c r="N68" s="124"/>
      <c r="O68" s="124"/>
      <c r="P68" s="127"/>
      <c r="Q68" s="124"/>
    </row>
    <row r="69" spans="14:17" ht="14.1" customHeight="1">
      <c r="N69" s="124"/>
      <c r="O69" s="124"/>
      <c r="P69" s="127"/>
      <c r="Q69" s="124"/>
    </row>
    <row r="70" spans="14:17" ht="14.1" customHeight="1">
      <c r="N70" s="124"/>
      <c r="O70" s="124"/>
      <c r="P70" s="127"/>
      <c r="Q70" s="124"/>
    </row>
    <row r="71" spans="14:17" ht="14.1" customHeight="1">
      <c r="N71" s="124"/>
      <c r="O71" s="124"/>
      <c r="P71" s="127"/>
      <c r="Q71" s="124"/>
    </row>
    <row r="72" spans="14:17" ht="14.1" customHeight="1">
      <c r="N72" s="124"/>
      <c r="O72" s="124"/>
      <c r="P72" s="127"/>
      <c r="Q72" s="124"/>
    </row>
    <row r="73" spans="14:17" ht="14.1" customHeight="1">
      <c r="N73" s="124"/>
      <c r="O73" s="124"/>
      <c r="P73" s="127"/>
      <c r="Q73" s="124"/>
    </row>
    <row r="74" spans="14:17" ht="14.1" customHeight="1">
      <c r="N74" s="124"/>
      <c r="O74" s="124"/>
      <c r="P74" s="127"/>
      <c r="Q74" s="124"/>
    </row>
    <row r="75" spans="14:17" ht="14.1" customHeight="1">
      <c r="N75" s="124"/>
      <c r="O75" s="124"/>
      <c r="P75" s="127"/>
      <c r="Q75" s="124"/>
    </row>
    <row r="76" spans="14:17" ht="14.1" customHeight="1">
      <c r="N76" s="124"/>
      <c r="O76" s="124"/>
      <c r="P76" s="127"/>
      <c r="Q76" s="124"/>
    </row>
    <row r="77" spans="14:17" ht="14.1" customHeight="1">
      <c r="N77" s="124"/>
      <c r="O77" s="124"/>
      <c r="P77" s="127"/>
      <c r="Q77" s="124"/>
    </row>
    <row r="78" spans="14:17" ht="14.1" customHeight="1">
      <c r="N78" s="124"/>
      <c r="O78" s="124"/>
      <c r="P78" s="127"/>
      <c r="Q78" s="124"/>
    </row>
    <row r="79" spans="14:17" ht="14.1" customHeight="1">
      <c r="N79" s="124"/>
      <c r="O79" s="124"/>
      <c r="P79" s="127"/>
      <c r="Q79" s="124"/>
    </row>
    <row r="80" spans="14:17" ht="14.1" customHeight="1">
      <c r="N80" s="124"/>
      <c r="O80" s="124"/>
      <c r="P80" s="127"/>
      <c r="Q80" s="124"/>
    </row>
    <row r="81" spans="14:17" ht="14.1" customHeight="1">
      <c r="N81" s="124"/>
      <c r="O81" s="124"/>
      <c r="P81" s="127"/>
      <c r="Q81" s="124"/>
    </row>
    <row r="82" spans="14:17" ht="14.1" customHeight="1">
      <c r="N82" s="124"/>
      <c r="O82" s="124"/>
      <c r="P82" s="127"/>
      <c r="Q82" s="124"/>
    </row>
    <row r="83" spans="14:17" ht="14.1" customHeight="1">
      <c r="N83" s="124"/>
      <c r="O83" s="124"/>
      <c r="P83" s="127"/>
      <c r="Q83" s="124"/>
    </row>
    <row r="84" spans="14:17" ht="14.1" customHeight="1">
      <c r="N84" s="124"/>
      <c r="O84" s="124"/>
      <c r="P84" s="127"/>
      <c r="Q84" s="124"/>
    </row>
    <row r="85" spans="14:17" ht="14.1" customHeight="1">
      <c r="N85" s="124"/>
      <c r="O85" s="124"/>
      <c r="P85" s="127"/>
      <c r="Q85" s="124"/>
    </row>
    <row r="86" spans="14:17" ht="14.1" customHeight="1">
      <c r="N86" s="124"/>
      <c r="O86" s="124"/>
      <c r="P86" s="127"/>
      <c r="Q86" s="124"/>
    </row>
    <row r="87" spans="14:17" ht="14.1" customHeight="1">
      <c r="N87" s="124"/>
      <c r="O87" s="124"/>
      <c r="P87" s="127"/>
      <c r="Q87" s="124"/>
    </row>
    <row r="88" spans="14:17" ht="14.1" customHeight="1">
      <c r="N88" s="124"/>
      <c r="O88" s="124"/>
      <c r="P88" s="127"/>
      <c r="Q88" s="124"/>
    </row>
    <row r="89" spans="14:17" ht="14.1" customHeight="1">
      <c r="N89" s="124"/>
      <c r="O89" s="124"/>
      <c r="P89" s="127"/>
      <c r="Q89" s="124"/>
    </row>
    <row r="90" spans="14:17" ht="14.1" customHeight="1">
      <c r="N90" s="124"/>
      <c r="O90" s="124"/>
      <c r="P90" s="127"/>
      <c r="Q90" s="124"/>
    </row>
    <row r="91" spans="14:17" ht="14.1" customHeight="1">
      <c r="N91" s="124"/>
      <c r="O91" s="124"/>
      <c r="P91" s="127"/>
      <c r="Q91" s="124"/>
    </row>
    <row r="92" spans="14:17" ht="14.1" customHeight="1">
      <c r="N92" s="124"/>
      <c r="O92" s="124"/>
      <c r="P92" s="127"/>
      <c r="Q92" s="124"/>
    </row>
    <row r="93" spans="14:17" ht="14.1" customHeight="1">
      <c r="N93" s="124"/>
      <c r="O93" s="124"/>
      <c r="P93" s="127"/>
      <c r="Q93" s="124"/>
    </row>
    <row r="94" spans="14:17" ht="14.1" customHeight="1">
      <c r="N94" s="124"/>
      <c r="O94" s="124"/>
      <c r="P94" s="127"/>
      <c r="Q94" s="124"/>
    </row>
    <row r="95" spans="14:17" ht="14.1" customHeight="1">
      <c r="N95" s="124"/>
      <c r="O95" s="124"/>
      <c r="P95" s="127"/>
      <c r="Q95" s="124"/>
    </row>
    <row r="96" spans="14:17" ht="14.1" customHeight="1">
      <c r="N96" s="124"/>
      <c r="O96" s="124"/>
      <c r="P96" s="127"/>
      <c r="Q96" s="124"/>
    </row>
    <row r="97" spans="14:17" ht="14.1" customHeight="1">
      <c r="N97" s="124"/>
      <c r="O97" s="124"/>
      <c r="P97" s="127"/>
      <c r="Q97" s="124"/>
    </row>
    <row r="98" spans="14:17" ht="14.1" customHeight="1">
      <c r="N98" s="124"/>
      <c r="O98" s="124"/>
      <c r="P98" s="127"/>
      <c r="Q98" s="124"/>
    </row>
    <row r="99" spans="14:17" ht="14.1" customHeight="1">
      <c r="N99" s="124"/>
      <c r="O99" s="124"/>
      <c r="P99" s="127"/>
      <c r="Q99" s="124"/>
    </row>
    <row r="100" spans="14:17" ht="14.1" customHeight="1">
      <c r="N100" s="124"/>
      <c r="O100" s="124"/>
      <c r="P100" s="127"/>
      <c r="Q100" s="124"/>
    </row>
    <row r="101" spans="14:17" ht="14.1" customHeight="1">
      <c r="N101" s="124"/>
      <c r="O101" s="124"/>
      <c r="P101" s="127"/>
      <c r="Q101" s="124"/>
    </row>
    <row r="102" spans="14:17" ht="14.1" customHeight="1">
      <c r="N102" s="124"/>
      <c r="O102" s="124"/>
      <c r="P102" s="127"/>
      <c r="Q102" s="124"/>
    </row>
    <row r="103" spans="14:17" ht="14.1" customHeight="1">
      <c r="N103" s="124"/>
      <c r="O103" s="124"/>
      <c r="P103" s="127"/>
      <c r="Q103" s="124"/>
    </row>
    <row r="104" spans="14:17" ht="14.1" customHeight="1">
      <c r="N104" s="124"/>
      <c r="O104" s="124"/>
      <c r="P104" s="127"/>
      <c r="Q104" s="124"/>
    </row>
    <row r="105" spans="14:17" ht="14.1" customHeight="1">
      <c r="N105" s="124"/>
      <c r="O105" s="124"/>
      <c r="P105" s="127"/>
      <c r="Q105" s="124"/>
    </row>
    <row r="106" spans="14:17" ht="14.1" customHeight="1">
      <c r="N106" s="124"/>
      <c r="O106" s="124"/>
      <c r="P106" s="127"/>
      <c r="Q106" s="124"/>
    </row>
    <row r="107" spans="14:17" ht="14.1" customHeight="1">
      <c r="N107" s="124"/>
      <c r="O107" s="124"/>
      <c r="P107" s="127"/>
      <c r="Q107" s="124"/>
    </row>
    <row r="108" spans="14:17" ht="14.1" customHeight="1">
      <c r="N108" s="124"/>
      <c r="O108" s="124"/>
      <c r="P108" s="127"/>
      <c r="Q108" s="124"/>
    </row>
    <row r="109" spans="14:17" ht="14.1" customHeight="1">
      <c r="N109" s="124"/>
      <c r="O109" s="124"/>
      <c r="P109" s="127"/>
      <c r="Q109" s="124"/>
    </row>
    <row r="110" spans="14:17" ht="14.1" customHeight="1">
      <c r="N110" s="124"/>
      <c r="O110" s="124"/>
      <c r="P110" s="127"/>
      <c r="Q110" s="124"/>
    </row>
    <row r="111" spans="14:17" ht="14.1" customHeight="1">
      <c r="N111" s="124"/>
      <c r="O111" s="124"/>
      <c r="P111" s="127"/>
      <c r="Q111" s="124"/>
    </row>
    <row r="112" spans="14:17" ht="14.1" customHeight="1">
      <c r="N112" s="124"/>
      <c r="O112" s="124"/>
      <c r="P112" s="127"/>
      <c r="Q112" s="124"/>
    </row>
    <row r="113" spans="14:17" ht="14.1" customHeight="1">
      <c r="N113" s="124"/>
      <c r="O113" s="124"/>
      <c r="P113" s="127"/>
      <c r="Q113" s="124"/>
    </row>
    <row r="114" spans="14:17" ht="14.1" customHeight="1">
      <c r="N114" s="124"/>
      <c r="O114" s="124"/>
      <c r="P114" s="127"/>
      <c r="Q114" s="124"/>
    </row>
    <row r="115" spans="14:17" ht="14.1" customHeight="1">
      <c r="N115" s="124"/>
      <c r="O115" s="124"/>
      <c r="P115" s="127"/>
      <c r="Q115" s="124"/>
    </row>
    <row r="116" spans="14:17" ht="14.1" customHeight="1">
      <c r="N116" s="124"/>
      <c r="O116" s="124"/>
      <c r="P116" s="127"/>
      <c r="Q116" s="124"/>
    </row>
    <row r="117" spans="14:17" ht="14.1" customHeight="1">
      <c r="N117" s="124"/>
      <c r="O117" s="124"/>
      <c r="P117" s="127"/>
      <c r="Q117" s="124"/>
    </row>
    <row r="118" spans="14:17" ht="14.1" customHeight="1">
      <c r="N118" s="124"/>
      <c r="O118" s="124"/>
      <c r="P118" s="127"/>
      <c r="Q118" s="124"/>
    </row>
    <row r="119" spans="14:17" ht="14.1" customHeight="1">
      <c r="N119" s="124"/>
      <c r="O119" s="124"/>
      <c r="P119" s="127"/>
      <c r="Q119" s="124"/>
    </row>
    <row r="120" spans="14:17" ht="14.1" customHeight="1">
      <c r="N120" s="124"/>
      <c r="O120" s="124"/>
      <c r="P120" s="127"/>
      <c r="Q120" s="124"/>
    </row>
    <row r="121" spans="14:17" ht="14.1" customHeight="1">
      <c r="N121" s="124"/>
      <c r="O121" s="124"/>
      <c r="P121" s="127"/>
      <c r="Q121" s="124"/>
    </row>
    <row r="122" spans="14:17" ht="14.1" customHeight="1">
      <c r="N122" s="124"/>
      <c r="O122" s="124"/>
      <c r="P122" s="127"/>
      <c r="Q122" s="124"/>
    </row>
    <row r="123" spans="14:17" ht="14.1" customHeight="1">
      <c r="N123" s="124"/>
      <c r="O123" s="124"/>
      <c r="P123" s="127"/>
      <c r="Q123" s="124"/>
    </row>
    <row r="124" spans="14:17" ht="14.1" customHeight="1">
      <c r="N124" s="124"/>
      <c r="O124" s="124"/>
      <c r="P124" s="127"/>
      <c r="Q124" s="124"/>
    </row>
    <row r="125" spans="14:17" ht="14.1" customHeight="1">
      <c r="N125" s="124"/>
      <c r="O125" s="124"/>
      <c r="P125" s="127"/>
      <c r="Q125" s="124"/>
    </row>
    <row r="126" spans="14:17" ht="14.1" customHeight="1">
      <c r="N126" s="124"/>
      <c r="O126" s="124"/>
      <c r="P126" s="127"/>
      <c r="Q126" s="124"/>
    </row>
    <row r="127" spans="14:17" ht="14.1" customHeight="1">
      <c r="N127" s="124"/>
      <c r="O127" s="124"/>
      <c r="P127" s="127"/>
      <c r="Q127" s="124"/>
    </row>
    <row r="128" spans="14:17" ht="14.1" customHeight="1">
      <c r="N128" s="124"/>
      <c r="O128" s="124"/>
      <c r="P128" s="127"/>
      <c r="Q128" s="124"/>
    </row>
    <row r="129" spans="14:17" ht="14.1" customHeight="1">
      <c r="N129" s="124"/>
      <c r="O129" s="124"/>
      <c r="P129" s="127"/>
      <c r="Q129" s="124"/>
    </row>
    <row r="130" spans="14:17" ht="14.1" customHeight="1">
      <c r="N130" s="124"/>
      <c r="O130" s="124"/>
      <c r="P130" s="127"/>
      <c r="Q130" s="124"/>
    </row>
    <row r="131" spans="14:17" ht="14.1" customHeight="1">
      <c r="N131" s="124"/>
      <c r="O131" s="124"/>
      <c r="P131" s="127"/>
      <c r="Q131" s="124"/>
    </row>
    <row r="132" spans="14:17" ht="14.1" customHeight="1">
      <c r="N132" s="124"/>
      <c r="O132" s="124"/>
      <c r="P132" s="127"/>
      <c r="Q132" s="124"/>
    </row>
    <row r="133" spans="14:17" ht="14.1" customHeight="1">
      <c r="N133" s="124"/>
      <c r="O133" s="124"/>
      <c r="P133" s="127"/>
      <c r="Q133" s="124"/>
    </row>
    <row r="134" spans="14:17" ht="14.1" customHeight="1">
      <c r="N134" s="124"/>
      <c r="O134" s="124"/>
      <c r="P134" s="127"/>
      <c r="Q134" s="124"/>
    </row>
    <row r="135" spans="14:17" ht="14.1" customHeight="1">
      <c r="N135" s="124"/>
      <c r="O135" s="124"/>
      <c r="P135" s="127"/>
      <c r="Q135" s="124"/>
    </row>
    <row r="136" spans="14:17" ht="14.1" customHeight="1">
      <c r="N136" s="124"/>
      <c r="O136" s="124"/>
      <c r="P136" s="127"/>
      <c r="Q136" s="124"/>
    </row>
    <row r="137" spans="14:17" ht="14.1" customHeight="1">
      <c r="N137" s="124"/>
      <c r="O137" s="124"/>
      <c r="P137" s="127"/>
      <c r="Q137" s="124"/>
    </row>
    <row r="138" spans="14:17" ht="14.1" customHeight="1">
      <c r="N138" s="124"/>
      <c r="O138" s="124"/>
      <c r="P138" s="127"/>
      <c r="Q138" s="124"/>
    </row>
    <row r="139" spans="14:17" ht="14.1" customHeight="1">
      <c r="N139" s="124"/>
      <c r="O139" s="124"/>
      <c r="P139" s="127"/>
      <c r="Q139" s="124"/>
    </row>
    <row r="140" spans="14:17" ht="14.1" customHeight="1">
      <c r="N140" s="124"/>
      <c r="O140" s="124"/>
      <c r="P140" s="127"/>
      <c r="Q140" s="124"/>
    </row>
    <row r="141" spans="14:17" ht="14.1" customHeight="1">
      <c r="N141" s="124"/>
      <c r="O141" s="124"/>
      <c r="P141" s="127"/>
      <c r="Q141" s="124"/>
    </row>
    <row r="142" spans="14:17" ht="14.1" customHeight="1">
      <c r="N142" s="124"/>
      <c r="O142" s="124"/>
      <c r="P142" s="127"/>
      <c r="Q142" s="124"/>
    </row>
    <row r="143" spans="14:17" ht="14.1" customHeight="1">
      <c r="N143" s="124"/>
      <c r="O143" s="124"/>
      <c r="P143" s="127"/>
      <c r="Q143" s="124"/>
    </row>
    <row r="144" spans="14:17" ht="14.1" customHeight="1">
      <c r="N144" s="124"/>
      <c r="O144" s="124"/>
      <c r="P144" s="127"/>
      <c r="Q144" s="124"/>
    </row>
  </sheetData>
  <mergeCells count="2">
    <mergeCell ref="G1:K1"/>
    <mergeCell ref="L1:M1"/>
  </mergeCells>
  <phoneticPr fontId="2" type="noConversion"/>
  <conditionalFormatting sqref="H15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abSelected="1" zoomScaleNormal="100" workbookViewId="0">
      <pane xSplit="4" ySplit="2" topLeftCell="E3" activePane="bottomRight" state="frozen"/>
      <selection activeCell="D25" sqref="D25"/>
      <selection pane="topRight" activeCell="D25" sqref="D25"/>
      <selection pane="bottomLeft" activeCell="D25" sqref="D25"/>
      <selection pane="bottomRight" activeCell="A12" sqref="A12:XFD12"/>
    </sheetView>
  </sheetViews>
  <sheetFormatPr defaultColWidth="9.140625" defaultRowHeight="14.45" customHeight="1"/>
  <cols>
    <col min="1" max="1" width="9.42578125" style="65" customWidth="1"/>
    <col min="2" max="2" width="11.140625" style="100" customWidth="1"/>
    <col min="3" max="3" width="31.5703125" style="100" customWidth="1"/>
    <col min="4" max="4" width="5.85546875" style="100" customWidth="1"/>
    <col min="5" max="5" width="6.140625" style="101" customWidth="1"/>
    <col min="6" max="6" width="5.42578125" style="102" customWidth="1"/>
    <col min="7" max="8" width="6.42578125" style="102" customWidth="1"/>
    <col min="9" max="9" width="5.5703125" style="102" bestFit="1" customWidth="1"/>
    <col min="10" max="10" width="7.140625" style="102" customWidth="1"/>
    <col min="11" max="12" width="9.42578125" style="59" customWidth="1"/>
    <col min="13" max="13" width="10" style="59" customWidth="1"/>
    <col min="14" max="14" width="7.42578125" style="101" customWidth="1"/>
    <col min="15" max="15" width="9" style="104" customWidth="1"/>
    <col min="16" max="16" width="9.5703125" style="65" customWidth="1"/>
    <col min="17" max="16384" width="9.140625" style="65"/>
  </cols>
  <sheetData>
    <row r="1" spans="1:16" s="84" customFormat="1" ht="24" customHeight="1">
      <c r="A1" s="72" t="s">
        <v>76</v>
      </c>
      <c r="B1" s="73"/>
      <c r="C1" s="73"/>
      <c r="D1" s="74"/>
      <c r="E1" s="75" t="s">
        <v>50</v>
      </c>
      <c r="F1" s="76"/>
      <c r="G1" s="77"/>
      <c r="H1" s="75" t="s">
        <v>52</v>
      </c>
      <c r="I1" s="78"/>
      <c r="J1" s="79"/>
      <c r="K1" s="80" t="s">
        <v>55</v>
      </c>
      <c r="L1" s="80" t="s">
        <v>60</v>
      </c>
      <c r="M1" s="80" t="s">
        <v>62</v>
      </c>
      <c r="N1" s="81" t="s">
        <v>56</v>
      </c>
      <c r="O1" s="82" t="s">
        <v>49</v>
      </c>
      <c r="P1" s="83" t="s">
        <v>49</v>
      </c>
    </row>
    <row r="2" spans="1:16" s="91" customFormat="1" ht="20.100000000000001" customHeight="1">
      <c r="A2" s="72"/>
      <c r="B2" s="60" t="s">
        <v>19</v>
      </c>
      <c r="C2" s="60" t="s">
        <v>20</v>
      </c>
      <c r="D2" s="85" t="s">
        <v>21</v>
      </c>
      <c r="E2" s="86" t="s">
        <v>13</v>
      </c>
      <c r="F2" s="60" t="s">
        <v>53</v>
      </c>
      <c r="G2" s="34" t="s">
        <v>54</v>
      </c>
      <c r="H2" s="86" t="s">
        <v>13</v>
      </c>
      <c r="I2" s="60" t="s">
        <v>53</v>
      </c>
      <c r="J2" s="34" t="s">
        <v>54</v>
      </c>
      <c r="K2" s="87" t="s">
        <v>13</v>
      </c>
      <c r="L2" s="87" t="s">
        <v>13</v>
      </c>
      <c r="M2" s="87" t="s">
        <v>49</v>
      </c>
      <c r="N2" s="88"/>
      <c r="O2" s="89" t="s">
        <v>57</v>
      </c>
      <c r="P2" s="90" t="s">
        <v>58</v>
      </c>
    </row>
    <row r="3" spans="1:16" ht="14.45" customHeight="1">
      <c r="A3" s="92">
        <v>44523</v>
      </c>
      <c r="B3" s="16" t="str">
        <f>Rollover!A3</f>
        <v>Acura</v>
      </c>
      <c r="C3" s="16" t="str">
        <f>Rollover!B3</f>
        <v>MDX SUV AWD</v>
      </c>
      <c r="D3" s="15">
        <f>Rollover!C3</f>
        <v>2022</v>
      </c>
      <c r="E3" s="93">
        <f>Front!AW3</f>
        <v>4</v>
      </c>
      <c r="F3" s="16">
        <f>Front!AX3</f>
        <v>4</v>
      </c>
      <c r="G3" s="16">
        <f>Front!AY3</f>
        <v>4</v>
      </c>
      <c r="H3" s="93">
        <f>'Side MDB'!AC3</f>
        <v>5</v>
      </c>
      <c r="I3" s="93">
        <f>'Side MDB'!AD3</f>
        <v>5</v>
      </c>
      <c r="J3" s="93">
        <f>'Side MDB'!AE3</f>
        <v>5</v>
      </c>
      <c r="K3" s="94">
        <f>'Side Pole'!P3</f>
        <v>5</v>
      </c>
      <c r="L3" s="94">
        <f>'Side Pole'!S3</f>
        <v>5</v>
      </c>
      <c r="M3" s="94">
        <f>'Side Pole'!V3</f>
        <v>5</v>
      </c>
      <c r="N3" s="95" t="e">
        <f>Rollover!J3</f>
        <v>#NUM!</v>
      </c>
      <c r="O3" s="96" t="e">
        <f>ROUND(5/12*Front!AV3+4/12*'Side Pole'!U3+3/12*Rollover!I3,2)</f>
        <v>#NUM!</v>
      </c>
      <c r="P3" s="97" t="e">
        <f t="shared" ref="P3:P4" si="0">IF(O3&lt;0.67,5,IF(O3&lt;1,4,IF(O3&lt;1.33,3,IF(O3&lt;2.67,2,1))))</f>
        <v>#NUM!</v>
      </c>
    </row>
    <row r="4" spans="1:16" ht="14.45" customHeight="1">
      <c r="A4" s="92">
        <v>44523</v>
      </c>
      <c r="B4" s="16" t="str">
        <f>Rollover!A4</f>
        <v>Acura</v>
      </c>
      <c r="C4" s="16" t="str">
        <f>Rollover!B4</f>
        <v>MDX SUV FWD</v>
      </c>
      <c r="D4" s="15">
        <f>Rollover!C4</f>
        <v>2022</v>
      </c>
      <c r="E4" s="93">
        <f>Front!AW4</f>
        <v>4</v>
      </c>
      <c r="F4" s="16">
        <f>Front!AX4</f>
        <v>4</v>
      </c>
      <c r="G4" s="16">
        <f>Front!AY4</f>
        <v>4</v>
      </c>
      <c r="H4" s="93">
        <f>'Side MDB'!AC4</f>
        <v>5</v>
      </c>
      <c r="I4" s="93">
        <f>'Side MDB'!AD4</f>
        <v>5</v>
      </c>
      <c r="J4" s="93">
        <f>'Side MDB'!AE4</f>
        <v>5</v>
      </c>
      <c r="K4" s="94">
        <f>'Side Pole'!P4</f>
        <v>5</v>
      </c>
      <c r="L4" s="94">
        <f>'Side Pole'!S4</f>
        <v>5</v>
      </c>
      <c r="M4" s="94">
        <f>'Side Pole'!V4</f>
        <v>5</v>
      </c>
      <c r="N4" s="95">
        <f>Rollover!J4</f>
        <v>4</v>
      </c>
      <c r="O4" s="96">
        <f>ROUND(5/12*Front!AV4+4/12*'Side Pole'!U4+3/12*Rollover!I4,2)</f>
        <v>0.57999999999999996</v>
      </c>
      <c r="P4" s="97">
        <f t="shared" si="0"/>
        <v>5</v>
      </c>
    </row>
    <row r="5" spans="1:16" ht="14.45" customHeight="1">
      <c r="A5" s="92">
        <v>44631</v>
      </c>
      <c r="B5" s="16" t="str">
        <f>Rollover!A5</f>
        <v>Honda</v>
      </c>
      <c r="C5" s="16" t="str">
        <f>Rollover!B5</f>
        <v>Civic 4DR FWD</v>
      </c>
      <c r="D5" s="15">
        <f>Rollover!C5</f>
        <v>2022</v>
      </c>
      <c r="E5" s="93">
        <f>Front!AW5</f>
        <v>5</v>
      </c>
      <c r="F5" s="16">
        <f>Front!AX5</f>
        <v>4</v>
      </c>
      <c r="G5" s="16">
        <f>Front!AY5</f>
        <v>4</v>
      </c>
      <c r="H5" s="93">
        <f>'Side MDB'!AC5</f>
        <v>5</v>
      </c>
      <c r="I5" s="93">
        <f>'Side MDB'!AD5</f>
        <v>5</v>
      </c>
      <c r="J5" s="93">
        <f>'Side MDB'!AE5</f>
        <v>5</v>
      </c>
      <c r="K5" s="94">
        <f>'Side Pole'!P5</f>
        <v>5</v>
      </c>
      <c r="L5" s="94">
        <f>'Side Pole'!S5</f>
        <v>5</v>
      </c>
      <c r="M5" s="94">
        <f>'Side Pole'!V5</f>
        <v>5</v>
      </c>
      <c r="N5" s="95">
        <f>Rollover!J5</f>
        <v>5</v>
      </c>
      <c r="O5" s="96">
        <f>ROUND(5/12*Front!AV5+4/12*'Side Pole'!U5+3/12*Rollover!I5,2)</f>
        <v>0.53</v>
      </c>
      <c r="P5" s="97">
        <f t="shared" ref="P5:P15" si="1">IF(O5&lt;0.67,5,IF(O5&lt;1,4,IF(O5&lt;1.33,3,IF(O5&lt;2.67,2,1))))</f>
        <v>5</v>
      </c>
    </row>
    <row r="6" spans="1:16" ht="14.45" customHeight="1">
      <c r="A6" s="92">
        <v>44631</v>
      </c>
      <c r="B6" s="15" t="str">
        <f>Rollover!A6</f>
        <v>Honda</v>
      </c>
      <c r="C6" s="15" t="str">
        <f>Rollover!B6</f>
        <v>Civic SI 4DR FWD</v>
      </c>
      <c r="D6" s="15">
        <f>Rollover!C6</f>
        <v>2022</v>
      </c>
      <c r="E6" s="93">
        <f>Front!AW6</f>
        <v>5</v>
      </c>
      <c r="F6" s="16">
        <f>Front!AX6</f>
        <v>4</v>
      </c>
      <c r="G6" s="16">
        <f>Front!AY6</f>
        <v>4</v>
      </c>
      <c r="H6" s="93">
        <f>'Side MDB'!AC6</f>
        <v>5</v>
      </c>
      <c r="I6" s="93">
        <f>'Side MDB'!AD6</f>
        <v>5</v>
      </c>
      <c r="J6" s="93">
        <f>'Side MDB'!AE6</f>
        <v>5</v>
      </c>
      <c r="K6" s="94">
        <f>'Side Pole'!P6</f>
        <v>5</v>
      </c>
      <c r="L6" s="94">
        <f>'Side Pole'!S6</f>
        <v>5</v>
      </c>
      <c r="M6" s="94">
        <f>'Side Pole'!V6</f>
        <v>5</v>
      </c>
      <c r="N6" s="95">
        <f>Rollover!J6</f>
        <v>5</v>
      </c>
      <c r="O6" s="96">
        <f>ROUND(5/12*Front!AV6+4/12*'Side Pole'!U6+3/12*Rollover!I6,2)</f>
        <v>0.53</v>
      </c>
      <c r="P6" s="97">
        <f t="shared" si="1"/>
        <v>5</v>
      </c>
    </row>
    <row r="7" spans="1:16" ht="14.45" customHeight="1">
      <c r="A7" s="92">
        <v>44631</v>
      </c>
      <c r="B7" s="15" t="str">
        <f>Rollover!A7</f>
        <v>Honda</v>
      </c>
      <c r="C7" s="15" t="str">
        <f>Rollover!B7</f>
        <v>Civic 5HB FWD</v>
      </c>
      <c r="D7" s="15">
        <f>Rollover!C7</f>
        <v>2022</v>
      </c>
      <c r="E7" s="93">
        <f>Front!AW7</f>
        <v>5</v>
      </c>
      <c r="F7" s="16">
        <f>Front!AX7</f>
        <v>4</v>
      </c>
      <c r="G7" s="16">
        <f>Front!AY7</f>
        <v>4</v>
      </c>
      <c r="H7" s="93">
        <f>'Side MDB'!AC7</f>
        <v>5</v>
      </c>
      <c r="I7" s="93">
        <f>'Side MDB'!AD7</f>
        <v>5</v>
      </c>
      <c r="J7" s="93">
        <f>'Side MDB'!AE7</f>
        <v>5</v>
      </c>
      <c r="K7" s="94">
        <f>'Side Pole'!P7</f>
        <v>5</v>
      </c>
      <c r="L7" s="94">
        <f>'Side Pole'!S7</f>
        <v>5</v>
      </c>
      <c r="M7" s="94">
        <f>'Side Pole'!V7</f>
        <v>5</v>
      </c>
      <c r="N7" s="95">
        <f>Rollover!J7</f>
        <v>5</v>
      </c>
      <c r="O7" s="96">
        <f>ROUND(5/12*Front!AV7+4/12*'Side Pole'!U7+3/12*Rollover!I7,2)</f>
        <v>0.53</v>
      </c>
      <c r="P7" s="97">
        <f t="shared" si="1"/>
        <v>5</v>
      </c>
    </row>
    <row r="8" spans="1:16" ht="14.45" customHeight="1">
      <c r="A8" s="92">
        <v>44631</v>
      </c>
      <c r="B8" s="16" t="str">
        <f>Rollover!A8</f>
        <v>Hyundai</v>
      </c>
      <c r="C8" s="16" t="str">
        <f>Rollover!B8</f>
        <v>Tucson SUV FWD early release</v>
      </c>
      <c r="D8" s="15">
        <f>Rollover!C8</f>
        <v>2022</v>
      </c>
      <c r="E8" s="93">
        <f>Front!AW8</f>
        <v>4</v>
      </c>
      <c r="F8" s="16">
        <f>Front!AX8</f>
        <v>4</v>
      </c>
      <c r="G8" s="16">
        <f>Front!AY8</f>
        <v>4</v>
      </c>
      <c r="H8" s="93">
        <f>'Side MDB'!AC8</f>
        <v>5</v>
      </c>
      <c r="I8" s="93">
        <f>'Side MDB'!AD8</f>
        <v>5</v>
      </c>
      <c r="J8" s="93">
        <f>'Side MDB'!AE8</f>
        <v>5</v>
      </c>
      <c r="K8" s="94">
        <f>'Side Pole'!P8</f>
        <v>5</v>
      </c>
      <c r="L8" s="94">
        <f>'Side Pole'!S8</f>
        <v>5</v>
      </c>
      <c r="M8" s="94">
        <f>'Side Pole'!V8</f>
        <v>5</v>
      </c>
      <c r="N8" s="95" t="e">
        <f>Rollover!J8</f>
        <v>#NUM!</v>
      </c>
      <c r="O8" s="96" t="e">
        <f>ROUND(5/12*Front!AV8+4/12*'Side Pole'!U8+3/12*Rollover!I8,2)</f>
        <v>#NUM!</v>
      </c>
      <c r="P8" s="97" t="e">
        <f t="shared" si="1"/>
        <v>#NUM!</v>
      </c>
    </row>
    <row r="9" spans="1:16" ht="14.45" customHeight="1">
      <c r="A9" s="92">
        <v>44631</v>
      </c>
      <c r="B9" s="16" t="str">
        <f>Rollover!A9</f>
        <v>Hyundai</v>
      </c>
      <c r="C9" s="16" t="str">
        <f>Rollover!B9</f>
        <v>Tucson SUV AWD early release</v>
      </c>
      <c r="D9" s="15">
        <f>Rollover!C9</f>
        <v>2022</v>
      </c>
      <c r="E9" s="93">
        <f>Front!AW9</f>
        <v>4</v>
      </c>
      <c r="F9" s="16">
        <f>Front!AX9</f>
        <v>4</v>
      </c>
      <c r="G9" s="16">
        <f>Front!AY9</f>
        <v>4</v>
      </c>
      <c r="H9" s="93">
        <f>'Side MDB'!AC9</f>
        <v>5</v>
      </c>
      <c r="I9" s="93">
        <f>'Side MDB'!AD9</f>
        <v>5</v>
      </c>
      <c r="J9" s="93">
        <f>'Side MDB'!AE9</f>
        <v>5</v>
      </c>
      <c r="K9" s="94">
        <f>'Side Pole'!P9</f>
        <v>5</v>
      </c>
      <c r="L9" s="94">
        <f>'Side Pole'!S9</f>
        <v>5</v>
      </c>
      <c r="M9" s="94">
        <f>'Side Pole'!V9</f>
        <v>5</v>
      </c>
      <c r="N9" s="95">
        <f>Rollover!J9</f>
        <v>4</v>
      </c>
      <c r="O9" s="96">
        <f>ROUND(5/12*Front!AV9+4/12*'Side Pole'!U9+3/12*Rollover!I9,2)</f>
        <v>0.7</v>
      </c>
      <c r="P9" s="97">
        <f t="shared" si="1"/>
        <v>4</v>
      </c>
    </row>
    <row r="10" spans="1:16" ht="14.45" customHeight="1">
      <c r="A10" s="92">
        <v>44631</v>
      </c>
      <c r="B10" s="15" t="str">
        <f>Rollover!A10</f>
        <v>Hyundai</v>
      </c>
      <c r="C10" s="15" t="str">
        <f>Rollover!B10</f>
        <v>Tucson HEV SUV FWD early release</v>
      </c>
      <c r="D10" s="15">
        <f>Rollover!C10</f>
        <v>2022</v>
      </c>
      <c r="E10" s="93">
        <f>Front!AW10</f>
        <v>4</v>
      </c>
      <c r="F10" s="16">
        <f>Front!AX10</f>
        <v>4</v>
      </c>
      <c r="G10" s="16">
        <f>Front!AY10</f>
        <v>4</v>
      </c>
      <c r="H10" s="93">
        <f>'Side MDB'!AC10</f>
        <v>5</v>
      </c>
      <c r="I10" s="93">
        <f>'Side MDB'!AD10</f>
        <v>5</v>
      </c>
      <c r="J10" s="93">
        <f>'Side MDB'!AE10</f>
        <v>5</v>
      </c>
      <c r="K10" s="94">
        <f>'Side Pole'!P10</f>
        <v>5</v>
      </c>
      <c r="L10" s="94">
        <f>'Side Pole'!S10</f>
        <v>5</v>
      </c>
      <c r="M10" s="94">
        <f>'Side Pole'!V10</f>
        <v>5</v>
      </c>
      <c r="N10" s="95" t="e">
        <f>Rollover!J10</f>
        <v>#NUM!</v>
      </c>
      <c r="O10" s="96" t="e">
        <f>ROUND(5/12*Front!AV10+4/12*'Side Pole'!U10+3/12*Rollover!I10,2)</f>
        <v>#NUM!</v>
      </c>
      <c r="P10" s="97" t="e">
        <f t="shared" si="1"/>
        <v>#NUM!</v>
      </c>
    </row>
    <row r="11" spans="1:16" ht="14.45" customHeight="1">
      <c r="A11" s="92">
        <v>44631</v>
      </c>
      <c r="B11" s="15" t="str">
        <f>Rollover!A11</f>
        <v>Hyundai</v>
      </c>
      <c r="C11" s="15" t="str">
        <f>Rollover!B11</f>
        <v>Tucson HEV SUV AWD early release</v>
      </c>
      <c r="D11" s="15">
        <f>Rollover!C11</f>
        <v>2022</v>
      </c>
      <c r="E11" s="93">
        <f>Front!AW11</f>
        <v>4</v>
      </c>
      <c r="F11" s="16">
        <f>Front!AX11</f>
        <v>4</v>
      </c>
      <c r="G11" s="16">
        <f>Front!AY11</f>
        <v>4</v>
      </c>
      <c r="H11" s="93">
        <f>'Side MDB'!AC11</f>
        <v>5</v>
      </c>
      <c r="I11" s="93">
        <f>'Side MDB'!AD11</f>
        <v>5</v>
      </c>
      <c r="J11" s="93">
        <f>'Side MDB'!AE11</f>
        <v>5</v>
      </c>
      <c r="K11" s="94">
        <f>'Side Pole'!P11</f>
        <v>5</v>
      </c>
      <c r="L11" s="94">
        <f>'Side Pole'!S11</f>
        <v>5</v>
      </c>
      <c r="M11" s="94">
        <f>'Side Pole'!V11</f>
        <v>5</v>
      </c>
      <c r="N11" s="95">
        <f>Rollover!J11</f>
        <v>4</v>
      </c>
      <c r="O11" s="96">
        <f>ROUND(5/12*Front!AV11+4/12*'Side Pole'!U11+3/12*Rollover!I11,2)</f>
        <v>0.7</v>
      </c>
      <c r="P11" s="97">
        <f t="shared" si="1"/>
        <v>4</v>
      </c>
    </row>
    <row r="12" spans="1:16" ht="14.45" customHeight="1">
      <c r="A12" s="92">
        <v>44656</v>
      </c>
      <c r="B12" s="16" t="str">
        <f>Rollover!A12</f>
        <v>Kia</v>
      </c>
      <c r="C12" s="16" t="str">
        <f>Rollover!B12</f>
        <v>Niro Electric SUV FWD</v>
      </c>
      <c r="D12" s="15">
        <f>Rollover!C12</f>
        <v>2022</v>
      </c>
      <c r="E12" s="93">
        <f>Front!AW12</f>
        <v>4</v>
      </c>
      <c r="F12" s="16">
        <f>Front!AX12</f>
        <v>4</v>
      </c>
      <c r="G12" s="16">
        <f>Front!AY12</f>
        <v>4</v>
      </c>
      <c r="H12" s="93">
        <f>'Side MDB'!AC12</f>
        <v>5</v>
      </c>
      <c r="I12" s="93">
        <f>'Side MDB'!AD12</f>
        <v>5</v>
      </c>
      <c r="J12" s="93">
        <f>'Side MDB'!AE12</f>
        <v>5</v>
      </c>
      <c r="K12" s="94">
        <f>'Side Pole'!P12</f>
        <v>5</v>
      </c>
      <c r="L12" s="94">
        <f>'Side Pole'!S12</f>
        <v>5</v>
      </c>
      <c r="M12" s="94">
        <f>'Side Pole'!V12</f>
        <v>5</v>
      </c>
      <c r="N12" s="95">
        <f>Rollover!J12</f>
        <v>5</v>
      </c>
      <c r="O12" s="96">
        <f>ROUND(5/12*Front!AV12+4/12*'Side Pole'!U12+3/12*Rollover!I12,2)</f>
        <v>0.54</v>
      </c>
      <c r="P12" s="97">
        <f t="shared" si="1"/>
        <v>5</v>
      </c>
    </row>
    <row r="13" spans="1:16" ht="14.45" customHeight="1">
      <c r="A13" s="98">
        <v>44645</v>
      </c>
      <c r="B13" s="16" t="str">
        <f>Rollover!A13</f>
        <v>Mazda</v>
      </c>
      <c r="C13" s="16" t="str">
        <f>Rollover!B13</f>
        <v>MX-30 5HB FWD</v>
      </c>
      <c r="D13" s="15">
        <f>Rollover!C13</f>
        <v>2022</v>
      </c>
      <c r="E13" s="93">
        <f>Front!AW13</f>
        <v>5</v>
      </c>
      <c r="F13" s="16">
        <f>Front!AX13</f>
        <v>5</v>
      </c>
      <c r="G13" s="16">
        <f>Front!AY13</f>
        <v>5</v>
      </c>
      <c r="H13" s="93">
        <f>'Side MDB'!AC13</f>
        <v>5</v>
      </c>
      <c r="I13" s="93">
        <f>'Side MDB'!AD13</f>
        <v>5</v>
      </c>
      <c r="J13" s="93">
        <f>'Side MDB'!AE13</f>
        <v>5</v>
      </c>
      <c r="K13" s="94">
        <f>'Side Pole'!P13</f>
        <v>5</v>
      </c>
      <c r="L13" s="94">
        <f>'Side Pole'!S13</f>
        <v>5</v>
      </c>
      <c r="M13" s="94">
        <f>'Side Pole'!V13</f>
        <v>5</v>
      </c>
      <c r="N13" s="95">
        <f>Rollover!J13</f>
        <v>4</v>
      </c>
      <c r="O13" s="96">
        <f>ROUND(5/12*Front!AV13+4/12*'Side Pole'!U13+3/12*Rollover!I13,2)</f>
        <v>0.56000000000000005</v>
      </c>
      <c r="P13" s="97">
        <f t="shared" si="1"/>
        <v>5</v>
      </c>
    </row>
    <row r="14" spans="1:16" ht="14.45" customHeight="1">
      <c r="A14" s="98">
        <v>44372</v>
      </c>
      <c r="B14" s="16" t="str">
        <f>Rollover!A14</f>
        <v xml:space="preserve">Mitsubishi </v>
      </c>
      <c r="C14" s="16" t="str">
        <f>Rollover!B14</f>
        <v>Eclipse Cross SUV AWD</v>
      </c>
      <c r="D14" s="15">
        <f>Rollover!C14</f>
        <v>2022</v>
      </c>
      <c r="E14" s="93">
        <f>Front!AW14</f>
        <v>4</v>
      </c>
      <c r="F14" s="16">
        <f>Front!AX14</f>
        <v>4</v>
      </c>
      <c r="G14" s="16">
        <f>Front!AY14</f>
        <v>4</v>
      </c>
      <c r="H14" s="93">
        <f>'Side MDB'!AC14</f>
        <v>5</v>
      </c>
      <c r="I14" s="93">
        <f>'Side MDB'!AD14</f>
        <v>5</v>
      </c>
      <c r="J14" s="93">
        <f>'Side MDB'!AE14</f>
        <v>5</v>
      </c>
      <c r="K14" s="94">
        <f>'Side Pole'!P14</f>
        <v>5</v>
      </c>
      <c r="L14" s="94">
        <f>'Side Pole'!S14</f>
        <v>5</v>
      </c>
      <c r="M14" s="94">
        <f>'Side Pole'!V14</f>
        <v>5</v>
      </c>
      <c r="N14" s="95">
        <f>Rollover!J14</f>
        <v>4</v>
      </c>
      <c r="O14" s="96">
        <f>ROUND(5/12*Front!AV14+4/12*'Side Pole'!U14+3/12*Rollover!I14,2)</f>
        <v>0.66</v>
      </c>
      <c r="P14" s="97">
        <f t="shared" si="1"/>
        <v>5</v>
      </c>
    </row>
    <row r="15" spans="1:16" ht="14.45" customHeight="1">
      <c r="A15" s="98">
        <v>44372</v>
      </c>
      <c r="B15" s="16" t="str">
        <f>Rollover!A15</f>
        <v xml:space="preserve">Mitsubishi </v>
      </c>
      <c r="C15" s="16" t="str">
        <f>Rollover!B15</f>
        <v>Eclipse Cross SUV FWD</v>
      </c>
      <c r="D15" s="15">
        <f>Rollover!C15</f>
        <v>2022</v>
      </c>
      <c r="E15" s="93">
        <f>Front!AW15</f>
        <v>4</v>
      </c>
      <c r="F15" s="16">
        <f>Front!AX15</f>
        <v>4</v>
      </c>
      <c r="G15" s="16">
        <f>Front!AY15</f>
        <v>4</v>
      </c>
      <c r="H15" s="93">
        <f>'Side MDB'!AC15</f>
        <v>5</v>
      </c>
      <c r="I15" s="93">
        <f>'Side MDB'!AD15</f>
        <v>5</v>
      </c>
      <c r="J15" s="93">
        <f>'Side MDB'!AE15</f>
        <v>5</v>
      </c>
      <c r="K15" s="94">
        <f>'Side Pole'!P15</f>
        <v>5</v>
      </c>
      <c r="L15" s="94">
        <f>'Side Pole'!S15</f>
        <v>5</v>
      </c>
      <c r="M15" s="94">
        <f>'Side Pole'!V15</f>
        <v>5</v>
      </c>
      <c r="N15" s="95">
        <f>Rollover!J15</f>
        <v>4</v>
      </c>
      <c r="O15" s="96">
        <f>ROUND(5/12*Front!AV15+4/12*'Side Pole'!U15+3/12*Rollover!I15,2)</f>
        <v>0.66</v>
      </c>
      <c r="P15" s="97">
        <f t="shared" si="1"/>
        <v>5</v>
      </c>
    </row>
    <row r="16" spans="1:16" ht="14.45" customHeight="1">
      <c r="B16" s="99"/>
      <c r="K16" s="103"/>
      <c r="L16" s="103"/>
      <c r="M16" s="103"/>
    </row>
    <row r="17" spans="2:10" ht="14.45" customHeight="1">
      <c r="B17" s="99"/>
    </row>
    <row r="18" spans="2:10" ht="14.45" customHeight="1">
      <c r="B18" s="99"/>
    </row>
    <row r="19" spans="2:10" ht="14.45" customHeight="1">
      <c r="B19" s="99"/>
    </row>
    <row r="20" spans="2:10" ht="14.45" customHeight="1">
      <c r="B20" s="99"/>
      <c r="C20" s="99"/>
      <c r="D20" s="99"/>
    </row>
    <row r="21" spans="2:10" ht="14.45" customHeight="1">
      <c r="B21" s="99"/>
      <c r="C21" s="99"/>
      <c r="D21" s="99"/>
    </row>
    <row r="22" spans="2:10" ht="14.45" customHeight="1">
      <c r="B22" s="99"/>
      <c r="C22" s="99"/>
      <c r="D22" s="99"/>
    </row>
    <row r="23" spans="2:10" ht="14.45" customHeight="1">
      <c r="B23" s="99"/>
      <c r="C23" s="99"/>
      <c r="D23" s="99"/>
    </row>
    <row r="24" spans="2:10" ht="14.45" customHeight="1">
      <c r="B24" s="99"/>
      <c r="C24" s="99"/>
      <c r="D24" s="99"/>
    </row>
    <row r="25" spans="2:10" ht="14.45" customHeight="1">
      <c r="B25" s="99"/>
      <c r="C25" s="99"/>
      <c r="D25" s="99"/>
    </row>
    <row r="26" spans="2:10" ht="14.45" customHeight="1">
      <c r="B26" s="99"/>
      <c r="C26" s="99"/>
      <c r="D26" s="99"/>
      <c r="H26" s="59"/>
      <c r="I26" s="59"/>
      <c r="J26" s="59"/>
    </row>
    <row r="27" spans="2:10" ht="14.45" customHeight="1">
      <c r="H27" s="59"/>
      <c r="I27" s="59"/>
      <c r="J27" s="59"/>
    </row>
    <row r="28" spans="2:10" ht="14.45" customHeight="1">
      <c r="H28" s="59"/>
      <c r="I28" s="59"/>
      <c r="J28" s="59"/>
    </row>
    <row r="29" spans="2:10" ht="14.45" customHeight="1">
      <c r="B29" s="105"/>
      <c r="C29" s="105"/>
      <c r="D29" s="105"/>
      <c r="E29" s="106"/>
      <c r="F29" s="99"/>
      <c r="H29" s="59"/>
      <c r="I29" s="59"/>
      <c r="J29" s="59"/>
    </row>
    <row r="30" spans="2:10" ht="14.45" customHeight="1">
      <c r="B30" s="105"/>
      <c r="C30" s="105"/>
      <c r="D30" s="105"/>
      <c r="E30" s="106"/>
      <c r="F30" s="99"/>
      <c r="H30" s="59"/>
      <c r="I30" s="59"/>
      <c r="J30" s="59"/>
    </row>
    <row r="31" spans="2:10" ht="14.45" customHeight="1">
      <c r="B31" s="105"/>
      <c r="C31" s="105"/>
      <c r="D31" s="105"/>
      <c r="E31" s="106"/>
      <c r="F31" s="99"/>
      <c r="H31" s="59"/>
      <c r="I31" s="59"/>
      <c r="J31" s="59"/>
    </row>
    <row r="32" spans="2:10" ht="14.45" customHeight="1">
      <c r="B32" s="105"/>
      <c r="C32" s="105"/>
      <c r="D32" s="105"/>
      <c r="E32" s="106"/>
      <c r="F32" s="99"/>
      <c r="H32" s="59"/>
      <c r="I32" s="59"/>
      <c r="J32" s="59"/>
    </row>
    <row r="33" spans="2:10" ht="14.45" customHeight="1">
      <c r="B33" s="105"/>
      <c r="C33" s="105"/>
      <c r="D33" s="105"/>
      <c r="E33" s="106"/>
      <c r="F33" s="99"/>
      <c r="H33" s="59"/>
      <c r="I33" s="59"/>
      <c r="J33" s="59"/>
    </row>
    <row r="34" spans="2:10" ht="14.45" customHeight="1">
      <c r="B34" s="105"/>
      <c r="C34" s="105"/>
      <c r="D34" s="105"/>
      <c r="E34" s="106"/>
      <c r="F34" s="99"/>
      <c r="H34" s="59"/>
      <c r="I34" s="59"/>
      <c r="J34" s="59"/>
    </row>
    <row r="35" spans="2:10" ht="14.45" customHeight="1">
      <c r="B35" s="105"/>
      <c r="C35" s="105"/>
      <c r="D35" s="105"/>
      <c r="E35" s="106"/>
      <c r="F35" s="99"/>
    </row>
    <row r="36" spans="2:10" ht="14.45" customHeight="1">
      <c r="B36" s="105"/>
      <c r="C36" s="105"/>
      <c r="D36" s="105"/>
      <c r="E36" s="106"/>
      <c r="F36" s="99"/>
    </row>
    <row r="37" spans="2:10" ht="14.45" customHeight="1">
      <c r="B37" s="105"/>
      <c r="C37" s="105"/>
      <c r="D37" s="105"/>
      <c r="E37" s="106"/>
      <c r="F37" s="99"/>
    </row>
    <row r="38" spans="2:10" ht="14.45" customHeight="1">
      <c r="B38" s="105"/>
      <c r="C38" s="105"/>
      <c r="D38" s="105"/>
      <c r="E38" s="106"/>
      <c r="F38" s="99"/>
    </row>
    <row r="39" spans="2:10" ht="14.45" customHeight="1">
      <c r="E39" s="106"/>
      <c r="F39" s="99"/>
    </row>
    <row r="40" spans="2:10" ht="14.45" customHeight="1">
      <c r="E40" s="106"/>
      <c r="F40" s="99"/>
    </row>
    <row r="41" spans="2:10" ht="14.45" customHeight="1">
      <c r="B41" s="105"/>
      <c r="C41" s="105"/>
      <c r="D41" s="105"/>
      <c r="E41" s="106"/>
      <c r="F41" s="99"/>
    </row>
    <row r="42" spans="2:10" ht="14.45" customHeight="1">
      <c r="B42" s="105"/>
      <c r="C42" s="105"/>
      <c r="D42" s="105"/>
      <c r="E42" s="106"/>
      <c r="F42" s="99"/>
    </row>
    <row r="43" spans="2:10" ht="14.45" customHeight="1">
      <c r="B43" s="105"/>
      <c r="C43" s="105"/>
      <c r="D43" s="105"/>
      <c r="E43" s="106"/>
      <c r="F43" s="99"/>
    </row>
    <row r="44" spans="2:10" ht="14.45" customHeight="1">
      <c r="B44" s="105"/>
      <c r="C44" s="105"/>
      <c r="D44" s="105"/>
      <c r="E44" s="106"/>
      <c r="F44" s="99"/>
      <c r="H44" s="107"/>
      <c r="I44" s="107"/>
      <c r="J44" s="107"/>
    </row>
    <row r="45" spans="2:10" ht="14.45" customHeight="1">
      <c r="B45" s="105"/>
      <c r="C45" s="105"/>
      <c r="D45" s="105"/>
      <c r="F45" s="59"/>
      <c r="G45" s="59"/>
      <c r="H45" s="107"/>
      <c r="I45" s="107"/>
      <c r="J45" s="107"/>
    </row>
    <row r="46" spans="2:10" ht="14.45" customHeight="1">
      <c r="B46" s="105"/>
      <c r="C46" s="105"/>
      <c r="D46" s="105"/>
      <c r="F46" s="59"/>
      <c r="G46" s="59"/>
      <c r="H46" s="107"/>
      <c r="I46" s="107"/>
      <c r="J46" s="107"/>
    </row>
    <row r="47" spans="2:10" ht="14.45" customHeight="1">
      <c r="B47" s="108"/>
      <c r="C47" s="108"/>
      <c r="D47" s="108"/>
      <c r="E47" s="109"/>
      <c r="F47" s="59"/>
      <c r="G47" s="59"/>
      <c r="H47" s="107"/>
      <c r="I47" s="107"/>
      <c r="J47" s="107"/>
    </row>
    <row r="48" spans="2:10" ht="14.45" customHeight="1">
      <c r="B48" s="99"/>
      <c r="C48" s="99"/>
      <c r="D48" s="99"/>
      <c r="F48" s="59"/>
      <c r="G48" s="59"/>
      <c r="H48" s="107"/>
      <c r="I48" s="107"/>
      <c r="J48" s="107"/>
    </row>
    <row r="49" spans="2:10" ht="14.45" customHeight="1">
      <c r="B49" s="105"/>
      <c r="C49" s="105"/>
      <c r="D49" s="105"/>
      <c r="F49" s="59"/>
      <c r="G49" s="59"/>
      <c r="H49" s="107"/>
      <c r="I49" s="107"/>
      <c r="J49" s="107"/>
    </row>
    <row r="50" spans="2:10" ht="14.45" customHeight="1">
      <c r="B50" s="105"/>
      <c r="C50" s="105"/>
      <c r="D50" s="105"/>
      <c r="F50" s="59"/>
      <c r="G50" s="59"/>
      <c r="H50" s="107"/>
      <c r="I50" s="107"/>
      <c r="J50" s="107"/>
    </row>
    <row r="51" spans="2:10" ht="14.45" customHeight="1">
      <c r="B51" s="105"/>
      <c r="C51" s="105"/>
      <c r="D51" s="105"/>
      <c r="F51" s="59"/>
      <c r="G51" s="59"/>
      <c r="H51" s="107"/>
      <c r="I51" s="107"/>
      <c r="J51" s="107"/>
    </row>
    <row r="52" spans="2:10" ht="14.45" customHeight="1">
      <c r="B52" s="105"/>
      <c r="C52" s="105"/>
      <c r="D52" s="105"/>
      <c r="F52" s="59"/>
      <c r="G52" s="59"/>
      <c r="H52" s="107"/>
      <c r="I52" s="107"/>
      <c r="J52" s="107"/>
    </row>
    <row r="53" spans="2:10" ht="14.45" customHeight="1">
      <c r="B53" s="99"/>
      <c r="C53" s="99"/>
      <c r="D53" s="99"/>
      <c r="F53" s="59"/>
      <c r="G53" s="59"/>
      <c r="H53" s="107"/>
      <c r="I53" s="107"/>
      <c r="J53" s="107"/>
    </row>
    <row r="54" spans="2:10" ht="14.45" customHeight="1">
      <c r="F54" s="59"/>
      <c r="G54" s="59"/>
      <c r="H54" s="107"/>
      <c r="I54" s="107"/>
      <c r="J54" s="107"/>
    </row>
    <row r="55" spans="2:10" ht="14.45" customHeight="1">
      <c r="F55" s="59"/>
      <c r="G55" s="59"/>
      <c r="H55" s="107"/>
      <c r="I55" s="107"/>
      <c r="J55" s="10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2022-04-04T19:58:41Z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