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1 web and docket data\"/>
    </mc:Choice>
  </mc:AlternateContent>
  <bookViews>
    <workbookView xWindow="8985" yWindow="765" windowWidth="11565" windowHeight="6945" tabRatio="516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externalReferences>
    <externalReference r:id="rId6"/>
  </externalReferences>
  <definedNames>
    <definedName name="BodyType">'[1]Source Sheet'!$C$2:$C$14</definedName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F24" i="29" l="1"/>
  <c r="D24" i="31"/>
  <c r="F24" i="22"/>
  <c r="F24" i="21"/>
  <c r="D46" i="31" l="1"/>
  <c r="C46" i="31"/>
  <c r="B46" i="31"/>
  <c r="D45" i="31"/>
  <c r="C45" i="31"/>
  <c r="B45" i="31"/>
  <c r="M46" i="29"/>
  <c r="L46" i="29"/>
  <c r="F46" i="29"/>
  <c r="D46" i="29"/>
  <c r="C46" i="29"/>
  <c r="M45" i="29"/>
  <c r="L45" i="29"/>
  <c r="F45" i="29"/>
  <c r="D45" i="29"/>
  <c r="C45" i="29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C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C45" i="2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AF46" i="21" l="1"/>
  <c r="AK45" i="21"/>
  <c r="AA46" i="21"/>
  <c r="AQ46" i="21" s="1"/>
  <c r="AT46" i="21" s="1"/>
  <c r="AW46" i="21" s="1"/>
  <c r="E46" i="31" s="1"/>
  <c r="X45" i="22"/>
  <c r="AA45" i="22" s="1"/>
  <c r="AD45" i="22" s="1"/>
  <c r="I45" i="31" s="1"/>
  <c r="W46" i="22"/>
  <c r="Z46" i="22" s="1"/>
  <c r="AC46" i="22" s="1"/>
  <c r="H46" i="31" s="1"/>
  <c r="X46" i="22"/>
  <c r="AA46" i="22" s="1"/>
  <c r="AD46" i="22" s="1"/>
  <c r="I46" i="31" s="1"/>
  <c r="N46" i="29"/>
  <c r="O46" i="29" s="1"/>
  <c r="P46" i="29" s="1"/>
  <c r="K46" i="31" s="1"/>
  <c r="AP45" i="21"/>
  <c r="AR45" i="21" s="1"/>
  <c r="AK46" i="21"/>
  <c r="AA45" i="21"/>
  <c r="AF45" i="21"/>
  <c r="AP46" i="21"/>
  <c r="W45" i="22"/>
  <c r="Z45" i="22" s="1"/>
  <c r="AC45" i="22" s="1"/>
  <c r="H45" i="31" s="1"/>
  <c r="N45" i="29"/>
  <c r="O45" i="29" s="1"/>
  <c r="P45" i="29" s="1"/>
  <c r="K45" i="31" s="1"/>
  <c r="AR46" i="21" l="1"/>
  <c r="AS46" i="21" s="1"/>
  <c r="AV46" i="21" s="1"/>
  <c r="AY46" i="21" s="1"/>
  <c r="G46" i="31" s="1"/>
  <c r="AQ45" i="21"/>
  <c r="AT45" i="21" s="1"/>
  <c r="AW45" i="21" s="1"/>
  <c r="E45" i="31" s="1"/>
  <c r="Y45" i="22"/>
  <c r="AB45" i="22" s="1"/>
  <c r="AE45" i="22" s="1"/>
  <c r="J45" i="31" s="1"/>
  <c r="Y46" i="22"/>
  <c r="AB46" i="22" s="1"/>
  <c r="AE46" i="22" s="1"/>
  <c r="J46" i="31" s="1"/>
  <c r="Q45" i="29"/>
  <c r="R45" i="29" s="1"/>
  <c r="S45" i="29" s="1"/>
  <c r="L45" i="31" s="1"/>
  <c r="Q46" i="29"/>
  <c r="R46" i="29" s="1"/>
  <c r="S46" i="29" s="1"/>
  <c r="L46" i="31" s="1"/>
  <c r="T46" i="29"/>
  <c r="U46" i="29" s="1"/>
  <c r="V46" i="29" s="1"/>
  <c r="M46" i="31" s="1"/>
  <c r="AU46" i="21"/>
  <c r="AX46" i="21" s="1"/>
  <c r="F46" i="31" s="1"/>
  <c r="T45" i="29"/>
  <c r="U45" i="29" s="1"/>
  <c r="V45" i="29" s="1"/>
  <c r="M45" i="31" s="1"/>
  <c r="AU45" i="21"/>
  <c r="AX45" i="21" s="1"/>
  <c r="F45" i="31" s="1"/>
  <c r="AS45" i="21"/>
  <c r="AV45" i="21" s="1"/>
  <c r="AY45" i="21" s="1"/>
  <c r="G45" i="31" s="1"/>
  <c r="B30" i="31"/>
  <c r="C30" i="31"/>
  <c r="D30" i="31"/>
  <c r="B31" i="31"/>
  <c r="C31" i="31"/>
  <c r="D31" i="31"/>
  <c r="B32" i="31"/>
  <c r="C32" i="31"/>
  <c r="D32" i="31"/>
  <c r="B33" i="31"/>
  <c r="C33" i="31"/>
  <c r="D33" i="31"/>
  <c r="O46" i="31" l="1"/>
  <c r="P46" i="31" s="1"/>
  <c r="O45" i="31"/>
  <c r="P45" i="31" s="1"/>
  <c r="F29" i="21"/>
  <c r="F28" i="21"/>
  <c r="D39" i="31" l="1"/>
  <c r="C39" i="31"/>
  <c r="B39" i="31"/>
  <c r="D38" i="31"/>
  <c r="C38" i="31"/>
  <c r="B38" i="31"/>
  <c r="D37" i="31"/>
  <c r="C37" i="31"/>
  <c r="B37" i="31"/>
  <c r="M39" i="29"/>
  <c r="L39" i="29"/>
  <c r="F39" i="29"/>
  <c r="D39" i="29"/>
  <c r="C39" i="29"/>
  <c r="M38" i="29"/>
  <c r="L38" i="29"/>
  <c r="F38" i="29"/>
  <c r="D38" i="29"/>
  <c r="C38" i="29"/>
  <c r="M37" i="29"/>
  <c r="L37" i="29"/>
  <c r="F37" i="29"/>
  <c r="D37" i="29"/>
  <c r="C37" i="29"/>
  <c r="V39" i="22"/>
  <c r="U39" i="22"/>
  <c r="T39" i="22"/>
  <c r="S39" i="22"/>
  <c r="R39" i="22"/>
  <c r="Q39" i="22"/>
  <c r="F39" i="22"/>
  <c r="D39" i="22"/>
  <c r="C39" i="22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39" i="21"/>
  <c r="C39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G39" i="24"/>
  <c r="H39" i="24" s="1"/>
  <c r="I39" i="24" s="1"/>
  <c r="J39" i="24" s="1"/>
  <c r="N39" i="31" s="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X38" i="22" l="1"/>
  <c r="AA38" i="22" s="1"/>
  <c r="AD38" i="22" s="1"/>
  <c r="I38" i="31" s="1"/>
  <c r="X39" i="22"/>
  <c r="AA39" i="22" s="1"/>
  <c r="AD39" i="22" s="1"/>
  <c r="I39" i="31" s="1"/>
  <c r="N37" i="29"/>
  <c r="O37" i="29" s="1"/>
  <c r="P37" i="29" s="1"/>
  <c r="K37" i="31" s="1"/>
  <c r="AA39" i="21"/>
  <c r="AP37" i="21"/>
  <c r="AK38" i="21"/>
  <c r="N39" i="29"/>
  <c r="O39" i="29" s="1"/>
  <c r="P39" i="29" s="1"/>
  <c r="K39" i="31" s="1"/>
  <c r="W37" i="22"/>
  <c r="Z37" i="22" s="1"/>
  <c r="AC37" i="22" s="1"/>
  <c r="H37" i="31" s="1"/>
  <c r="W38" i="22"/>
  <c r="N38" i="29"/>
  <c r="O38" i="29" s="1"/>
  <c r="P38" i="29" s="1"/>
  <c r="K38" i="31" s="1"/>
  <c r="AF39" i="21"/>
  <c r="X37" i="22"/>
  <c r="AA37" i="22" s="1"/>
  <c r="AD37" i="22" s="1"/>
  <c r="I37" i="31" s="1"/>
  <c r="W39" i="22"/>
  <c r="AK39" i="21"/>
  <c r="AA37" i="21"/>
  <c r="AF37" i="21"/>
  <c r="AP38" i="21"/>
  <c r="AK37" i="21"/>
  <c r="AA38" i="21"/>
  <c r="AF38" i="21"/>
  <c r="AP39" i="21"/>
  <c r="C12" i="22"/>
  <c r="D12" i="22"/>
  <c r="F12" i="22"/>
  <c r="C13" i="22"/>
  <c r="D13" i="22"/>
  <c r="F13" i="22"/>
  <c r="C14" i="22"/>
  <c r="D14" i="22"/>
  <c r="F14" i="22"/>
  <c r="C15" i="22"/>
  <c r="D15" i="22"/>
  <c r="F15" i="22"/>
  <c r="C16" i="22"/>
  <c r="D16" i="22"/>
  <c r="F16" i="22"/>
  <c r="C17" i="22"/>
  <c r="D17" i="22"/>
  <c r="F17" i="22"/>
  <c r="C18" i="22"/>
  <c r="D18" i="22"/>
  <c r="F18" i="22"/>
  <c r="C19" i="22"/>
  <c r="D19" i="22"/>
  <c r="F19" i="22"/>
  <c r="C20" i="22"/>
  <c r="D20" i="22"/>
  <c r="F20" i="22"/>
  <c r="Y38" i="22" l="1"/>
  <c r="AB38" i="22" s="1"/>
  <c r="AE38" i="22" s="1"/>
  <c r="J38" i="31" s="1"/>
  <c r="AQ39" i="21"/>
  <c r="AT39" i="21" s="1"/>
  <c r="AW39" i="21" s="1"/>
  <c r="E39" i="31" s="1"/>
  <c r="Y39" i="22"/>
  <c r="AB39" i="22" s="1"/>
  <c r="AE39" i="22" s="1"/>
  <c r="J39" i="31" s="1"/>
  <c r="Z38" i="22"/>
  <c r="AC38" i="22" s="1"/>
  <c r="H38" i="31" s="1"/>
  <c r="AR38" i="21"/>
  <c r="AU38" i="21" s="1"/>
  <c r="AX38" i="21" s="1"/>
  <c r="F38" i="31" s="1"/>
  <c r="T38" i="29"/>
  <c r="U38" i="29" s="1"/>
  <c r="V38" i="29" s="1"/>
  <c r="M38" i="31" s="1"/>
  <c r="Q37" i="29"/>
  <c r="R37" i="29" s="1"/>
  <c r="S37" i="29" s="1"/>
  <c r="L37" i="31" s="1"/>
  <c r="Q38" i="29"/>
  <c r="R38" i="29" s="1"/>
  <c r="S38" i="29" s="1"/>
  <c r="L38" i="31" s="1"/>
  <c r="Y37" i="22"/>
  <c r="AB37" i="22" s="1"/>
  <c r="AE37" i="22" s="1"/>
  <c r="J37" i="31" s="1"/>
  <c r="T37" i="29"/>
  <c r="U37" i="29" s="1"/>
  <c r="V37" i="29" s="1"/>
  <c r="M37" i="31" s="1"/>
  <c r="T39" i="29"/>
  <c r="U39" i="29" s="1"/>
  <c r="V39" i="29" s="1"/>
  <c r="M39" i="31" s="1"/>
  <c r="AR37" i="21"/>
  <c r="AU37" i="21" s="1"/>
  <c r="AX37" i="21" s="1"/>
  <c r="F37" i="31" s="1"/>
  <c r="Q39" i="29"/>
  <c r="R39" i="29" s="1"/>
  <c r="S39" i="29" s="1"/>
  <c r="L39" i="31" s="1"/>
  <c r="AQ38" i="21"/>
  <c r="AT38" i="21" s="1"/>
  <c r="AW38" i="21" s="1"/>
  <c r="E38" i="31" s="1"/>
  <c r="Z39" i="22"/>
  <c r="AC39" i="22" s="1"/>
  <c r="H39" i="31" s="1"/>
  <c r="AQ37" i="21"/>
  <c r="AT37" i="21" s="1"/>
  <c r="AW37" i="21" s="1"/>
  <c r="E37" i="31" s="1"/>
  <c r="AR39" i="21"/>
  <c r="D34" i="29"/>
  <c r="AS38" i="21" l="1"/>
  <c r="AV38" i="21" s="1"/>
  <c r="AY38" i="21" s="1"/>
  <c r="G38" i="31" s="1"/>
  <c r="AS37" i="21"/>
  <c r="AV37" i="21" s="1"/>
  <c r="O37" i="31" s="1"/>
  <c r="P37" i="31" s="1"/>
  <c r="AS39" i="21"/>
  <c r="AV39" i="21" s="1"/>
  <c r="AU39" i="21"/>
  <c r="AX39" i="21" s="1"/>
  <c r="F39" i="3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Q12" i="22"/>
  <c r="R12" i="22"/>
  <c r="S12" i="22"/>
  <c r="T12" i="22"/>
  <c r="U12" i="22"/>
  <c r="V12" i="22"/>
  <c r="Q13" i="22"/>
  <c r="R13" i="22"/>
  <c r="S13" i="22"/>
  <c r="T13" i="22"/>
  <c r="U13" i="22"/>
  <c r="V13" i="22"/>
  <c r="Q14" i="22"/>
  <c r="R14" i="22"/>
  <c r="S14" i="22"/>
  <c r="T14" i="22"/>
  <c r="U14" i="22"/>
  <c r="V14" i="22"/>
  <c r="Q15" i="22"/>
  <c r="R15" i="22"/>
  <c r="S15" i="22"/>
  <c r="T15" i="22"/>
  <c r="U15" i="22"/>
  <c r="V15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Q20" i="22"/>
  <c r="R20" i="22"/>
  <c r="S20" i="22"/>
  <c r="T20" i="22"/>
  <c r="U20" i="22"/>
  <c r="V20" i="22"/>
  <c r="C21" i="22"/>
  <c r="D21" i="22"/>
  <c r="F21" i="22"/>
  <c r="Q21" i="22"/>
  <c r="R21" i="22"/>
  <c r="S21" i="22"/>
  <c r="T21" i="22"/>
  <c r="U21" i="22"/>
  <c r="V21" i="22"/>
  <c r="C22" i="22"/>
  <c r="D22" i="22"/>
  <c r="F22" i="22"/>
  <c r="Q22" i="22"/>
  <c r="R22" i="22"/>
  <c r="S22" i="22"/>
  <c r="T22" i="22"/>
  <c r="U22" i="22"/>
  <c r="V22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B23" i="31"/>
  <c r="C23" i="31"/>
  <c r="D23" i="31"/>
  <c r="B24" i="31"/>
  <c r="C24" i="31"/>
  <c r="B25" i="31"/>
  <c r="C25" i="31"/>
  <c r="D25" i="31"/>
  <c r="C23" i="29"/>
  <c r="D23" i="29"/>
  <c r="F23" i="29"/>
  <c r="L23" i="29"/>
  <c r="M23" i="29"/>
  <c r="C24" i="29"/>
  <c r="D24" i="29"/>
  <c r="L24" i="29"/>
  <c r="M24" i="29"/>
  <c r="C25" i="29"/>
  <c r="D25" i="29"/>
  <c r="F25" i="29"/>
  <c r="L25" i="29"/>
  <c r="M25" i="29"/>
  <c r="C23" i="22"/>
  <c r="D23" i="22"/>
  <c r="F23" i="22"/>
  <c r="Q23" i="22"/>
  <c r="R23" i="22"/>
  <c r="S23" i="22"/>
  <c r="T23" i="22"/>
  <c r="U23" i="22"/>
  <c r="V23" i="22"/>
  <c r="C24" i="22"/>
  <c r="D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G27" i="24"/>
  <c r="H27" i="24" s="1"/>
  <c r="I27" i="24" s="1"/>
  <c r="J27" i="24" s="1"/>
  <c r="N27" i="31" s="1"/>
  <c r="B27" i="31"/>
  <c r="C27" i="31"/>
  <c r="D27" i="31"/>
  <c r="C27" i="29"/>
  <c r="D27" i="29"/>
  <c r="F27" i="29"/>
  <c r="L27" i="29"/>
  <c r="M27" i="29"/>
  <c r="C27" i="22"/>
  <c r="D27" i="22"/>
  <c r="F27" i="22"/>
  <c r="Q27" i="22"/>
  <c r="R27" i="22"/>
  <c r="S27" i="22"/>
  <c r="T27" i="22"/>
  <c r="U27" i="22"/>
  <c r="V27" i="22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B34" i="31"/>
  <c r="C34" i="31"/>
  <c r="D34" i="31"/>
  <c r="B35" i="31"/>
  <c r="C35" i="31"/>
  <c r="D35" i="31"/>
  <c r="B36" i="31"/>
  <c r="C36" i="31"/>
  <c r="D36" i="31"/>
  <c r="B40" i="31"/>
  <c r="C40" i="31"/>
  <c r="D40" i="31"/>
  <c r="B41" i="31"/>
  <c r="C41" i="31"/>
  <c r="D41" i="31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40" i="29"/>
  <c r="D40" i="29"/>
  <c r="F40" i="29"/>
  <c r="L40" i="29"/>
  <c r="M40" i="29"/>
  <c r="C41" i="29"/>
  <c r="D41" i="29"/>
  <c r="F41" i="29"/>
  <c r="L41" i="29"/>
  <c r="M41" i="29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G44" i="24"/>
  <c r="H44" i="24" s="1"/>
  <c r="I44" i="24" s="1"/>
  <c r="J44" i="24" s="1"/>
  <c r="N44" i="31" s="1"/>
  <c r="G47" i="24"/>
  <c r="H47" i="24" s="1"/>
  <c r="I47" i="24" s="1"/>
  <c r="J47" i="24" s="1"/>
  <c r="N47" i="31" s="1"/>
  <c r="G48" i="24"/>
  <c r="H48" i="24" s="1"/>
  <c r="I48" i="24" s="1"/>
  <c r="J48" i="24" s="1"/>
  <c r="N48" i="31" s="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B42" i="31"/>
  <c r="C42" i="31"/>
  <c r="D42" i="31"/>
  <c r="B43" i="31"/>
  <c r="C43" i="31"/>
  <c r="D43" i="31"/>
  <c r="B44" i="31"/>
  <c r="C44" i="31"/>
  <c r="D44" i="31"/>
  <c r="B47" i="31"/>
  <c r="C47" i="31"/>
  <c r="D47" i="31"/>
  <c r="B48" i="31"/>
  <c r="C48" i="31"/>
  <c r="D48" i="31"/>
  <c r="B49" i="31"/>
  <c r="C49" i="31"/>
  <c r="D49" i="31"/>
  <c r="B50" i="31"/>
  <c r="C50" i="31"/>
  <c r="D50" i="31"/>
  <c r="B51" i="31"/>
  <c r="C51" i="31"/>
  <c r="D51" i="31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C47" i="29"/>
  <c r="D47" i="29"/>
  <c r="F47" i="29"/>
  <c r="L47" i="29"/>
  <c r="M47" i="29"/>
  <c r="C48" i="29"/>
  <c r="D48" i="29"/>
  <c r="F48" i="29"/>
  <c r="L48" i="29"/>
  <c r="M48" i="29"/>
  <c r="C49" i="29"/>
  <c r="D49" i="29"/>
  <c r="F49" i="29"/>
  <c r="L49" i="29"/>
  <c r="M49" i="29"/>
  <c r="C50" i="29"/>
  <c r="D50" i="29"/>
  <c r="F50" i="29"/>
  <c r="L50" i="29"/>
  <c r="M50" i="29"/>
  <c r="C51" i="29"/>
  <c r="D51" i="29"/>
  <c r="F51" i="29"/>
  <c r="L51" i="29"/>
  <c r="M51" i="29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44" i="22"/>
  <c r="D44" i="22"/>
  <c r="F44" i="22"/>
  <c r="Q44" i="22"/>
  <c r="R44" i="22"/>
  <c r="S44" i="22"/>
  <c r="T44" i="22"/>
  <c r="U44" i="22"/>
  <c r="V44" i="22"/>
  <c r="C47" i="22"/>
  <c r="D47" i="22"/>
  <c r="F47" i="22"/>
  <c r="Q47" i="22"/>
  <c r="R47" i="22"/>
  <c r="S47" i="22"/>
  <c r="T47" i="22"/>
  <c r="U47" i="22"/>
  <c r="V47" i="22"/>
  <c r="C48" i="22"/>
  <c r="D48" i="22"/>
  <c r="F48" i="22"/>
  <c r="Q48" i="22"/>
  <c r="R48" i="22"/>
  <c r="S48" i="22"/>
  <c r="T48" i="22"/>
  <c r="U48" i="22"/>
  <c r="V48" i="22"/>
  <c r="C49" i="22"/>
  <c r="D49" i="22"/>
  <c r="F49" i="22"/>
  <c r="Q49" i="22"/>
  <c r="R49" i="22"/>
  <c r="S49" i="22"/>
  <c r="T49" i="22"/>
  <c r="U49" i="22"/>
  <c r="V49" i="22"/>
  <c r="C50" i="22"/>
  <c r="D50" i="22"/>
  <c r="F50" i="22"/>
  <c r="Q50" i="22"/>
  <c r="R50" i="22"/>
  <c r="S50" i="22"/>
  <c r="T50" i="22"/>
  <c r="U50" i="22"/>
  <c r="V50" i="22"/>
  <c r="C51" i="22"/>
  <c r="D51" i="22"/>
  <c r="F51" i="22"/>
  <c r="Q51" i="22"/>
  <c r="R51" i="22"/>
  <c r="S51" i="22"/>
  <c r="T51" i="22"/>
  <c r="U51" i="22"/>
  <c r="V51" i="22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C44" i="21"/>
  <c r="D44" i="21"/>
  <c r="F44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C47" i="21"/>
  <c r="D47" i="21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C48" i="21"/>
  <c r="D48" i="21"/>
  <c r="F48" i="21"/>
  <c r="W48" i="21"/>
  <c r="X48" i="21"/>
  <c r="Y48" i="21"/>
  <c r="Z48" i="21"/>
  <c r="AB48" i="21"/>
  <c r="AC48" i="21" s="1"/>
  <c r="AD48" i="21"/>
  <c r="AE48" i="21"/>
  <c r="AG48" i="21"/>
  <c r="AH48" i="21"/>
  <c r="AI48" i="21"/>
  <c r="AJ48" i="21"/>
  <c r="AL48" i="21"/>
  <c r="AM48" i="21" s="1"/>
  <c r="AN48" i="21"/>
  <c r="AO48" i="21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AY37" i="21" l="1"/>
  <c r="G37" i="31" s="1"/>
  <c r="O38" i="31"/>
  <c r="P38" i="31" s="1"/>
  <c r="X51" i="22"/>
  <c r="AA51" i="22" s="1"/>
  <c r="AD51" i="22" s="1"/>
  <c r="I51" i="31" s="1"/>
  <c r="AF18" i="21"/>
  <c r="AY39" i="21"/>
  <c r="G39" i="31" s="1"/>
  <c r="O39" i="31"/>
  <c r="P39" i="31" s="1"/>
  <c r="X10" i="22"/>
  <c r="AA10" i="22" s="1"/>
  <c r="AD10" i="22" s="1"/>
  <c r="I10" i="31" s="1"/>
  <c r="AF20" i="21"/>
  <c r="AF19" i="21"/>
  <c r="W13" i="22"/>
  <c r="N32" i="29"/>
  <c r="O32" i="29" s="1"/>
  <c r="P32" i="29" s="1"/>
  <c r="K32" i="31" s="1"/>
  <c r="N23" i="29"/>
  <c r="O23" i="29" s="1"/>
  <c r="P23" i="29" s="1"/>
  <c r="K23" i="31" s="1"/>
  <c r="AA21" i="21"/>
  <c r="AK8" i="21"/>
  <c r="W5" i="22"/>
  <c r="Z5" i="22" s="1"/>
  <c r="AC5" i="22" s="1"/>
  <c r="H5" i="31" s="1"/>
  <c r="N3" i="29"/>
  <c r="O3" i="29" s="1"/>
  <c r="P3" i="29" s="1"/>
  <c r="K3" i="31" s="1"/>
  <c r="X8" i="22"/>
  <c r="AA8" i="22" s="1"/>
  <c r="AD8" i="22" s="1"/>
  <c r="I8" i="31" s="1"/>
  <c r="W4" i="22"/>
  <c r="AK10" i="21"/>
  <c r="AK6" i="21"/>
  <c r="AF21" i="21"/>
  <c r="W10" i="22"/>
  <c r="X4" i="22"/>
  <c r="AA4" i="22" s="1"/>
  <c r="AD4" i="22" s="1"/>
  <c r="I4" i="31" s="1"/>
  <c r="AF25" i="21"/>
  <c r="AK9" i="21"/>
  <c r="AK5" i="21"/>
  <c r="AF4" i="21"/>
  <c r="X6" i="22"/>
  <c r="AA6" i="22" s="1"/>
  <c r="AD6" i="22" s="1"/>
  <c r="I6" i="31" s="1"/>
  <c r="AK18" i="21"/>
  <c r="X20" i="22"/>
  <c r="AA20" i="22" s="1"/>
  <c r="AD20" i="22" s="1"/>
  <c r="I20" i="31" s="1"/>
  <c r="X16" i="22"/>
  <c r="AA16" i="22" s="1"/>
  <c r="AD16" i="22" s="1"/>
  <c r="I16" i="31" s="1"/>
  <c r="X12" i="22"/>
  <c r="AA12" i="22" s="1"/>
  <c r="AD12" i="22" s="1"/>
  <c r="I12" i="31" s="1"/>
  <c r="N16" i="29"/>
  <c r="O16" i="29" s="1"/>
  <c r="P16" i="29" s="1"/>
  <c r="K16" i="31" s="1"/>
  <c r="N10" i="29"/>
  <c r="O10" i="29" s="1"/>
  <c r="P10" i="29" s="1"/>
  <c r="K10" i="31" s="1"/>
  <c r="AA22" i="21"/>
  <c r="W8" i="22"/>
  <c r="Z8" i="22" s="1"/>
  <c r="AC8" i="22" s="1"/>
  <c r="H8" i="31" s="1"/>
  <c r="W7" i="22"/>
  <c r="Z7" i="22" s="1"/>
  <c r="AC7" i="22" s="1"/>
  <c r="H7" i="31" s="1"/>
  <c r="N14" i="29"/>
  <c r="O14" i="29" s="1"/>
  <c r="P14" i="29" s="1"/>
  <c r="K14" i="31" s="1"/>
  <c r="N8" i="29"/>
  <c r="O8" i="29" s="1"/>
  <c r="P8" i="29" s="1"/>
  <c r="K8" i="31" s="1"/>
  <c r="W21" i="22"/>
  <c r="N4" i="29"/>
  <c r="O4" i="29" s="1"/>
  <c r="P4" i="29" s="1"/>
  <c r="K4" i="31" s="1"/>
  <c r="AA51" i="21"/>
  <c r="AK7" i="21"/>
  <c r="AA4" i="21"/>
  <c r="N25" i="29"/>
  <c r="O25" i="29" s="1"/>
  <c r="P25" i="29" s="1"/>
  <c r="K25" i="31" s="1"/>
  <c r="AK19" i="21"/>
  <c r="X18" i="22"/>
  <c r="AA18" i="22" s="1"/>
  <c r="AD18" i="22" s="1"/>
  <c r="I18" i="31" s="1"/>
  <c r="X14" i="22"/>
  <c r="AA14" i="22" s="1"/>
  <c r="AD14" i="22" s="1"/>
  <c r="I14" i="31" s="1"/>
  <c r="X9" i="22"/>
  <c r="AA9" i="22" s="1"/>
  <c r="AD9" i="22" s="1"/>
  <c r="I9" i="31" s="1"/>
  <c r="N20" i="29"/>
  <c r="O20" i="29" s="1"/>
  <c r="P20" i="29" s="1"/>
  <c r="K20" i="31" s="1"/>
  <c r="N12" i="29"/>
  <c r="O12" i="29" s="1"/>
  <c r="P12" i="29" s="1"/>
  <c r="K12" i="31" s="1"/>
  <c r="N6" i="29"/>
  <c r="O6" i="29" s="1"/>
  <c r="P6" i="29" s="1"/>
  <c r="K6" i="31" s="1"/>
  <c r="AK4" i="21"/>
  <c r="AF3" i="21"/>
  <c r="AA3" i="21"/>
  <c r="N22" i="29"/>
  <c r="O22" i="29" s="1"/>
  <c r="P22" i="29" s="1"/>
  <c r="K22" i="31" s="1"/>
  <c r="N18" i="29"/>
  <c r="O18" i="29" s="1"/>
  <c r="P18" i="29" s="1"/>
  <c r="K18" i="31" s="1"/>
  <c r="AP22" i="21"/>
  <c r="AF22" i="21"/>
  <c r="AA18" i="21"/>
  <c r="AK17" i="21"/>
  <c r="X22" i="22"/>
  <c r="AA22" i="22" s="1"/>
  <c r="AD22" i="22" s="1"/>
  <c r="I22" i="31" s="1"/>
  <c r="W22" i="22"/>
  <c r="X23" i="22"/>
  <c r="AA23" i="22" s="1"/>
  <c r="AD23" i="22" s="1"/>
  <c r="I23" i="31" s="1"/>
  <c r="W23" i="22"/>
  <c r="Z23" i="22" s="1"/>
  <c r="AC23" i="22" s="1"/>
  <c r="H23" i="31" s="1"/>
  <c r="W19" i="22"/>
  <c r="Z19" i="22" s="1"/>
  <c r="AC19" i="22" s="1"/>
  <c r="H19" i="31" s="1"/>
  <c r="W17" i="22"/>
  <c r="Z17" i="22" s="1"/>
  <c r="AC17" i="22" s="1"/>
  <c r="H17" i="31" s="1"/>
  <c r="AK16" i="21"/>
  <c r="AK15" i="21"/>
  <c r="AK14" i="21"/>
  <c r="AK13" i="21"/>
  <c r="AK12" i="21"/>
  <c r="AK11" i="21"/>
  <c r="X15" i="22"/>
  <c r="AA15" i="22" s="1"/>
  <c r="AD15" i="22" s="1"/>
  <c r="I15" i="31" s="1"/>
  <c r="W11" i="22"/>
  <c r="Z11" i="22" s="1"/>
  <c r="AC11" i="22" s="1"/>
  <c r="H11" i="31" s="1"/>
  <c r="W16" i="22"/>
  <c r="W15" i="22"/>
  <c r="W14" i="22"/>
  <c r="N30" i="29"/>
  <c r="O30" i="29" s="1"/>
  <c r="P30" i="29" s="1"/>
  <c r="K30" i="31" s="1"/>
  <c r="X40" i="22"/>
  <c r="AA40" i="22" s="1"/>
  <c r="AD40" i="22" s="1"/>
  <c r="I40" i="31" s="1"/>
  <c r="AP25" i="21"/>
  <c r="AF24" i="21"/>
  <c r="AK3" i="21"/>
  <c r="AF44" i="21"/>
  <c r="X49" i="22"/>
  <c r="AA49" i="22" s="1"/>
  <c r="AD49" i="22" s="1"/>
  <c r="I49" i="31" s="1"/>
  <c r="AK27" i="21"/>
  <c r="AP24" i="21"/>
  <c r="W30" i="22"/>
  <c r="Z30" i="22" s="1"/>
  <c r="AC30" i="22" s="1"/>
  <c r="H30" i="31" s="1"/>
  <c r="W9" i="22"/>
  <c r="AF23" i="21"/>
  <c r="AA23" i="21"/>
  <c r="AP20" i="21"/>
  <c r="X19" i="22"/>
  <c r="AA19" i="22" s="1"/>
  <c r="AD19" i="22" s="1"/>
  <c r="I19" i="31" s="1"/>
  <c r="X11" i="22"/>
  <c r="AA11" i="22" s="1"/>
  <c r="AD11" i="22" s="1"/>
  <c r="I11" i="31" s="1"/>
  <c r="X7" i="22"/>
  <c r="AA7" i="22" s="1"/>
  <c r="AD7" i="22" s="1"/>
  <c r="I7" i="31" s="1"/>
  <c r="X3" i="22"/>
  <c r="AA3" i="22" s="1"/>
  <c r="AD3" i="22" s="1"/>
  <c r="I3" i="31" s="1"/>
  <c r="W3" i="22"/>
  <c r="Z3" i="22" s="1"/>
  <c r="AC3" i="22" s="1"/>
  <c r="H3" i="31" s="1"/>
  <c r="N21" i="29"/>
  <c r="O21" i="29" s="1"/>
  <c r="P21" i="29" s="1"/>
  <c r="K21" i="31" s="1"/>
  <c r="N17" i="29"/>
  <c r="O17" i="29" s="1"/>
  <c r="P17" i="29" s="1"/>
  <c r="K17" i="31" s="1"/>
  <c r="N13" i="29"/>
  <c r="O13" i="29" s="1"/>
  <c r="P13" i="29" s="1"/>
  <c r="K13" i="31" s="1"/>
  <c r="N5" i="29"/>
  <c r="O5" i="29" s="1"/>
  <c r="P5" i="29" s="1"/>
  <c r="K5" i="31" s="1"/>
  <c r="X24" i="22"/>
  <c r="AA24" i="22" s="1"/>
  <c r="AD24" i="22" s="1"/>
  <c r="I24" i="31" s="1"/>
  <c r="AP21" i="21"/>
  <c r="AA20" i="21"/>
  <c r="AP17" i="21"/>
  <c r="AF17" i="21"/>
  <c r="AF16" i="21"/>
  <c r="AP15" i="21"/>
  <c r="AF15" i="21"/>
  <c r="AF14" i="21"/>
  <c r="AP13" i="21"/>
  <c r="AF13" i="21"/>
  <c r="AF12" i="21"/>
  <c r="AP11" i="21"/>
  <c r="AF11" i="21"/>
  <c r="AF10" i="21"/>
  <c r="AP9" i="21"/>
  <c r="AF9" i="21"/>
  <c r="AF8" i="21"/>
  <c r="AP7" i="21"/>
  <c r="AF7" i="21"/>
  <c r="AF6" i="21"/>
  <c r="AP5" i="21"/>
  <c r="AF5" i="21"/>
  <c r="AP4" i="21"/>
  <c r="AP3" i="21"/>
  <c r="X21" i="22"/>
  <c r="AA21" i="22" s="1"/>
  <c r="AD21" i="22" s="1"/>
  <c r="I21" i="31" s="1"/>
  <c r="X17" i="22"/>
  <c r="AA17" i="22" s="1"/>
  <c r="AD17" i="22" s="1"/>
  <c r="I17" i="31" s="1"/>
  <c r="X13" i="22"/>
  <c r="AA13" i="22" s="1"/>
  <c r="AD13" i="22" s="1"/>
  <c r="I13" i="31" s="1"/>
  <c r="X5" i="22"/>
  <c r="AA5" i="22" s="1"/>
  <c r="AD5" i="22" s="1"/>
  <c r="I5" i="31" s="1"/>
  <c r="AA17" i="21"/>
  <c r="AA16" i="21"/>
  <c r="AA15" i="21"/>
  <c r="AA14" i="21"/>
  <c r="AA13" i="21"/>
  <c r="AA12" i="21"/>
  <c r="AA11" i="21"/>
  <c r="AA10" i="21"/>
  <c r="AA9" i="21"/>
  <c r="AA8" i="21"/>
  <c r="AA7" i="21"/>
  <c r="AA6" i="21"/>
  <c r="AA5" i="21"/>
  <c r="W20" i="22"/>
  <c r="W18" i="22"/>
  <c r="W12" i="22"/>
  <c r="W6" i="22"/>
  <c r="AF36" i="21"/>
  <c r="AF35" i="21"/>
  <c r="AF34" i="21"/>
  <c r="AF31" i="21"/>
  <c r="AF30" i="21"/>
  <c r="X31" i="22"/>
  <c r="AA31" i="22" s="1"/>
  <c r="AD31" i="22" s="1"/>
  <c r="I31" i="31" s="1"/>
  <c r="AF27" i="21"/>
  <c r="AK20" i="21"/>
  <c r="AP50" i="21"/>
  <c r="N48" i="29"/>
  <c r="O48" i="29" s="1"/>
  <c r="P48" i="29" s="1"/>
  <c r="K48" i="31" s="1"/>
  <c r="AF41" i="21"/>
  <c r="AF40" i="21"/>
  <c r="AF33" i="21"/>
  <c r="AF32" i="21"/>
  <c r="N40" i="29"/>
  <c r="O40" i="29" s="1"/>
  <c r="P40" i="29" s="1"/>
  <c r="K40" i="31" s="1"/>
  <c r="AK22" i="21"/>
  <c r="W40" i="22"/>
  <c r="Z40" i="22" s="1"/>
  <c r="AC40" i="22" s="1"/>
  <c r="H40" i="31" s="1"/>
  <c r="W27" i="22"/>
  <c r="Z27" i="22" s="1"/>
  <c r="AC27" i="22" s="1"/>
  <c r="H27" i="31" s="1"/>
  <c r="AK21" i="21"/>
  <c r="AA19" i="21"/>
  <c r="W24" i="22"/>
  <c r="Z24" i="22" s="1"/>
  <c r="AC24" i="22" s="1"/>
  <c r="H24" i="31" s="1"/>
  <c r="AP19" i="21"/>
  <c r="AP18" i="21"/>
  <c r="AP23" i="21"/>
  <c r="AK23" i="21"/>
  <c r="X25" i="22"/>
  <c r="AA25" i="22" s="1"/>
  <c r="AD25" i="22" s="1"/>
  <c r="I25" i="31" s="1"/>
  <c r="W25" i="22"/>
  <c r="Z25" i="22" s="1"/>
  <c r="AC25" i="22" s="1"/>
  <c r="H25" i="31" s="1"/>
  <c r="AP16" i="21"/>
  <c r="AP14" i="21"/>
  <c r="AP12" i="21"/>
  <c r="AP10" i="21"/>
  <c r="AP8" i="21"/>
  <c r="AP6" i="21"/>
  <c r="N19" i="29"/>
  <c r="O19" i="29" s="1"/>
  <c r="P19" i="29" s="1"/>
  <c r="K19" i="31" s="1"/>
  <c r="N11" i="29"/>
  <c r="O11" i="29" s="1"/>
  <c r="P11" i="29" s="1"/>
  <c r="K11" i="31" s="1"/>
  <c r="N7" i="29"/>
  <c r="O7" i="29" s="1"/>
  <c r="P7" i="29" s="1"/>
  <c r="K7" i="31" s="1"/>
  <c r="N15" i="29"/>
  <c r="O15" i="29" s="1"/>
  <c r="P15" i="29" s="1"/>
  <c r="K15" i="31" s="1"/>
  <c r="N9" i="29"/>
  <c r="O9" i="29" s="1"/>
  <c r="P9" i="29" s="1"/>
  <c r="K9" i="31" s="1"/>
  <c r="W32" i="22"/>
  <c r="Z32" i="22" s="1"/>
  <c r="AC32" i="22" s="1"/>
  <c r="H32" i="31" s="1"/>
  <c r="W31" i="22"/>
  <c r="AK24" i="21"/>
  <c r="AA24" i="21"/>
  <c r="AA50" i="21"/>
  <c r="AP44" i="21"/>
  <c r="AK42" i="21"/>
  <c r="X50" i="22"/>
  <c r="AA50" i="22" s="1"/>
  <c r="AD50" i="22" s="1"/>
  <c r="I50" i="31" s="1"/>
  <c r="X43" i="22"/>
  <c r="AA43" i="22" s="1"/>
  <c r="AD43" i="22" s="1"/>
  <c r="I43" i="31" s="1"/>
  <c r="AA36" i="21"/>
  <c r="AK35" i="21"/>
  <c r="AA34" i="21"/>
  <c r="AK33" i="21"/>
  <c r="AA32" i="21"/>
  <c r="AK31" i="21"/>
  <c r="AA30" i="21"/>
  <c r="W36" i="22"/>
  <c r="Z36" i="22" s="1"/>
  <c r="AC36" i="22" s="1"/>
  <c r="H36" i="31" s="1"/>
  <c r="X34" i="22"/>
  <c r="AA34" i="22" s="1"/>
  <c r="AD34" i="22" s="1"/>
  <c r="I34" i="31" s="1"/>
  <c r="W34" i="22"/>
  <c r="N34" i="29"/>
  <c r="O34" i="29" s="1"/>
  <c r="P34" i="29" s="1"/>
  <c r="K34" i="31" s="1"/>
  <c r="AP27" i="21"/>
  <c r="X27" i="22"/>
  <c r="AA27" i="22" s="1"/>
  <c r="AD27" i="22" s="1"/>
  <c r="I27" i="31" s="1"/>
  <c r="N27" i="29"/>
  <c r="O27" i="29" s="1"/>
  <c r="P27" i="29" s="1"/>
  <c r="K27" i="31" s="1"/>
  <c r="AK25" i="21"/>
  <c r="AA25" i="21"/>
  <c r="N43" i="29"/>
  <c r="O43" i="29" s="1"/>
  <c r="P43" i="29" s="1"/>
  <c r="K43" i="31" s="1"/>
  <c r="AP41" i="21"/>
  <c r="AK41" i="21"/>
  <c r="AA41" i="21"/>
  <c r="AK36" i="21"/>
  <c r="AA35" i="21"/>
  <c r="AK34" i="21"/>
  <c r="AA33" i="21"/>
  <c r="AK32" i="21"/>
  <c r="AA31" i="21"/>
  <c r="AK30" i="21"/>
  <c r="X36" i="22"/>
  <c r="AA36" i="22" s="1"/>
  <c r="AD36" i="22" s="1"/>
  <c r="I36" i="31" s="1"/>
  <c r="X32" i="22"/>
  <c r="AA32" i="22" s="1"/>
  <c r="AD32" i="22" s="1"/>
  <c r="I32" i="31" s="1"/>
  <c r="N33" i="29"/>
  <c r="O33" i="29" s="1"/>
  <c r="P33" i="29" s="1"/>
  <c r="K33" i="31" s="1"/>
  <c r="N24" i="29"/>
  <c r="W44" i="22"/>
  <c r="W42" i="22"/>
  <c r="X33" i="22"/>
  <c r="AA33" i="22" s="1"/>
  <c r="AD33" i="22" s="1"/>
  <c r="I33" i="31" s="1"/>
  <c r="W33" i="22"/>
  <c r="AK43" i="21"/>
  <c r="X48" i="22"/>
  <c r="AA48" i="22" s="1"/>
  <c r="AD48" i="22" s="1"/>
  <c r="I48" i="31" s="1"/>
  <c r="AP49" i="21"/>
  <c r="AF49" i="21"/>
  <c r="AA49" i="21"/>
  <c r="AK48" i="21"/>
  <c r="AA48" i="21"/>
  <c r="W50" i="22"/>
  <c r="Z50" i="22" s="1"/>
  <c r="AC50" i="22" s="1"/>
  <c r="H50" i="31" s="1"/>
  <c r="N51" i="29"/>
  <c r="O51" i="29" s="1"/>
  <c r="P51" i="29" s="1"/>
  <c r="K51" i="31" s="1"/>
  <c r="N44" i="29"/>
  <c r="O44" i="29" s="1"/>
  <c r="P44" i="29" s="1"/>
  <c r="K44" i="31" s="1"/>
  <c r="AP36" i="21"/>
  <c r="AP35" i="21"/>
  <c r="AP34" i="21"/>
  <c r="AP33" i="21"/>
  <c r="AP32" i="21"/>
  <c r="AP31" i="21"/>
  <c r="AP30" i="21"/>
  <c r="X41" i="22"/>
  <c r="AA41" i="22" s="1"/>
  <c r="AD41" i="22" s="1"/>
  <c r="I41" i="31" s="1"/>
  <c r="W41" i="22"/>
  <c r="AA27" i="21"/>
  <c r="N31" i="29"/>
  <c r="O31" i="29" s="1"/>
  <c r="P31" i="29" s="1"/>
  <c r="K31" i="31" s="1"/>
  <c r="AP47" i="21"/>
  <c r="AA47" i="21"/>
  <c r="AA43" i="21"/>
  <c r="X42" i="22"/>
  <c r="AA42" i="22" s="1"/>
  <c r="AD42" i="22" s="1"/>
  <c r="I42" i="31" s="1"/>
  <c r="N49" i="29"/>
  <c r="O49" i="29" s="1"/>
  <c r="P49" i="29" s="1"/>
  <c r="K49" i="31" s="1"/>
  <c r="AP40" i="21"/>
  <c r="AK40" i="21"/>
  <c r="N41" i="29"/>
  <c r="O41" i="29" s="1"/>
  <c r="P41" i="29" s="1"/>
  <c r="K41" i="31" s="1"/>
  <c r="N36" i="29"/>
  <c r="O36" i="29" s="1"/>
  <c r="P36" i="29" s="1"/>
  <c r="K36" i="31" s="1"/>
  <c r="N35" i="29"/>
  <c r="AA40" i="21"/>
  <c r="X35" i="22"/>
  <c r="AA35" i="22" s="1"/>
  <c r="AD35" i="22" s="1"/>
  <c r="I35" i="31" s="1"/>
  <c r="W35" i="22"/>
  <c r="X30" i="22"/>
  <c r="AA30" i="22" s="1"/>
  <c r="AD30" i="22" s="1"/>
  <c r="I30" i="31" s="1"/>
  <c r="AK51" i="21"/>
  <c r="AP43" i="21"/>
  <c r="X44" i="22"/>
  <c r="AA44" i="22" s="1"/>
  <c r="AD44" i="22" s="1"/>
  <c r="I44" i="31" s="1"/>
  <c r="AP51" i="21"/>
  <c r="AP48" i="21"/>
  <c r="AA44" i="21"/>
  <c r="AP42" i="21"/>
  <c r="AA42" i="21"/>
  <c r="X47" i="22"/>
  <c r="AA47" i="22" s="1"/>
  <c r="AD47" i="22" s="1"/>
  <c r="I47" i="31" s="1"/>
  <c r="W47" i="22"/>
  <c r="AK50" i="21"/>
  <c r="AK47" i="21"/>
  <c r="N47" i="29"/>
  <c r="O47" i="29" s="1"/>
  <c r="P47" i="29" s="1"/>
  <c r="K47" i="31" s="1"/>
  <c r="N42" i="29"/>
  <c r="O42" i="29" s="1"/>
  <c r="P42" i="29" s="1"/>
  <c r="K42" i="31" s="1"/>
  <c r="N50" i="29"/>
  <c r="O50" i="29" s="1"/>
  <c r="P50" i="29" s="1"/>
  <c r="K50" i="31" s="1"/>
  <c r="AK49" i="21"/>
  <c r="AK44" i="21"/>
  <c r="W51" i="22"/>
  <c r="AF51" i="21"/>
  <c r="AF48" i="21"/>
  <c r="AF43" i="21"/>
  <c r="W48" i="22"/>
  <c r="W43" i="22"/>
  <c r="AF50" i="21"/>
  <c r="AF47" i="21"/>
  <c r="AF42" i="21"/>
  <c r="W49" i="22"/>
  <c r="Y35" i="22" l="1"/>
  <c r="AB35" i="22" s="1"/>
  <c r="AE35" i="22" s="1"/>
  <c r="J35" i="31" s="1"/>
  <c r="AR22" i="21"/>
  <c r="Q20" i="29"/>
  <c r="R20" i="29" s="1"/>
  <c r="S20" i="29" s="1"/>
  <c r="L20" i="31" s="1"/>
  <c r="AQ20" i="21"/>
  <c r="AT20" i="21" s="1"/>
  <c r="AW20" i="21" s="1"/>
  <c r="E20" i="31" s="1"/>
  <c r="Y22" i="22"/>
  <c r="AB22" i="22" s="1"/>
  <c r="AE22" i="22" s="1"/>
  <c r="J22" i="31" s="1"/>
  <c r="AQ12" i="21"/>
  <c r="AT12" i="21" s="1"/>
  <c r="AW12" i="21" s="1"/>
  <c r="E12" i="31" s="1"/>
  <c r="Y40" i="22"/>
  <c r="AB40" i="22" s="1"/>
  <c r="AE40" i="22" s="1"/>
  <c r="J40" i="31" s="1"/>
  <c r="AQ17" i="21"/>
  <c r="AT17" i="21" s="1"/>
  <c r="AW17" i="21" s="1"/>
  <c r="E17" i="31" s="1"/>
  <c r="AQ24" i="21"/>
  <c r="AT24" i="21" s="1"/>
  <c r="AW24" i="21" s="1"/>
  <c r="E24" i="31" s="1"/>
  <c r="AR9" i="21"/>
  <c r="AU9" i="21" s="1"/>
  <c r="AX9" i="21" s="1"/>
  <c r="F9" i="31" s="1"/>
  <c r="Y14" i="22"/>
  <c r="AB14" i="22" s="1"/>
  <c r="AE14" i="22" s="1"/>
  <c r="J14" i="31" s="1"/>
  <c r="Y42" i="22"/>
  <c r="AB42" i="22" s="1"/>
  <c r="AE42" i="22" s="1"/>
  <c r="J42" i="31" s="1"/>
  <c r="Y9" i="22"/>
  <c r="AB9" i="22" s="1"/>
  <c r="AE9" i="22" s="1"/>
  <c r="J9" i="31" s="1"/>
  <c r="AR24" i="21"/>
  <c r="AS24" i="21" s="1"/>
  <c r="AV24" i="21" s="1"/>
  <c r="Y10" i="22"/>
  <c r="AB10" i="22" s="1"/>
  <c r="AE10" i="22" s="1"/>
  <c r="J10" i="31" s="1"/>
  <c r="AQ23" i="21"/>
  <c r="AT23" i="21" s="1"/>
  <c r="AW23" i="21" s="1"/>
  <c r="E23" i="31" s="1"/>
  <c r="AQ32" i="21"/>
  <c r="AT32" i="21" s="1"/>
  <c r="AW32" i="21" s="1"/>
  <c r="E32" i="31" s="1"/>
  <c r="AQ19" i="21"/>
  <c r="AT19" i="21" s="1"/>
  <c r="AW19" i="21" s="1"/>
  <c r="E19" i="31" s="1"/>
  <c r="Y6" i="22"/>
  <c r="AB6" i="22" s="1"/>
  <c r="AE6" i="22" s="1"/>
  <c r="J6" i="31" s="1"/>
  <c r="AQ5" i="21"/>
  <c r="AT5" i="21" s="1"/>
  <c r="AW5" i="21" s="1"/>
  <c r="E5" i="31" s="1"/>
  <c r="Y15" i="22"/>
  <c r="AB15" i="22" s="1"/>
  <c r="AE15" i="22" s="1"/>
  <c r="J15" i="31" s="1"/>
  <c r="AQ40" i="21"/>
  <c r="AT40" i="21" s="1"/>
  <c r="AW40" i="21" s="1"/>
  <c r="E40" i="31" s="1"/>
  <c r="AR49" i="21"/>
  <c r="AQ18" i="21"/>
  <c r="AT18" i="21" s="1"/>
  <c r="AW18" i="21" s="1"/>
  <c r="E18" i="31" s="1"/>
  <c r="Q6" i="29"/>
  <c r="R6" i="29" s="1"/>
  <c r="S6" i="29" s="1"/>
  <c r="L6" i="31" s="1"/>
  <c r="Y18" i="22"/>
  <c r="AB18" i="22" s="1"/>
  <c r="AE18" i="22" s="1"/>
  <c r="J18" i="31" s="1"/>
  <c r="Y13" i="22"/>
  <c r="AB13" i="22" s="1"/>
  <c r="AE13" i="22" s="1"/>
  <c r="J13" i="31" s="1"/>
  <c r="AQ13" i="21"/>
  <c r="AT13" i="21" s="1"/>
  <c r="AW13" i="21" s="1"/>
  <c r="E13" i="31" s="1"/>
  <c r="AR31" i="21"/>
  <c r="Y21" i="22"/>
  <c r="AB21" i="22" s="1"/>
  <c r="AE21" i="22" s="1"/>
  <c r="J21" i="31" s="1"/>
  <c r="Y27" i="22"/>
  <c r="AB27" i="22" s="1"/>
  <c r="AE27" i="22" s="1"/>
  <c r="J27" i="31" s="1"/>
  <c r="Y33" i="22"/>
  <c r="AB33" i="22" s="1"/>
  <c r="AE33" i="22" s="1"/>
  <c r="J33" i="31" s="1"/>
  <c r="Z13" i="22"/>
  <c r="AC13" i="22" s="1"/>
  <c r="H13" i="31" s="1"/>
  <c r="AR25" i="21"/>
  <c r="AU25" i="21" s="1"/>
  <c r="AX25" i="21" s="1"/>
  <c r="F25" i="31" s="1"/>
  <c r="Z22" i="22"/>
  <c r="AC22" i="22" s="1"/>
  <c r="H22" i="31" s="1"/>
  <c r="Q23" i="29"/>
  <c r="R23" i="29" s="1"/>
  <c r="S23" i="29" s="1"/>
  <c r="L23" i="31" s="1"/>
  <c r="AR35" i="21"/>
  <c r="AU35" i="21" s="1"/>
  <c r="AX35" i="21" s="1"/>
  <c r="F35" i="31" s="1"/>
  <c r="AQ36" i="21"/>
  <c r="AT36" i="21" s="1"/>
  <c r="AW36" i="21" s="1"/>
  <c r="E36" i="31" s="1"/>
  <c r="AR8" i="21"/>
  <c r="AU8" i="21" s="1"/>
  <c r="AX8" i="21" s="1"/>
  <c r="F8" i="31" s="1"/>
  <c r="AQ6" i="21"/>
  <c r="AT6" i="21" s="1"/>
  <c r="AW6" i="21" s="1"/>
  <c r="E6" i="31" s="1"/>
  <c r="AQ14" i="21"/>
  <c r="AT14" i="21" s="1"/>
  <c r="AW14" i="21" s="1"/>
  <c r="E14" i="31" s="1"/>
  <c r="AQ3" i="21"/>
  <c r="AT3" i="21" s="1"/>
  <c r="AW3" i="21" s="1"/>
  <c r="E3" i="31" s="1"/>
  <c r="AR10" i="21"/>
  <c r="AU10" i="21" s="1"/>
  <c r="AX10" i="21" s="1"/>
  <c r="F10" i="31" s="1"/>
  <c r="AR50" i="21"/>
  <c r="Q4" i="29"/>
  <c r="R4" i="29" s="1"/>
  <c r="S4" i="29" s="1"/>
  <c r="L4" i="31" s="1"/>
  <c r="Z4" i="22"/>
  <c r="AC4" i="22" s="1"/>
  <c r="H4" i="31" s="1"/>
  <c r="AR11" i="21"/>
  <c r="AU11" i="21" s="1"/>
  <c r="AX11" i="21" s="1"/>
  <c r="F11" i="31" s="1"/>
  <c r="AR30" i="21"/>
  <c r="AU30" i="21" s="1"/>
  <c r="AX30" i="21" s="1"/>
  <c r="F30" i="31" s="1"/>
  <c r="AR47" i="21"/>
  <c r="AU47" i="21" s="1"/>
  <c r="AX47" i="21" s="1"/>
  <c r="F47" i="31" s="1"/>
  <c r="Y8" i="22"/>
  <c r="AB8" i="22" s="1"/>
  <c r="AE8" i="22" s="1"/>
  <c r="J8" i="31" s="1"/>
  <c r="Y31" i="22"/>
  <c r="AB31" i="22" s="1"/>
  <c r="AE31" i="22" s="1"/>
  <c r="J31" i="31" s="1"/>
  <c r="Q16" i="29"/>
  <c r="R16" i="29" s="1"/>
  <c r="S16" i="29" s="1"/>
  <c r="L16" i="31" s="1"/>
  <c r="T18" i="29"/>
  <c r="U18" i="29" s="1"/>
  <c r="V18" i="29" s="1"/>
  <c r="M18" i="31" s="1"/>
  <c r="T22" i="29"/>
  <c r="U22" i="29" s="1"/>
  <c r="V22" i="29" s="1"/>
  <c r="M22" i="31" s="1"/>
  <c r="Q13" i="29"/>
  <c r="R13" i="29" s="1"/>
  <c r="S13" i="29" s="1"/>
  <c r="L13" i="31" s="1"/>
  <c r="Q22" i="29"/>
  <c r="R22" i="29" s="1"/>
  <c r="S22" i="29" s="1"/>
  <c r="L22" i="31" s="1"/>
  <c r="Q27" i="29"/>
  <c r="R27" i="29" s="1"/>
  <c r="S27" i="29" s="1"/>
  <c r="L27" i="31" s="1"/>
  <c r="T10" i="29"/>
  <c r="U10" i="29" s="1"/>
  <c r="V10" i="29" s="1"/>
  <c r="M10" i="31" s="1"/>
  <c r="Z21" i="22"/>
  <c r="AC21" i="22" s="1"/>
  <c r="H21" i="31" s="1"/>
  <c r="Y4" i="22"/>
  <c r="AB4" i="22" s="1"/>
  <c r="AE4" i="22" s="1"/>
  <c r="J4" i="31" s="1"/>
  <c r="Y12" i="22"/>
  <c r="AB12" i="22" s="1"/>
  <c r="AE12" i="22" s="1"/>
  <c r="J12" i="31" s="1"/>
  <c r="T4" i="29"/>
  <c r="U4" i="29" s="1"/>
  <c r="V4" i="29" s="1"/>
  <c r="M4" i="31" s="1"/>
  <c r="AQ21" i="21"/>
  <c r="AT21" i="21" s="1"/>
  <c r="AW21" i="21" s="1"/>
  <c r="E21" i="31" s="1"/>
  <c r="AR42" i="21"/>
  <c r="AU42" i="21" s="1"/>
  <c r="AX42" i="21" s="1"/>
  <c r="F42" i="31" s="1"/>
  <c r="AQ27" i="21"/>
  <c r="AT27" i="21" s="1"/>
  <c r="AW27" i="21" s="1"/>
  <c r="E27" i="31" s="1"/>
  <c r="AR14" i="21"/>
  <c r="AU14" i="21" s="1"/>
  <c r="AX14" i="21" s="1"/>
  <c r="F14" i="31" s="1"/>
  <c r="AQ35" i="21"/>
  <c r="AT35" i="21" s="1"/>
  <c r="AW35" i="21" s="1"/>
  <c r="E35" i="31" s="1"/>
  <c r="AR4" i="21"/>
  <c r="AU4" i="21" s="1"/>
  <c r="AX4" i="21" s="1"/>
  <c r="F4" i="31" s="1"/>
  <c r="AR7" i="21"/>
  <c r="AU7" i="21" s="1"/>
  <c r="AX7" i="21" s="1"/>
  <c r="F7" i="31" s="1"/>
  <c r="AR6" i="21"/>
  <c r="AU6" i="21" s="1"/>
  <c r="AX6" i="21" s="1"/>
  <c r="F6" i="31" s="1"/>
  <c r="AR15" i="21"/>
  <c r="AU15" i="21" s="1"/>
  <c r="AX15" i="21" s="1"/>
  <c r="F15" i="31" s="1"/>
  <c r="AR13" i="21"/>
  <c r="AS13" i="21" s="1"/>
  <c r="AV13" i="21" s="1"/>
  <c r="AQ42" i="21"/>
  <c r="AT42" i="21" s="1"/>
  <c r="AW42" i="21" s="1"/>
  <c r="E42" i="31" s="1"/>
  <c r="Y50" i="22"/>
  <c r="AB50" i="22" s="1"/>
  <c r="AE50" i="22" s="1"/>
  <c r="J50" i="31" s="1"/>
  <c r="AQ44" i="21"/>
  <c r="AT44" i="21" s="1"/>
  <c r="AW44" i="21" s="1"/>
  <c r="E44" i="31" s="1"/>
  <c r="AR18" i="21"/>
  <c r="AQ10" i="21"/>
  <c r="AT10" i="21" s="1"/>
  <c r="AW10" i="21" s="1"/>
  <c r="E10" i="31" s="1"/>
  <c r="AQ22" i="21"/>
  <c r="AT22" i="21" s="1"/>
  <c r="AW22" i="21" s="1"/>
  <c r="E22" i="31" s="1"/>
  <c r="T40" i="29"/>
  <c r="U40" i="29" s="1"/>
  <c r="V40" i="29" s="1"/>
  <c r="M40" i="31" s="1"/>
  <c r="Y24" i="22"/>
  <c r="AB24" i="22" s="1"/>
  <c r="AE24" i="22" s="1"/>
  <c r="J24" i="31" s="1"/>
  <c r="AR27" i="21"/>
  <c r="Q12" i="29"/>
  <c r="R12" i="29" s="1"/>
  <c r="S12" i="29" s="1"/>
  <c r="L12" i="31" s="1"/>
  <c r="Z6" i="22"/>
  <c r="AC6" i="22" s="1"/>
  <c r="H6" i="31" s="1"/>
  <c r="AQ8" i="21"/>
  <c r="AT8" i="21" s="1"/>
  <c r="AW8" i="21" s="1"/>
  <c r="E8" i="31" s="1"/>
  <c r="T30" i="29"/>
  <c r="U30" i="29" s="1"/>
  <c r="V30" i="29" s="1"/>
  <c r="M30" i="31" s="1"/>
  <c r="AR33" i="21"/>
  <c r="T6" i="29"/>
  <c r="U6" i="29" s="1"/>
  <c r="V6" i="29" s="1"/>
  <c r="M6" i="31" s="1"/>
  <c r="AQ7" i="21"/>
  <c r="AT7" i="21" s="1"/>
  <c r="AW7" i="21" s="1"/>
  <c r="E7" i="31" s="1"/>
  <c r="AQ4" i="21"/>
  <c r="AT4" i="21" s="1"/>
  <c r="AW4" i="21" s="1"/>
  <c r="E4" i="31" s="1"/>
  <c r="Y23" i="22"/>
  <c r="AB23" i="22" s="1"/>
  <c r="AE23" i="22" s="1"/>
  <c r="J23" i="31" s="1"/>
  <c r="AR12" i="21"/>
  <c r="AU12" i="21" s="1"/>
  <c r="AX12" i="21" s="1"/>
  <c r="F12" i="31" s="1"/>
  <c r="Y5" i="22"/>
  <c r="AB5" i="22" s="1"/>
  <c r="AE5" i="22" s="1"/>
  <c r="J5" i="31" s="1"/>
  <c r="T23" i="29"/>
  <c r="U23" i="29" s="1"/>
  <c r="V23" i="29" s="1"/>
  <c r="M23" i="31" s="1"/>
  <c r="Z12" i="22"/>
  <c r="AC12" i="22" s="1"/>
  <c r="H12" i="31" s="1"/>
  <c r="T14" i="29"/>
  <c r="U14" i="29" s="1"/>
  <c r="V14" i="29" s="1"/>
  <c r="M14" i="31" s="1"/>
  <c r="Q18" i="29"/>
  <c r="R18" i="29" s="1"/>
  <c r="S18" i="29" s="1"/>
  <c r="L18" i="31" s="1"/>
  <c r="AQ25" i="21"/>
  <c r="AT25" i="21" s="1"/>
  <c r="AW25" i="21" s="1"/>
  <c r="E25" i="31" s="1"/>
  <c r="Z10" i="22"/>
  <c r="AC10" i="22" s="1"/>
  <c r="H10" i="31" s="1"/>
  <c r="AR16" i="21"/>
  <c r="AU16" i="21" s="1"/>
  <c r="AX16" i="21" s="1"/>
  <c r="F16" i="31" s="1"/>
  <c r="T8" i="29"/>
  <c r="U8" i="29" s="1"/>
  <c r="V8" i="29" s="1"/>
  <c r="M8" i="31" s="1"/>
  <c r="Y16" i="22"/>
  <c r="AB16" i="22" s="1"/>
  <c r="AE16" i="22" s="1"/>
  <c r="J16" i="31" s="1"/>
  <c r="AQ48" i="21"/>
  <c r="AT48" i="21" s="1"/>
  <c r="AW48" i="21" s="1"/>
  <c r="E48" i="31" s="1"/>
  <c r="AQ33" i="21"/>
  <c r="AT33" i="21" s="1"/>
  <c r="AW33" i="21" s="1"/>
  <c r="E33" i="31" s="1"/>
  <c r="Q10" i="29"/>
  <c r="R10" i="29" s="1"/>
  <c r="S10" i="29" s="1"/>
  <c r="L10" i="31" s="1"/>
  <c r="AQ41" i="21"/>
  <c r="AT41" i="21" s="1"/>
  <c r="AW41" i="21" s="1"/>
  <c r="E41" i="31" s="1"/>
  <c r="AR21" i="21"/>
  <c r="AU21" i="21" s="1"/>
  <c r="AX21" i="21" s="1"/>
  <c r="F21" i="31" s="1"/>
  <c r="AR5" i="21"/>
  <c r="AU5" i="21" s="1"/>
  <c r="AX5" i="21" s="1"/>
  <c r="F5" i="31" s="1"/>
  <c r="AQ47" i="21"/>
  <c r="AT47" i="21" s="1"/>
  <c r="AW47" i="21" s="1"/>
  <c r="E47" i="31" s="1"/>
  <c r="AR48" i="21"/>
  <c r="AU48" i="21" s="1"/>
  <c r="AX48" i="21" s="1"/>
  <c r="F48" i="31" s="1"/>
  <c r="AQ50" i="21"/>
  <c r="AT50" i="21" s="1"/>
  <c r="AW50" i="21" s="1"/>
  <c r="E50" i="31" s="1"/>
  <c r="AQ51" i="21"/>
  <c r="AT51" i="21" s="1"/>
  <c r="AW51" i="21" s="1"/>
  <c r="E51" i="31" s="1"/>
  <c r="Q30" i="29"/>
  <c r="R30" i="29" s="1"/>
  <c r="S30" i="29" s="1"/>
  <c r="L30" i="31" s="1"/>
  <c r="AQ34" i="21"/>
  <c r="AT34" i="21" s="1"/>
  <c r="AW34" i="21" s="1"/>
  <c r="E34" i="31" s="1"/>
  <c r="Q8" i="29"/>
  <c r="R8" i="29" s="1"/>
  <c r="S8" i="29" s="1"/>
  <c r="L8" i="31" s="1"/>
  <c r="T27" i="29"/>
  <c r="U27" i="29" s="1"/>
  <c r="V27" i="29" s="1"/>
  <c r="M27" i="31" s="1"/>
  <c r="Z18" i="22"/>
  <c r="AC18" i="22" s="1"/>
  <c r="H18" i="31" s="1"/>
  <c r="T16" i="29"/>
  <c r="U16" i="29" s="1"/>
  <c r="V16" i="29" s="1"/>
  <c r="M16" i="31" s="1"/>
  <c r="AR19" i="21"/>
  <c r="Q21" i="29"/>
  <c r="R21" i="29" s="1"/>
  <c r="S21" i="29" s="1"/>
  <c r="L21" i="31" s="1"/>
  <c r="Q42" i="29"/>
  <c r="R42" i="29" s="1"/>
  <c r="S42" i="29" s="1"/>
  <c r="L42" i="31" s="1"/>
  <c r="T13" i="29"/>
  <c r="U13" i="29" s="1"/>
  <c r="V13" i="29" s="1"/>
  <c r="M13" i="31" s="1"/>
  <c r="AQ11" i="21"/>
  <c r="AT11" i="21" s="1"/>
  <c r="AW11" i="21" s="1"/>
  <c r="E11" i="31" s="1"/>
  <c r="AQ16" i="21"/>
  <c r="AT16" i="21" s="1"/>
  <c r="AW16" i="21" s="1"/>
  <c r="E16" i="31" s="1"/>
  <c r="AQ9" i="21"/>
  <c r="AT9" i="21" s="1"/>
  <c r="AW9" i="21" s="1"/>
  <c r="E9" i="31" s="1"/>
  <c r="AQ15" i="21"/>
  <c r="AT15" i="21" s="1"/>
  <c r="AW15" i="21" s="1"/>
  <c r="E15" i="31" s="1"/>
  <c r="AR44" i="21"/>
  <c r="AU44" i="21" s="1"/>
  <c r="AX44" i="21" s="1"/>
  <c r="F44" i="31" s="1"/>
  <c r="AR17" i="21"/>
  <c r="AU17" i="21" s="1"/>
  <c r="AX17" i="21" s="1"/>
  <c r="F17" i="31" s="1"/>
  <c r="Q40" i="29"/>
  <c r="R40" i="29" s="1"/>
  <c r="S40" i="29" s="1"/>
  <c r="L40" i="31" s="1"/>
  <c r="AQ49" i="21"/>
  <c r="AT49" i="21" s="1"/>
  <c r="AW49" i="21" s="1"/>
  <c r="E49" i="31" s="1"/>
  <c r="Z9" i="22"/>
  <c r="AC9" i="22" s="1"/>
  <c r="H9" i="31" s="1"/>
  <c r="AR43" i="21"/>
  <c r="AU43" i="21" s="1"/>
  <c r="AX43" i="21" s="1"/>
  <c r="F43" i="31" s="1"/>
  <c r="Y7" i="22"/>
  <c r="AB7" i="22" s="1"/>
  <c r="AE7" i="22" s="1"/>
  <c r="J7" i="31" s="1"/>
  <c r="AQ31" i="21"/>
  <c r="AT31" i="21" s="1"/>
  <c r="AW31" i="21" s="1"/>
  <c r="E31" i="31" s="1"/>
  <c r="AR3" i="21"/>
  <c r="AU3" i="21" s="1"/>
  <c r="AX3" i="21" s="1"/>
  <c r="F3" i="31" s="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1" i="29"/>
  <c r="U21" i="29" s="1"/>
  <c r="V21" i="29" s="1"/>
  <c r="M21" i="31" s="1"/>
  <c r="AR20" i="21"/>
  <c r="Y20" i="22"/>
  <c r="AB20" i="22" s="1"/>
  <c r="AE20" i="22" s="1"/>
  <c r="J20" i="31" s="1"/>
  <c r="Z20" i="22"/>
  <c r="AC20" i="22" s="1"/>
  <c r="H20" i="31" s="1"/>
  <c r="Y19" i="22"/>
  <c r="AB19" i="22" s="1"/>
  <c r="AE19" i="22" s="1"/>
  <c r="J19" i="31" s="1"/>
  <c r="Y17" i="22"/>
  <c r="AB17" i="22" s="1"/>
  <c r="AE17" i="22" s="1"/>
  <c r="J17" i="31" s="1"/>
  <c r="Z16" i="22"/>
  <c r="AC16" i="22" s="1"/>
  <c r="H16" i="31" s="1"/>
  <c r="Q15" i="29"/>
  <c r="R15" i="29" s="1"/>
  <c r="S15" i="29" s="1"/>
  <c r="L15" i="31" s="1"/>
  <c r="Z15" i="22"/>
  <c r="AC15" i="22" s="1"/>
  <c r="H15" i="31" s="1"/>
  <c r="Z14" i="22"/>
  <c r="AC14" i="22" s="1"/>
  <c r="H14" i="31" s="1"/>
  <c r="Q14" i="29"/>
  <c r="R14" i="29" s="1"/>
  <c r="S14" i="29" s="1"/>
  <c r="L14" i="31" s="1"/>
  <c r="T12" i="29"/>
  <c r="U12" i="29" s="1"/>
  <c r="V12" i="29" s="1"/>
  <c r="M12" i="31" s="1"/>
  <c r="Y11" i="22"/>
  <c r="AB11" i="22" s="1"/>
  <c r="AE11" i="22" s="1"/>
  <c r="J11" i="31" s="1"/>
  <c r="AQ30" i="21"/>
  <c r="AT30" i="21" s="1"/>
  <c r="AW30" i="21" s="1"/>
  <c r="E30" i="31" s="1"/>
  <c r="Y30" i="22"/>
  <c r="AB30" i="22" s="1"/>
  <c r="AE30" i="22" s="1"/>
  <c r="J30" i="31" s="1"/>
  <c r="AQ43" i="21"/>
  <c r="AT43" i="21" s="1"/>
  <c r="AW43" i="21" s="1"/>
  <c r="E43" i="31" s="1"/>
  <c r="T41" i="29"/>
  <c r="U41" i="29" s="1"/>
  <c r="V41" i="29" s="1"/>
  <c r="M41" i="31" s="1"/>
  <c r="AR32" i="21"/>
  <c r="Q25" i="29"/>
  <c r="R25" i="29" s="1"/>
  <c r="S25" i="29" s="1"/>
  <c r="L25" i="31" s="1"/>
  <c r="Q7" i="29"/>
  <c r="R7" i="29" s="1"/>
  <c r="S7" i="29" s="1"/>
  <c r="L7" i="31" s="1"/>
  <c r="T5" i="29"/>
  <c r="U5" i="29" s="1"/>
  <c r="V5" i="29" s="1"/>
  <c r="M5" i="31" s="1"/>
  <c r="T17" i="29"/>
  <c r="U17" i="29" s="1"/>
  <c r="V17" i="29" s="1"/>
  <c r="M17" i="31" s="1"/>
  <c r="T20" i="29"/>
  <c r="U20" i="29" s="1"/>
  <c r="V20" i="29" s="1"/>
  <c r="M20" i="31" s="1"/>
  <c r="T11" i="29"/>
  <c r="U11" i="29" s="1"/>
  <c r="V11" i="29" s="1"/>
  <c r="M11" i="31" s="1"/>
  <c r="Q41" i="29"/>
  <c r="R41" i="29" s="1"/>
  <c r="S41" i="29" s="1"/>
  <c r="L41" i="31" s="1"/>
  <c r="AR36" i="21"/>
  <c r="AU36" i="21" s="1"/>
  <c r="AX36" i="21" s="1"/>
  <c r="F36" i="31" s="1"/>
  <c r="Y25" i="22"/>
  <c r="AB25" i="22" s="1"/>
  <c r="AE25" i="22" s="1"/>
  <c r="J25" i="31" s="1"/>
  <c r="Q17" i="29"/>
  <c r="R17" i="29" s="1"/>
  <c r="S17" i="29" s="1"/>
  <c r="L17" i="31" s="1"/>
  <c r="Q5" i="29"/>
  <c r="R5" i="29" s="1"/>
  <c r="S5" i="29" s="1"/>
  <c r="L5" i="31" s="1"/>
  <c r="Q24" i="29"/>
  <c r="R24" i="29" s="1"/>
  <c r="S24" i="29" s="1"/>
  <c r="L24" i="31" s="1"/>
  <c r="T25" i="29"/>
  <c r="U25" i="29" s="1"/>
  <c r="V25" i="29" s="1"/>
  <c r="M25" i="31" s="1"/>
  <c r="Q9" i="29"/>
  <c r="R9" i="29" s="1"/>
  <c r="S9" i="29" s="1"/>
  <c r="L9" i="31" s="1"/>
  <c r="Q34" i="29"/>
  <c r="R34" i="29" s="1"/>
  <c r="S34" i="29" s="1"/>
  <c r="L34" i="31" s="1"/>
  <c r="T34" i="29"/>
  <c r="U34" i="29" s="1"/>
  <c r="V34" i="29" s="1"/>
  <c r="M34" i="31" s="1"/>
  <c r="AR34" i="21"/>
  <c r="AU34" i="21" s="1"/>
  <c r="AX34" i="21" s="1"/>
  <c r="F34" i="31" s="1"/>
  <c r="Z42" i="22"/>
  <c r="AC42" i="22" s="1"/>
  <c r="H42" i="31" s="1"/>
  <c r="Y36" i="22"/>
  <c r="AB36" i="22" s="1"/>
  <c r="AE36" i="22" s="1"/>
  <c r="J36" i="31" s="1"/>
  <c r="Q33" i="29"/>
  <c r="R33" i="29" s="1"/>
  <c r="S33" i="29" s="1"/>
  <c r="L33" i="31" s="1"/>
  <c r="AR51" i="21"/>
  <c r="AU51" i="21" s="1"/>
  <c r="AX51" i="21" s="1"/>
  <c r="F51" i="31" s="1"/>
  <c r="AR41" i="21"/>
  <c r="AU41" i="21" s="1"/>
  <c r="AX41" i="21" s="1"/>
  <c r="F41" i="31" s="1"/>
  <c r="T19" i="29"/>
  <c r="U19" i="29" s="1"/>
  <c r="V19" i="29" s="1"/>
  <c r="M19" i="31" s="1"/>
  <c r="AR23" i="21"/>
  <c r="T15" i="29"/>
  <c r="U15" i="29" s="1"/>
  <c r="V15" i="29" s="1"/>
  <c r="M15" i="31" s="1"/>
  <c r="T9" i="29"/>
  <c r="U9" i="29" s="1"/>
  <c r="V9" i="29" s="1"/>
  <c r="M9" i="31" s="1"/>
  <c r="Z33" i="22"/>
  <c r="AC33" i="22" s="1"/>
  <c r="H33" i="31" s="1"/>
  <c r="T7" i="29"/>
  <c r="U7" i="29" s="1"/>
  <c r="V7" i="29" s="1"/>
  <c r="M7" i="31" s="1"/>
  <c r="Q19" i="29"/>
  <c r="R19" i="29" s="1"/>
  <c r="S19" i="29" s="1"/>
  <c r="L19" i="31" s="1"/>
  <c r="AU22" i="21"/>
  <c r="AX22" i="21" s="1"/>
  <c r="F22" i="31" s="1"/>
  <c r="Q11" i="29"/>
  <c r="R11" i="29" s="1"/>
  <c r="S11" i="29" s="1"/>
  <c r="L11" i="31" s="1"/>
  <c r="Q47" i="29"/>
  <c r="R47" i="29" s="1"/>
  <c r="S47" i="29" s="1"/>
  <c r="L47" i="31" s="1"/>
  <c r="O35" i="29"/>
  <c r="P35" i="29" s="1"/>
  <c r="K35" i="31" s="1"/>
  <c r="T35" i="29"/>
  <c r="U35" i="29" s="1"/>
  <c r="V35" i="29" s="1"/>
  <c r="M35" i="31" s="1"/>
  <c r="O24" i="29"/>
  <c r="P24" i="29" s="1"/>
  <c r="K24" i="31" s="1"/>
  <c r="T24" i="29"/>
  <c r="U24" i="29" s="1"/>
  <c r="V24" i="29" s="1"/>
  <c r="M24" i="31" s="1"/>
  <c r="Y34" i="22"/>
  <c r="AB34" i="22" s="1"/>
  <c r="AE34" i="22" s="1"/>
  <c r="J34" i="31" s="1"/>
  <c r="Z34" i="22"/>
  <c r="AC34" i="22" s="1"/>
  <c r="H34" i="31" s="1"/>
  <c r="T31" i="29"/>
  <c r="U31" i="29" s="1"/>
  <c r="V31" i="29" s="1"/>
  <c r="M31" i="31" s="1"/>
  <c r="Z31" i="22"/>
  <c r="AC31" i="22" s="1"/>
  <c r="H31" i="31" s="1"/>
  <c r="T44" i="29"/>
  <c r="U44" i="29" s="1"/>
  <c r="V44" i="29" s="1"/>
  <c r="M44" i="31" s="1"/>
  <c r="Q44" i="29"/>
  <c r="R44" i="29" s="1"/>
  <c r="S44" i="29" s="1"/>
  <c r="L44" i="31" s="1"/>
  <c r="Y32" i="22"/>
  <c r="AB32" i="22" s="1"/>
  <c r="AE32" i="22" s="1"/>
  <c r="J32" i="31" s="1"/>
  <c r="T32" i="29"/>
  <c r="U32" i="29" s="1"/>
  <c r="V32" i="29" s="1"/>
  <c r="M32" i="31" s="1"/>
  <c r="Q32" i="29"/>
  <c r="R32" i="29" s="1"/>
  <c r="S32" i="29" s="1"/>
  <c r="L32" i="31" s="1"/>
  <c r="AR40" i="21"/>
  <c r="AU40" i="21" s="1"/>
  <c r="AX40" i="21" s="1"/>
  <c r="F40" i="31" s="1"/>
  <c r="Y41" i="22"/>
  <c r="AB41" i="22" s="1"/>
  <c r="AE41" i="22" s="1"/>
  <c r="J41" i="31" s="1"/>
  <c r="AU24" i="21"/>
  <c r="AX24" i="21" s="1"/>
  <c r="F24" i="31" s="1"/>
  <c r="T47" i="29"/>
  <c r="U47" i="29" s="1"/>
  <c r="V47" i="29" s="1"/>
  <c r="M47" i="31" s="1"/>
  <c r="Q36" i="29"/>
  <c r="R36" i="29" s="1"/>
  <c r="S36" i="29" s="1"/>
  <c r="L36" i="31" s="1"/>
  <c r="Z47" i="22"/>
  <c r="AC47" i="22" s="1"/>
  <c r="H47" i="31" s="1"/>
  <c r="Z44" i="22"/>
  <c r="AC44" i="22" s="1"/>
  <c r="H44" i="31" s="1"/>
  <c r="Y47" i="22"/>
  <c r="AB47" i="22" s="1"/>
  <c r="AE47" i="22" s="1"/>
  <c r="J47" i="31" s="1"/>
  <c r="T50" i="29"/>
  <c r="U50" i="29" s="1"/>
  <c r="V50" i="29" s="1"/>
  <c r="M50" i="31" s="1"/>
  <c r="Y44" i="22"/>
  <c r="AB44" i="22" s="1"/>
  <c r="AE44" i="22" s="1"/>
  <c r="J44" i="31" s="1"/>
  <c r="T36" i="29"/>
  <c r="U36" i="29" s="1"/>
  <c r="V36" i="29" s="1"/>
  <c r="M36" i="31" s="1"/>
  <c r="Z41" i="22"/>
  <c r="AC41" i="22" s="1"/>
  <c r="H41" i="31" s="1"/>
  <c r="Q31" i="29"/>
  <c r="R31" i="29" s="1"/>
  <c r="S31" i="29" s="1"/>
  <c r="L31" i="31" s="1"/>
  <c r="Z35" i="22"/>
  <c r="AC35" i="22" s="1"/>
  <c r="H35" i="31" s="1"/>
  <c r="Q35" i="29"/>
  <c r="R35" i="29" s="1"/>
  <c r="S35" i="29" s="1"/>
  <c r="L35" i="31" s="1"/>
  <c r="T42" i="29"/>
  <c r="U42" i="29" s="1"/>
  <c r="V42" i="29" s="1"/>
  <c r="M42" i="31" s="1"/>
  <c r="Q50" i="29"/>
  <c r="R50" i="29" s="1"/>
  <c r="S50" i="29" s="1"/>
  <c r="L50" i="31" s="1"/>
  <c r="T33" i="29"/>
  <c r="U33" i="29" s="1"/>
  <c r="V33" i="29" s="1"/>
  <c r="M33" i="31" s="1"/>
  <c r="AU31" i="21"/>
  <c r="AX31" i="21" s="1"/>
  <c r="F31" i="31" s="1"/>
  <c r="Z49" i="22"/>
  <c r="AC49" i="22" s="1"/>
  <c r="H49" i="31" s="1"/>
  <c r="T49" i="29"/>
  <c r="U49" i="29" s="1"/>
  <c r="V49" i="29" s="1"/>
  <c r="M49" i="31" s="1"/>
  <c r="Q49" i="29"/>
  <c r="R49" i="29" s="1"/>
  <c r="S49" i="29" s="1"/>
  <c r="L49" i="31" s="1"/>
  <c r="Y49" i="22"/>
  <c r="AB49" i="22" s="1"/>
  <c r="AE49" i="22" s="1"/>
  <c r="J49" i="31" s="1"/>
  <c r="T51" i="29"/>
  <c r="U51" i="29" s="1"/>
  <c r="V51" i="29" s="1"/>
  <c r="M51" i="31" s="1"/>
  <c r="Z51" i="22"/>
  <c r="AC51" i="22" s="1"/>
  <c r="H51" i="31" s="1"/>
  <c r="Q51" i="29"/>
  <c r="R51" i="29" s="1"/>
  <c r="S51" i="29" s="1"/>
  <c r="L51" i="31" s="1"/>
  <c r="Y51" i="22"/>
  <c r="AB51" i="22" s="1"/>
  <c r="AE51" i="22" s="1"/>
  <c r="J51" i="31" s="1"/>
  <c r="Y43" i="22"/>
  <c r="AB43" i="22" s="1"/>
  <c r="AE43" i="22" s="1"/>
  <c r="J43" i="31" s="1"/>
  <c r="T43" i="29"/>
  <c r="U43" i="29" s="1"/>
  <c r="V43" i="29" s="1"/>
  <c r="M43" i="31" s="1"/>
  <c r="Z43" i="22"/>
  <c r="AC43" i="22" s="1"/>
  <c r="H43" i="31" s="1"/>
  <c r="Q43" i="29"/>
  <c r="R43" i="29" s="1"/>
  <c r="S43" i="29" s="1"/>
  <c r="L43" i="31" s="1"/>
  <c r="Y48" i="22"/>
  <c r="AB48" i="22" s="1"/>
  <c r="AE48" i="22" s="1"/>
  <c r="J48" i="31" s="1"/>
  <c r="T48" i="29"/>
  <c r="U48" i="29" s="1"/>
  <c r="V48" i="29" s="1"/>
  <c r="M48" i="31" s="1"/>
  <c r="Z48" i="22"/>
  <c r="AC48" i="22" s="1"/>
  <c r="H48" i="31" s="1"/>
  <c r="Q48" i="29"/>
  <c r="R48" i="29" s="1"/>
  <c r="S48" i="29" s="1"/>
  <c r="L48" i="31" s="1"/>
  <c r="AS20" i="21" l="1"/>
  <c r="AV20" i="21" s="1"/>
  <c r="AY20" i="21" s="1"/>
  <c r="G20" i="31" s="1"/>
  <c r="AS19" i="21"/>
  <c r="AV19" i="21" s="1"/>
  <c r="AS22" i="21"/>
  <c r="AV22" i="21" s="1"/>
  <c r="AU19" i="21"/>
  <c r="AX19" i="21" s="1"/>
  <c r="F19" i="31" s="1"/>
  <c r="AS21" i="21"/>
  <c r="AV21" i="21" s="1"/>
  <c r="O21" i="31" s="1"/>
  <c r="P21" i="31" s="1"/>
  <c r="AS42" i="21"/>
  <c r="AV42" i="21" s="1"/>
  <c r="O42" i="31" s="1"/>
  <c r="P42" i="31" s="1"/>
  <c r="AS12" i="21"/>
  <c r="AV12" i="21" s="1"/>
  <c r="O12" i="31" s="1"/>
  <c r="P12" i="31" s="1"/>
  <c r="AS3" i="21"/>
  <c r="AV3" i="21" s="1"/>
  <c r="O3" i="31" s="1"/>
  <c r="P3" i="31" s="1"/>
  <c r="AS33" i="21"/>
  <c r="AV33" i="21" s="1"/>
  <c r="AY33" i="21" s="1"/>
  <c r="G33" i="31" s="1"/>
  <c r="AS32" i="21"/>
  <c r="AV32" i="21" s="1"/>
  <c r="O32" i="31" s="1"/>
  <c r="P32" i="31" s="1"/>
  <c r="AS49" i="21"/>
  <c r="AV49" i="21" s="1"/>
  <c r="O49" i="31" s="1"/>
  <c r="P49" i="31" s="1"/>
  <c r="AU49" i="21"/>
  <c r="AX49" i="21" s="1"/>
  <c r="F49" i="31" s="1"/>
  <c r="AS27" i="21"/>
  <c r="AV27" i="21" s="1"/>
  <c r="AY27" i="21" s="1"/>
  <c r="G27" i="31" s="1"/>
  <c r="AS18" i="21"/>
  <c r="AV18" i="21" s="1"/>
  <c r="AY18" i="21" s="1"/>
  <c r="G18" i="31" s="1"/>
  <c r="AS50" i="21"/>
  <c r="AV50" i="21" s="1"/>
  <c r="O50" i="31" s="1"/>
  <c r="P50" i="31" s="1"/>
  <c r="AS4" i="21"/>
  <c r="AV4" i="21" s="1"/>
  <c r="O4" i="31" s="1"/>
  <c r="P4" i="31" s="1"/>
  <c r="AS43" i="21"/>
  <c r="AV43" i="21" s="1"/>
  <c r="AY43" i="21" s="1"/>
  <c r="G43" i="31" s="1"/>
  <c r="AU13" i="21"/>
  <c r="AX13" i="21" s="1"/>
  <c r="F13" i="31" s="1"/>
  <c r="AS8" i="21"/>
  <c r="AV8" i="21" s="1"/>
  <c r="O8" i="31" s="1"/>
  <c r="P8" i="31" s="1"/>
  <c r="AU33" i="21"/>
  <c r="AX33" i="21" s="1"/>
  <c r="F33" i="31" s="1"/>
  <c r="AS31" i="21"/>
  <c r="AV31" i="21" s="1"/>
  <c r="O31" i="31" s="1"/>
  <c r="P31" i="31" s="1"/>
  <c r="AU50" i="21"/>
  <c r="AX50" i="21" s="1"/>
  <c r="F50" i="31" s="1"/>
  <c r="AS10" i="21"/>
  <c r="AV10" i="21" s="1"/>
  <c r="O10" i="31" s="1"/>
  <c r="P10" i="31" s="1"/>
  <c r="AS25" i="21"/>
  <c r="AV25" i="21" s="1"/>
  <c r="AY25" i="21" s="1"/>
  <c r="G25" i="31" s="1"/>
  <c r="AS44" i="21"/>
  <c r="AV44" i="21" s="1"/>
  <c r="O44" i="31" s="1"/>
  <c r="P44" i="31" s="1"/>
  <c r="AU27" i="21"/>
  <c r="AX27" i="21" s="1"/>
  <c r="F27" i="31" s="1"/>
  <c r="AS35" i="21"/>
  <c r="AV35" i="21" s="1"/>
  <c r="O35" i="31" s="1"/>
  <c r="P35" i="31" s="1"/>
  <c r="AS6" i="21"/>
  <c r="AV6" i="21" s="1"/>
  <c r="AY6" i="21" s="1"/>
  <c r="G6" i="31" s="1"/>
  <c r="AS7" i="21"/>
  <c r="AV7" i="21" s="1"/>
  <c r="O7" i="31" s="1"/>
  <c r="P7" i="31" s="1"/>
  <c r="AS14" i="21"/>
  <c r="AV14" i="21" s="1"/>
  <c r="AY14" i="21" s="1"/>
  <c r="G14" i="31" s="1"/>
  <c r="AU18" i="21"/>
  <c r="AX18" i="21" s="1"/>
  <c r="F18" i="31" s="1"/>
  <c r="AU32" i="21"/>
  <c r="AX32" i="21" s="1"/>
  <c r="F32" i="31" s="1"/>
  <c r="AS11" i="21"/>
  <c r="AV11" i="21" s="1"/>
  <c r="O11" i="31" s="1"/>
  <c r="P11" i="31" s="1"/>
  <c r="AS48" i="21"/>
  <c r="AV48" i="21" s="1"/>
  <c r="O48" i="31" s="1"/>
  <c r="P48" i="31" s="1"/>
  <c r="AS51" i="21"/>
  <c r="AV51" i="21" s="1"/>
  <c r="O51" i="31" s="1"/>
  <c r="P51" i="31" s="1"/>
  <c r="AS17" i="21"/>
  <c r="AV17" i="21" s="1"/>
  <c r="O17" i="31" s="1"/>
  <c r="P17" i="31" s="1"/>
  <c r="AS9" i="21"/>
  <c r="AV9" i="21" s="1"/>
  <c r="O9" i="31" s="1"/>
  <c r="P9" i="31" s="1"/>
  <c r="AS47" i="21"/>
  <c r="AV47" i="21" s="1"/>
  <c r="AY47" i="21" s="1"/>
  <c r="G47" i="31" s="1"/>
  <c r="AS34" i="21"/>
  <c r="AV34" i="21" s="1"/>
  <c r="AS5" i="21"/>
  <c r="AV5" i="21" s="1"/>
  <c r="AY5" i="21" s="1"/>
  <c r="G5" i="31" s="1"/>
  <c r="AS15" i="21"/>
  <c r="AV15" i="21" s="1"/>
  <c r="O15" i="31" s="1"/>
  <c r="P15" i="31" s="1"/>
  <c r="AS16" i="21"/>
  <c r="AV16" i="21" s="1"/>
  <c r="AY16" i="21" s="1"/>
  <c r="G16" i="31" s="1"/>
  <c r="AS30" i="21"/>
  <c r="AV30" i="21" s="1"/>
  <c r="AS36" i="21"/>
  <c r="AV36" i="21" s="1"/>
  <c r="O36" i="31" s="1"/>
  <c r="P36" i="31" s="1"/>
  <c r="AU20" i="21"/>
  <c r="AX20" i="21" s="1"/>
  <c r="F20" i="31" s="1"/>
  <c r="AS23" i="21"/>
  <c r="AV23" i="21" s="1"/>
  <c r="AU23" i="21"/>
  <c r="AX23" i="21" s="1"/>
  <c r="F23" i="31" s="1"/>
  <c r="O22" i="31"/>
  <c r="P22" i="31" s="1"/>
  <c r="AY22" i="21"/>
  <c r="G22" i="31" s="1"/>
  <c r="O13" i="31"/>
  <c r="P13" i="31" s="1"/>
  <c r="AY13" i="21"/>
  <c r="G13" i="31" s="1"/>
  <c r="AS41" i="21"/>
  <c r="AV41" i="21" s="1"/>
  <c r="O41" i="31" s="1"/>
  <c r="P41" i="31" s="1"/>
  <c r="O20" i="31"/>
  <c r="P20" i="31" s="1"/>
  <c r="O19" i="31"/>
  <c r="P19" i="31" s="1"/>
  <c r="AY19" i="21"/>
  <c r="G19" i="31" s="1"/>
  <c r="AS40" i="21"/>
  <c r="AV40" i="21" s="1"/>
  <c r="O40" i="31" s="1"/>
  <c r="P40" i="31" s="1"/>
  <c r="O24" i="31"/>
  <c r="P24" i="31" s="1"/>
  <c r="AY24" i="21"/>
  <c r="G24" i="31" s="1"/>
  <c r="AY42" i="21"/>
  <c r="G42" i="31" s="1"/>
  <c r="AY49" i="21"/>
  <c r="G49" i="31" s="1"/>
  <c r="AY21" i="21" l="1"/>
  <c r="G21" i="31" s="1"/>
  <c r="O18" i="31"/>
  <c r="P18" i="31" s="1"/>
  <c r="AY35" i="21"/>
  <c r="G35" i="31" s="1"/>
  <c r="AY4" i="21"/>
  <c r="G4" i="31" s="1"/>
  <c r="AY50" i="21"/>
  <c r="G50" i="31" s="1"/>
  <c r="AY31" i="21"/>
  <c r="G31" i="31" s="1"/>
  <c r="O43" i="31"/>
  <c r="P43" i="31" s="1"/>
  <c r="AY12" i="21"/>
  <c r="G12" i="31" s="1"/>
  <c r="O33" i="31"/>
  <c r="P33" i="31" s="1"/>
  <c r="AY3" i="21"/>
  <c r="G3" i="31" s="1"/>
  <c r="AY32" i="21"/>
  <c r="G32" i="31" s="1"/>
  <c r="AY8" i="21"/>
  <c r="G8" i="31" s="1"/>
  <c r="AY48" i="21"/>
  <c r="G48" i="31" s="1"/>
  <c r="O27" i="31"/>
  <c r="P27" i="31" s="1"/>
  <c r="AY10" i="21"/>
  <c r="G10" i="31" s="1"/>
  <c r="O6" i="31"/>
  <c r="P6" i="31" s="1"/>
  <c r="O14" i="31"/>
  <c r="P14" i="31" s="1"/>
  <c r="AY9" i="21"/>
  <c r="G9" i="31" s="1"/>
  <c r="O25" i="31"/>
  <c r="P25" i="31" s="1"/>
  <c r="AY51" i="21"/>
  <c r="G51" i="31" s="1"/>
  <c r="O5" i="31"/>
  <c r="P5" i="31" s="1"/>
  <c r="AY44" i="21"/>
  <c r="G44" i="31" s="1"/>
  <c r="AY30" i="21"/>
  <c r="G30" i="31" s="1"/>
  <c r="O30" i="31"/>
  <c r="P30" i="31" s="1"/>
  <c r="AY7" i="21"/>
  <c r="G7" i="31" s="1"/>
  <c r="O47" i="31"/>
  <c r="P47" i="31" s="1"/>
  <c r="AY17" i="21"/>
  <c r="G17" i="31" s="1"/>
  <c r="AY11" i="21"/>
  <c r="G11" i="31" s="1"/>
  <c r="AY15" i="21"/>
  <c r="G15" i="31" s="1"/>
  <c r="AY36" i="21"/>
  <c r="G36" i="31" s="1"/>
  <c r="O16" i="31"/>
  <c r="P16" i="31" s="1"/>
  <c r="AY34" i="21"/>
  <c r="G34" i="31" s="1"/>
  <c r="O34" i="31"/>
  <c r="P34" i="31" s="1"/>
  <c r="AY41" i="21"/>
  <c r="G41" i="31" s="1"/>
  <c r="O23" i="31"/>
  <c r="P23" i="31" s="1"/>
  <c r="AY23" i="21"/>
  <c r="G23" i="31" s="1"/>
  <c r="AY40" i="21"/>
  <c r="G40" i="31" s="1"/>
  <c r="C26" i="29" l="1"/>
  <c r="D26" i="29"/>
  <c r="F26" i="29"/>
  <c r="L26" i="29"/>
  <c r="M26" i="29"/>
  <c r="N26" i="29" l="1"/>
  <c r="O26" i="29" s="1"/>
  <c r="P26" i="29" s="1"/>
  <c r="D29" i="31" l="1"/>
  <c r="C29" i="31"/>
  <c r="B29" i="31"/>
  <c r="M29" i="29"/>
  <c r="L29" i="29"/>
  <c r="F29" i="29"/>
  <c r="D29" i="29"/>
  <c r="C29" i="29"/>
  <c r="V29" i="22"/>
  <c r="U29" i="22"/>
  <c r="T29" i="22"/>
  <c r="S29" i="22"/>
  <c r="R29" i="22"/>
  <c r="Q29" i="22"/>
  <c r="F29" i="22"/>
  <c r="D29" i="22"/>
  <c r="C29" i="22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D29" i="21"/>
  <c r="C29" i="21"/>
  <c r="G29" i="24"/>
  <c r="H29" i="24" s="1"/>
  <c r="I29" i="24" s="1"/>
  <c r="J29" i="24" s="1"/>
  <c r="N29" i="31" s="1"/>
  <c r="X29" i="22" l="1"/>
  <c r="AA29" i="22" s="1"/>
  <c r="AD29" i="22" s="1"/>
  <c r="I29" i="31" s="1"/>
  <c r="N29" i="29"/>
  <c r="W29" i="22"/>
  <c r="AF29" i="21"/>
  <c r="AP29" i="21"/>
  <c r="AA29" i="21"/>
  <c r="AK29" i="21"/>
  <c r="AR29" i="21" l="1"/>
  <c r="AU29" i="21" s="1"/>
  <c r="AX29" i="21" s="1"/>
  <c r="F29" i="31" s="1"/>
  <c r="AQ29" i="21"/>
  <c r="AT29" i="21" s="1"/>
  <c r="AW29" i="21" s="1"/>
  <c r="E29" i="31" s="1"/>
  <c r="T29" i="29"/>
  <c r="U29" i="29" s="1"/>
  <c r="V29" i="29" s="1"/>
  <c r="M29" i="31" s="1"/>
  <c r="O29" i="29"/>
  <c r="P29" i="29" s="1"/>
  <c r="K29" i="31" s="1"/>
  <c r="Q29" i="29"/>
  <c r="R29" i="29" s="1"/>
  <c r="S29" i="29" s="1"/>
  <c r="L29" i="31" s="1"/>
  <c r="Y29" i="22"/>
  <c r="AB29" i="22" s="1"/>
  <c r="AE29" i="22" s="1"/>
  <c r="J29" i="31" s="1"/>
  <c r="Z29" i="22"/>
  <c r="AC29" i="22" s="1"/>
  <c r="H29" i="31" s="1"/>
  <c r="AS29" i="21" l="1"/>
  <c r="AV29" i="21" s="1"/>
  <c r="AY29" i="21" s="1"/>
  <c r="G29" i="31" s="1"/>
  <c r="O29" i="31" l="1"/>
  <c r="P29" i="31" s="1"/>
  <c r="F28" i="22" l="1"/>
  <c r="D28" i="31"/>
  <c r="C28" i="31"/>
  <c r="B28" i="31"/>
  <c r="M28" i="29"/>
  <c r="L28" i="29"/>
  <c r="F28" i="29"/>
  <c r="D28" i="29"/>
  <c r="C28" i="29"/>
  <c r="V28" i="22"/>
  <c r="U28" i="22"/>
  <c r="T28" i="22"/>
  <c r="S28" i="22"/>
  <c r="R28" i="22"/>
  <c r="Q28" i="22"/>
  <c r="D28" i="22"/>
  <c r="C28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D28" i="21"/>
  <c r="C28" i="21"/>
  <c r="G28" i="24"/>
  <c r="H28" i="24" s="1"/>
  <c r="I28" i="24" s="1"/>
  <c r="J28" i="24" s="1"/>
  <c r="N28" i="31" s="1"/>
  <c r="AP28" i="21" l="1"/>
  <c r="X28" i="22"/>
  <c r="AA28" i="22" s="1"/>
  <c r="AD28" i="22" s="1"/>
  <c r="I28" i="31" s="1"/>
  <c r="N28" i="29"/>
  <c r="O28" i="29" s="1"/>
  <c r="P28" i="29" s="1"/>
  <c r="K28" i="31" s="1"/>
  <c r="W28" i="22"/>
  <c r="AA28" i="21"/>
  <c r="AF28" i="21"/>
  <c r="AK28" i="21"/>
  <c r="AR28" i="21" l="1"/>
  <c r="AU28" i="21" s="1"/>
  <c r="AX28" i="21" s="1"/>
  <c r="F28" i="31" s="1"/>
  <c r="AQ28" i="21"/>
  <c r="AT28" i="21" s="1"/>
  <c r="AW28" i="21" s="1"/>
  <c r="E28" i="31" s="1"/>
  <c r="Q28" i="29"/>
  <c r="R28" i="29" s="1"/>
  <c r="S28" i="29" s="1"/>
  <c r="L28" i="31" s="1"/>
  <c r="Z28" i="22"/>
  <c r="AC28" i="22" s="1"/>
  <c r="H28" i="31" s="1"/>
  <c r="T28" i="29"/>
  <c r="U28" i="29" s="1"/>
  <c r="V28" i="29" s="1"/>
  <c r="M28" i="31" s="1"/>
  <c r="Y28" i="22"/>
  <c r="AB28" i="22" s="1"/>
  <c r="AE28" i="22" s="1"/>
  <c r="J28" i="31" s="1"/>
  <c r="AS28" i="21" l="1"/>
  <c r="AV28" i="21" s="1"/>
  <c r="AY28" i="21" s="1"/>
  <c r="G28" i="31" s="1"/>
  <c r="O28" i="31" l="1"/>
  <c r="P28" i="31" s="1"/>
  <c r="C26" i="21" l="1"/>
  <c r="D26" i="31" l="1"/>
  <c r="C26" i="31"/>
  <c r="B26" i="31"/>
  <c r="V26" i="22"/>
  <c r="U26" i="22"/>
  <c r="T26" i="22"/>
  <c r="S26" i="22"/>
  <c r="R26" i="22"/>
  <c r="Q26" i="22"/>
  <c r="F26" i="22"/>
  <c r="D26" i="22"/>
  <c r="C26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G26" i="24"/>
  <c r="H26" i="24" s="1"/>
  <c r="I26" i="24" s="1"/>
  <c r="J26" i="24" s="1"/>
  <c r="N26" i="31" s="1"/>
  <c r="X26" i="22" l="1"/>
  <c r="AA26" i="21"/>
  <c r="AF26" i="21"/>
  <c r="K26" i="31"/>
  <c r="AK26" i="21"/>
  <c r="AP26" i="21"/>
  <c r="W26" i="22"/>
  <c r="Z26" i="22" l="1"/>
  <c r="AC26" i="22" s="1"/>
  <c r="H26" i="31" s="1"/>
  <c r="Q26" i="29"/>
  <c r="R26" i="29" s="1"/>
  <c r="S26" i="29" s="1"/>
  <c r="L26" i="31" s="1"/>
  <c r="T26" i="29"/>
  <c r="U26" i="29" s="1"/>
  <c r="V26" i="29" s="1"/>
  <c r="M26" i="31" s="1"/>
  <c r="Y26" i="22"/>
  <c r="AB26" i="22" s="1"/>
  <c r="AE26" i="22" s="1"/>
  <c r="J26" i="31" s="1"/>
  <c r="AQ26" i="21"/>
  <c r="AT26" i="21" s="1"/>
  <c r="AW26" i="21" s="1"/>
  <c r="E26" i="31" s="1"/>
  <c r="AA26" i="22"/>
  <c r="AD26" i="22" s="1"/>
  <c r="I26" i="31" s="1"/>
  <c r="AR26" i="21"/>
  <c r="AU26" i="21" l="1"/>
  <c r="AX26" i="21" s="1"/>
  <c r="F26" i="31" s="1"/>
  <c r="AS26" i="21"/>
  <c r="AV26" i="21" s="1"/>
  <c r="AY26" i="21" l="1"/>
  <c r="G26" i="31" s="1"/>
  <c r="O26" i="31"/>
  <c r="P26" i="31" s="1"/>
</calcChain>
</file>

<file path=xl/sharedStrings.xml><?xml version="1.0" encoding="utf-8"?>
<sst xmlns="http://schemas.openxmlformats.org/spreadsheetml/2006/main" count="664" uniqueCount="204">
  <si>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</si>
  <si>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</si>
  <si>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</si>
  <si>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</si>
  <si>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</si>
  <si>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</si>
  <si>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</si>
  <si>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</si>
  <si>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</si>
  <si>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</si>
  <si>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</si>
  <si>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</si>
  <si>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</si>
  <si>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</si>
  <si>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</si>
  <si>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</si>
  <si>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</si>
  <si>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</si>
  <si>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</si>
  <si>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</si>
  <si>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</si>
  <si>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</si>
  <si>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</si>
  <si>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</si>
  <si>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</si>
  <si>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</si>
  <si>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</si>
  <si>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</si>
  <si>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</si>
  <si>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</si>
  <si>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</si>
  <si>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</si>
  <si>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</si>
  <si>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</si>
  <si>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</si>
  <si>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</si>
  <si>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</si>
  <si>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</si>
  <si>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</si>
  <si>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</si>
  <si>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</si>
  <si>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</si>
  <si>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</si>
  <si>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</si>
  <si>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</si>
  <si>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</si>
  <si>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</si>
  <si>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</si>
  <si>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</si>
  <si>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</si>
  <si>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</si>
  <si>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</si>
  <si>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</si>
  <si>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</si>
  <si>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</si>
  <si>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</si>
  <si>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</si>
  <si>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</si>
  <si>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</si>
  <si>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</si>
  <si>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</si>
  <si>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</si>
  <si>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</si>
  <si>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</si>
  <si>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</si>
  <si>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</si>
  <si>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</si>
  <si>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</si>
  <si>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</si>
  <si>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</si>
  <si>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</si>
  <si>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</si>
  <si>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</si>
  <si>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</si>
  <si>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</si>
  <si>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</si>
  <si>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</si>
  <si>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</si>
  <si>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</si>
  <si>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</si>
  <si>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</si>
  <si>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</si>
  <si>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</si>
  <si>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</si>
  <si>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</si>
  <si>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</si>
  <si>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</si>
  <si>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</si>
  <si>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</si>
  <si>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</si>
  <si>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</si>
  <si>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</si>
  <si>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</si>
  <si>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</si>
  <si>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</si>
  <si>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Acura</t>
  </si>
  <si>
    <t>TLX 4DR FWD</t>
  </si>
  <si>
    <t>TLX 4DR AWD</t>
  </si>
  <si>
    <t>Buick</t>
  </si>
  <si>
    <t>Cadillac</t>
  </si>
  <si>
    <t>XT6 SUV FWD</t>
  </si>
  <si>
    <t>XT6 SUV AWD</t>
  </si>
  <si>
    <t>Chevrolet</t>
  </si>
  <si>
    <t>Tahoe SUV 2WD</t>
  </si>
  <si>
    <t>Tahoe SUV 4WD</t>
  </si>
  <si>
    <t xml:space="preserve">GMC </t>
  </si>
  <si>
    <t>Yukon SUV 2WD</t>
  </si>
  <si>
    <t>Yukon SUV 4WD</t>
  </si>
  <si>
    <t>Escalade SUV 2WD</t>
  </si>
  <si>
    <t>Escalade SUV 4WD</t>
  </si>
  <si>
    <t>Suburban SUV 2WD</t>
  </si>
  <si>
    <t>Suburban SUV 4WD</t>
  </si>
  <si>
    <t>Yukon XL SUV 2WD</t>
  </si>
  <si>
    <t>Yukon XL SUV 4WD</t>
  </si>
  <si>
    <t>Encore GX SUV FWD</t>
  </si>
  <si>
    <t>Encore GX SUV AWD</t>
  </si>
  <si>
    <t>Dodge</t>
  </si>
  <si>
    <t>Durango SUV RWD</t>
  </si>
  <si>
    <t>Durango SUV 4WD</t>
  </si>
  <si>
    <t xml:space="preserve">Ford </t>
  </si>
  <si>
    <t>Transit Connect Wagon FWD</t>
  </si>
  <si>
    <t>Transit Connect Van FWD</t>
  </si>
  <si>
    <t>K5 4DR FWD</t>
  </si>
  <si>
    <t>Lexus</t>
  </si>
  <si>
    <t>RX 350 SUV FWD</t>
  </si>
  <si>
    <t>RX 350 SUV AWD</t>
  </si>
  <si>
    <t>RX 350L SUV FWD</t>
  </si>
  <si>
    <t>RX 350L SUV AWD</t>
  </si>
  <si>
    <t>RX 450h SUV AWD</t>
  </si>
  <si>
    <t>RX 450hL SUV AWD</t>
  </si>
  <si>
    <t>Mercedes-Benz</t>
  </si>
  <si>
    <t>E-Class 4DR RWD</t>
  </si>
  <si>
    <t>E-Class 4DR 4WD</t>
  </si>
  <si>
    <t>E-Class SW RWD</t>
  </si>
  <si>
    <t>E-Class SW 4WD</t>
  </si>
  <si>
    <t>GLC Class SUV RWD</t>
  </si>
  <si>
    <t>GLC Class SUV 4WD</t>
  </si>
  <si>
    <t>Nissan</t>
  </si>
  <si>
    <t>Maxima 4DR FWD</t>
  </si>
  <si>
    <t>Subaru</t>
  </si>
  <si>
    <t>Outback SW AWD</t>
  </si>
  <si>
    <t>Legacy 4DR AWD</t>
  </si>
  <si>
    <t>Toyota</t>
  </si>
  <si>
    <t>Corolla 4DR FWD</t>
  </si>
  <si>
    <t>Corolla Hybrid 4DR FWD</t>
  </si>
  <si>
    <t>Corolla Hatchback 5HB FWD</t>
  </si>
  <si>
    <t>M20200107</t>
  </si>
  <si>
    <t>TRC</t>
  </si>
  <si>
    <t>M20200101</t>
  </si>
  <si>
    <t>Calspan</t>
  </si>
  <si>
    <t>M20190302</t>
  </si>
  <si>
    <t>M20190301</t>
  </si>
  <si>
    <t>KARCO</t>
  </si>
  <si>
    <t>M20165105</t>
  </si>
  <si>
    <t>M20165104</t>
  </si>
  <si>
    <t>M20174302</t>
  </si>
  <si>
    <t>M20174301</t>
  </si>
  <si>
    <t>M20184302</t>
  </si>
  <si>
    <t>M20184301</t>
  </si>
  <si>
    <t>M20205206</t>
  </si>
  <si>
    <t>O20205504</t>
  </si>
  <si>
    <t>O20205501</t>
  </si>
  <si>
    <t>O20205503</t>
  </si>
  <si>
    <t>O20205500</t>
  </si>
  <si>
    <t>O20195100</t>
  </si>
  <si>
    <t>O20195101</t>
  </si>
  <si>
    <t>Escalade ESV SUV 2WD</t>
  </si>
  <si>
    <t>Escalade ESV SUV 4WD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</si>
  <si>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</si>
  <si>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</si>
  <si>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</si>
  <si>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</si>
  <si>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</si>
  <si>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</si>
  <si>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</si>
  <si>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</si>
  <si>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</si>
  <si>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</si>
  <si>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</si>
  <si>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</si>
  <si>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</si>
  <si>
    <t>M20214302</t>
  </si>
  <si>
    <t>M20215102</t>
  </si>
  <si>
    <t>Rogue SUV FWD (early release)</t>
  </si>
  <si>
    <t>Rogue SUV AWD (early release)</t>
  </si>
  <si>
    <t>Rogue SUV FWD (later release)</t>
  </si>
  <si>
    <t>Rogue SUV AWD (later release)</t>
  </si>
  <si>
    <t>M20214306</t>
  </si>
  <si>
    <t>M20215203</t>
  </si>
  <si>
    <t>lost data</t>
  </si>
  <si>
    <t>O20215302</t>
  </si>
  <si>
    <t>M20215204</t>
  </si>
  <si>
    <t>O20215301</t>
  </si>
  <si>
    <t>M20210105</t>
  </si>
  <si>
    <t>M20215202</t>
  </si>
  <si>
    <t>M20210107</t>
  </si>
  <si>
    <t>M20210106</t>
  </si>
  <si>
    <t>O20215300</t>
  </si>
  <si>
    <t>M20210104</t>
  </si>
  <si>
    <t>M20210103</t>
  </si>
  <si>
    <t>M20215201</t>
  </si>
  <si>
    <t>M20215200</t>
  </si>
  <si>
    <t>M20210300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</si>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</sst>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72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/>
    <xf numFmtId="0" fontId="5" fillId="0" borderId="1" xfId="16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wrapText="1"/>
    </xf>
    <xf numFmtId="1" fontId="5" fillId="0" borderId="25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3" fillId="0" borderId="1" xfId="0" applyNumberFormat="1" applyFont="1" applyFill="1" applyBorder="1" applyAlignment="1" applyProtection="1">
      <alignment horizontal="center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5" xfId="0" applyNumberFormat="1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</xf>
    <xf numFmtId="164" fontId="3" fillId="0" borderId="17" xfId="0" applyNumberFormat="1" applyFont="1" applyFill="1" applyBorder="1" applyAlignment="1" applyProtection="1">
      <alignment horizontal="center"/>
    </xf>
    <xf numFmtId="2" fontId="3" fillId="0" borderId="17" xfId="0" applyNumberFormat="1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6" fillId="0" borderId="0" xfId="0" applyFont="1" applyFill="1"/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3" fillId="0" borderId="16" xfId="0" applyNumberFormat="1" applyFont="1" applyFill="1" applyBorder="1" applyAlignment="1"/>
    <xf numFmtId="0" fontId="5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3" fontId="5" fillId="0" borderId="46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6" fontId="3" fillId="0" borderId="4" xfId="0" applyNumberFormat="1" applyFont="1" applyFill="1" applyBorder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3" fontId="5" fillId="0" borderId="0" xfId="0" applyNumberFormat="1" applyFont="1" applyFill="1" applyAlignment="1"/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/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3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 wrapText="1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0"/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ulemaking/NCAPDATA/NCAP2021/2021%20BSC%20SPREADSHEETS/2021%20BSC%20CONFIDENTIAL/Mercedes-Benz/MY21%20Early%20Intro%2022%20BSC%20Request%20-%20Confidential%20Business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 CW"/>
      <sheetName val="Information Sheet CA"/>
      <sheetName val="CA Data"/>
      <sheetName val="SAB OOP"/>
      <sheetName val="Source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2 DR</v>
          </cell>
        </row>
        <row r="3">
          <cell r="C3" t="str">
            <v>3 C</v>
          </cell>
        </row>
        <row r="4">
          <cell r="C4" t="str">
            <v>3 HB</v>
          </cell>
        </row>
        <row r="5">
          <cell r="C5" t="str">
            <v>4 DR</v>
          </cell>
        </row>
        <row r="6">
          <cell r="C6" t="str">
            <v>5 HB</v>
          </cell>
        </row>
        <row r="7">
          <cell r="C7" t="str">
            <v>C</v>
          </cell>
        </row>
        <row r="8">
          <cell r="C8" t="str">
            <v>MV</v>
          </cell>
        </row>
        <row r="9">
          <cell r="C9" t="str">
            <v>PU/CC</v>
          </cell>
        </row>
        <row r="10">
          <cell r="C10" t="str">
            <v>PU/EC</v>
          </cell>
        </row>
        <row r="11">
          <cell r="C11" t="str">
            <v>PU/RC</v>
          </cell>
        </row>
        <row r="12">
          <cell r="C12" t="str">
            <v>SUV</v>
          </cell>
        </row>
        <row r="13">
          <cell r="C13" t="str">
            <v>SW</v>
          </cell>
        </row>
        <row r="14">
          <cell r="C14" t="str">
            <v>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0" workbookViewId="0">
      <selection activeCell="A23" sqref="A23:XFD24"/>
    </sheetView>
  </sheetViews>
  <sheetFormatPr defaultColWidth="9.42578125" defaultRowHeight="13.35" customHeight="1"/>
  <cols>
    <col min="1" max="1" width="13.5703125" style="121" customWidth="1"/>
    <col min="2" max="2" width="39.42578125" style="121" bestFit="1" customWidth="1"/>
    <col min="3" max="3" width="4.5703125" style="100" bestFit="1" customWidth="1"/>
    <col min="4" max="4" width="4.42578125" style="100" bestFit="1" customWidth="1"/>
    <col min="5" max="5" width="18" style="100" bestFit="1" customWidth="1"/>
    <col min="6" max="6" width="13.42578125" style="100" bestFit="1" customWidth="1"/>
    <col min="7" max="7" width="7.5703125" style="122" customWidth="1"/>
    <col min="8" max="8" width="7.42578125" style="122" bestFit="1" customWidth="1"/>
    <col min="9" max="9" width="7.5703125" style="123" bestFit="1" customWidth="1"/>
    <col min="10" max="10" width="7.42578125" style="122" bestFit="1" customWidth="1"/>
    <col min="11" max="16384" width="9.42578125" style="100"/>
  </cols>
  <sheetData>
    <row r="1" spans="1:10" s="84" customFormat="1" ht="13.35" customHeight="1" thickBot="1">
      <c r="A1" s="81"/>
      <c r="B1" s="81"/>
      <c r="C1" s="81"/>
      <c r="D1" s="81"/>
      <c r="E1" s="81"/>
      <c r="F1" s="81"/>
      <c r="G1" s="82"/>
      <c r="H1" s="82"/>
      <c r="I1" s="83"/>
      <c r="J1" s="82" t="s">
        <v>85</v>
      </c>
    </row>
    <row r="2" spans="1:10" s="84" customFormat="1" ht="13.35" customHeight="1" thickBot="1">
      <c r="A2" s="48" t="s">
        <v>18</v>
      </c>
      <c r="B2" s="85" t="s">
        <v>19</v>
      </c>
      <c r="C2" s="85" t="s">
        <v>20</v>
      </c>
      <c r="D2" s="85" t="s">
        <v>21</v>
      </c>
      <c r="E2" s="85" t="s">
        <v>68</v>
      </c>
      <c r="F2" s="86" t="s">
        <v>69</v>
      </c>
      <c r="G2" s="87" t="s">
        <v>47</v>
      </c>
      <c r="H2" s="88" t="s">
        <v>8</v>
      </c>
      <c r="I2" s="89" t="s">
        <v>66</v>
      </c>
      <c r="J2" s="90" t="s">
        <v>57</v>
      </c>
    </row>
    <row r="3" spans="1:10" ht="13.35" customHeight="1" thickBot="1">
      <c r="A3" s="91" t="s">
        <v>95</v>
      </c>
      <c r="B3" s="92" t="s">
        <v>96</v>
      </c>
      <c r="C3" s="93">
        <v>2021</v>
      </c>
      <c r="D3" s="94">
        <v>1.51</v>
      </c>
      <c r="E3" s="94" t="s">
        <v>90</v>
      </c>
      <c r="F3" s="95" t="s">
        <v>90</v>
      </c>
      <c r="G3" s="96">
        <f t="shared" ref="G3:G21" si="0">IF(F3="Y",((1/(1+EXP(2.6968+(1.1686*LN(D3-0.9)))))),((1/(1+EXP(2.8891+(1.1686*(LN(D3-0.9))))))))</f>
        <v>9.0177849263241197E-2</v>
      </c>
      <c r="H3" s="97">
        <f t="shared" ref="H3:H21" si="1">ROUND(G3,3)</f>
        <v>0.09</v>
      </c>
      <c r="I3" s="98">
        <f t="shared" ref="I3:I21" si="2">ROUND(H3/0.15,2)</f>
        <v>0.6</v>
      </c>
      <c r="J3" s="99">
        <f t="shared" ref="J3:J21" si="3">IF(I3&lt;0.673,5,IF(I3&lt;1.33,4,IF(I3&lt;2,3,IF(I3&lt;2.67,2,1))))</f>
        <v>5</v>
      </c>
    </row>
    <row r="4" spans="1:10" ht="13.35" customHeight="1" thickBot="1">
      <c r="A4" s="101" t="s">
        <v>95</v>
      </c>
      <c r="B4" s="102" t="s">
        <v>97</v>
      </c>
      <c r="C4" s="93">
        <v>2021</v>
      </c>
      <c r="D4" s="16">
        <v>1.51</v>
      </c>
      <c r="E4" s="16" t="s">
        <v>90</v>
      </c>
      <c r="F4" s="103" t="s">
        <v>90</v>
      </c>
      <c r="G4" s="104">
        <f t="shared" si="0"/>
        <v>9.0177849263241197E-2</v>
      </c>
      <c r="H4" s="105">
        <f t="shared" si="1"/>
        <v>0.09</v>
      </c>
      <c r="I4" s="106">
        <f t="shared" si="2"/>
        <v>0.6</v>
      </c>
      <c r="J4" s="107">
        <f t="shared" si="3"/>
        <v>5</v>
      </c>
    </row>
    <row r="5" spans="1:10" ht="13.35" customHeight="1" thickBot="1">
      <c r="A5" s="108" t="s">
        <v>99</v>
      </c>
      <c r="B5" s="47" t="s">
        <v>100</v>
      </c>
      <c r="C5" s="93">
        <v>2021</v>
      </c>
      <c r="D5" s="16">
        <v>1.24</v>
      </c>
      <c r="E5" s="8" t="s">
        <v>89</v>
      </c>
      <c r="F5" s="109" t="s">
        <v>90</v>
      </c>
      <c r="G5" s="104">
        <f t="shared" si="0"/>
        <v>0.1640492476036079</v>
      </c>
      <c r="H5" s="105">
        <f t="shared" si="1"/>
        <v>0.16400000000000001</v>
      </c>
      <c r="I5" s="106">
        <f t="shared" si="2"/>
        <v>1.0900000000000001</v>
      </c>
      <c r="J5" s="107">
        <f t="shared" si="3"/>
        <v>4</v>
      </c>
    </row>
    <row r="6" spans="1:10" ht="13.35" customHeight="1" thickBot="1">
      <c r="A6" s="108" t="s">
        <v>99</v>
      </c>
      <c r="B6" s="47" t="s">
        <v>101</v>
      </c>
      <c r="C6" s="93">
        <v>2021</v>
      </c>
      <c r="D6" s="16">
        <v>1.26</v>
      </c>
      <c r="E6" s="8" t="s">
        <v>89</v>
      </c>
      <c r="F6" s="109" t="s">
        <v>90</v>
      </c>
      <c r="G6" s="104">
        <f t="shared" si="0"/>
        <v>0.15509342889208913</v>
      </c>
      <c r="H6" s="105">
        <f t="shared" si="1"/>
        <v>0.155</v>
      </c>
      <c r="I6" s="106">
        <f t="shared" si="2"/>
        <v>1.03</v>
      </c>
      <c r="J6" s="107">
        <f t="shared" si="3"/>
        <v>4</v>
      </c>
    </row>
    <row r="7" spans="1:10" ht="13.35" customHeight="1" thickBot="1">
      <c r="A7" s="110" t="s">
        <v>102</v>
      </c>
      <c r="B7" s="7" t="s">
        <v>103</v>
      </c>
      <c r="C7" s="93">
        <v>2021</v>
      </c>
      <c r="D7" s="111">
        <v>1.1599999999999999</v>
      </c>
      <c r="E7" s="111" t="s">
        <v>89</v>
      </c>
      <c r="F7" s="111" t="s">
        <v>90</v>
      </c>
      <c r="G7" s="104">
        <f t="shared" si="0"/>
        <v>0.21166642755867562</v>
      </c>
      <c r="H7" s="105">
        <f t="shared" si="1"/>
        <v>0.21199999999999999</v>
      </c>
      <c r="I7" s="106">
        <f t="shared" si="2"/>
        <v>1.41</v>
      </c>
      <c r="J7" s="107">
        <f t="shared" si="3"/>
        <v>3</v>
      </c>
    </row>
    <row r="8" spans="1:10" ht="13.35" customHeight="1" thickBot="1">
      <c r="A8" s="112" t="s">
        <v>102</v>
      </c>
      <c r="B8" s="113" t="s">
        <v>104</v>
      </c>
      <c r="C8" s="93">
        <v>2021</v>
      </c>
      <c r="D8" s="16">
        <v>1.1499999999999999</v>
      </c>
      <c r="E8" s="111" t="s">
        <v>89</v>
      </c>
      <c r="F8" s="111" t="s">
        <v>90</v>
      </c>
      <c r="G8" s="104">
        <f t="shared" si="0"/>
        <v>0.21941539652892203</v>
      </c>
      <c r="H8" s="105">
        <f t="shared" si="1"/>
        <v>0.219</v>
      </c>
      <c r="I8" s="106">
        <f t="shared" si="2"/>
        <v>1.46</v>
      </c>
      <c r="J8" s="107">
        <f t="shared" si="3"/>
        <v>3</v>
      </c>
    </row>
    <row r="9" spans="1:10" ht="13.35" customHeight="1" thickBot="1">
      <c r="A9" s="114" t="s">
        <v>105</v>
      </c>
      <c r="B9" s="115" t="s">
        <v>106</v>
      </c>
      <c r="C9" s="93">
        <v>2021</v>
      </c>
      <c r="D9" s="16">
        <v>1.1599999999999999</v>
      </c>
      <c r="E9" s="111" t="s">
        <v>89</v>
      </c>
      <c r="F9" s="111" t="s">
        <v>90</v>
      </c>
      <c r="G9" s="104">
        <f t="shared" si="0"/>
        <v>0.21166642755867562</v>
      </c>
      <c r="H9" s="105">
        <f t="shared" si="1"/>
        <v>0.21199999999999999</v>
      </c>
      <c r="I9" s="106">
        <f t="shared" si="2"/>
        <v>1.41</v>
      </c>
      <c r="J9" s="107">
        <f t="shared" si="3"/>
        <v>3</v>
      </c>
    </row>
    <row r="10" spans="1:10" ht="13.35" customHeight="1" thickBot="1">
      <c r="A10" s="114" t="s">
        <v>105</v>
      </c>
      <c r="B10" s="115" t="s">
        <v>107</v>
      </c>
      <c r="C10" s="93">
        <v>2021</v>
      </c>
      <c r="D10" s="16">
        <v>1.1499999999999999</v>
      </c>
      <c r="E10" s="111" t="s">
        <v>89</v>
      </c>
      <c r="F10" s="111" t="s">
        <v>90</v>
      </c>
      <c r="G10" s="104">
        <f t="shared" si="0"/>
        <v>0.21941539652892203</v>
      </c>
      <c r="H10" s="105">
        <f t="shared" si="1"/>
        <v>0.219</v>
      </c>
      <c r="I10" s="106">
        <f t="shared" si="2"/>
        <v>1.46</v>
      </c>
      <c r="J10" s="107">
        <f t="shared" si="3"/>
        <v>3</v>
      </c>
    </row>
    <row r="11" spans="1:10" ht="13.35" customHeight="1" thickBot="1">
      <c r="A11" s="116" t="s">
        <v>99</v>
      </c>
      <c r="B11" s="111" t="s">
        <v>108</v>
      </c>
      <c r="C11" s="93">
        <v>2021</v>
      </c>
      <c r="D11" s="16">
        <v>1.1599999999999999</v>
      </c>
      <c r="E11" s="16" t="s">
        <v>89</v>
      </c>
      <c r="F11" s="103" t="s">
        <v>90</v>
      </c>
      <c r="G11" s="104">
        <f t="shared" si="0"/>
        <v>0.21166642755867562</v>
      </c>
      <c r="H11" s="105">
        <f t="shared" si="1"/>
        <v>0.21199999999999999</v>
      </c>
      <c r="I11" s="106">
        <f t="shared" si="2"/>
        <v>1.41</v>
      </c>
      <c r="J11" s="107">
        <f t="shared" si="3"/>
        <v>3</v>
      </c>
    </row>
    <row r="12" spans="1:10" ht="13.35" customHeight="1" thickBot="1">
      <c r="A12" s="116" t="s">
        <v>99</v>
      </c>
      <c r="B12" s="111" t="s">
        <v>109</v>
      </c>
      <c r="C12" s="93">
        <v>2021</v>
      </c>
      <c r="D12" s="16">
        <v>1.1499999999999999</v>
      </c>
      <c r="E12" s="16" t="s">
        <v>89</v>
      </c>
      <c r="F12" s="103" t="s">
        <v>90</v>
      </c>
      <c r="G12" s="104">
        <f t="shared" si="0"/>
        <v>0.21941539652892203</v>
      </c>
      <c r="H12" s="105">
        <f t="shared" si="1"/>
        <v>0.219</v>
      </c>
      <c r="I12" s="106">
        <f t="shared" si="2"/>
        <v>1.46</v>
      </c>
      <c r="J12" s="107">
        <f t="shared" si="3"/>
        <v>3</v>
      </c>
    </row>
    <row r="13" spans="1:10" ht="13.35" customHeight="1" thickBot="1">
      <c r="A13" s="116" t="s">
        <v>102</v>
      </c>
      <c r="B13" s="111" t="s">
        <v>110</v>
      </c>
      <c r="C13" s="93">
        <v>2021</v>
      </c>
      <c r="D13" s="16">
        <v>1.1599999999999999</v>
      </c>
      <c r="E13" s="16" t="s">
        <v>89</v>
      </c>
      <c r="F13" s="103" t="s">
        <v>90</v>
      </c>
      <c r="G13" s="104">
        <f t="shared" si="0"/>
        <v>0.21166642755867562</v>
      </c>
      <c r="H13" s="105">
        <f t="shared" si="1"/>
        <v>0.21199999999999999</v>
      </c>
      <c r="I13" s="106">
        <f t="shared" si="2"/>
        <v>1.41</v>
      </c>
      <c r="J13" s="107">
        <f t="shared" si="3"/>
        <v>3</v>
      </c>
    </row>
    <row r="14" spans="1:10" ht="13.35" customHeight="1" thickBot="1">
      <c r="A14" s="114" t="s">
        <v>102</v>
      </c>
      <c r="B14" s="115" t="s">
        <v>111</v>
      </c>
      <c r="C14" s="93">
        <v>2021</v>
      </c>
      <c r="D14" s="16">
        <v>1.1499999999999999</v>
      </c>
      <c r="E14" s="16" t="s">
        <v>89</v>
      </c>
      <c r="F14" s="103" t="s">
        <v>90</v>
      </c>
      <c r="G14" s="104">
        <f t="shared" si="0"/>
        <v>0.21941539652892203</v>
      </c>
      <c r="H14" s="105">
        <f t="shared" si="1"/>
        <v>0.219</v>
      </c>
      <c r="I14" s="106">
        <f t="shared" si="2"/>
        <v>1.46</v>
      </c>
      <c r="J14" s="107">
        <f t="shared" si="3"/>
        <v>3</v>
      </c>
    </row>
    <row r="15" spans="1:10" ht="13.35" customHeight="1" thickBot="1">
      <c r="A15" s="114" t="s">
        <v>105</v>
      </c>
      <c r="B15" s="115" t="s">
        <v>112</v>
      </c>
      <c r="C15" s="93">
        <v>2021</v>
      </c>
      <c r="D15" s="111">
        <v>1.1599999999999999</v>
      </c>
      <c r="E15" s="111" t="s">
        <v>89</v>
      </c>
      <c r="F15" s="77" t="s">
        <v>90</v>
      </c>
      <c r="G15" s="104">
        <f t="shared" si="0"/>
        <v>0.21166642755867562</v>
      </c>
      <c r="H15" s="105">
        <f t="shared" si="1"/>
        <v>0.21199999999999999</v>
      </c>
      <c r="I15" s="106">
        <f t="shared" si="2"/>
        <v>1.41</v>
      </c>
      <c r="J15" s="107">
        <f t="shared" si="3"/>
        <v>3</v>
      </c>
    </row>
    <row r="16" spans="1:10" ht="13.35" customHeight="1" thickBot="1">
      <c r="A16" s="114" t="s">
        <v>105</v>
      </c>
      <c r="B16" s="115" t="s">
        <v>113</v>
      </c>
      <c r="C16" s="93">
        <v>2021</v>
      </c>
      <c r="D16" s="111">
        <v>1.1499999999999999</v>
      </c>
      <c r="E16" s="111" t="s">
        <v>89</v>
      </c>
      <c r="F16" s="77" t="s">
        <v>90</v>
      </c>
      <c r="G16" s="104">
        <f t="shared" si="0"/>
        <v>0.21941539652892203</v>
      </c>
      <c r="H16" s="105">
        <f t="shared" si="1"/>
        <v>0.219</v>
      </c>
      <c r="I16" s="106">
        <f t="shared" si="2"/>
        <v>1.46</v>
      </c>
      <c r="J16" s="107">
        <f t="shared" si="3"/>
        <v>3</v>
      </c>
    </row>
    <row r="17" spans="1:10" ht="13.35" customHeight="1" thickBot="1">
      <c r="A17" s="116" t="s">
        <v>99</v>
      </c>
      <c r="B17" s="111" t="s">
        <v>166</v>
      </c>
      <c r="C17" s="93">
        <v>2021</v>
      </c>
      <c r="D17" s="111">
        <v>1.1599999999999999</v>
      </c>
      <c r="E17" s="111" t="s">
        <v>89</v>
      </c>
      <c r="F17" s="77" t="s">
        <v>90</v>
      </c>
      <c r="G17" s="104">
        <f t="shared" si="0"/>
        <v>0.21166642755867562</v>
      </c>
      <c r="H17" s="105">
        <f t="shared" si="1"/>
        <v>0.21199999999999999</v>
      </c>
      <c r="I17" s="106">
        <f t="shared" si="2"/>
        <v>1.41</v>
      </c>
      <c r="J17" s="107">
        <f t="shared" si="3"/>
        <v>3</v>
      </c>
    </row>
    <row r="18" spans="1:10" ht="13.35" customHeight="1" thickBot="1">
      <c r="A18" s="116" t="s">
        <v>99</v>
      </c>
      <c r="B18" s="111" t="s">
        <v>167</v>
      </c>
      <c r="C18" s="93">
        <v>2021</v>
      </c>
      <c r="D18" s="111">
        <v>1.1499999999999999</v>
      </c>
      <c r="E18" s="111" t="s">
        <v>89</v>
      </c>
      <c r="F18" s="77" t="s">
        <v>90</v>
      </c>
      <c r="G18" s="104">
        <f t="shared" si="0"/>
        <v>0.21941539652892203</v>
      </c>
      <c r="H18" s="105">
        <f t="shared" si="1"/>
        <v>0.219</v>
      </c>
      <c r="I18" s="106">
        <f t="shared" si="2"/>
        <v>1.46</v>
      </c>
      <c r="J18" s="107">
        <f t="shared" si="3"/>
        <v>3</v>
      </c>
    </row>
    <row r="19" spans="1:10" ht="13.35" customHeight="1" thickBot="1">
      <c r="A19" s="112" t="s">
        <v>102</v>
      </c>
      <c r="B19" s="113" t="s">
        <v>173</v>
      </c>
      <c r="C19" s="93">
        <v>2021</v>
      </c>
      <c r="D19" s="16">
        <v>1.2</v>
      </c>
      <c r="E19" s="16" t="s">
        <v>89</v>
      </c>
      <c r="F19" s="103" t="s">
        <v>90</v>
      </c>
      <c r="G19" s="104">
        <f t="shared" si="0"/>
        <v>0.1851047975833634</v>
      </c>
      <c r="H19" s="105">
        <f t="shared" si="1"/>
        <v>0.185</v>
      </c>
      <c r="I19" s="106">
        <f t="shared" si="2"/>
        <v>1.23</v>
      </c>
      <c r="J19" s="107">
        <f t="shared" si="3"/>
        <v>4</v>
      </c>
    </row>
    <row r="20" spans="1:10" ht="13.35" customHeight="1" thickBot="1">
      <c r="A20" s="112" t="s">
        <v>102</v>
      </c>
      <c r="B20" s="113" t="s">
        <v>174</v>
      </c>
      <c r="C20" s="93">
        <v>2021</v>
      </c>
      <c r="D20" s="111">
        <v>1.21</v>
      </c>
      <c r="E20" s="111" t="s">
        <v>89</v>
      </c>
      <c r="F20" s="77" t="s">
        <v>90</v>
      </c>
      <c r="G20" s="104">
        <f t="shared" si="0"/>
        <v>0.17939444452697093</v>
      </c>
      <c r="H20" s="105">
        <f t="shared" si="1"/>
        <v>0.17899999999999999</v>
      </c>
      <c r="I20" s="106">
        <f t="shared" si="2"/>
        <v>1.19</v>
      </c>
      <c r="J20" s="107">
        <f t="shared" si="3"/>
        <v>4</v>
      </c>
    </row>
    <row r="21" spans="1:10" ht="13.35" customHeight="1" thickBot="1">
      <c r="A21" s="116" t="s">
        <v>98</v>
      </c>
      <c r="B21" s="111" t="s">
        <v>114</v>
      </c>
      <c r="C21" s="93">
        <v>2021</v>
      </c>
      <c r="D21" s="16">
        <v>1.2</v>
      </c>
      <c r="E21" s="16" t="s">
        <v>89</v>
      </c>
      <c r="F21" s="103" t="s">
        <v>90</v>
      </c>
      <c r="G21" s="104">
        <f t="shared" si="0"/>
        <v>0.1851047975833634</v>
      </c>
      <c r="H21" s="105">
        <f t="shared" si="1"/>
        <v>0.185</v>
      </c>
      <c r="I21" s="106">
        <f t="shared" si="2"/>
        <v>1.23</v>
      </c>
      <c r="J21" s="107">
        <f t="shared" si="3"/>
        <v>4</v>
      </c>
    </row>
    <row r="22" spans="1:10" ht="13.35" customHeight="1" thickBot="1">
      <c r="A22" s="116" t="s">
        <v>98</v>
      </c>
      <c r="B22" s="111" t="s">
        <v>115</v>
      </c>
      <c r="C22" s="93">
        <v>2021</v>
      </c>
      <c r="D22" s="111">
        <v>1.21</v>
      </c>
      <c r="E22" s="111" t="s">
        <v>89</v>
      </c>
      <c r="F22" s="77" t="s">
        <v>90</v>
      </c>
      <c r="G22" s="104">
        <f t="shared" ref="G22:G43" si="4">IF(F22="Y",((1/(1+EXP(2.6968+(1.1686*LN(D22-0.9)))))),((1/(1+EXP(2.8891+(1.1686*(LN(D22-0.9))))))))</f>
        <v>0.17939444452697093</v>
      </c>
      <c r="H22" s="105">
        <f t="shared" ref="H22:H43" si="5">ROUND(G22,3)</f>
        <v>0.17899999999999999</v>
      </c>
      <c r="I22" s="106">
        <f t="shared" ref="I22:I43" si="6">ROUND(H22/0.15,2)</f>
        <v>1.19</v>
      </c>
      <c r="J22" s="107">
        <f t="shared" ref="J22:J43" si="7">IF(I22&lt;0.673,5,IF(I22&lt;1.33,4,IF(I22&lt;2,3,IF(I22&lt;2.67,2,1))))</f>
        <v>4</v>
      </c>
    </row>
    <row r="23" spans="1:10" ht="13.35" customHeight="1" thickBot="1">
      <c r="A23" s="110" t="s">
        <v>116</v>
      </c>
      <c r="B23" s="7" t="s">
        <v>117</v>
      </c>
      <c r="C23" s="93">
        <v>2021</v>
      </c>
      <c r="D23" s="111">
        <v>1.18</v>
      </c>
      <c r="E23" s="111" t="s">
        <v>89</v>
      </c>
      <c r="F23" s="111" t="s">
        <v>90</v>
      </c>
      <c r="G23" s="104">
        <f t="shared" si="4"/>
        <v>0.19757624015247355</v>
      </c>
      <c r="H23" s="105">
        <f t="shared" si="5"/>
        <v>0.19800000000000001</v>
      </c>
      <c r="I23" s="106">
        <f t="shared" si="6"/>
        <v>1.32</v>
      </c>
      <c r="J23" s="107">
        <f t="shared" si="7"/>
        <v>4</v>
      </c>
    </row>
    <row r="24" spans="1:10" ht="13.35" customHeight="1" thickBot="1">
      <c r="A24" s="110" t="s">
        <v>116</v>
      </c>
      <c r="B24" s="7" t="s">
        <v>118</v>
      </c>
      <c r="C24" s="93">
        <v>2021</v>
      </c>
      <c r="D24" s="111">
        <v>1.1599999999999999</v>
      </c>
      <c r="E24" s="111" t="s">
        <v>89</v>
      </c>
      <c r="F24" s="111" t="s">
        <v>90</v>
      </c>
      <c r="G24" s="104">
        <f t="shared" ref="G24" si="8">IF(F24="Y",((1/(1+EXP(2.6968+(1.1686*LN(D24-0.9)))))),((1/(1+EXP(2.8891+(1.1686*(LN(D24-0.9))))))))</f>
        <v>0.21166642755867562</v>
      </c>
      <c r="H24" s="105">
        <f t="shared" ref="H24" si="9">ROUND(G24,3)</f>
        <v>0.21199999999999999</v>
      </c>
      <c r="I24" s="106">
        <f t="shared" ref="I24" si="10">ROUND(H24/0.15,2)</f>
        <v>1.41</v>
      </c>
      <c r="J24" s="107">
        <f t="shared" ref="J24" si="11">IF(I24&lt;0.673,5,IF(I24&lt;1.33,4,IF(I24&lt;2,3,IF(I24&lt;2.67,2,1))))</f>
        <v>3</v>
      </c>
    </row>
    <row r="25" spans="1:10" ht="13.35" customHeight="1" thickBot="1">
      <c r="A25" s="112" t="s">
        <v>119</v>
      </c>
      <c r="B25" s="113" t="s">
        <v>120</v>
      </c>
      <c r="C25" s="93">
        <v>2021</v>
      </c>
      <c r="D25" s="111">
        <v>1.21</v>
      </c>
      <c r="E25" s="111" t="s">
        <v>89</v>
      </c>
      <c r="F25" s="111" t="s">
        <v>90</v>
      </c>
      <c r="G25" s="104">
        <f t="shared" ref="G25:G26" si="12">IF(F25="Y",((1/(1+EXP(2.6968+(1.1686*LN(D25-0.9)))))),((1/(1+EXP(2.8891+(1.1686*(LN(D25-0.9))))))))</f>
        <v>0.17939444452697093</v>
      </c>
      <c r="H25" s="105">
        <f t="shared" ref="H25:H26" si="13">ROUND(G25,3)</f>
        <v>0.17899999999999999</v>
      </c>
      <c r="I25" s="106">
        <f t="shared" ref="I25:I26" si="14">ROUND(H25/0.15,2)</f>
        <v>1.19</v>
      </c>
      <c r="J25" s="107">
        <f t="shared" ref="J25:J26" si="15">IF(I25&lt;0.673,5,IF(I25&lt;1.33,4,IF(I25&lt;2,3,IF(I25&lt;2.67,2,1))))</f>
        <v>4</v>
      </c>
    </row>
    <row r="26" spans="1:10" ht="13.35" customHeight="1" thickBot="1">
      <c r="A26" s="112" t="s">
        <v>119</v>
      </c>
      <c r="B26" s="113" t="s">
        <v>121</v>
      </c>
      <c r="C26" s="93">
        <v>2021</v>
      </c>
      <c r="D26" s="16"/>
      <c r="E26" s="111"/>
      <c r="F26" s="111"/>
      <c r="G26" s="104" t="e">
        <f t="shared" si="12"/>
        <v>#NUM!</v>
      </c>
      <c r="H26" s="105" t="e">
        <f t="shared" si="13"/>
        <v>#NUM!</v>
      </c>
      <c r="I26" s="106" t="e">
        <f t="shared" si="14"/>
        <v>#NUM!</v>
      </c>
      <c r="J26" s="107" t="e">
        <f t="shared" si="15"/>
        <v>#NUM!</v>
      </c>
    </row>
    <row r="27" spans="1:10" ht="13.35" customHeight="1" thickBot="1">
      <c r="A27" s="112" t="s">
        <v>86</v>
      </c>
      <c r="B27" s="113" t="s">
        <v>122</v>
      </c>
      <c r="C27" s="93">
        <v>2021</v>
      </c>
      <c r="D27" s="111">
        <v>1.42</v>
      </c>
      <c r="E27" s="111" t="s">
        <v>90</v>
      </c>
      <c r="F27" s="111" t="s">
        <v>90</v>
      </c>
      <c r="G27" s="104">
        <f t="shared" si="4"/>
        <v>0.10669807295458973</v>
      </c>
      <c r="H27" s="105">
        <f t="shared" si="5"/>
        <v>0.107</v>
      </c>
      <c r="I27" s="106">
        <f t="shared" si="6"/>
        <v>0.71</v>
      </c>
      <c r="J27" s="107">
        <f t="shared" si="7"/>
        <v>4</v>
      </c>
    </row>
    <row r="28" spans="1:10" ht="13.35" customHeight="1" thickBot="1">
      <c r="A28" s="112" t="s">
        <v>86</v>
      </c>
      <c r="B28" s="113" t="s">
        <v>87</v>
      </c>
      <c r="C28" s="93">
        <v>2021</v>
      </c>
      <c r="D28" s="111">
        <v>1.23</v>
      </c>
      <c r="E28" s="111" t="s">
        <v>89</v>
      </c>
      <c r="F28" s="111" t="s">
        <v>90</v>
      </c>
      <c r="G28" s="104">
        <f t="shared" si="4"/>
        <v>0.16888967495700072</v>
      </c>
      <c r="H28" s="105">
        <f t="shared" si="5"/>
        <v>0.16900000000000001</v>
      </c>
      <c r="I28" s="106">
        <f t="shared" si="6"/>
        <v>1.1299999999999999</v>
      </c>
      <c r="J28" s="107">
        <f t="shared" si="7"/>
        <v>4</v>
      </c>
    </row>
    <row r="29" spans="1:10" ht="13.35" customHeight="1" thickBot="1">
      <c r="A29" s="112" t="s">
        <v>86</v>
      </c>
      <c r="B29" s="113" t="s">
        <v>88</v>
      </c>
      <c r="C29" s="93">
        <v>2021</v>
      </c>
      <c r="D29" s="16">
        <v>1.27</v>
      </c>
      <c r="E29" s="111" t="s">
        <v>89</v>
      </c>
      <c r="F29" s="111" t="s">
        <v>90</v>
      </c>
      <c r="G29" s="104">
        <f t="shared" si="4"/>
        <v>0.15094392869398887</v>
      </c>
      <c r="H29" s="105">
        <f t="shared" si="5"/>
        <v>0.151</v>
      </c>
      <c r="I29" s="106">
        <f t="shared" si="6"/>
        <v>1.01</v>
      </c>
      <c r="J29" s="107">
        <f t="shared" si="7"/>
        <v>4</v>
      </c>
    </row>
    <row r="30" spans="1:10" ht="13.35" customHeight="1" thickBot="1">
      <c r="A30" s="112" t="s">
        <v>123</v>
      </c>
      <c r="B30" s="113" t="s">
        <v>124</v>
      </c>
      <c r="C30" s="93">
        <v>2021</v>
      </c>
      <c r="D30" s="111">
        <v>1.21</v>
      </c>
      <c r="E30" s="111" t="s">
        <v>89</v>
      </c>
      <c r="F30" s="111" t="s">
        <v>90</v>
      </c>
      <c r="G30" s="104">
        <f t="shared" si="4"/>
        <v>0.17939444452697093</v>
      </c>
      <c r="H30" s="105">
        <f t="shared" si="5"/>
        <v>0.17899999999999999</v>
      </c>
      <c r="I30" s="106">
        <f t="shared" si="6"/>
        <v>1.19</v>
      </c>
      <c r="J30" s="107">
        <f t="shared" si="7"/>
        <v>4</v>
      </c>
    </row>
    <row r="31" spans="1:10" ht="13.35" customHeight="1" thickBot="1">
      <c r="A31" s="112" t="s">
        <v>123</v>
      </c>
      <c r="B31" s="113" t="s">
        <v>125</v>
      </c>
      <c r="C31" s="93">
        <v>2021</v>
      </c>
      <c r="D31" s="111">
        <v>1.24</v>
      </c>
      <c r="E31" s="111" t="s">
        <v>89</v>
      </c>
      <c r="F31" s="111" t="s">
        <v>90</v>
      </c>
      <c r="G31" s="104">
        <f t="shared" si="4"/>
        <v>0.1640492476036079</v>
      </c>
      <c r="H31" s="105">
        <f t="shared" si="5"/>
        <v>0.16400000000000001</v>
      </c>
      <c r="I31" s="106">
        <f t="shared" si="6"/>
        <v>1.0900000000000001</v>
      </c>
      <c r="J31" s="107">
        <f t="shared" si="7"/>
        <v>4</v>
      </c>
    </row>
    <row r="32" spans="1:10" ht="13.35" customHeight="1" thickBot="1">
      <c r="A32" s="114" t="s">
        <v>123</v>
      </c>
      <c r="B32" s="115" t="s">
        <v>126</v>
      </c>
      <c r="C32" s="93">
        <v>2021</v>
      </c>
      <c r="D32" s="111">
        <v>1.21</v>
      </c>
      <c r="E32" s="111" t="s">
        <v>89</v>
      </c>
      <c r="F32" s="111" t="s">
        <v>90</v>
      </c>
      <c r="G32" s="104">
        <f t="shared" si="4"/>
        <v>0.17939444452697093</v>
      </c>
      <c r="H32" s="105">
        <f t="shared" si="5"/>
        <v>0.17899999999999999</v>
      </c>
      <c r="I32" s="106">
        <f t="shared" si="6"/>
        <v>1.19</v>
      </c>
      <c r="J32" s="107">
        <f t="shared" si="7"/>
        <v>4</v>
      </c>
    </row>
    <row r="33" spans="1:10" ht="13.35" customHeight="1" thickBot="1">
      <c r="A33" s="114" t="s">
        <v>123</v>
      </c>
      <c r="B33" s="115" t="s">
        <v>127</v>
      </c>
      <c r="C33" s="93">
        <v>2021</v>
      </c>
      <c r="D33" s="111">
        <v>1.23</v>
      </c>
      <c r="E33" s="111" t="s">
        <v>89</v>
      </c>
      <c r="F33" s="111" t="s">
        <v>90</v>
      </c>
      <c r="G33" s="104">
        <f t="shared" si="4"/>
        <v>0.16888967495700072</v>
      </c>
      <c r="H33" s="105">
        <f t="shared" si="5"/>
        <v>0.16900000000000001</v>
      </c>
      <c r="I33" s="106">
        <f t="shared" si="6"/>
        <v>1.1299999999999999</v>
      </c>
      <c r="J33" s="107">
        <f t="shared" si="7"/>
        <v>4</v>
      </c>
    </row>
    <row r="34" spans="1:10" ht="13.35" customHeight="1" thickBot="1">
      <c r="A34" s="114" t="s">
        <v>123</v>
      </c>
      <c r="B34" s="115" t="s">
        <v>128</v>
      </c>
      <c r="C34" s="93">
        <v>2021</v>
      </c>
      <c r="D34" s="111">
        <v>1.24</v>
      </c>
      <c r="E34" s="111" t="s">
        <v>89</v>
      </c>
      <c r="F34" s="111" t="s">
        <v>90</v>
      </c>
      <c r="G34" s="104">
        <f t="shared" si="4"/>
        <v>0.1640492476036079</v>
      </c>
      <c r="H34" s="105">
        <f t="shared" si="5"/>
        <v>0.16400000000000001</v>
      </c>
      <c r="I34" s="106">
        <f t="shared" si="6"/>
        <v>1.0900000000000001</v>
      </c>
      <c r="J34" s="107">
        <f t="shared" si="7"/>
        <v>4</v>
      </c>
    </row>
    <row r="35" spans="1:10" ht="13.35" customHeight="1" thickBot="1">
      <c r="A35" s="114" t="s">
        <v>123</v>
      </c>
      <c r="B35" s="115" t="s">
        <v>129</v>
      </c>
      <c r="C35" s="93">
        <v>2021</v>
      </c>
      <c r="D35" s="111">
        <v>1.23</v>
      </c>
      <c r="E35" s="111" t="s">
        <v>89</v>
      </c>
      <c r="F35" s="111" t="s">
        <v>90</v>
      </c>
      <c r="G35" s="104">
        <f t="shared" si="4"/>
        <v>0.16888967495700072</v>
      </c>
      <c r="H35" s="105">
        <f t="shared" si="5"/>
        <v>0.16900000000000001</v>
      </c>
      <c r="I35" s="106">
        <f t="shared" si="6"/>
        <v>1.1299999999999999</v>
      </c>
      <c r="J35" s="107">
        <f t="shared" si="7"/>
        <v>4</v>
      </c>
    </row>
    <row r="36" spans="1:10" ht="13.35" customHeight="1" thickBot="1">
      <c r="A36" s="117" t="s">
        <v>130</v>
      </c>
      <c r="B36" s="113" t="s">
        <v>131</v>
      </c>
      <c r="C36" s="93">
        <v>2021</v>
      </c>
      <c r="D36" s="16">
        <v>1.47</v>
      </c>
      <c r="E36" s="111" t="s">
        <v>90</v>
      </c>
      <c r="F36" s="111" t="s">
        <v>90</v>
      </c>
      <c r="G36" s="104">
        <f t="shared" si="4"/>
        <v>9.6895269126392819E-2</v>
      </c>
      <c r="H36" s="105">
        <f t="shared" si="5"/>
        <v>9.7000000000000003E-2</v>
      </c>
      <c r="I36" s="106">
        <f t="shared" si="6"/>
        <v>0.65</v>
      </c>
      <c r="J36" s="107">
        <f t="shared" si="7"/>
        <v>5</v>
      </c>
    </row>
    <row r="37" spans="1:10" ht="13.35" customHeight="1" thickBot="1">
      <c r="A37" s="117" t="s">
        <v>130</v>
      </c>
      <c r="B37" s="113" t="s">
        <v>132</v>
      </c>
      <c r="C37" s="93">
        <v>2021</v>
      </c>
      <c r="D37" s="16">
        <v>1.47</v>
      </c>
      <c r="E37" s="111" t="s">
        <v>90</v>
      </c>
      <c r="F37" s="111" t="s">
        <v>90</v>
      </c>
      <c r="G37" s="104">
        <f t="shared" si="4"/>
        <v>9.6895269126392819E-2</v>
      </c>
      <c r="H37" s="105">
        <f t="shared" si="5"/>
        <v>9.7000000000000003E-2</v>
      </c>
      <c r="I37" s="106">
        <f t="shared" si="6"/>
        <v>0.65</v>
      </c>
      <c r="J37" s="107">
        <f t="shared" si="7"/>
        <v>5</v>
      </c>
    </row>
    <row r="38" spans="1:10" ht="13.35" customHeight="1" thickBot="1">
      <c r="A38" s="118" t="s">
        <v>130</v>
      </c>
      <c r="B38" s="115" t="s">
        <v>133</v>
      </c>
      <c r="C38" s="93">
        <v>2021</v>
      </c>
      <c r="D38" s="16">
        <v>1.47</v>
      </c>
      <c r="E38" s="111" t="s">
        <v>90</v>
      </c>
      <c r="F38" s="111" t="s">
        <v>90</v>
      </c>
      <c r="G38" s="104">
        <f t="shared" si="4"/>
        <v>9.6895269126392819E-2</v>
      </c>
      <c r="H38" s="105">
        <f t="shared" si="5"/>
        <v>9.7000000000000003E-2</v>
      </c>
      <c r="I38" s="106">
        <f t="shared" si="6"/>
        <v>0.65</v>
      </c>
      <c r="J38" s="107">
        <f t="shared" si="7"/>
        <v>5</v>
      </c>
    </row>
    <row r="39" spans="1:10" ht="13.35" customHeight="1" thickBot="1">
      <c r="A39" s="118" t="s">
        <v>130</v>
      </c>
      <c r="B39" s="115" t="s">
        <v>134</v>
      </c>
      <c r="C39" s="93">
        <v>2021</v>
      </c>
      <c r="D39" s="16">
        <v>1.47</v>
      </c>
      <c r="E39" s="111" t="s">
        <v>90</v>
      </c>
      <c r="F39" s="111" t="s">
        <v>90</v>
      </c>
      <c r="G39" s="104">
        <f t="shared" si="4"/>
        <v>9.6895269126392819E-2</v>
      </c>
      <c r="H39" s="105">
        <f t="shared" si="5"/>
        <v>9.7000000000000003E-2</v>
      </c>
      <c r="I39" s="106">
        <f t="shared" si="6"/>
        <v>0.65</v>
      </c>
      <c r="J39" s="107">
        <f t="shared" si="7"/>
        <v>5</v>
      </c>
    </row>
    <row r="40" spans="1:10" ht="13.35" customHeight="1" thickBot="1">
      <c r="A40" s="112" t="s">
        <v>130</v>
      </c>
      <c r="B40" s="113" t="s">
        <v>135</v>
      </c>
      <c r="C40" s="93">
        <v>2021</v>
      </c>
      <c r="D40" s="16">
        <v>1.2</v>
      </c>
      <c r="E40" s="16" t="s">
        <v>89</v>
      </c>
      <c r="F40" s="16" t="s">
        <v>90</v>
      </c>
      <c r="G40" s="104">
        <f t="shared" si="4"/>
        <v>0.1851047975833634</v>
      </c>
      <c r="H40" s="105">
        <f t="shared" si="5"/>
        <v>0.185</v>
      </c>
      <c r="I40" s="106">
        <f t="shared" si="6"/>
        <v>1.23</v>
      </c>
      <c r="J40" s="107">
        <f t="shared" si="7"/>
        <v>4</v>
      </c>
    </row>
    <row r="41" spans="1:10" ht="13.35" customHeight="1" thickBot="1">
      <c r="A41" s="112" t="s">
        <v>130</v>
      </c>
      <c r="B41" s="113" t="s">
        <v>136</v>
      </c>
      <c r="C41" s="93">
        <v>2021</v>
      </c>
      <c r="D41" s="16">
        <v>1.2</v>
      </c>
      <c r="E41" s="16" t="s">
        <v>89</v>
      </c>
      <c r="F41" s="16" t="s">
        <v>90</v>
      </c>
      <c r="G41" s="104">
        <f t="shared" si="4"/>
        <v>0.1851047975833634</v>
      </c>
      <c r="H41" s="105">
        <f t="shared" si="5"/>
        <v>0.185</v>
      </c>
      <c r="I41" s="106">
        <f t="shared" si="6"/>
        <v>1.23</v>
      </c>
      <c r="J41" s="107">
        <f t="shared" si="7"/>
        <v>4</v>
      </c>
    </row>
    <row r="42" spans="1:10" ht="13.35" customHeight="1" thickBot="1">
      <c r="A42" s="112" t="s">
        <v>137</v>
      </c>
      <c r="B42" s="113" t="s">
        <v>138</v>
      </c>
      <c r="C42" s="93">
        <v>2021</v>
      </c>
      <c r="D42" s="16">
        <v>1.48</v>
      </c>
      <c r="E42" s="111" t="s">
        <v>90</v>
      </c>
      <c r="F42" s="111" t="s">
        <v>90</v>
      </c>
      <c r="G42" s="104">
        <f t="shared" si="4"/>
        <v>9.5131298699074329E-2</v>
      </c>
      <c r="H42" s="105">
        <f t="shared" si="5"/>
        <v>9.5000000000000001E-2</v>
      </c>
      <c r="I42" s="106">
        <f t="shared" si="6"/>
        <v>0.63</v>
      </c>
      <c r="J42" s="107">
        <f t="shared" si="7"/>
        <v>5</v>
      </c>
    </row>
    <row r="43" spans="1:10" ht="13.35" customHeight="1" thickBot="1">
      <c r="A43" s="112" t="s">
        <v>137</v>
      </c>
      <c r="B43" s="113" t="s">
        <v>183</v>
      </c>
      <c r="C43" s="93">
        <v>2021</v>
      </c>
      <c r="D43" s="16">
        <v>1.21</v>
      </c>
      <c r="E43" s="16" t="s">
        <v>89</v>
      </c>
      <c r="F43" s="103" t="s">
        <v>203</v>
      </c>
      <c r="G43" s="104">
        <f t="shared" si="4"/>
        <v>0.17939444452697093</v>
      </c>
      <c r="H43" s="105">
        <f t="shared" si="5"/>
        <v>0.17899999999999999</v>
      </c>
      <c r="I43" s="106">
        <f t="shared" si="6"/>
        <v>1.19</v>
      </c>
      <c r="J43" s="107">
        <f t="shared" si="7"/>
        <v>4</v>
      </c>
    </row>
    <row r="44" spans="1:10" ht="13.35" customHeight="1" thickBot="1">
      <c r="A44" s="112" t="s">
        <v>137</v>
      </c>
      <c r="B44" s="113" t="s">
        <v>184</v>
      </c>
      <c r="C44" s="93">
        <v>2021</v>
      </c>
      <c r="D44" s="16">
        <v>1.21</v>
      </c>
      <c r="E44" s="16" t="s">
        <v>89</v>
      </c>
      <c r="F44" s="103" t="s">
        <v>90</v>
      </c>
      <c r="G44" s="104">
        <f t="shared" ref="G44:G46" si="16">IF(F44="Y",((1/(1+EXP(2.6968+(1.1686*LN(D44-0.9)))))),((1/(1+EXP(2.8891+(1.1686*(LN(D44-0.9))))))))</f>
        <v>0.17939444452697093</v>
      </c>
      <c r="H44" s="105">
        <f t="shared" ref="H44:H46" si="17">ROUND(G44,3)</f>
        <v>0.17899999999999999</v>
      </c>
      <c r="I44" s="106">
        <f t="shared" ref="I44:I46" si="18">ROUND(H44/0.15,2)</f>
        <v>1.19</v>
      </c>
      <c r="J44" s="107">
        <f t="shared" ref="J44:J46" si="19">IF(I44&lt;0.673,5,IF(I44&lt;1.33,4,IF(I44&lt;2,3,IF(I44&lt;2.67,2,1))))</f>
        <v>4</v>
      </c>
    </row>
    <row r="45" spans="1:10" ht="13.35" customHeight="1" thickBot="1">
      <c r="A45" s="112" t="s">
        <v>137</v>
      </c>
      <c r="B45" s="113" t="s">
        <v>185</v>
      </c>
      <c r="C45" s="93">
        <v>2021</v>
      </c>
      <c r="D45" s="111">
        <v>1.21</v>
      </c>
      <c r="E45" s="111" t="s">
        <v>89</v>
      </c>
      <c r="F45" s="111" t="s">
        <v>90</v>
      </c>
      <c r="G45" s="104">
        <f t="shared" si="16"/>
        <v>0.17939444452697093</v>
      </c>
      <c r="H45" s="105">
        <f t="shared" si="17"/>
        <v>0.17899999999999999</v>
      </c>
      <c r="I45" s="106">
        <f t="shared" si="18"/>
        <v>1.19</v>
      </c>
      <c r="J45" s="107">
        <f t="shared" si="19"/>
        <v>4</v>
      </c>
    </row>
    <row r="46" spans="1:10" ht="13.35" customHeight="1" thickBot="1">
      <c r="A46" s="112" t="s">
        <v>137</v>
      </c>
      <c r="B46" s="113" t="s">
        <v>186</v>
      </c>
      <c r="C46" s="93">
        <v>2021</v>
      </c>
      <c r="D46" s="16">
        <v>1.21</v>
      </c>
      <c r="E46" s="111" t="s">
        <v>89</v>
      </c>
      <c r="F46" s="111" t="s">
        <v>90</v>
      </c>
      <c r="G46" s="104">
        <f t="shared" si="16"/>
        <v>0.17939444452697093</v>
      </c>
      <c r="H46" s="105">
        <f t="shared" si="17"/>
        <v>0.17899999999999999</v>
      </c>
      <c r="I46" s="106">
        <f t="shared" si="18"/>
        <v>1.19</v>
      </c>
      <c r="J46" s="107">
        <f t="shared" si="19"/>
        <v>4</v>
      </c>
    </row>
    <row r="47" spans="1:10" ht="13.35" customHeight="1" thickBot="1">
      <c r="A47" s="112" t="s">
        <v>139</v>
      </c>
      <c r="B47" s="113" t="s">
        <v>140</v>
      </c>
      <c r="C47" s="93">
        <v>2021</v>
      </c>
      <c r="D47" s="111">
        <v>1.2</v>
      </c>
      <c r="E47" s="111" t="s">
        <v>89</v>
      </c>
      <c r="F47" s="77" t="s">
        <v>90</v>
      </c>
      <c r="G47" s="104">
        <f t="shared" ref="G47:G51" si="20">IF(F47="Y",((1/(1+EXP(2.6968+(1.1686*LN(D47-0.9)))))),((1/(1+EXP(2.8891+(1.1686*(LN(D47-0.9))))))))</f>
        <v>0.1851047975833634</v>
      </c>
      <c r="H47" s="105">
        <f t="shared" ref="H47:H51" si="21">ROUND(G47,3)</f>
        <v>0.185</v>
      </c>
      <c r="I47" s="106">
        <f t="shared" ref="I47:I51" si="22">ROUND(H47/0.15,2)</f>
        <v>1.23</v>
      </c>
      <c r="J47" s="107">
        <f t="shared" ref="J47:J51" si="23">IF(I47&lt;0.673,5,IF(I47&lt;1.33,4,IF(I47&lt;2,3,IF(I47&lt;2.67,2,1))))</f>
        <v>4</v>
      </c>
    </row>
    <row r="48" spans="1:10" ht="13.35" customHeight="1" thickBot="1">
      <c r="A48" s="114" t="s">
        <v>139</v>
      </c>
      <c r="B48" s="115" t="s">
        <v>141</v>
      </c>
      <c r="C48" s="93">
        <v>2021</v>
      </c>
      <c r="D48" s="111">
        <v>1.45</v>
      </c>
      <c r="E48" s="111" t="s">
        <v>90</v>
      </c>
      <c r="F48" s="77" t="s">
        <v>90</v>
      </c>
      <c r="G48" s="104">
        <f t="shared" si="20"/>
        <v>0.10060976640917974</v>
      </c>
      <c r="H48" s="105">
        <f t="shared" si="21"/>
        <v>0.10100000000000001</v>
      </c>
      <c r="I48" s="106">
        <f t="shared" si="22"/>
        <v>0.67</v>
      </c>
      <c r="J48" s="107">
        <f t="shared" si="23"/>
        <v>5</v>
      </c>
    </row>
    <row r="49" spans="1:10" ht="13.35" customHeight="1" thickBot="1">
      <c r="A49" s="112" t="s">
        <v>142</v>
      </c>
      <c r="B49" s="119" t="s">
        <v>143</v>
      </c>
      <c r="C49" s="93">
        <v>2021</v>
      </c>
      <c r="D49" s="16">
        <v>1.43</v>
      </c>
      <c r="E49" s="111" t="s">
        <v>90</v>
      </c>
      <c r="F49" s="77" t="s">
        <v>90</v>
      </c>
      <c r="G49" s="104">
        <f t="shared" si="20"/>
        <v>0.10459491849361911</v>
      </c>
      <c r="H49" s="105">
        <f t="shared" si="21"/>
        <v>0.105</v>
      </c>
      <c r="I49" s="106">
        <f t="shared" si="22"/>
        <v>0.7</v>
      </c>
      <c r="J49" s="107">
        <f t="shared" si="23"/>
        <v>4</v>
      </c>
    </row>
    <row r="50" spans="1:10" ht="13.35" customHeight="1" thickBot="1">
      <c r="A50" s="114" t="s">
        <v>142</v>
      </c>
      <c r="B50" s="120" t="s">
        <v>144</v>
      </c>
      <c r="C50" s="93">
        <v>2021</v>
      </c>
      <c r="D50" s="16">
        <v>1.43</v>
      </c>
      <c r="E50" s="111" t="s">
        <v>90</v>
      </c>
      <c r="F50" s="77" t="s">
        <v>90</v>
      </c>
      <c r="G50" s="104">
        <f t="shared" si="20"/>
        <v>0.10459491849361911</v>
      </c>
      <c r="H50" s="105">
        <f t="shared" si="21"/>
        <v>0.105</v>
      </c>
      <c r="I50" s="106">
        <f t="shared" si="22"/>
        <v>0.7</v>
      </c>
      <c r="J50" s="107">
        <f t="shared" si="23"/>
        <v>4</v>
      </c>
    </row>
    <row r="51" spans="1:10" ht="13.35" customHeight="1">
      <c r="A51" s="114" t="s">
        <v>142</v>
      </c>
      <c r="B51" s="120" t="s">
        <v>145</v>
      </c>
      <c r="C51" s="93">
        <v>2021</v>
      </c>
      <c r="D51" s="16">
        <v>1.43</v>
      </c>
      <c r="E51" s="111" t="s">
        <v>90</v>
      </c>
      <c r="F51" s="77" t="s">
        <v>90</v>
      </c>
      <c r="G51" s="104">
        <f t="shared" si="20"/>
        <v>0.10459491849361911</v>
      </c>
      <c r="H51" s="105">
        <f t="shared" si="21"/>
        <v>0.105</v>
      </c>
      <c r="I51" s="106">
        <f t="shared" si="22"/>
        <v>0.7</v>
      </c>
      <c r="J51" s="107">
        <f t="shared" si="23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1"/>
  <sheetViews>
    <sheetView workbookViewId="0">
      <pane xSplit="6" ySplit="2" topLeftCell="G19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3" sqref="A23:XFD24"/>
    </sheetView>
  </sheetViews>
  <sheetFormatPr defaultColWidth="9.140625" defaultRowHeight="12.75"/>
  <cols>
    <col min="1" max="1" width="8.42578125" style="170" customWidth="1"/>
    <col min="2" max="2" width="9.5703125" style="170" bestFit="1" customWidth="1"/>
    <col min="3" max="3" width="13.5703125" style="258" bestFit="1" customWidth="1"/>
    <col min="4" max="4" width="36.5703125" style="258" bestFit="1" customWidth="1"/>
    <col min="5" max="5" width="7.42578125" style="258" customWidth="1"/>
    <col min="6" max="6" width="8.42578125" style="258" customWidth="1"/>
    <col min="7" max="7" width="6.5703125" style="259" bestFit="1" customWidth="1"/>
    <col min="8" max="8" width="4.85546875" style="259" bestFit="1" customWidth="1"/>
    <col min="9" max="9" width="9.5703125" style="259" customWidth="1"/>
    <col min="10" max="10" width="10.140625" style="259" customWidth="1"/>
    <col min="11" max="11" width="8.5703125" style="259" customWidth="1"/>
    <col min="12" max="12" width="8.140625" style="259" bestFit="1" customWidth="1"/>
    <col min="13" max="13" width="8.5703125" style="259" customWidth="1"/>
    <col min="14" max="14" width="8.5703125" style="259" bestFit="1" customWidth="1"/>
    <col min="15" max="15" width="6.5703125" style="259" bestFit="1" customWidth="1"/>
    <col min="16" max="16" width="4.85546875" style="259" bestFit="1" customWidth="1"/>
    <col min="17" max="17" width="8.5703125" style="259" customWidth="1"/>
    <col min="18" max="18" width="8.5703125" style="259" bestFit="1" customWidth="1"/>
    <col min="19" max="19" width="9.140625" style="259" customWidth="1"/>
    <col min="20" max="20" width="8.140625" style="259" bestFit="1" customWidth="1"/>
    <col min="21" max="21" width="7.5703125" style="259" bestFit="1" customWidth="1"/>
    <col min="22" max="22" width="8.5703125" style="259" customWidth="1"/>
    <col min="23" max="23" width="7.5703125" style="260" bestFit="1" customWidth="1"/>
    <col min="24" max="24" width="5.5703125" style="260" bestFit="1" customWidth="1"/>
    <col min="25" max="25" width="10.5703125" style="260" bestFit="1" customWidth="1"/>
    <col min="26" max="26" width="11.5703125" style="260" bestFit="1" customWidth="1"/>
    <col min="27" max="27" width="7.42578125" style="260" customWidth="1"/>
    <col min="28" max="28" width="7.5703125" style="260" bestFit="1" customWidth="1"/>
    <col min="29" max="29" width="7.5703125" style="100" bestFit="1" customWidth="1"/>
    <col min="30" max="31" width="9.140625" style="100" bestFit="1" customWidth="1"/>
    <col min="32" max="32" width="8.140625" style="100" bestFit="1" customWidth="1"/>
    <col min="33" max="33" width="7.5703125" style="100" bestFit="1" customWidth="1"/>
    <col min="34" max="34" width="5.140625" style="100" bestFit="1" customWidth="1"/>
    <col min="35" max="35" width="10.5703125" style="100" bestFit="1" customWidth="1"/>
    <col min="36" max="36" width="11.5703125" style="100" bestFit="1" customWidth="1"/>
    <col min="37" max="37" width="7.140625" style="100" bestFit="1" customWidth="1"/>
    <col min="38" max="39" width="7.5703125" style="100" bestFit="1" customWidth="1"/>
    <col min="40" max="41" width="9.140625" style="100" bestFit="1" customWidth="1"/>
    <col min="42" max="42" width="8.140625" style="100" bestFit="1" customWidth="1"/>
    <col min="43" max="43" width="7.5703125" style="100" customWidth="1"/>
    <col min="44" max="44" width="9.5703125" style="100" bestFit="1" customWidth="1"/>
    <col min="45" max="45" width="7.5703125" style="100" bestFit="1" customWidth="1"/>
    <col min="46" max="46" width="5.5703125" style="260" bestFit="1" customWidth="1"/>
    <col min="47" max="47" width="9.5703125" style="260" bestFit="1" customWidth="1"/>
    <col min="48" max="48" width="5.5703125" style="260" bestFit="1" customWidth="1"/>
    <col min="49" max="49" width="5.5703125" style="261" bestFit="1" customWidth="1"/>
    <col min="50" max="50" width="9.5703125" style="261" bestFit="1" customWidth="1"/>
    <col min="51" max="51" width="5.5703125" style="262" bestFit="1" customWidth="1"/>
    <col min="52" max="16384" width="9.140625" style="100"/>
  </cols>
  <sheetData>
    <row r="1" spans="1:51" s="234" customFormat="1" ht="13.5" thickBot="1">
      <c r="A1" s="222"/>
      <c r="B1" s="204"/>
      <c r="C1" s="223"/>
      <c r="D1" s="223"/>
      <c r="E1" s="224"/>
      <c r="F1" s="224"/>
      <c r="G1" s="180" t="s">
        <v>27</v>
      </c>
      <c r="H1" s="225"/>
      <c r="I1" s="225"/>
      <c r="J1" s="225"/>
      <c r="K1" s="225"/>
      <c r="L1" s="225"/>
      <c r="M1" s="225"/>
      <c r="N1" s="226"/>
      <c r="O1" s="180" t="s">
        <v>28</v>
      </c>
      <c r="P1" s="225"/>
      <c r="Q1" s="225"/>
      <c r="R1" s="225"/>
      <c r="S1" s="225"/>
      <c r="T1" s="225"/>
      <c r="U1" s="225"/>
      <c r="V1" s="226"/>
      <c r="W1" s="227" t="s">
        <v>29</v>
      </c>
      <c r="X1" s="228"/>
      <c r="Y1" s="228"/>
      <c r="Z1" s="228"/>
      <c r="AA1" s="228"/>
      <c r="AB1" s="228"/>
      <c r="AC1" s="228"/>
      <c r="AD1" s="228"/>
      <c r="AE1" s="228"/>
      <c r="AF1" s="229"/>
      <c r="AG1" s="227" t="s">
        <v>30</v>
      </c>
      <c r="AH1" s="228"/>
      <c r="AI1" s="228"/>
      <c r="AJ1" s="228"/>
      <c r="AK1" s="228"/>
      <c r="AL1" s="228"/>
      <c r="AM1" s="228"/>
      <c r="AN1" s="228"/>
      <c r="AO1" s="228"/>
      <c r="AP1" s="229"/>
      <c r="AQ1" s="222" t="s">
        <v>13</v>
      </c>
      <c r="AR1" s="204" t="s">
        <v>16</v>
      </c>
      <c r="AS1" s="230" t="s">
        <v>9</v>
      </c>
      <c r="AT1" s="231" t="s">
        <v>13</v>
      </c>
      <c r="AU1" s="34" t="s">
        <v>16</v>
      </c>
      <c r="AV1" s="35" t="s">
        <v>50</v>
      </c>
      <c r="AW1" s="232" t="s">
        <v>13</v>
      </c>
      <c r="AX1" s="38" t="s">
        <v>16</v>
      </c>
      <c r="AY1" s="233" t="s">
        <v>50</v>
      </c>
    </row>
    <row r="2" spans="1:51" s="6" customFormat="1" ht="34.5" thickBot="1">
      <c r="A2" s="48" t="s">
        <v>26</v>
      </c>
      <c r="B2" s="235" t="s">
        <v>82</v>
      </c>
      <c r="C2" s="48" t="s">
        <v>18</v>
      </c>
      <c r="D2" s="85" t="s">
        <v>19</v>
      </c>
      <c r="E2" s="235" t="s">
        <v>74</v>
      </c>
      <c r="F2" s="86" t="s">
        <v>20</v>
      </c>
      <c r="G2" s="236" t="s">
        <v>24</v>
      </c>
      <c r="H2" s="237" t="s">
        <v>0</v>
      </c>
      <c r="I2" s="238" t="s">
        <v>33</v>
      </c>
      <c r="J2" s="238" t="s">
        <v>60</v>
      </c>
      <c r="K2" s="238" t="s">
        <v>34</v>
      </c>
      <c r="L2" s="238" t="s">
        <v>35</v>
      </c>
      <c r="M2" s="238" t="s">
        <v>36</v>
      </c>
      <c r="N2" s="239" t="s">
        <v>37</v>
      </c>
      <c r="O2" s="236" t="s">
        <v>24</v>
      </c>
      <c r="P2" s="237" t="s">
        <v>0</v>
      </c>
      <c r="Q2" s="238" t="s">
        <v>33</v>
      </c>
      <c r="R2" s="238" t="s">
        <v>60</v>
      </c>
      <c r="S2" s="238" t="s">
        <v>34</v>
      </c>
      <c r="T2" s="238" t="s">
        <v>35</v>
      </c>
      <c r="U2" s="238" t="s">
        <v>36</v>
      </c>
      <c r="V2" s="239" t="s">
        <v>37</v>
      </c>
      <c r="W2" s="240" t="s">
        <v>25</v>
      </c>
      <c r="X2" s="241" t="s">
        <v>2</v>
      </c>
      <c r="Y2" s="31" t="s">
        <v>5</v>
      </c>
      <c r="Z2" s="31" t="s">
        <v>61</v>
      </c>
      <c r="AA2" s="241" t="s">
        <v>6</v>
      </c>
      <c r="AB2" s="31" t="s">
        <v>3</v>
      </c>
      <c r="AC2" s="242" t="s">
        <v>3</v>
      </c>
      <c r="AD2" s="242" t="s">
        <v>22</v>
      </c>
      <c r="AE2" s="242" t="s">
        <v>23</v>
      </c>
      <c r="AF2" s="243" t="s">
        <v>4</v>
      </c>
      <c r="AG2" s="236" t="s">
        <v>25</v>
      </c>
      <c r="AH2" s="237" t="s">
        <v>2</v>
      </c>
      <c r="AI2" s="237" t="s">
        <v>5</v>
      </c>
      <c r="AJ2" s="237" t="s">
        <v>62</v>
      </c>
      <c r="AK2" s="237" t="s">
        <v>6</v>
      </c>
      <c r="AL2" s="237" t="s">
        <v>3</v>
      </c>
      <c r="AM2" s="237" t="s">
        <v>3</v>
      </c>
      <c r="AN2" s="237" t="s">
        <v>22</v>
      </c>
      <c r="AO2" s="237" t="s">
        <v>23</v>
      </c>
      <c r="AP2" s="244" t="s">
        <v>4</v>
      </c>
      <c r="AQ2" s="48" t="s">
        <v>7</v>
      </c>
      <c r="AR2" s="85" t="s">
        <v>8</v>
      </c>
      <c r="AS2" s="86" t="s">
        <v>8</v>
      </c>
      <c r="AT2" s="245" t="s">
        <v>63</v>
      </c>
      <c r="AU2" s="67" t="s">
        <v>63</v>
      </c>
      <c r="AV2" s="36" t="s">
        <v>63</v>
      </c>
      <c r="AW2" s="68" t="s">
        <v>44</v>
      </c>
      <c r="AX2" s="69" t="s">
        <v>44</v>
      </c>
      <c r="AY2" s="246" t="s">
        <v>31</v>
      </c>
    </row>
    <row r="3" spans="1:51" ht="13.35" customHeight="1">
      <c r="A3" s="116">
        <v>11356</v>
      </c>
      <c r="B3" s="77" t="s">
        <v>197</v>
      </c>
      <c r="C3" s="247" t="str">
        <f>Rollover!A3</f>
        <v>Acura</v>
      </c>
      <c r="D3" s="248" t="str">
        <f>Rollover!B3</f>
        <v>TLX 4DR FWD</v>
      </c>
      <c r="E3" s="217" t="s">
        <v>92</v>
      </c>
      <c r="F3" s="73">
        <f>Rollover!C3</f>
        <v>2021</v>
      </c>
      <c r="G3" s="9">
        <v>142.90299999999999</v>
      </c>
      <c r="H3" s="10">
        <v>0.2</v>
      </c>
      <c r="I3" s="10">
        <v>778.44</v>
      </c>
      <c r="J3" s="10">
        <v>126.116</v>
      </c>
      <c r="K3" s="10">
        <v>23.954000000000001</v>
      </c>
      <c r="L3" s="10">
        <v>36.1</v>
      </c>
      <c r="M3" s="10">
        <v>1147.2159999999999</v>
      </c>
      <c r="N3" s="11">
        <v>1187.337</v>
      </c>
      <c r="O3" s="9">
        <v>358.28899999999999</v>
      </c>
      <c r="P3" s="10">
        <v>0.318</v>
      </c>
      <c r="Q3" s="10">
        <v>829.42100000000005</v>
      </c>
      <c r="R3" s="10">
        <v>295.286</v>
      </c>
      <c r="S3" s="10">
        <v>15.859</v>
      </c>
      <c r="T3" s="10">
        <v>41.253999999999998</v>
      </c>
      <c r="U3" s="10">
        <v>1850.423</v>
      </c>
      <c r="V3" s="11">
        <v>2106.3679999999999</v>
      </c>
      <c r="W3" s="249">
        <f t="shared" ref="W3:W21" si="0">NORMDIST(LN(G3),7.45231,0.73998,1)</f>
        <v>3.8250986425030647E-4</v>
      </c>
      <c r="X3" s="5">
        <f t="shared" ref="X3:X21" si="1">1/(1+EXP(3.2269-1.9688*H3))</f>
        <v>5.5559403980248209E-2</v>
      </c>
      <c r="Y3" s="5">
        <f t="shared" ref="Y3:Y21" si="2">1/(1+EXP(10.9745-2.375*I3/1000))</f>
        <v>1.0882017311230366E-4</v>
      </c>
      <c r="Z3" s="5">
        <f t="shared" ref="Z3:Z21" si="3">1/(1+EXP(10.9745-2.375*J3/1000))</f>
        <v>2.311572084179076E-5</v>
      </c>
      <c r="AA3" s="5">
        <f t="shared" ref="AA3:AA21" si="4">MAX(X3,Y3,Z3)</f>
        <v>5.5559403980248209E-2</v>
      </c>
      <c r="AB3" s="5">
        <f t="shared" ref="AB3:AB21" si="5">1/(1+EXP(12.597-0.05861*35-1.568*(K3^0.4612)))</f>
        <v>2.2727471909517509E-2</v>
      </c>
      <c r="AC3" s="5">
        <f t="shared" ref="AC3:AC21" si="6">AB3</f>
        <v>2.2727471909517509E-2</v>
      </c>
      <c r="AD3" s="5">
        <f t="shared" ref="AD3:AD21" si="7">1/(1+EXP(5.7949-0.5196*M3/1000))</f>
        <v>5.4928143556197797E-3</v>
      </c>
      <c r="AE3" s="5">
        <f t="shared" ref="AE3:AE21" si="8">1/(1+EXP(5.7949-0.5196*N3/1000))</f>
        <v>5.607875368709026E-3</v>
      </c>
      <c r="AF3" s="23">
        <f t="shared" ref="AF3:AF21" si="9">MAX(AD3,AE3)</f>
        <v>5.607875368709026E-3</v>
      </c>
      <c r="AG3" s="22">
        <f t="shared" ref="AG3:AG21" si="10">NORMDIST(LN(O3),7.45231,0.73998,1)</f>
        <v>1.6877348515238557E-2</v>
      </c>
      <c r="AH3" s="5">
        <f t="shared" ref="AH3:AH21" si="11">1/(1+EXP(3.2269-1.9688*P3))</f>
        <v>6.9085562279253956E-2</v>
      </c>
      <c r="AI3" s="5">
        <f t="shared" ref="AI3:AI21" si="12">1/(1+EXP(10.958-3.77*Q3/1000))</f>
        <v>3.9703745116768935E-4</v>
      </c>
      <c r="AJ3" s="5">
        <f t="shared" ref="AJ3:AJ21" si="13">1/(1+EXP(10.958-3.77*R3/1000))</f>
        <v>5.3020877743821511E-5</v>
      </c>
      <c r="AK3" s="5">
        <f t="shared" ref="AK3:AK21" si="14">MAX(AH3,AI3,AJ3)</f>
        <v>6.9085562279253956E-2</v>
      </c>
      <c r="AL3" s="5">
        <f t="shared" ref="AL3:AL21" si="15">1/(1+EXP(12.597-0.05861*35-1.568*((S3/0.817)^0.4612)))</f>
        <v>1.2269867136322551E-2</v>
      </c>
      <c r="AM3" s="5">
        <f t="shared" ref="AM3:AM21" si="16">AL3</f>
        <v>1.2269867136322551E-2</v>
      </c>
      <c r="AN3" s="5">
        <f t="shared" ref="AN3:AN21" si="17">1/(1+EXP(5.7949-0.7619*U3/1000))</f>
        <v>1.2308714027125908E-2</v>
      </c>
      <c r="AO3" s="5">
        <f t="shared" ref="AO3:AO21" si="18">1/(1+EXP(5.7949-0.7619*V3/1000))</f>
        <v>1.4919442105626863E-2</v>
      </c>
      <c r="AP3" s="23">
        <f t="shared" ref="AP3:AP21" si="19">MAX(AN3,AO3)</f>
        <v>1.4919442105626863E-2</v>
      </c>
      <c r="AQ3" s="22">
        <f t="shared" ref="AQ3:AQ21" si="20">ROUND(1-(1-W3)*(1-AA3)*(1-AC3)*(1-AF3),3)</f>
        <v>8.3000000000000004E-2</v>
      </c>
      <c r="AR3" s="5">
        <f t="shared" ref="AR3:AR21" si="21">ROUND(1-(1-AG3)*(1-AK3)*(1-AM3)*(1-AP3),3)</f>
        <v>0.11</v>
      </c>
      <c r="AS3" s="23">
        <f t="shared" ref="AS3:AS21" si="22">ROUND(AVERAGE(AR3,AQ3),3)</f>
        <v>9.7000000000000003E-2</v>
      </c>
      <c r="AT3" s="250">
        <f t="shared" ref="AT3:AT21" si="23">ROUND(AQ3/0.15,2)</f>
        <v>0.55000000000000004</v>
      </c>
      <c r="AU3" s="251">
        <f t="shared" ref="AU3:AU21" si="24">ROUND(AR3/0.15,2)</f>
        <v>0.73</v>
      </c>
      <c r="AV3" s="252">
        <f t="shared" ref="AV3:AV21" si="25">ROUND(AS3/0.15,2)</f>
        <v>0.65</v>
      </c>
      <c r="AW3" s="253">
        <f t="shared" ref="AW3:AW21" si="26">IF(AT3&lt;0.67,5,IF(AT3&lt;1,4,IF(AT3&lt;1.33,3,IF(AT3&lt;2.67,2,1))))</f>
        <v>5</v>
      </c>
      <c r="AX3" s="44">
        <f t="shared" ref="AX3:AX21" si="27">IF(AU3&lt;0.67,5,IF(AU3&lt;1,4,IF(AU3&lt;1.33,3,IF(AU3&lt;2.67,2,1))))</f>
        <v>4</v>
      </c>
      <c r="AY3" s="254">
        <f t="shared" ref="AY3:AY21" si="28">IF(AV3&lt;0.67,5,IF(AV3&lt;1,4,IF(AV3&lt;1.33,3,IF(AV3&lt;2.67,2,1))))</f>
        <v>5</v>
      </c>
    </row>
    <row r="4" spans="1:51" ht="13.35" customHeight="1">
      <c r="A4" s="116">
        <v>11356</v>
      </c>
      <c r="B4" s="77" t="s">
        <v>197</v>
      </c>
      <c r="C4" s="247" t="str">
        <f>Rollover!A4</f>
        <v>Acura</v>
      </c>
      <c r="D4" s="248" t="str">
        <f>Rollover!B4</f>
        <v>TLX 4DR AWD</v>
      </c>
      <c r="E4" s="217" t="s">
        <v>92</v>
      </c>
      <c r="F4" s="73">
        <f>Rollover!C4</f>
        <v>2021</v>
      </c>
      <c r="G4" s="9">
        <v>142.90299999999999</v>
      </c>
      <c r="H4" s="10">
        <v>0.2</v>
      </c>
      <c r="I4" s="10">
        <v>778.44</v>
      </c>
      <c r="J4" s="10">
        <v>126.116</v>
      </c>
      <c r="K4" s="10">
        <v>23.954000000000001</v>
      </c>
      <c r="L4" s="10">
        <v>36.1</v>
      </c>
      <c r="M4" s="10">
        <v>1147.2159999999999</v>
      </c>
      <c r="N4" s="11">
        <v>1187.337</v>
      </c>
      <c r="O4" s="9">
        <v>358.28899999999999</v>
      </c>
      <c r="P4" s="10">
        <v>0.318</v>
      </c>
      <c r="Q4" s="10">
        <v>829.42100000000005</v>
      </c>
      <c r="R4" s="10">
        <v>295.286</v>
      </c>
      <c r="S4" s="10">
        <v>15.859</v>
      </c>
      <c r="T4" s="10">
        <v>41.253999999999998</v>
      </c>
      <c r="U4" s="10">
        <v>1850.423</v>
      </c>
      <c r="V4" s="11">
        <v>2106.3679999999999</v>
      </c>
      <c r="W4" s="249">
        <f t="shared" si="0"/>
        <v>3.8250986425030647E-4</v>
      </c>
      <c r="X4" s="5">
        <f t="shared" si="1"/>
        <v>5.5559403980248209E-2</v>
      </c>
      <c r="Y4" s="5">
        <f t="shared" si="2"/>
        <v>1.0882017311230366E-4</v>
      </c>
      <c r="Z4" s="5">
        <f t="shared" si="3"/>
        <v>2.311572084179076E-5</v>
      </c>
      <c r="AA4" s="5">
        <f t="shared" si="4"/>
        <v>5.5559403980248209E-2</v>
      </c>
      <c r="AB4" s="5">
        <f t="shared" si="5"/>
        <v>2.2727471909517509E-2</v>
      </c>
      <c r="AC4" s="5">
        <f t="shared" si="6"/>
        <v>2.2727471909517509E-2</v>
      </c>
      <c r="AD4" s="5">
        <f t="shared" si="7"/>
        <v>5.4928143556197797E-3</v>
      </c>
      <c r="AE4" s="5">
        <f t="shared" si="8"/>
        <v>5.607875368709026E-3</v>
      </c>
      <c r="AF4" s="23">
        <f t="shared" si="9"/>
        <v>5.607875368709026E-3</v>
      </c>
      <c r="AG4" s="22">
        <f t="shared" si="10"/>
        <v>1.6877348515238557E-2</v>
      </c>
      <c r="AH4" s="5">
        <f t="shared" si="11"/>
        <v>6.9085562279253956E-2</v>
      </c>
      <c r="AI4" s="5">
        <f t="shared" si="12"/>
        <v>3.9703745116768935E-4</v>
      </c>
      <c r="AJ4" s="5">
        <f t="shared" si="13"/>
        <v>5.3020877743821511E-5</v>
      </c>
      <c r="AK4" s="5">
        <f t="shared" si="14"/>
        <v>6.9085562279253956E-2</v>
      </c>
      <c r="AL4" s="5">
        <f t="shared" si="15"/>
        <v>1.2269867136322551E-2</v>
      </c>
      <c r="AM4" s="5">
        <f t="shared" si="16"/>
        <v>1.2269867136322551E-2</v>
      </c>
      <c r="AN4" s="5">
        <f t="shared" si="17"/>
        <v>1.2308714027125908E-2</v>
      </c>
      <c r="AO4" s="5">
        <f t="shared" si="18"/>
        <v>1.4919442105626863E-2</v>
      </c>
      <c r="AP4" s="23">
        <f t="shared" si="19"/>
        <v>1.4919442105626863E-2</v>
      </c>
      <c r="AQ4" s="22">
        <f t="shared" si="20"/>
        <v>8.3000000000000004E-2</v>
      </c>
      <c r="AR4" s="5">
        <f t="shared" si="21"/>
        <v>0.11</v>
      </c>
      <c r="AS4" s="23">
        <f t="shared" si="22"/>
        <v>9.7000000000000003E-2</v>
      </c>
      <c r="AT4" s="24">
        <f t="shared" si="23"/>
        <v>0.55000000000000004</v>
      </c>
      <c r="AU4" s="218">
        <f t="shared" si="24"/>
        <v>0.73</v>
      </c>
      <c r="AV4" s="25">
        <f t="shared" si="25"/>
        <v>0.65</v>
      </c>
      <c r="AW4" s="253">
        <f t="shared" si="26"/>
        <v>5</v>
      </c>
      <c r="AX4" s="44">
        <f t="shared" si="27"/>
        <v>4</v>
      </c>
      <c r="AY4" s="254">
        <f t="shared" si="28"/>
        <v>5</v>
      </c>
    </row>
    <row r="5" spans="1:51" ht="13.35" customHeight="1">
      <c r="A5" s="255">
        <v>10918</v>
      </c>
      <c r="B5" s="103" t="s">
        <v>146</v>
      </c>
      <c r="C5" s="247" t="str">
        <f>Rollover!A5</f>
        <v>Cadillac</v>
      </c>
      <c r="D5" s="248" t="str">
        <f>Rollover!B5</f>
        <v>XT6 SUV FWD</v>
      </c>
      <c r="E5" s="217" t="s">
        <v>147</v>
      </c>
      <c r="F5" s="73">
        <f>Rollover!C5</f>
        <v>2021</v>
      </c>
      <c r="G5" s="17">
        <v>166.70500000000001</v>
      </c>
      <c r="H5" s="18">
        <v>0.25</v>
      </c>
      <c r="I5" s="18">
        <v>830.36900000000003</v>
      </c>
      <c r="J5" s="18">
        <v>125.55200000000001</v>
      </c>
      <c r="K5" s="18">
        <v>13.05</v>
      </c>
      <c r="L5" s="18">
        <v>43.848999999999997</v>
      </c>
      <c r="M5" s="18">
        <v>716.2</v>
      </c>
      <c r="N5" s="19">
        <v>1591.5889999999999</v>
      </c>
      <c r="O5" s="17">
        <v>305.12599999999998</v>
      </c>
      <c r="P5" s="18">
        <v>0.378</v>
      </c>
      <c r="Q5" s="18">
        <v>688.63900000000001</v>
      </c>
      <c r="R5" s="18">
        <v>314.57100000000003</v>
      </c>
      <c r="S5" s="18">
        <v>15.186</v>
      </c>
      <c r="T5" s="18">
        <v>43.725000000000001</v>
      </c>
      <c r="U5" s="18">
        <v>41.113</v>
      </c>
      <c r="V5" s="19">
        <v>24.457999999999998</v>
      </c>
      <c r="W5" s="249">
        <f t="shared" si="0"/>
        <v>7.9712731409580938E-4</v>
      </c>
      <c r="X5" s="5">
        <f t="shared" si="1"/>
        <v>6.0956574927221202E-2</v>
      </c>
      <c r="Y5" s="5">
        <f t="shared" si="2"/>
        <v>1.2310206688226865E-4</v>
      </c>
      <c r="Z5" s="5">
        <f t="shared" si="3"/>
        <v>2.308477877658359E-5</v>
      </c>
      <c r="AA5" s="5">
        <f t="shared" si="4"/>
        <v>6.0956574927221202E-2</v>
      </c>
      <c r="AB5" s="5">
        <f t="shared" si="5"/>
        <v>4.4136812246547193E-3</v>
      </c>
      <c r="AC5" s="5">
        <f t="shared" si="6"/>
        <v>4.4136812246547193E-3</v>
      </c>
      <c r="AD5" s="5">
        <f t="shared" si="7"/>
        <v>4.3955276578112826E-3</v>
      </c>
      <c r="AE5" s="5">
        <f t="shared" si="8"/>
        <v>6.909597204331765E-3</v>
      </c>
      <c r="AF5" s="23">
        <f t="shared" si="9"/>
        <v>6.909597204331765E-3</v>
      </c>
      <c r="AG5" s="22">
        <f t="shared" si="10"/>
        <v>9.6407537903774199E-3</v>
      </c>
      <c r="AH5" s="5">
        <f t="shared" si="11"/>
        <v>7.7080363754934419E-2</v>
      </c>
      <c r="AI5" s="5">
        <f t="shared" si="12"/>
        <v>2.3356163390628759E-4</v>
      </c>
      <c r="AJ5" s="5">
        <f t="shared" si="13"/>
        <v>5.7019094743944377E-5</v>
      </c>
      <c r="AK5" s="5">
        <f t="shared" si="14"/>
        <v>7.7080363754934419E-2</v>
      </c>
      <c r="AL5" s="5">
        <f t="shared" si="15"/>
        <v>1.0876850032178224E-2</v>
      </c>
      <c r="AM5" s="5">
        <f t="shared" si="16"/>
        <v>1.0876850032178224E-2</v>
      </c>
      <c r="AN5" s="5">
        <f t="shared" si="17"/>
        <v>3.1300354470633045E-3</v>
      </c>
      <c r="AO5" s="5">
        <f t="shared" si="18"/>
        <v>3.090689957428601E-3</v>
      </c>
      <c r="AP5" s="23">
        <f t="shared" si="19"/>
        <v>3.1300354470633045E-3</v>
      </c>
      <c r="AQ5" s="22">
        <f t="shared" si="20"/>
        <v>7.1999999999999995E-2</v>
      </c>
      <c r="AR5" s="5">
        <f t="shared" si="21"/>
        <v>9.9000000000000005E-2</v>
      </c>
      <c r="AS5" s="23">
        <f t="shared" si="22"/>
        <v>8.5999999999999993E-2</v>
      </c>
      <c r="AT5" s="24">
        <f t="shared" si="23"/>
        <v>0.48</v>
      </c>
      <c r="AU5" s="218">
        <f t="shared" si="24"/>
        <v>0.66</v>
      </c>
      <c r="AV5" s="25">
        <f t="shared" si="25"/>
        <v>0.56999999999999995</v>
      </c>
      <c r="AW5" s="253">
        <f t="shared" si="26"/>
        <v>5</v>
      </c>
      <c r="AX5" s="44">
        <f t="shared" si="27"/>
        <v>5</v>
      </c>
      <c r="AY5" s="254">
        <f t="shared" si="28"/>
        <v>5</v>
      </c>
    </row>
    <row r="6" spans="1:51" ht="13.35" customHeight="1">
      <c r="A6" s="255">
        <v>10918</v>
      </c>
      <c r="B6" s="103" t="s">
        <v>146</v>
      </c>
      <c r="C6" s="247" t="str">
        <f>Rollover!A6</f>
        <v>Cadillac</v>
      </c>
      <c r="D6" s="248" t="str">
        <f>Rollover!B6</f>
        <v>XT6 SUV AWD</v>
      </c>
      <c r="E6" s="217" t="s">
        <v>147</v>
      </c>
      <c r="F6" s="73">
        <f>Rollover!C6</f>
        <v>2021</v>
      </c>
      <c r="G6" s="9">
        <v>166.70500000000001</v>
      </c>
      <c r="H6" s="10">
        <v>0.25</v>
      </c>
      <c r="I6" s="10">
        <v>830.36900000000003</v>
      </c>
      <c r="J6" s="10">
        <v>125.55200000000001</v>
      </c>
      <c r="K6" s="10">
        <v>13.05</v>
      </c>
      <c r="L6" s="10">
        <v>43.848999999999997</v>
      </c>
      <c r="M6" s="10">
        <v>716.2</v>
      </c>
      <c r="N6" s="11">
        <v>1591.5889999999999</v>
      </c>
      <c r="O6" s="9">
        <v>305.12599999999998</v>
      </c>
      <c r="P6" s="10">
        <v>0.378</v>
      </c>
      <c r="Q6" s="10">
        <v>688.63900000000001</v>
      </c>
      <c r="R6" s="10">
        <v>314.57100000000003</v>
      </c>
      <c r="S6" s="10">
        <v>15.186</v>
      </c>
      <c r="T6" s="10">
        <v>43.725000000000001</v>
      </c>
      <c r="U6" s="10">
        <v>41.113</v>
      </c>
      <c r="V6" s="11">
        <v>24.457999999999998</v>
      </c>
      <c r="W6" s="249">
        <f t="shared" si="0"/>
        <v>7.9712731409580938E-4</v>
      </c>
      <c r="X6" s="5">
        <f t="shared" si="1"/>
        <v>6.0956574927221202E-2</v>
      </c>
      <c r="Y6" s="5">
        <f t="shared" si="2"/>
        <v>1.2310206688226865E-4</v>
      </c>
      <c r="Z6" s="5">
        <f t="shared" si="3"/>
        <v>2.308477877658359E-5</v>
      </c>
      <c r="AA6" s="5">
        <f t="shared" si="4"/>
        <v>6.0956574927221202E-2</v>
      </c>
      <c r="AB6" s="5">
        <f t="shared" si="5"/>
        <v>4.4136812246547193E-3</v>
      </c>
      <c r="AC6" s="5">
        <f t="shared" si="6"/>
        <v>4.4136812246547193E-3</v>
      </c>
      <c r="AD6" s="5">
        <f t="shared" si="7"/>
        <v>4.3955276578112826E-3</v>
      </c>
      <c r="AE6" s="5">
        <f t="shared" si="8"/>
        <v>6.909597204331765E-3</v>
      </c>
      <c r="AF6" s="23">
        <f t="shared" si="9"/>
        <v>6.909597204331765E-3</v>
      </c>
      <c r="AG6" s="22">
        <f t="shared" si="10"/>
        <v>9.6407537903774199E-3</v>
      </c>
      <c r="AH6" s="5">
        <f t="shared" si="11"/>
        <v>7.7080363754934419E-2</v>
      </c>
      <c r="AI6" s="5">
        <f t="shared" si="12"/>
        <v>2.3356163390628759E-4</v>
      </c>
      <c r="AJ6" s="5">
        <f t="shared" si="13"/>
        <v>5.7019094743944377E-5</v>
      </c>
      <c r="AK6" s="5">
        <f t="shared" si="14"/>
        <v>7.7080363754934419E-2</v>
      </c>
      <c r="AL6" s="5">
        <f t="shared" si="15"/>
        <v>1.0876850032178224E-2</v>
      </c>
      <c r="AM6" s="5">
        <f t="shared" si="16"/>
        <v>1.0876850032178224E-2</v>
      </c>
      <c r="AN6" s="5">
        <f t="shared" si="17"/>
        <v>3.1300354470633045E-3</v>
      </c>
      <c r="AO6" s="5">
        <f t="shared" si="18"/>
        <v>3.090689957428601E-3</v>
      </c>
      <c r="AP6" s="23">
        <f t="shared" si="19"/>
        <v>3.1300354470633045E-3</v>
      </c>
      <c r="AQ6" s="22">
        <f t="shared" si="20"/>
        <v>7.1999999999999995E-2</v>
      </c>
      <c r="AR6" s="5">
        <f t="shared" si="21"/>
        <v>9.9000000000000005E-2</v>
      </c>
      <c r="AS6" s="23">
        <f t="shared" si="22"/>
        <v>8.5999999999999993E-2</v>
      </c>
      <c r="AT6" s="24">
        <f t="shared" si="23"/>
        <v>0.48</v>
      </c>
      <c r="AU6" s="218">
        <f t="shared" si="24"/>
        <v>0.66</v>
      </c>
      <c r="AV6" s="25">
        <f t="shared" si="25"/>
        <v>0.56999999999999995</v>
      </c>
      <c r="AW6" s="253">
        <f t="shared" si="26"/>
        <v>5</v>
      </c>
      <c r="AX6" s="44">
        <f t="shared" si="27"/>
        <v>5</v>
      </c>
      <c r="AY6" s="254">
        <f t="shared" si="28"/>
        <v>5</v>
      </c>
    </row>
    <row r="7" spans="1:51" ht="13.35" customHeight="1">
      <c r="A7" s="255">
        <v>11350</v>
      </c>
      <c r="B7" s="103" t="s">
        <v>193</v>
      </c>
      <c r="C7" s="247" t="str">
        <f>Rollover!A7</f>
        <v>Chevrolet</v>
      </c>
      <c r="D7" s="248" t="str">
        <f>Rollover!B7</f>
        <v>Tahoe SUV 2WD</v>
      </c>
      <c r="E7" s="217" t="s">
        <v>147</v>
      </c>
      <c r="F7" s="73">
        <f>Rollover!C7</f>
        <v>2021</v>
      </c>
      <c r="G7" s="9">
        <v>146.05199999999999</v>
      </c>
      <c r="H7" s="10">
        <v>0.22700000000000001</v>
      </c>
      <c r="I7" s="10">
        <v>1377.731</v>
      </c>
      <c r="J7" s="10">
        <v>225.458</v>
      </c>
      <c r="K7" s="10">
        <v>22.623000000000001</v>
      </c>
      <c r="L7" s="10">
        <v>37.121000000000002</v>
      </c>
      <c r="M7" s="10">
        <v>677.06399999999996</v>
      </c>
      <c r="N7" s="11">
        <v>716.77599999999995</v>
      </c>
      <c r="O7" s="9">
        <v>233.49</v>
      </c>
      <c r="P7" s="10">
        <v>0.47099999999999997</v>
      </c>
      <c r="Q7" s="10">
        <v>1180.931</v>
      </c>
      <c r="R7" s="10">
        <v>285.00299999999999</v>
      </c>
      <c r="S7" s="10">
        <v>15.936999999999999</v>
      </c>
      <c r="T7" s="10">
        <v>37.642000000000003</v>
      </c>
      <c r="U7" s="10">
        <v>1481.501</v>
      </c>
      <c r="V7" s="11">
        <v>3606.0259999999998</v>
      </c>
      <c r="W7" s="249">
        <f t="shared" si="0"/>
        <v>4.2543292532756826E-4</v>
      </c>
      <c r="X7" s="5">
        <f t="shared" si="1"/>
        <v>5.8415523590316071E-2</v>
      </c>
      <c r="Y7" s="5">
        <f t="shared" si="2"/>
        <v>4.5154274344566103E-4</v>
      </c>
      <c r="Z7" s="5">
        <f t="shared" si="3"/>
        <v>2.9266515330520899E-5</v>
      </c>
      <c r="AA7" s="5">
        <f t="shared" si="4"/>
        <v>5.8415523590316071E-2</v>
      </c>
      <c r="AB7" s="5">
        <f t="shared" si="5"/>
        <v>1.9119674889465147E-2</v>
      </c>
      <c r="AC7" s="5">
        <f t="shared" si="6"/>
        <v>1.9119674889465147E-2</v>
      </c>
      <c r="AD7" s="5">
        <f t="shared" si="7"/>
        <v>4.3074281176847581E-3</v>
      </c>
      <c r="AE7" s="5">
        <f t="shared" si="8"/>
        <v>4.3968376053459364E-3</v>
      </c>
      <c r="AF7" s="23">
        <f t="shared" si="9"/>
        <v>4.3968376053459364E-3</v>
      </c>
      <c r="AG7" s="22">
        <f t="shared" si="10"/>
        <v>3.4497644696491595E-3</v>
      </c>
      <c r="AH7" s="5">
        <f t="shared" si="11"/>
        <v>9.1156491924931887E-2</v>
      </c>
      <c r="AI7" s="5">
        <f t="shared" si="12"/>
        <v>1.4923792448380874E-3</v>
      </c>
      <c r="AJ7" s="5">
        <f t="shared" si="13"/>
        <v>5.1004856914450424E-5</v>
      </c>
      <c r="AK7" s="5">
        <f t="shared" si="14"/>
        <v>9.1156491924931887E-2</v>
      </c>
      <c r="AL7" s="5">
        <f t="shared" si="15"/>
        <v>1.2440069627090437E-2</v>
      </c>
      <c r="AM7" s="5">
        <f t="shared" si="16"/>
        <v>1.2440069627090437E-2</v>
      </c>
      <c r="AN7" s="5">
        <f t="shared" si="17"/>
        <v>9.3207807794166327E-3</v>
      </c>
      <c r="AO7" s="5">
        <f t="shared" si="18"/>
        <v>4.5326878899691864E-2</v>
      </c>
      <c r="AP7" s="23">
        <f t="shared" si="19"/>
        <v>4.5326878899691864E-2</v>
      </c>
      <c r="AQ7" s="22">
        <f t="shared" si="20"/>
        <v>8.1000000000000003E-2</v>
      </c>
      <c r="AR7" s="5">
        <f t="shared" si="21"/>
        <v>0.14599999999999999</v>
      </c>
      <c r="AS7" s="23">
        <f t="shared" si="22"/>
        <v>0.114</v>
      </c>
      <c r="AT7" s="24">
        <f t="shared" si="23"/>
        <v>0.54</v>
      </c>
      <c r="AU7" s="218">
        <f t="shared" si="24"/>
        <v>0.97</v>
      </c>
      <c r="AV7" s="25">
        <f t="shared" si="25"/>
        <v>0.76</v>
      </c>
      <c r="AW7" s="253">
        <f t="shared" si="26"/>
        <v>5</v>
      </c>
      <c r="AX7" s="44">
        <f t="shared" si="27"/>
        <v>4</v>
      </c>
      <c r="AY7" s="254">
        <f t="shared" si="28"/>
        <v>4</v>
      </c>
    </row>
    <row r="8" spans="1:51" ht="13.35" customHeight="1">
      <c r="A8" s="255">
        <v>11350</v>
      </c>
      <c r="B8" s="103" t="s">
        <v>193</v>
      </c>
      <c r="C8" s="247" t="str">
        <f>Rollover!A8</f>
        <v>Chevrolet</v>
      </c>
      <c r="D8" s="248" t="str">
        <f>Rollover!B8</f>
        <v>Tahoe SUV 4WD</v>
      </c>
      <c r="E8" s="217" t="s">
        <v>147</v>
      </c>
      <c r="F8" s="73">
        <f>Rollover!C8</f>
        <v>2021</v>
      </c>
      <c r="G8" s="9">
        <v>146.05199999999999</v>
      </c>
      <c r="H8" s="10">
        <v>0.22700000000000001</v>
      </c>
      <c r="I8" s="10">
        <v>1377.731</v>
      </c>
      <c r="J8" s="10">
        <v>225.458</v>
      </c>
      <c r="K8" s="10">
        <v>22.623000000000001</v>
      </c>
      <c r="L8" s="10">
        <v>37.121000000000002</v>
      </c>
      <c r="M8" s="10">
        <v>677.06399999999996</v>
      </c>
      <c r="N8" s="11">
        <v>716.77599999999995</v>
      </c>
      <c r="O8" s="9">
        <v>233.49</v>
      </c>
      <c r="P8" s="10">
        <v>0.47099999999999997</v>
      </c>
      <c r="Q8" s="10">
        <v>1180.931</v>
      </c>
      <c r="R8" s="10">
        <v>285.00299999999999</v>
      </c>
      <c r="S8" s="10">
        <v>15.936999999999999</v>
      </c>
      <c r="T8" s="10">
        <v>37.642000000000003</v>
      </c>
      <c r="U8" s="10">
        <v>1481.501</v>
      </c>
      <c r="V8" s="11">
        <v>3606.0259999999998</v>
      </c>
      <c r="W8" s="249">
        <f t="shared" si="0"/>
        <v>4.2543292532756826E-4</v>
      </c>
      <c r="X8" s="5">
        <f t="shared" si="1"/>
        <v>5.8415523590316071E-2</v>
      </c>
      <c r="Y8" s="5">
        <f t="shared" si="2"/>
        <v>4.5154274344566103E-4</v>
      </c>
      <c r="Z8" s="5">
        <f t="shared" si="3"/>
        <v>2.9266515330520899E-5</v>
      </c>
      <c r="AA8" s="5">
        <f t="shared" si="4"/>
        <v>5.8415523590316071E-2</v>
      </c>
      <c r="AB8" s="5">
        <f t="shared" si="5"/>
        <v>1.9119674889465147E-2</v>
      </c>
      <c r="AC8" s="5">
        <f t="shared" si="6"/>
        <v>1.9119674889465147E-2</v>
      </c>
      <c r="AD8" s="5">
        <f t="shared" si="7"/>
        <v>4.3074281176847581E-3</v>
      </c>
      <c r="AE8" s="5">
        <f t="shared" si="8"/>
        <v>4.3968376053459364E-3</v>
      </c>
      <c r="AF8" s="23">
        <f t="shared" si="9"/>
        <v>4.3968376053459364E-3</v>
      </c>
      <c r="AG8" s="22">
        <f t="shared" si="10"/>
        <v>3.4497644696491595E-3</v>
      </c>
      <c r="AH8" s="5">
        <f t="shared" si="11"/>
        <v>9.1156491924931887E-2</v>
      </c>
      <c r="AI8" s="5">
        <f t="shared" si="12"/>
        <v>1.4923792448380874E-3</v>
      </c>
      <c r="AJ8" s="5">
        <f t="shared" si="13"/>
        <v>5.1004856914450424E-5</v>
      </c>
      <c r="AK8" s="5">
        <f t="shared" si="14"/>
        <v>9.1156491924931887E-2</v>
      </c>
      <c r="AL8" s="5">
        <f t="shared" si="15"/>
        <v>1.2440069627090437E-2</v>
      </c>
      <c r="AM8" s="5">
        <f t="shared" si="16"/>
        <v>1.2440069627090437E-2</v>
      </c>
      <c r="AN8" s="5">
        <f t="shared" si="17"/>
        <v>9.3207807794166327E-3</v>
      </c>
      <c r="AO8" s="5">
        <f t="shared" si="18"/>
        <v>4.5326878899691864E-2</v>
      </c>
      <c r="AP8" s="23">
        <f t="shared" si="19"/>
        <v>4.5326878899691864E-2</v>
      </c>
      <c r="AQ8" s="22">
        <f t="shared" si="20"/>
        <v>8.1000000000000003E-2</v>
      </c>
      <c r="AR8" s="5">
        <f t="shared" si="21"/>
        <v>0.14599999999999999</v>
      </c>
      <c r="AS8" s="23">
        <f t="shared" si="22"/>
        <v>0.114</v>
      </c>
      <c r="AT8" s="24">
        <f t="shared" si="23"/>
        <v>0.54</v>
      </c>
      <c r="AU8" s="218">
        <f t="shared" si="24"/>
        <v>0.97</v>
      </c>
      <c r="AV8" s="25">
        <f t="shared" si="25"/>
        <v>0.76</v>
      </c>
      <c r="AW8" s="253">
        <f t="shared" si="26"/>
        <v>5</v>
      </c>
      <c r="AX8" s="44">
        <f t="shared" si="27"/>
        <v>4</v>
      </c>
      <c r="AY8" s="254">
        <f t="shared" si="28"/>
        <v>4</v>
      </c>
    </row>
    <row r="9" spans="1:51" ht="13.35" customHeight="1">
      <c r="A9" s="255">
        <v>11350</v>
      </c>
      <c r="B9" s="103" t="s">
        <v>193</v>
      </c>
      <c r="C9" s="256" t="str">
        <f>Rollover!A9</f>
        <v xml:space="preserve">GMC </v>
      </c>
      <c r="D9" s="74" t="str">
        <f>Rollover!B9</f>
        <v>Yukon SUV 2WD</v>
      </c>
      <c r="E9" s="217" t="s">
        <v>147</v>
      </c>
      <c r="F9" s="73">
        <f>Rollover!C9</f>
        <v>2021</v>
      </c>
      <c r="G9" s="9">
        <v>146.05199999999999</v>
      </c>
      <c r="H9" s="10">
        <v>0.22700000000000001</v>
      </c>
      <c r="I9" s="10">
        <v>1377.731</v>
      </c>
      <c r="J9" s="10">
        <v>225.458</v>
      </c>
      <c r="K9" s="10">
        <v>22.623000000000001</v>
      </c>
      <c r="L9" s="10">
        <v>37.121000000000002</v>
      </c>
      <c r="M9" s="10">
        <v>677.06399999999996</v>
      </c>
      <c r="N9" s="11">
        <v>716.77599999999995</v>
      </c>
      <c r="O9" s="9">
        <v>233.49</v>
      </c>
      <c r="P9" s="10">
        <v>0.47099999999999997</v>
      </c>
      <c r="Q9" s="10">
        <v>1180.931</v>
      </c>
      <c r="R9" s="10">
        <v>285.00299999999999</v>
      </c>
      <c r="S9" s="10">
        <v>15.936999999999999</v>
      </c>
      <c r="T9" s="10">
        <v>37.642000000000003</v>
      </c>
      <c r="U9" s="10">
        <v>1481.501</v>
      </c>
      <c r="V9" s="11">
        <v>3606.0259999999998</v>
      </c>
      <c r="W9" s="249">
        <f t="shared" si="0"/>
        <v>4.2543292532756826E-4</v>
      </c>
      <c r="X9" s="5">
        <f t="shared" si="1"/>
        <v>5.8415523590316071E-2</v>
      </c>
      <c r="Y9" s="5">
        <f t="shared" si="2"/>
        <v>4.5154274344566103E-4</v>
      </c>
      <c r="Z9" s="5">
        <f t="shared" si="3"/>
        <v>2.9266515330520899E-5</v>
      </c>
      <c r="AA9" s="5">
        <f t="shared" si="4"/>
        <v>5.8415523590316071E-2</v>
      </c>
      <c r="AB9" s="5">
        <f t="shared" si="5"/>
        <v>1.9119674889465147E-2</v>
      </c>
      <c r="AC9" s="5">
        <f t="shared" si="6"/>
        <v>1.9119674889465147E-2</v>
      </c>
      <c r="AD9" s="5">
        <f t="shared" si="7"/>
        <v>4.3074281176847581E-3</v>
      </c>
      <c r="AE9" s="5">
        <f t="shared" si="8"/>
        <v>4.3968376053459364E-3</v>
      </c>
      <c r="AF9" s="23">
        <f t="shared" si="9"/>
        <v>4.3968376053459364E-3</v>
      </c>
      <c r="AG9" s="22">
        <f t="shared" si="10"/>
        <v>3.4497644696491595E-3</v>
      </c>
      <c r="AH9" s="5">
        <f t="shared" si="11"/>
        <v>9.1156491924931887E-2</v>
      </c>
      <c r="AI9" s="5">
        <f t="shared" si="12"/>
        <v>1.4923792448380874E-3</v>
      </c>
      <c r="AJ9" s="5">
        <f t="shared" si="13"/>
        <v>5.1004856914450424E-5</v>
      </c>
      <c r="AK9" s="5">
        <f t="shared" si="14"/>
        <v>9.1156491924931887E-2</v>
      </c>
      <c r="AL9" s="5">
        <f t="shared" si="15"/>
        <v>1.2440069627090437E-2</v>
      </c>
      <c r="AM9" s="5">
        <f t="shared" si="16"/>
        <v>1.2440069627090437E-2</v>
      </c>
      <c r="AN9" s="5">
        <f t="shared" si="17"/>
        <v>9.3207807794166327E-3</v>
      </c>
      <c r="AO9" s="5">
        <f t="shared" si="18"/>
        <v>4.5326878899691864E-2</v>
      </c>
      <c r="AP9" s="23">
        <f t="shared" si="19"/>
        <v>4.5326878899691864E-2</v>
      </c>
      <c r="AQ9" s="22">
        <f t="shared" si="20"/>
        <v>8.1000000000000003E-2</v>
      </c>
      <c r="AR9" s="5">
        <f t="shared" si="21"/>
        <v>0.14599999999999999</v>
      </c>
      <c r="AS9" s="23">
        <f t="shared" si="22"/>
        <v>0.114</v>
      </c>
      <c r="AT9" s="24">
        <f t="shared" si="23"/>
        <v>0.54</v>
      </c>
      <c r="AU9" s="218">
        <f t="shared" si="24"/>
        <v>0.97</v>
      </c>
      <c r="AV9" s="25">
        <f t="shared" si="25"/>
        <v>0.76</v>
      </c>
      <c r="AW9" s="253">
        <f t="shared" si="26"/>
        <v>5</v>
      </c>
      <c r="AX9" s="44">
        <f t="shared" si="27"/>
        <v>4</v>
      </c>
      <c r="AY9" s="254">
        <f t="shared" si="28"/>
        <v>4</v>
      </c>
    </row>
    <row r="10" spans="1:51" ht="13.35" customHeight="1">
      <c r="A10" s="255">
        <v>11350</v>
      </c>
      <c r="B10" s="103" t="s">
        <v>193</v>
      </c>
      <c r="C10" s="256" t="str">
        <f>Rollover!A10</f>
        <v xml:space="preserve">GMC </v>
      </c>
      <c r="D10" s="74" t="str">
        <f>Rollover!B10</f>
        <v>Yukon SUV 4WD</v>
      </c>
      <c r="E10" s="217" t="s">
        <v>147</v>
      </c>
      <c r="F10" s="73">
        <f>Rollover!C10</f>
        <v>2021</v>
      </c>
      <c r="G10" s="9">
        <v>146.05199999999999</v>
      </c>
      <c r="H10" s="10">
        <v>0.22700000000000001</v>
      </c>
      <c r="I10" s="10">
        <v>1377.731</v>
      </c>
      <c r="J10" s="10">
        <v>225.458</v>
      </c>
      <c r="K10" s="10">
        <v>22.623000000000001</v>
      </c>
      <c r="L10" s="10">
        <v>37.121000000000002</v>
      </c>
      <c r="M10" s="10">
        <v>677.06399999999996</v>
      </c>
      <c r="N10" s="11">
        <v>716.77599999999995</v>
      </c>
      <c r="O10" s="9">
        <v>233.49</v>
      </c>
      <c r="P10" s="10">
        <v>0.47099999999999997</v>
      </c>
      <c r="Q10" s="10">
        <v>1180.931</v>
      </c>
      <c r="R10" s="10">
        <v>285.00299999999999</v>
      </c>
      <c r="S10" s="10">
        <v>15.936999999999999</v>
      </c>
      <c r="T10" s="10">
        <v>37.642000000000003</v>
      </c>
      <c r="U10" s="10">
        <v>1481.501</v>
      </c>
      <c r="V10" s="11">
        <v>3606.0259999999998</v>
      </c>
      <c r="W10" s="249">
        <f t="shared" si="0"/>
        <v>4.2543292532756826E-4</v>
      </c>
      <c r="X10" s="5">
        <f t="shared" si="1"/>
        <v>5.8415523590316071E-2</v>
      </c>
      <c r="Y10" s="5">
        <f t="shared" si="2"/>
        <v>4.5154274344566103E-4</v>
      </c>
      <c r="Z10" s="5">
        <f t="shared" si="3"/>
        <v>2.9266515330520899E-5</v>
      </c>
      <c r="AA10" s="5">
        <f t="shared" si="4"/>
        <v>5.8415523590316071E-2</v>
      </c>
      <c r="AB10" s="5">
        <f t="shared" si="5"/>
        <v>1.9119674889465147E-2</v>
      </c>
      <c r="AC10" s="5">
        <f t="shared" si="6"/>
        <v>1.9119674889465147E-2</v>
      </c>
      <c r="AD10" s="5">
        <f t="shared" si="7"/>
        <v>4.3074281176847581E-3</v>
      </c>
      <c r="AE10" s="5">
        <f t="shared" si="8"/>
        <v>4.3968376053459364E-3</v>
      </c>
      <c r="AF10" s="23">
        <f t="shared" si="9"/>
        <v>4.3968376053459364E-3</v>
      </c>
      <c r="AG10" s="22">
        <f t="shared" si="10"/>
        <v>3.4497644696491595E-3</v>
      </c>
      <c r="AH10" s="5">
        <f t="shared" si="11"/>
        <v>9.1156491924931887E-2</v>
      </c>
      <c r="AI10" s="5">
        <f t="shared" si="12"/>
        <v>1.4923792448380874E-3</v>
      </c>
      <c r="AJ10" s="5">
        <f t="shared" si="13"/>
        <v>5.1004856914450424E-5</v>
      </c>
      <c r="AK10" s="5">
        <f t="shared" si="14"/>
        <v>9.1156491924931887E-2</v>
      </c>
      <c r="AL10" s="5">
        <f t="shared" si="15"/>
        <v>1.2440069627090437E-2</v>
      </c>
      <c r="AM10" s="5">
        <f t="shared" si="16"/>
        <v>1.2440069627090437E-2</v>
      </c>
      <c r="AN10" s="5">
        <f t="shared" si="17"/>
        <v>9.3207807794166327E-3</v>
      </c>
      <c r="AO10" s="5">
        <f t="shared" si="18"/>
        <v>4.5326878899691864E-2</v>
      </c>
      <c r="AP10" s="23">
        <f t="shared" si="19"/>
        <v>4.5326878899691864E-2</v>
      </c>
      <c r="AQ10" s="22">
        <f t="shared" si="20"/>
        <v>8.1000000000000003E-2</v>
      </c>
      <c r="AR10" s="5">
        <f t="shared" si="21"/>
        <v>0.14599999999999999</v>
      </c>
      <c r="AS10" s="23">
        <f t="shared" si="22"/>
        <v>0.114</v>
      </c>
      <c r="AT10" s="24">
        <f t="shared" si="23"/>
        <v>0.54</v>
      </c>
      <c r="AU10" s="218">
        <f t="shared" si="24"/>
        <v>0.97</v>
      </c>
      <c r="AV10" s="25">
        <f t="shared" si="25"/>
        <v>0.76</v>
      </c>
      <c r="AW10" s="253">
        <f t="shared" si="26"/>
        <v>5</v>
      </c>
      <c r="AX10" s="44">
        <f t="shared" si="27"/>
        <v>4</v>
      </c>
      <c r="AY10" s="254">
        <f t="shared" si="28"/>
        <v>4</v>
      </c>
    </row>
    <row r="11" spans="1:51" ht="13.35" customHeight="1">
      <c r="A11" s="255">
        <v>11350</v>
      </c>
      <c r="B11" s="103" t="s">
        <v>193</v>
      </c>
      <c r="C11" s="256" t="str">
        <f>Rollover!A11</f>
        <v>Cadillac</v>
      </c>
      <c r="D11" s="74" t="str">
        <f>Rollover!B11</f>
        <v>Escalade SUV 2WD</v>
      </c>
      <c r="E11" s="217" t="s">
        <v>147</v>
      </c>
      <c r="F11" s="73">
        <f>Rollover!C11</f>
        <v>2021</v>
      </c>
      <c r="G11" s="75">
        <v>146.05199999999999</v>
      </c>
      <c r="H11" s="10">
        <v>0.22700000000000001</v>
      </c>
      <c r="I11" s="10">
        <v>1377.731</v>
      </c>
      <c r="J11" s="10">
        <v>225.458</v>
      </c>
      <c r="K11" s="75">
        <v>22.623000000000001</v>
      </c>
      <c r="L11" s="10">
        <v>37.121000000000002</v>
      </c>
      <c r="M11" s="5">
        <v>677.06399999999996</v>
      </c>
      <c r="N11" s="23">
        <v>716.77599999999995</v>
      </c>
      <c r="O11" s="9">
        <v>233.49</v>
      </c>
      <c r="P11" s="10">
        <v>0.47099999999999997</v>
      </c>
      <c r="Q11" s="10">
        <v>1180.931</v>
      </c>
      <c r="R11" s="10">
        <v>285.00299999999999</v>
      </c>
      <c r="S11" s="10">
        <v>15.936999999999999</v>
      </c>
      <c r="T11" s="10">
        <v>37.642000000000003</v>
      </c>
      <c r="U11" s="10">
        <v>1481.501</v>
      </c>
      <c r="V11" s="11">
        <v>3606.0259999999998</v>
      </c>
      <c r="W11" s="249">
        <f t="shared" si="0"/>
        <v>4.2543292532756826E-4</v>
      </c>
      <c r="X11" s="5">
        <f t="shared" si="1"/>
        <v>5.8415523590316071E-2</v>
      </c>
      <c r="Y11" s="5">
        <f t="shared" si="2"/>
        <v>4.5154274344566103E-4</v>
      </c>
      <c r="Z11" s="5">
        <f t="shared" si="3"/>
        <v>2.9266515330520899E-5</v>
      </c>
      <c r="AA11" s="5">
        <f t="shared" si="4"/>
        <v>5.8415523590316071E-2</v>
      </c>
      <c r="AB11" s="5">
        <f t="shared" si="5"/>
        <v>1.9119674889465147E-2</v>
      </c>
      <c r="AC11" s="5">
        <f t="shared" si="6"/>
        <v>1.9119674889465147E-2</v>
      </c>
      <c r="AD11" s="5">
        <f t="shared" si="7"/>
        <v>4.3074281176847581E-3</v>
      </c>
      <c r="AE11" s="5">
        <f t="shared" si="8"/>
        <v>4.3968376053459364E-3</v>
      </c>
      <c r="AF11" s="23">
        <f t="shared" si="9"/>
        <v>4.3968376053459364E-3</v>
      </c>
      <c r="AG11" s="22">
        <f t="shared" si="10"/>
        <v>3.4497644696491595E-3</v>
      </c>
      <c r="AH11" s="5">
        <f t="shared" si="11"/>
        <v>9.1156491924931887E-2</v>
      </c>
      <c r="AI11" s="5">
        <f t="shared" si="12"/>
        <v>1.4923792448380874E-3</v>
      </c>
      <c r="AJ11" s="5">
        <f t="shared" si="13"/>
        <v>5.1004856914450424E-5</v>
      </c>
      <c r="AK11" s="5">
        <f t="shared" si="14"/>
        <v>9.1156491924931887E-2</v>
      </c>
      <c r="AL11" s="5">
        <f t="shared" si="15"/>
        <v>1.2440069627090437E-2</v>
      </c>
      <c r="AM11" s="5">
        <f t="shared" si="16"/>
        <v>1.2440069627090437E-2</v>
      </c>
      <c r="AN11" s="5">
        <f t="shared" si="17"/>
        <v>9.3207807794166327E-3</v>
      </c>
      <c r="AO11" s="5">
        <f t="shared" si="18"/>
        <v>4.5326878899691864E-2</v>
      </c>
      <c r="AP11" s="23">
        <f t="shared" si="19"/>
        <v>4.5326878899691864E-2</v>
      </c>
      <c r="AQ11" s="22">
        <f t="shared" si="20"/>
        <v>8.1000000000000003E-2</v>
      </c>
      <c r="AR11" s="5">
        <f t="shared" si="21"/>
        <v>0.14599999999999999</v>
      </c>
      <c r="AS11" s="23">
        <f t="shared" si="22"/>
        <v>0.114</v>
      </c>
      <c r="AT11" s="24">
        <f t="shared" si="23"/>
        <v>0.54</v>
      </c>
      <c r="AU11" s="218">
        <f t="shared" si="24"/>
        <v>0.97</v>
      </c>
      <c r="AV11" s="25">
        <f t="shared" si="25"/>
        <v>0.76</v>
      </c>
      <c r="AW11" s="253">
        <f t="shared" si="26"/>
        <v>5</v>
      </c>
      <c r="AX11" s="44">
        <f t="shared" si="27"/>
        <v>4</v>
      </c>
      <c r="AY11" s="254">
        <f t="shared" si="28"/>
        <v>4</v>
      </c>
    </row>
    <row r="12" spans="1:51" ht="13.35" customHeight="1">
      <c r="A12" s="255">
        <v>11350</v>
      </c>
      <c r="B12" s="103" t="s">
        <v>193</v>
      </c>
      <c r="C12" s="256" t="str">
        <f>Rollover!A12</f>
        <v>Cadillac</v>
      </c>
      <c r="D12" s="74" t="str">
        <f>Rollover!B12</f>
        <v>Escalade SUV 4WD</v>
      </c>
      <c r="E12" s="217" t="s">
        <v>147</v>
      </c>
      <c r="F12" s="73">
        <f>Rollover!C12</f>
        <v>2021</v>
      </c>
      <c r="G12" s="75">
        <v>146.05199999999999</v>
      </c>
      <c r="H12" s="10">
        <v>0.22700000000000001</v>
      </c>
      <c r="I12" s="10">
        <v>1377.731</v>
      </c>
      <c r="J12" s="10">
        <v>225.458</v>
      </c>
      <c r="K12" s="75">
        <v>22.623000000000001</v>
      </c>
      <c r="L12" s="10">
        <v>37.121000000000002</v>
      </c>
      <c r="M12" s="5">
        <v>677.06399999999996</v>
      </c>
      <c r="N12" s="76">
        <v>716.77599999999995</v>
      </c>
      <c r="O12" s="9">
        <v>233.49</v>
      </c>
      <c r="P12" s="10">
        <v>0.47099999999999997</v>
      </c>
      <c r="Q12" s="10">
        <v>1180.931</v>
      </c>
      <c r="R12" s="10">
        <v>285.00299999999999</v>
      </c>
      <c r="S12" s="10">
        <v>15.936999999999999</v>
      </c>
      <c r="T12" s="10">
        <v>37.642000000000003</v>
      </c>
      <c r="U12" s="10">
        <v>1481.501</v>
      </c>
      <c r="V12" s="11">
        <v>3606.0259999999998</v>
      </c>
      <c r="W12" s="249">
        <f t="shared" si="0"/>
        <v>4.2543292532756826E-4</v>
      </c>
      <c r="X12" s="5">
        <f t="shared" si="1"/>
        <v>5.8415523590316071E-2</v>
      </c>
      <c r="Y12" s="5">
        <f t="shared" si="2"/>
        <v>4.5154274344566103E-4</v>
      </c>
      <c r="Z12" s="5">
        <f t="shared" si="3"/>
        <v>2.9266515330520899E-5</v>
      </c>
      <c r="AA12" s="5">
        <f t="shared" si="4"/>
        <v>5.8415523590316071E-2</v>
      </c>
      <c r="AB12" s="5">
        <f t="shared" si="5"/>
        <v>1.9119674889465147E-2</v>
      </c>
      <c r="AC12" s="5">
        <f t="shared" si="6"/>
        <v>1.9119674889465147E-2</v>
      </c>
      <c r="AD12" s="5">
        <f t="shared" si="7"/>
        <v>4.3074281176847581E-3</v>
      </c>
      <c r="AE12" s="5">
        <f t="shared" si="8"/>
        <v>4.3968376053459364E-3</v>
      </c>
      <c r="AF12" s="23">
        <f t="shared" si="9"/>
        <v>4.3968376053459364E-3</v>
      </c>
      <c r="AG12" s="22">
        <f t="shared" si="10"/>
        <v>3.4497644696491595E-3</v>
      </c>
      <c r="AH12" s="5">
        <f t="shared" si="11"/>
        <v>9.1156491924931887E-2</v>
      </c>
      <c r="AI12" s="5">
        <f t="shared" si="12"/>
        <v>1.4923792448380874E-3</v>
      </c>
      <c r="AJ12" s="5">
        <f t="shared" si="13"/>
        <v>5.1004856914450424E-5</v>
      </c>
      <c r="AK12" s="5">
        <f t="shared" si="14"/>
        <v>9.1156491924931887E-2</v>
      </c>
      <c r="AL12" s="5">
        <f t="shared" si="15"/>
        <v>1.2440069627090437E-2</v>
      </c>
      <c r="AM12" s="5">
        <f t="shared" si="16"/>
        <v>1.2440069627090437E-2</v>
      </c>
      <c r="AN12" s="5">
        <f t="shared" si="17"/>
        <v>9.3207807794166327E-3</v>
      </c>
      <c r="AO12" s="5">
        <f t="shared" si="18"/>
        <v>4.5326878899691864E-2</v>
      </c>
      <c r="AP12" s="23">
        <f t="shared" si="19"/>
        <v>4.5326878899691864E-2</v>
      </c>
      <c r="AQ12" s="22">
        <f t="shared" si="20"/>
        <v>8.1000000000000003E-2</v>
      </c>
      <c r="AR12" s="5">
        <f t="shared" si="21"/>
        <v>0.14599999999999999</v>
      </c>
      <c r="AS12" s="23">
        <f t="shared" si="22"/>
        <v>0.114</v>
      </c>
      <c r="AT12" s="24">
        <f t="shared" si="23"/>
        <v>0.54</v>
      </c>
      <c r="AU12" s="218">
        <f t="shared" si="24"/>
        <v>0.97</v>
      </c>
      <c r="AV12" s="25">
        <f t="shared" si="25"/>
        <v>0.76</v>
      </c>
      <c r="AW12" s="253">
        <f t="shared" si="26"/>
        <v>5</v>
      </c>
      <c r="AX12" s="44">
        <f t="shared" si="27"/>
        <v>4</v>
      </c>
      <c r="AY12" s="254">
        <f t="shared" si="28"/>
        <v>4</v>
      </c>
    </row>
    <row r="13" spans="1:51" ht="13.35" customHeight="1">
      <c r="A13" s="255">
        <v>11350</v>
      </c>
      <c r="B13" s="103" t="s">
        <v>193</v>
      </c>
      <c r="C13" s="256" t="str">
        <f>Rollover!A13</f>
        <v>Chevrolet</v>
      </c>
      <c r="D13" s="74" t="str">
        <f>Rollover!B13</f>
        <v>Suburban SUV 2WD</v>
      </c>
      <c r="E13" s="217" t="s">
        <v>147</v>
      </c>
      <c r="F13" s="73">
        <f>Rollover!C13</f>
        <v>2021</v>
      </c>
      <c r="G13" s="75">
        <v>146.05199999999999</v>
      </c>
      <c r="H13" s="10">
        <v>0.22700000000000001</v>
      </c>
      <c r="I13" s="10">
        <v>1377.731</v>
      </c>
      <c r="J13" s="10">
        <v>225.458</v>
      </c>
      <c r="K13" s="10">
        <v>22.623000000000001</v>
      </c>
      <c r="L13" s="10">
        <v>37.121000000000002</v>
      </c>
      <c r="M13" s="10">
        <v>677.06399999999996</v>
      </c>
      <c r="N13" s="11">
        <v>716.77599999999995</v>
      </c>
      <c r="O13" s="9">
        <v>233.49</v>
      </c>
      <c r="P13" s="10">
        <v>0.47099999999999997</v>
      </c>
      <c r="Q13" s="10">
        <v>1180.931</v>
      </c>
      <c r="R13" s="10">
        <v>285.00299999999999</v>
      </c>
      <c r="S13" s="10">
        <v>15.936999999999999</v>
      </c>
      <c r="T13" s="10">
        <v>37.642000000000003</v>
      </c>
      <c r="U13" s="10">
        <v>1481.501</v>
      </c>
      <c r="V13" s="11">
        <v>3606.0259999999998</v>
      </c>
      <c r="W13" s="249">
        <f t="shared" si="0"/>
        <v>4.2543292532756826E-4</v>
      </c>
      <c r="X13" s="5">
        <f t="shared" si="1"/>
        <v>5.8415523590316071E-2</v>
      </c>
      <c r="Y13" s="5">
        <f t="shared" si="2"/>
        <v>4.5154274344566103E-4</v>
      </c>
      <c r="Z13" s="5">
        <f t="shared" si="3"/>
        <v>2.9266515330520899E-5</v>
      </c>
      <c r="AA13" s="5">
        <f t="shared" si="4"/>
        <v>5.8415523590316071E-2</v>
      </c>
      <c r="AB13" s="5">
        <f t="shared" si="5"/>
        <v>1.9119674889465147E-2</v>
      </c>
      <c r="AC13" s="5">
        <f t="shared" si="6"/>
        <v>1.9119674889465147E-2</v>
      </c>
      <c r="AD13" s="5">
        <f t="shared" si="7"/>
        <v>4.3074281176847581E-3</v>
      </c>
      <c r="AE13" s="5">
        <f t="shared" si="8"/>
        <v>4.3968376053459364E-3</v>
      </c>
      <c r="AF13" s="23">
        <f t="shared" si="9"/>
        <v>4.3968376053459364E-3</v>
      </c>
      <c r="AG13" s="22">
        <f t="shared" si="10"/>
        <v>3.4497644696491595E-3</v>
      </c>
      <c r="AH13" s="5">
        <f t="shared" si="11"/>
        <v>9.1156491924931887E-2</v>
      </c>
      <c r="AI13" s="5">
        <f t="shared" si="12"/>
        <v>1.4923792448380874E-3</v>
      </c>
      <c r="AJ13" s="5">
        <f t="shared" si="13"/>
        <v>5.1004856914450424E-5</v>
      </c>
      <c r="AK13" s="5">
        <f t="shared" si="14"/>
        <v>9.1156491924931887E-2</v>
      </c>
      <c r="AL13" s="5">
        <f t="shared" si="15"/>
        <v>1.2440069627090437E-2</v>
      </c>
      <c r="AM13" s="5">
        <f t="shared" si="16"/>
        <v>1.2440069627090437E-2</v>
      </c>
      <c r="AN13" s="5">
        <f t="shared" si="17"/>
        <v>9.3207807794166327E-3</v>
      </c>
      <c r="AO13" s="5">
        <f t="shared" si="18"/>
        <v>4.5326878899691864E-2</v>
      </c>
      <c r="AP13" s="23">
        <f t="shared" si="19"/>
        <v>4.5326878899691864E-2</v>
      </c>
      <c r="AQ13" s="22">
        <f t="shared" si="20"/>
        <v>8.1000000000000003E-2</v>
      </c>
      <c r="AR13" s="5">
        <f t="shared" si="21"/>
        <v>0.14599999999999999</v>
      </c>
      <c r="AS13" s="23">
        <f t="shared" si="22"/>
        <v>0.114</v>
      </c>
      <c r="AT13" s="24">
        <f t="shared" si="23"/>
        <v>0.54</v>
      </c>
      <c r="AU13" s="218">
        <f t="shared" si="24"/>
        <v>0.97</v>
      </c>
      <c r="AV13" s="25">
        <f t="shared" si="25"/>
        <v>0.76</v>
      </c>
      <c r="AW13" s="253">
        <f t="shared" si="26"/>
        <v>5</v>
      </c>
      <c r="AX13" s="44">
        <f t="shared" si="27"/>
        <v>4</v>
      </c>
      <c r="AY13" s="254">
        <f t="shared" si="28"/>
        <v>4</v>
      </c>
    </row>
    <row r="14" spans="1:51" ht="13.35" customHeight="1">
      <c r="A14" s="255">
        <v>11350</v>
      </c>
      <c r="B14" s="103" t="s">
        <v>193</v>
      </c>
      <c r="C14" s="256" t="str">
        <f>Rollover!A14</f>
        <v>Chevrolet</v>
      </c>
      <c r="D14" s="74" t="str">
        <f>Rollover!B14</f>
        <v>Suburban SUV 4WD</v>
      </c>
      <c r="E14" s="217" t="s">
        <v>147</v>
      </c>
      <c r="F14" s="73">
        <f>Rollover!C14</f>
        <v>2021</v>
      </c>
      <c r="G14" s="75">
        <v>146.05199999999999</v>
      </c>
      <c r="H14" s="10">
        <v>0.22700000000000001</v>
      </c>
      <c r="I14" s="10">
        <v>1377.731</v>
      </c>
      <c r="J14" s="10">
        <v>225.458</v>
      </c>
      <c r="K14" s="10">
        <v>22.623000000000001</v>
      </c>
      <c r="L14" s="10">
        <v>37.121000000000002</v>
      </c>
      <c r="M14" s="10">
        <v>677.06399999999996</v>
      </c>
      <c r="N14" s="11">
        <v>716.77599999999995</v>
      </c>
      <c r="O14" s="9">
        <v>233.49</v>
      </c>
      <c r="P14" s="10">
        <v>0.47099999999999997</v>
      </c>
      <c r="Q14" s="10">
        <v>1180.931</v>
      </c>
      <c r="R14" s="10">
        <v>285.00299999999999</v>
      </c>
      <c r="S14" s="10">
        <v>15.936999999999999</v>
      </c>
      <c r="T14" s="10">
        <v>37.642000000000003</v>
      </c>
      <c r="U14" s="10">
        <v>1481.501</v>
      </c>
      <c r="V14" s="11">
        <v>3606.0259999999998</v>
      </c>
      <c r="W14" s="249">
        <f t="shared" si="0"/>
        <v>4.2543292532756826E-4</v>
      </c>
      <c r="X14" s="5">
        <f t="shared" si="1"/>
        <v>5.8415523590316071E-2</v>
      </c>
      <c r="Y14" s="5">
        <f t="shared" si="2"/>
        <v>4.5154274344566103E-4</v>
      </c>
      <c r="Z14" s="5">
        <f t="shared" si="3"/>
        <v>2.9266515330520899E-5</v>
      </c>
      <c r="AA14" s="5">
        <f t="shared" si="4"/>
        <v>5.8415523590316071E-2</v>
      </c>
      <c r="AB14" s="5">
        <f t="shared" si="5"/>
        <v>1.9119674889465147E-2</v>
      </c>
      <c r="AC14" s="5">
        <f t="shared" si="6"/>
        <v>1.9119674889465147E-2</v>
      </c>
      <c r="AD14" s="5">
        <f t="shared" si="7"/>
        <v>4.3074281176847581E-3</v>
      </c>
      <c r="AE14" s="5">
        <f t="shared" si="8"/>
        <v>4.3968376053459364E-3</v>
      </c>
      <c r="AF14" s="23">
        <f t="shared" si="9"/>
        <v>4.3968376053459364E-3</v>
      </c>
      <c r="AG14" s="22">
        <f t="shared" si="10"/>
        <v>3.4497644696491595E-3</v>
      </c>
      <c r="AH14" s="5">
        <f t="shared" si="11"/>
        <v>9.1156491924931887E-2</v>
      </c>
      <c r="AI14" s="5">
        <f t="shared" si="12"/>
        <v>1.4923792448380874E-3</v>
      </c>
      <c r="AJ14" s="5">
        <f t="shared" si="13"/>
        <v>5.1004856914450424E-5</v>
      </c>
      <c r="AK14" s="5">
        <f t="shared" si="14"/>
        <v>9.1156491924931887E-2</v>
      </c>
      <c r="AL14" s="5">
        <f t="shared" si="15"/>
        <v>1.2440069627090437E-2</v>
      </c>
      <c r="AM14" s="5">
        <f t="shared" si="16"/>
        <v>1.2440069627090437E-2</v>
      </c>
      <c r="AN14" s="5">
        <f t="shared" si="17"/>
        <v>9.3207807794166327E-3</v>
      </c>
      <c r="AO14" s="5">
        <f t="shared" si="18"/>
        <v>4.5326878899691864E-2</v>
      </c>
      <c r="AP14" s="23">
        <f t="shared" si="19"/>
        <v>4.5326878899691864E-2</v>
      </c>
      <c r="AQ14" s="22">
        <f t="shared" si="20"/>
        <v>8.1000000000000003E-2</v>
      </c>
      <c r="AR14" s="5">
        <f t="shared" si="21"/>
        <v>0.14599999999999999</v>
      </c>
      <c r="AS14" s="23">
        <f t="shared" si="22"/>
        <v>0.114</v>
      </c>
      <c r="AT14" s="24">
        <f t="shared" si="23"/>
        <v>0.54</v>
      </c>
      <c r="AU14" s="218">
        <f t="shared" si="24"/>
        <v>0.97</v>
      </c>
      <c r="AV14" s="25">
        <f t="shared" si="25"/>
        <v>0.76</v>
      </c>
      <c r="AW14" s="253">
        <f t="shared" si="26"/>
        <v>5</v>
      </c>
      <c r="AX14" s="44">
        <f t="shared" si="27"/>
        <v>4</v>
      </c>
      <c r="AY14" s="254">
        <f t="shared" si="28"/>
        <v>4</v>
      </c>
    </row>
    <row r="15" spans="1:51" ht="13.35" customHeight="1">
      <c r="A15" s="255">
        <v>11350</v>
      </c>
      <c r="B15" s="103" t="s">
        <v>193</v>
      </c>
      <c r="C15" s="256" t="str">
        <f>Rollover!A15</f>
        <v xml:space="preserve">GMC </v>
      </c>
      <c r="D15" s="74" t="str">
        <f>Rollover!B15</f>
        <v>Yukon XL SUV 2WD</v>
      </c>
      <c r="E15" s="217" t="s">
        <v>147</v>
      </c>
      <c r="F15" s="73">
        <f>Rollover!C15</f>
        <v>2021</v>
      </c>
      <c r="G15" s="75">
        <v>146.05199999999999</v>
      </c>
      <c r="H15" s="10">
        <v>0.22700000000000001</v>
      </c>
      <c r="I15" s="10">
        <v>1377.731</v>
      </c>
      <c r="J15" s="10">
        <v>225.458</v>
      </c>
      <c r="K15" s="10">
        <v>22.623000000000001</v>
      </c>
      <c r="L15" s="10">
        <v>37.121000000000002</v>
      </c>
      <c r="M15" s="10">
        <v>677.06399999999996</v>
      </c>
      <c r="N15" s="11">
        <v>716.77599999999995</v>
      </c>
      <c r="O15" s="9">
        <v>233.49</v>
      </c>
      <c r="P15" s="10">
        <v>0.47099999999999997</v>
      </c>
      <c r="Q15" s="10">
        <v>1180.931</v>
      </c>
      <c r="R15" s="10">
        <v>285.00299999999999</v>
      </c>
      <c r="S15" s="10">
        <v>15.936999999999999</v>
      </c>
      <c r="T15" s="10">
        <v>37.642000000000003</v>
      </c>
      <c r="U15" s="10">
        <v>1481.501</v>
      </c>
      <c r="V15" s="11">
        <v>3606.0259999999998</v>
      </c>
      <c r="W15" s="249">
        <f t="shared" si="0"/>
        <v>4.2543292532756826E-4</v>
      </c>
      <c r="X15" s="5">
        <f t="shared" si="1"/>
        <v>5.8415523590316071E-2</v>
      </c>
      <c r="Y15" s="5">
        <f t="shared" si="2"/>
        <v>4.5154274344566103E-4</v>
      </c>
      <c r="Z15" s="5">
        <f t="shared" si="3"/>
        <v>2.9266515330520899E-5</v>
      </c>
      <c r="AA15" s="5">
        <f t="shared" si="4"/>
        <v>5.8415523590316071E-2</v>
      </c>
      <c r="AB15" s="5">
        <f t="shared" si="5"/>
        <v>1.9119674889465147E-2</v>
      </c>
      <c r="AC15" s="5">
        <f t="shared" si="6"/>
        <v>1.9119674889465147E-2</v>
      </c>
      <c r="AD15" s="5">
        <f t="shared" si="7"/>
        <v>4.3074281176847581E-3</v>
      </c>
      <c r="AE15" s="5">
        <f t="shared" si="8"/>
        <v>4.3968376053459364E-3</v>
      </c>
      <c r="AF15" s="23">
        <f t="shared" si="9"/>
        <v>4.3968376053459364E-3</v>
      </c>
      <c r="AG15" s="22">
        <f t="shared" si="10"/>
        <v>3.4497644696491595E-3</v>
      </c>
      <c r="AH15" s="5">
        <f t="shared" si="11"/>
        <v>9.1156491924931887E-2</v>
      </c>
      <c r="AI15" s="5">
        <f t="shared" si="12"/>
        <v>1.4923792448380874E-3</v>
      </c>
      <c r="AJ15" s="5">
        <f t="shared" si="13"/>
        <v>5.1004856914450424E-5</v>
      </c>
      <c r="AK15" s="5">
        <f t="shared" si="14"/>
        <v>9.1156491924931887E-2</v>
      </c>
      <c r="AL15" s="5">
        <f t="shared" si="15"/>
        <v>1.2440069627090437E-2</v>
      </c>
      <c r="AM15" s="5">
        <f t="shared" si="16"/>
        <v>1.2440069627090437E-2</v>
      </c>
      <c r="AN15" s="5">
        <f t="shared" si="17"/>
        <v>9.3207807794166327E-3</v>
      </c>
      <c r="AO15" s="5">
        <f t="shared" si="18"/>
        <v>4.5326878899691864E-2</v>
      </c>
      <c r="AP15" s="23">
        <f t="shared" si="19"/>
        <v>4.5326878899691864E-2</v>
      </c>
      <c r="AQ15" s="22">
        <f t="shared" si="20"/>
        <v>8.1000000000000003E-2</v>
      </c>
      <c r="AR15" s="5">
        <f t="shared" si="21"/>
        <v>0.14599999999999999</v>
      </c>
      <c r="AS15" s="23">
        <f t="shared" si="22"/>
        <v>0.114</v>
      </c>
      <c r="AT15" s="24">
        <f t="shared" si="23"/>
        <v>0.54</v>
      </c>
      <c r="AU15" s="218">
        <f t="shared" si="24"/>
        <v>0.97</v>
      </c>
      <c r="AV15" s="25">
        <f t="shared" si="25"/>
        <v>0.76</v>
      </c>
      <c r="AW15" s="253">
        <f t="shared" si="26"/>
        <v>5</v>
      </c>
      <c r="AX15" s="44">
        <f t="shared" si="27"/>
        <v>4</v>
      </c>
      <c r="AY15" s="254">
        <f t="shared" si="28"/>
        <v>4</v>
      </c>
    </row>
    <row r="16" spans="1:51" ht="13.35" customHeight="1">
      <c r="A16" s="255">
        <v>11350</v>
      </c>
      <c r="B16" s="103" t="s">
        <v>193</v>
      </c>
      <c r="C16" s="256" t="str">
        <f>Rollover!A16</f>
        <v xml:space="preserve">GMC </v>
      </c>
      <c r="D16" s="74" t="str">
        <f>Rollover!B16</f>
        <v>Yukon XL SUV 4WD</v>
      </c>
      <c r="E16" s="217" t="s">
        <v>147</v>
      </c>
      <c r="F16" s="73">
        <f>Rollover!C16</f>
        <v>2021</v>
      </c>
      <c r="G16" s="75">
        <v>146.05199999999999</v>
      </c>
      <c r="H16" s="10">
        <v>0.22700000000000001</v>
      </c>
      <c r="I16" s="10">
        <v>1377.731</v>
      </c>
      <c r="J16" s="10">
        <v>225.458</v>
      </c>
      <c r="K16" s="10">
        <v>22.623000000000001</v>
      </c>
      <c r="L16" s="10">
        <v>37.121000000000002</v>
      </c>
      <c r="M16" s="10">
        <v>677.06399999999996</v>
      </c>
      <c r="N16" s="11">
        <v>716.77599999999995</v>
      </c>
      <c r="O16" s="9">
        <v>233.49</v>
      </c>
      <c r="P16" s="10">
        <v>0.47099999999999997</v>
      </c>
      <c r="Q16" s="10">
        <v>1180.931</v>
      </c>
      <c r="R16" s="10">
        <v>285.00299999999999</v>
      </c>
      <c r="S16" s="10">
        <v>15.936999999999999</v>
      </c>
      <c r="T16" s="10">
        <v>37.642000000000003</v>
      </c>
      <c r="U16" s="10">
        <v>1481.501</v>
      </c>
      <c r="V16" s="11">
        <v>3606.0259999999998</v>
      </c>
      <c r="W16" s="249">
        <f t="shared" si="0"/>
        <v>4.2543292532756826E-4</v>
      </c>
      <c r="X16" s="5">
        <f t="shared" si="1"/>
        <v>5.8415523590316071E-2</v>
      </c>
      <c r="Y16" s="5">
        <f t="shared" si="2"/>
        <v>4.5154274344566103E-4</v>
      </c>
      <c r="Z16" s="5">
        <f t="shared" si="3"/>
        <v>2.9266515330520899E-5</v>
      </c>
      <c r="AA16" s="5">
        <f t="shared" si="4"/>
        <v>5.8415523590316071E-2</v>
      </c>
      <c r="AB16" s="5">
        <f t="shared" si="5"/>
        <v>1.9119674889465147E-2</v>
      </c>
      <c r="AC16" s="5">
        <f t="shared" si="6"/>
        <v>1.9119674889465147E-2</v>
      </c>
      <c r="AD16" s="5">
        <f t="shared" si="7"/>
        <v>4.3074281176847581E-3</v>
      </c>
      <c r="AE16" s="5">
        <f t="shared" si="8"/>
        <v>4.3968376053459364E-3</v>
      </c>
      <c r="AF16" s="23">
        <f t="shared" si="9"/>
        <v>4.3968376053459364E-3</v>
      </c>
      <c r="AG16" s="22">
        <f t="shared" si="10"/>
        <v>3.4497644696491595E-3</v>
      </c>
      <c r="AH16" s="5">
        <f t="shared" si="11"/>
        <v>9.1156491924931887E-2</v>
      </c>
      <c r="AI16" s="5">
        <f t="shared" si="12"/>
        <v>1.4923792448380874E-3</v>
      </c>
      <c r="AJ16" s="5">
        <f t="shared" si="13"/>
        <v>5.1004856914450424E-5</v>
      </c>
      <c r="AK16" s="5">
        <f t="shared" si="14"/>
        <v>9.1156491924931887E-2</v>
      </c>
      <c r="AL16" s="5">
        <f t="shared" si="15"/>
        <v>1.2440069627090437E-2</v>
      </c>
      <c r="AM16" s="5">
        <f t="shared" si="16"/>
        <v>1.2440069627090437E-2</v>
      </c>
      <c r="AN16" s="5">
        <f t="shared" si="17"/>
        <v>9.3207807794166327E-3</v>
      </c>
      <c r="AO16" s="5">
        <f t="shared" si="18"/>
        <v>4.5326878899691864E-2</v>
      </c>
      <c r="AP16" s="23">
        <f t="shared" si="19"/>
        <v>4.5326878899691864E-2</v>
      </c>
      <c r="AQ16" s="22">
        <f t="shared" si="20"/>
        <v>8.1000000000000003E-2</v>
      </c>
      <c r="AR16" s="5">
        <f t="shared" si="21"/>
        <v>0.14599999999999999</v>
      </c>
      <c r="AS16" s="23">
        <f t="shared" si="22"/>
        <v>0.114</v>
      </c>
      <c r="AT16" s="24">
        <f t="shared" si="23"/>
        <v>0.54</v>
      </c>
      <c r="AU16" s="218">
        <f t="shared" si="24"/>
        <v>0.97</v>
      </c>
      <c r="AV16" s="25">
        <f t="shared" si="25"/>
        <v>0.76</v>
      </c>
      <c r="AW16" s="253">
        <f t="shared" si="26"/>
        <v>5</v>
      </c>
      <c r="AX16" s="44">
        <f t="shared" si="27"/>
        <v>4</v>
      </c>
      <c r="AY16" s="254">
        <f t="shared" si="28"/>
        <v>4</v>
      </c>
    </row>
    <row r="17" spans="1:51" ht="13.35" customHeight="1">
      <c r="A17" s="255">
        <v>11350</v>
      </c>
      <c r="B17" s="103" t="s">
        <v>193</v>
      </c>
      <c r="C17" s="256" t="str">
        <f>Rollover!A17</f>
        <v>Cadillac</v>
      </c>
      <c r="D17" s="74" t="str">
        <f>Rollover!B17</f>
        <v>Escalade ESV SUV 2WD</v>
      </c>
      <c r="E17" s="217" t="s">
        <v>147</v>
      </c>
      <c r="F17" s="73">
        <f>Rollover!C17</f>
        <v>2021</v>
      </c>
      <c r="G17" s="75">
        <v>146.05199999999999</v>
      </c>
      <c r="H17" s="10">
        <v>0.22700000000000001</v>
      </c>
      <c r="I17" s="10">
        <v>1377.731</v>
      </c>
      <c r="J17" s="10">
        <v>225.458</v>
      </c>
      <c r="K17" s="10">
        <v>22.623000000000001</v>
      </c>
      <c r="L17" s="10">
        <v>37.121000000000002</v>
      </c>
      <c r="M17" s="10">
        <v>677.06399999999996</v>
      </c>
      <c r="N17" s="11">
        <v>716.77599999999995</v>
      </c>
      <c r="O17" s="9">
        <v>233.49</v>
      </c>
      <c r="P17" s="10">
        <v>0.47099999999999997</v>
      </c>
      <c r="Q17" s="10">
        <v>1180.931</v>
      </c>
      <c r="R17" s="10">
        <v>285.00299999999999</v>
      </c>
      <c r="S17" s="10">
        <v>15.936999999999999</v>
      </c>
      <c r="T17" s="10">
        <v>37.642000000000003</v>
      </c>
      <c r="U17" s="10">
        <v>1481.501</v>
      </c>
      <c r="V17" s="11">
        <v>3606.0259999999998</v>
      </c>
      <c r="W17" s="249">
        <f t="shared" si="0"/>
        <v>4.2543292532756826E-4</v>
      </c>
      <c r="X17" s="5">
        <f t="shared" si="1"/>
        <v>5.8415523590316071E-2</v>
      </c>
      <c r="Y17" s="5">
        <f t="shared" si="2"/>
        <v>4.5154274344566103E-4</v>
      </c>
      <c r="Z17" s="5">
        <f t="shared" si="3"/>
        <v>2.9266515330520899E-5</v>
      </c>
      <c r="AA17" s="5">
        <f t="shared" si="4"/>
        <v>5.8415523590316071E-2</v>
      </c>
      <c r="AB17" s="5">
        <f t="shared" si="5"/>
        <v>1.9119674889465147E-2</v>
      </c>
      <c r="AC17" s="5">
        <f t="shared" si="6"/>
        <v>1.9119674889465147E-2</v>
      </c>
      <c r="AD17" s="5">
        <f t="shared" si="7"/>
        <v>4.3074281176847581E-3</v>
      </c>
      <c r="AE17" s="5">
        <f t="shared" si="8"/>
        <v>4.3968376053459364E-3</v>
      </c>
      <c r="AF17" s="23">
        <f t="shared" si="9"/>
        <v>4.3968376053459364E-3</v>
      </c>
      <c r="AG17" s="22">
        <f t="shared" si="10"/>
        <v>3.4497644696491595E-3</v>
      </c>
      <c r="AH17" s="5">
        <f t="shared" si="11"/>
        <v>9.1156491924931887E-2</v>
      </c>
      <c r="AI17" s="5">
        <f t="shared" si="12"/>
        <v>1.4923792448380874E-3</v>
      </c>
      <c r="AJ17" s="5">
        <f t="shared" si="13"/>
        <v>5.1004856914450424E-5</v>
      </c>
      <c r="AK17" s="5">
        <f t="shared" si="14"/>
        <v>9.1156491924931887E-2</v>
      </c>
      <c r="AL17" s="5">
        <f t="shared" si="15"/>
        <v>1.2440069627090437E-2</v>
      </c>
      <c r="AM17" s="5">
        <f t="shared" si="16"/>
        <v>1.2440069627090437E-2</v>
      </c>
      <c r="AN17" s="5">
        <f t="shared" si="17"/>
        <v>9.3207807794166327E-3</v>
      </c>
      <c r="AO17" s="5">
        <f t="shared" si="18"/>
        <v>4.5326878899691864E-2</v>
      </c>
      <c r="AP17" s="23">
        <f t="shared" si="19"/>
        <v>4.5326878899691864E-2</v>
      </c>
      <c r="AQ17" s="22">
        <f t="shared" si="20"/>
        <v>8.1000000000000003E-2</v>
      </c>
      <c r="AR17" s="5">
        <f t="shared" si="21"/>
        <v>0.14599999999999999</v>
      </c>
      <c r="AS17" s="23">
        <f t="shared" si="22"/>
        <v>0.114</v>
      </c>
      <c r="AT17" s="24">
        <f t="shared" si="23"/>
        <v>0.54</v>
      </c>
      <c r="AU17" s="218">
        <f t="shared" si="24"/>
        <v>0.97</v>
      </c>
      <c r="AV17" s="25">
        <f t="shared" si="25"/>
        <v>0.76</v>
      </c>
      <c r="AW17" s="253">
        <f t="shared" si="26"/>
        <v>5</v>
      </c>
      <c r="AX17" s="44">
        <f t="shared" si="27"/>
        <v>4</v>
      </c>
      <c r="AY17" s="254">
        <f t="shared" si="28"/>
        <v>4</v>
      </c>
    </row>
    <row r="18" spans="1:51" ht="13.35" customHeight="1">
      <c r="A18" s="255">
        <v>11350</v>
      </c>
      <c r="B18" s="103" t="s">
        <v>193</v>
      </c>
      <c r="C18" s="256" t="str">
        <f>Rollover!A18</f>
        <v>Cadillac</v>
      </c>
      <c r="D18" s="74" t="str">
        <f>Rollover!B18</f>
        <v>Escalade ESV SUV 4WD</v>
      </c>
      <c r="E18" s="217" t="s">
        <v>147</v>
      </c>
      <c r="F18" s="73">
        <f>Rollover!C18</f>
        <v>2021</v>
      </c>
      <c r="G18" s="75">
        <v>146.05199999999999</v>
      </c>
      <c r="H18" s="10">
        <v>0.22700000000000001</v>
      </c>
      <c r="I18" s="10">
        <v>1377.731</v>
      </c>
      <c r="J18" s="10">
        <v>225.458</v>
      </c>
      <c r="K18" s="10">
        <v>22.623000000000001</v>
      </c>
      <c r="L18" s="10">
        <v>37.121000000000002</v>
      </c>
      <c r="M18" s="10">
        <v>677.06399999999996</v>
      </c>
      <c r="N18" s="11">
        <v>716.77599999999995</v>
      </c>
      <c r="O18" s="9">
        <v>233.49</v>
      </c>
      <c r="P18" s="10">
        <v>0.47099999999999997</v>
      </c>
      <c r="Q18" s="10">
        <v>1180.931</v>
      </c>
      <c r="R18" s="10">
        <v>285.00299999999999</v>
      </c>
      <c r="S18" s="10">
        <v>15.936999999999999</v>
      </c>
      <c r="T18" s="10">
        <v>37.642000000000003</v>
      </c>
      <c r="U18" s="10">
        <v>1481.501</v>
      </c>
      <c r="V18" s="11">
        <v>3606.0259999999998</v>
      </c>
      <c r="W18" s="249">
        <f t="shared" si="0"/>
        <v>4.2543292532756826E-4</v>
      </c>
      <c r="X18" s="5">
        <f t="shared" si="1"/>
        <v>5.8415523590316071E-2</v>
      </c>
      <c r="Y18" s="5">
        <f t="shared" si="2"/>
        <v>4.5154274344566103E-4</v>
      </c>
      <c r="Z18" s="5">
        <f t="shared" si="3"/>
        <v>2.9266515330520899E-5</v>
      </c>
      <c r="AA18" s="5">
        <f t="shared" si="4"/>
        <v>5.8415523590316071E-2</v>
      </c>
      <c r="AB18" s="5">
        <f t="shared" si="5"/>
        <v>1.9119674889465147E-2</v>
      </c>
      <c r="AC18" s="5">
        <f t="shared" si="6"/>
        <v>1.9119674889465147E-2</v>
      </c>
      <c r="AD18" s="5">
        <f t="shared" si="7"/>
        <v>4.3074281176847581E-3</v>
      </c>
      <c r="AE18" s="5">
        <f t="shared" si="8"/>
        <v>4.3968376053459364E-3</v>
      </c>
      <c r="AF18" s="23">
        <f t="shared" si="9"/>
        <v>4.3968376053459364E-3</v>
      </c>
      <c r="AG18" s="22">
        <f t="shared" si="10"/>
        <v>3.4497644696491595E-3</v>
      </c>
      <c r="AH18" s="5">
        <f t="shared" si="11"/>
        <v>9.1156491924931887E-2</v>
      </c>
      <c r="AI18" s="5">
        <f t="shared" si="12"/>
        <v>1.4923792448380874E-3</v>
      </c>
      <c r="AJ18" s="5">
        <f t="shared" si="13"/>
        <v>5.1004856914450424E-5</v>
      </c>
      <c r="AK18" s="5">
        <f t="shared" si="14"/>
        <v>9.1156491924931887E-2</v>
      </c>
      <c r="AL18" s="5">
        <f t="shared" si="15"/>
        <v>1.2440069627090437E-2</v>
      </c>
      <c r="AM18" s="5">
        <f t="shared" si="16"/>
        <v>1.2440069627090437E-2</v>
      </c>
      <c r="AN18" s="5">
        <f t="shared" si="17"/>
        <v>9.3207807794166327E-3</v>
      </c>
      <c r="AO18" s="5">
        <f t="shared" si="18"/>
        <v>4.5326878899691864E-2</v>
      </c>
      <c r="AP18" s="23">
        <f t="shared" si="19"/>
        <v>4.5326878899691864E-2</v>
      </c>
      <c r="AQ18" s="22">
        <f t="shared" si="20"/>
        <v>8.1000000000000003E-2</v>
      </c>
      <c r="AR18" s="5">
        <f t="shared" si="21"/>
        <v>0.14599999999999999</v>
      </c>
      <c r="AS18" s="23">
        <f t="shared" si="22"/>
        <v>0.114</v>
      </c>
      <c r="AT18" s="24">
        <f t="shared" si="23"/>
        <v>0.54</v>
      </c>
      <c r="AU18" s="218">
        <f t="shared" si="24"/>
        <v>0.97</v>
      </c>
      <c r="AV18" s="25">
        <f t="shared" si="25"/>
        <v>0.76</v>
      </c>
      <c r="AW18" s="253">
        <f t="shared" si="26"/>
        <v>5</v>
      </c>
      <c r="AX18" s="44">
        <f t="shared" si="27"/>
        <v>4</v>
      </c>
      <c r="AY18" s="254">
        <f t="shared" si="28"/>
        <v>4</v>
      </c>
    </row>
    <row r="19" spans="1:51" ht="13.35" customHeight="1">
      <c r="A19" s="255">
        <v>11270</v>
      </c>
      <c r="B19" s="103" t="s">
        <v>172</v>
      </c>
      <c r="C19" s="247" t="str">
        <f>Rollover!A19</f>
        <v>Chevrolet</v>
      </c>
      <c r="D19" s="248" t="str">
        <f>Rollover!B19</f>
        <v>Trailblazer SUV FWD (Later Release)</v>
      </c>
      <c r="E19" s="217" t="s">
        <v>92</v>
      </c>
      <c r="F19" s="73">
        <f>Rollover!C19</f>
        <v>2021</v>
      </c>
      <c r="G19" s="75">
        <v>184.547</v>
      </c>
      <c r="H19" s="10">
        <v>0.23899999999999999</v>
      </c>
      <c r="I19" s="10">
        <v>845.81</v>
      </c>
      <c r="J19" s="10">
        <v>66.527000000000001</v>
      </c>
      <c r="K19" s="10">
        <v>21.013000000000002</v>
      </c>
      <c r="L19" s="10">
        <v>46.2</v>
      </c>
      <c r="M19" s="10">
        <v>370.19799999999998</v>
      </c>
      <c r="N19" s="11">
        <v>1160.6959999999999</v>
      </c>
      <c r="O19" s="9">
        <v>401.44600000000003</v>
      </c>
      <c r="P19" s="10">
        <v>0.29199999999999998</v>
      </c>
      <c r="Q19" s="10">
        <v>681.58799999999997</v>
      </c>
      <c r="R19" s="10">
        <v>362.983</v>
      </c>
      <c r="S19" s="10">
        <v>10.385999999999999</v>
      </c>
      <c r="T19" s="10">
        <v>46.183999999999997</v>
      </c>
      <c r="U19" s="10">
        <v>1819.8130000000001</v>
      </c>
      <c r="V19" s="11">
        <v>1705.146</v>
      </c>
      <c r="W19" s="249">
        <f t="shared" si="0"/>
        <v>1.265756938705759E-3</v>
      </c>
      <c r="X19" s="5">
        <f t="shared" si="1"/>
        <v>5.9728644329886275E-2</v>
      </c>
      <c r="Y19" s="5">
        <f t="shared" si="2"/>
        <v>1.2769972379128808E-4</v>
      </c>
      <c r="Z19" s="5">
        <f t="shared" si="3"/>
        <v>2.0065303259501311E-5</v>
      </c>
      <c r="AA19" s="5">
        <f t="shared" si="4"/>
        <v>5.9728644329886275E-2</v>
      </c>
      <c r="AB19" s="5">
        <f t="shared" si="5"/>
        <v>1.5383832354787418E-2</v>
      </c>
      <c r="AC19" s="5">
        <f t="shared" si="6"/>
        <v>1.5383832354787418E-2</v>
      </c>
      <c r="AD19" s="5">
        <f t="shared" si="7"/>
        <v>3.674909407374092E-3</v>
      </c>
      <c r="AE19" s="5">
        <f t="shared" si="8"/>
        <v>5.531208672634051E-3</v>
      </c>
      <c r="AF19" s="23">
        <f t="shared" si="9"/>
        <v>5.531208672634051E-3</v>
      </c>
      <c r="AG19" s="22">
        <f t="shared" si="10"/>
        <v>2.4459763174449315E-2</v>
      </c>
      <c r="AH19" s="5">
        <f t="shared" si="11"/>
        <v>6.5865207635833936E-2</v>
      </c>
      <c r="AI19" s="5">
        <f t="shared" si="12"/>
        <v>2.2743622191911397E-4</v>
      </c>
      <c r="AJ19" s="5">
        <f t="shared" si="13"/>
        <v>6.8435249152448799E-5</v>
      </c>
      <c r="AK19" s="5">
        <f t="shared" si="14"/>
        <v>6.5865207635833936E-2</v>
      </c>
      <c r="AL19" s="5">
        <f t="shared" si="15"/>
        <v>4.1510555939668192E-3</v>
      </c>
      <c r="AM19" s="5">
        <f t="shared" si="16"/>
        <v>4.1510555939668192E-3</v>
      </c>
      <c r="AN19" s="5">
        <f t="shared" si="17"/>
        <v>1.2028387602739986E-2</v>
      </c>
      <c r="AO19" s="5">
        <f t="shared" si="18"/>
        <v>1.1033228262350037E-2</v>
      </c>
      <c r="AP19" s="23">
        <f t="shared" si="19"/>
        <v>1.2028387602739986E-2</v>
      </c>
      <c r="AQ19" s="22">
        <f t="shared" si="20"/>
        <v>0.08</v>
      </c>
      <c r="AR19" s="5">
        <f t="shared" si="21"/>
        <v>0.10299999999999999</v>
      </c>
      <c r="AS19" s="23">
        <f t="shared" si="22"/>
        <v>9.1999999999999998E-2</v>
      </c>
      <c r="AT19" s="24">
        <f t="shared" si="23"/>
        <v>0.53</v>
      </c>
      <c r="AU19" s="218">
        <f t="shared" si="24"/>
        <v>0.69</v>
      </c>
      <c r="AV19" s="25">
        <f t="shared" si="25"/>
        <v>0.61</v>
      </c>
      <c r="AW19" s="253">
        <f t="shared" si="26"/>
        <v>5</v>
      </c>
      <c r="AX19" s="44">
        <f t="shared" si="27"/>
        <v>4</v>
      </c>
      <c r="AY19" s="254">
        <f t="shared" si="28"/>
        <v>5</v>
      </c>
    </row>
    <row r="20" spans="1:51" ht="13.35" customHeight="1">
      <c r="A20" s="255">
        <v>11270</v>
      </c>
      <c r="B20" s="103" t="s">
        <v>172</v>
      </c>
      <c r="C20" s="247" t="str">
        <f>Rollover!A20</f>
        <v>Chevrolet</v>
      </c>
      <c r="D20" s="248" t="str">
        <f>Rollover!B20</f>
        <v>Trailblazer SUV AWD (Later Release)</v>
      </c>
      <c r="E20" s="217" t="s">
        <v>92</v>
      </c>
      <c r="F20" s="73">
        <f>Rollover!C20</f>
        <v>2021</v>
      </c>
      <c r="G20" s="75">
        <v>184.547</v>
      </c>
      <c r="H20" s="10">
        <v>0.23899999999999999</v>
      </c>
      <c r="I20" s="10">
        <v>845.81</v>
      </c>
      <c r="J20" s="10">
        <v>66.527000000000001</v>
      </c>
      <c r="K20" s="10">
        <v>21.013000000000002</v>
      </c>
      <c r="L20" s="10">
        <v>46.2</v>
      </c>
      <c r="M20" s="10">
        <v>370.19799999999998</v>
      </c>
      <c r="N20" s="11">
        <v>1160.6959999999999</v>
      </c>
      <c r="O20" s="9">
        <v>401.44600000000003</v>
      </c>
      <c r="P20" s="10">
        <v>0.29199999999999998</v>
      </c>
      <c r="Q20" s="10">
        <v>681.58799999999997</v>
      </c>
      <c r="R20" s="10">
        <v>362.983</v>
      </c>
      <c r="S20" s="10">
        <v>10.385999999999999</v>
      </c>
      <c r="T20" s="10">
        <v>46.183999999999997</v>
      </c>
      <c r="U20" s="10">
        <v>1819.8130000000001</v>
      </c>
      <c r="V20" s="11">
        <v>1705.146</v>
      </c>
      <c r="W20" s="249">
        <f t="shared" si="0"/>
        <v>1.265756938705759E-3</v>
      </c>
      <c r="X20" s="5">
        <f t="shared" si="1"/>
        <v>5.9728644329886275E-2</v>
      </c>
      <c r="Y20" s="5">
        <f t="shared" si="2"/>
        <v>1.2769972379128808E-4</v>
      </c>
      <c r="Z20" s="5">
        <f t="shared" si="3"/>
        <v>2.0065303259501311E-5</v>
      </c>
      <c r="AA20" s="5">
        <f t="shared" si="4"/>
        <v>5.9728644329886275E-2</v>
      </c>
      <c r="AB20" s="5">
        <f t="shared" si="5"/>
        <v>1.5383832354787418E-2</v>
      </c>
      <c r="AC20" s="5">
        <f t="shared" si="6"/>
        <v>1.5383832354787418E-2</v>
      </c>
      <c r="AD20" s="5">
        <f t="shared" si="7"/>
        <v>3.674909407374092E-3</v>
      </c>
      <c r="AE20" s="5">
        <f t="shared" si="8"/>
        <v>5.531208672634051E-3</v>
      </c>
      <c r="AF20" s="23">
        <f t="shared" si="9"/>
        <v>5.531208672634051E-3</v>
      </c>
      <c r="AG20" s="22">
        <f t="shared" si="10"/>
        <v>2.4459763174449315E-2</v>
      </c>
      <c r="AH20" s="5">
        <f t="shared" si="11"/>
        <v>6.5865207635833936E-2</v>
      </c>
      <c r="AI20" s="5">
        <f t="shared" si="12"/>
        <v>2.2743622191911397E-4</v>
      </c>
      <c r="AJ20" s="5">
        <f t="shared" si="13"/>
        <v>6.8435249152448799E-5</v>
      </c>
      <c r="AK20" s="5">
        <f t="shared" si="14"/>
        <v>6.5865207635833936E-2</v>
      </c>
      <c r="AL20" s="5">
        <f t="shared" si="15"/>
        <v>4.1510555939668192E-3</v>
      </c>
      <c r="AM20" s="5">
        <f t="shared" si="16"/>
        <v>4.1510555939668192E-3</v>
      </c>
      <c r="AN20" s="5">
        <f t="shared" si="17"/>
        <v>1.2028387602739986E-2</v>
      </c>
      <c r="AO20" s="5">
        <f t="shared" si="18"/>
        <v>1.1033228262350037E-2</v>
      </c>
      <c r="AP20" s="23">
        <f t="shared" si="19"/>
        <v>1.2028387602739986E-2</v>
      </c>
      <c r="AQ20" s="22">
        <f t="shared" si="20"/>
        <v>0.08</v>
      </c>
      <c r="AR20" s="5">
        <f t="shared" si="21"/>
        <v>0.10299999999999999</v>
      </c>
      <c r="AS20" s="23">
        <f t="shared" si="22"/>
        <v>9.1999999999999998E-2</v>
      </c>
      <c r="AT20" s="24">
        <f t="shared" si="23"/>
        <v>0.53</v>
      </c>
      <c r="AU20" s="218">
        <f t="shared" si="24"/>
        <v>0.69</v>
      </c>
      <c r="AV20" s="25">
        <f t="shared" si="25"/>
        <v>0.61</v>
      </c>
      <c r="AW20" s="253">
        <f t="shared" si="26"/>
        <v>5</v>
      </c>
      <c r="AX20" s="44">
        <f t="shared" si="27"/>
        <v>4</v>
      </c>
      <c r="AY20" s="254">
        <f t="shared" si="28"/>
        <v>5</v>
      </c>
    </row>
    <row r="21" spans="1:51" ht="13.35" customHeight="1">
      <c r="A21" s="116">
        <v>11270</v>
      </c>
      <c r="B21" s="77" t="s">
        <v>172</v>
      </c>
      <c r="C21" s="256" t="str">
        <f>Rollover!A21</f>
        <v>Buick</v>
      </c>
      <c r="D21" s="74" t="str">
        <f>Rollover!B21</f>
        <v>Encore GX SUV FWD</v>
      </c>
      <c r="E21" s="217" t="s">
        <v>92</v>
      </c>
      <c r="F21" s="73">
        <f>Rollover!C21</f>
        <v>2021</v>
      </c>
      <c r="G21" s="9">
        <v>184.547</v>
      </c>
      <c r="H21" s="10">
        <v>0.23899999999999999</v>
      </c>
      <c r="I21" s="10">
        <v>845.81</v>
      </c>
      <c r="J21" s="10">
        <v>66.527000000000001</v>
      </c>
      <c r="K21" s="10">
        <v>21.013000000000002</v>
      </c>
      <c r="L21" s="10">
        <v>46.2</v>
      </c>
      <c r="M21" s="10">
        <v>370.19799999999998</v>
      </c>
      <c r="N21" s="11">
        <v>1160.6959999999999</v>
      </c>
      <c r="O21" s="9">
        <v>401.44600000000003</v>
      </c>
      <c r="P21" s="10">
        <v>0.29199999999999998</v>
      </c>
      <c r="Q21" s="10">
        <v>681.58799999999997</v>
      </c>
      <c r="R21" s="10">
        <v>362.983</v>
      </c>
      <c r="S21" s="10">
        <v>10.385999999999999</v>
      </c>
      <c r="T21" s="10">
        <v>46.183999999999997</v>
      </c>
      <c r="U21" s="10">
        <v>1819.8130000000001</v>
      </c>
      <c r="V21" s="11">
        <v>1705.146</v>
      </c>
      <c r="W21" s="249">
        <f t="shared" si="0"/>
        <v>1.265756938705759E-3</v>
      </c>
      <c r="X21" s="5">
        <f t="shared" si="1"/>
        <v>5.9728644329886275E-2</v>
      </c>
      <c r="Y21" s="5">
        <f t="shared" si="2"/>
        <v>1.2769972379128808E-4</v>
      </c>
      <c r="Z21" s="5">
        <f t="shared" si="3"/>
        <v>2.0065303259501311E-5</v>
      </c>
      <c r="AA21" s="5">
        <f t="shared" si="4"/>
        <v>5.9728644329886275E-2</v>
      </c>
      <c r="AB21" s="5">
        <f t="shared" si="5"/>
        <v>1.5383832354787418E-2</v>
      </c>
      <c r="AC21" s="5">
        <f t="shared" si="6"/>
        <v>1.5383832354787418E-2</v>
      </c>
      <c r="AD21" s="5">
        <f t="shared" si="7"/>
        <v>3.674909407374092E-3</v>
      </c>
      <c r="AE21" s="5">
        <f t="shared" si="8"/>
        <v>5.531208672634051E-3</v>
      </c>
      <c r="AF21" s="23">
        <f t="shared" si="9"/>
        <v>5.531208672634051E-3</v>
      </c>
      <c r="AG21" s="22">
        <f t="shared" si="10"/>
        <v>2.4459763174449315E-2</v>
      </c>
      <c r="AH21" s="5">
        <f t="shared" si="11"/>
        <v>6.5865207635833936E-2</v>
      </c>
      <c r="AI21" s="5">
        <f t="shared" si="12"/>
        <v>2.2743622191911397E-4</v>
      </c>
      <c r="AJ21" s="5">
        <f t="shared" si="13"/>
        <v>6.8435249152448799E-5</v>
      </c>
      <c r="AK21" s="5">
        <f t="shared" si="14"/>
        <v>6.5865207635833936E-2</v>
      </c>
      <c r="AL21" s="5">
        <f t="shared" si="15"/>
        <v>4.1510555939668192E-3</v>
      </c>
      <c r="AM21" s="5">
        <f t="shared" si="16"/>
        <v>4.1510555939668192E-3</v>
      </c>
      <c r="AN21" s="5">
        <f t="shared" si="17"/>
        <v>1.2028387602739986E-2</v>
      </c>
      <c r="AO21" s="5">
        <f t="shared" si="18"/>
        <v>1.1033228262350037E-2</v>
      </c>
      <c r="AP21" s="23">
        <f t="shared" si="19"/>
        <v>1.2028387602739986E-2</v>
      </c>
      <c r="AQ21" s="22">
        <f t="shared" si="20"/>
        <v>0.08</v>
      </c>
      <c r="AR21" s="5">
        <f t="shared" si="21"/>
        <v>0.10299999999999999</v>
      </c>
      <c r="AS21" s="23">
        <f t="shared" si="22"/>
        <v>9.1999999999999998E-2</v>
      </c>
      <c r="AT21" s="24">
        <f t="shared" si="23"/>
        <v>0.53</v>
      </c>
      <c r="AU21" s="218">
        <f t="shared" si="24"/>
        <v>0.69</v>
      </c>
      <c r="AV21" s="25">
        <f t="shared" si="25"/>
        <v>0.61</v>
      </c>
      <c r="AW21" s="253">
        <f t="shared" si="26"/>
        <v>5</v>
      </c>
      <c r="AX21" s="44">
        <f t="shared" si="27"/>
        <v>4</v>
      </c>
      <c r="AY21" s="254">
        <f t="shared" si="28"/>
        <v>5</v>
      </c>
    </row>
    <row r="22" spans="1:51" ht="13.35" customHeight="1">
      <c r="A22" s="116">
        <v>11270</v>
      </c>
      <c r="B22" s="77" t="s">
        <v>172</v>
      </c>
      <c r="C22" s="256" t="str">
        <f>Rollover!A22</f>
        <v>Buick</v>
      </c>
      <c r="D22" s="74" t="str">
        <f>Rollover!B22</f>
        <v>Encore GX SUV AWD</v>
      </c>
      <c r="E22" s="217" t="s">
        <v>92</v>
      </c>
      <c r="F22" s="73">
        <f>Rollover!C22</f>
        <v>2021</v>
      </c>
      <c r="G22" s="22">
        <v>184.547</v>
      </c>
      <c r="H22" s="5">
        <v>0.23899999999999999</v>
      </c>
      <c r="I22" s="5">
        <v>845.81</v>
      </c>
      <c r="J22" s="5">
        <v>66.527000000000001</v>
      </c>
      <c r="K22" s="5">
        <v>21.013000000000002</v>
      </c>
      <c r="L22" s="5">
        <v>46.2</v>
      </c>
      <c r="M22" s="5">
        <v>370.19799999999998</v>
      </c>
      <c r="N22" s="23">
        <v>1160.6959999999999</v>
      </c>
      <c r="O22" s="22">
        <v>401.44600000000003</v>
      </c>
      <c r="P22" s="5">
        <v>0.29199999999999998</v>
      </c>
      <c r="Q22" s="5">
        <v>681.58799999999997</v>
      </c>
      <c r="R22" s="5">
        <v>362.983</v>
      </c>
      <c r="S22" s="5">
        <v>10.385999999999999</v>
      </c>
      <c r="T22" s="5">
        <v>46.183999999999997</v>
      </c>
      <c r="U22" s="5">
        <v>1819.8130000000001</v>
      </c>
      <c r="V22" s="23">
        <v>1705.146</v>
      </c>
      <c r="W22" s="249">
        <f t="shared" ref="W22:W43" si="29">NORMDIST(LN(G22),7.45231,0.73998,1)</f>
        <v>1.265756938705759E-3</v>
      </c>
      <c r="X22" s="5">
        <f t="shared" ref="X22:X43" si="30">1/(1+EXP(3.2269-1.9688*H22))</f>
        <v>5.9728644329886275E-2</v>
      </c>
      <c r="Y22" s="5">
        <f t="shared" ref="Y22:Y43" si="31">1/(1+EXP(10.9745-2.375*I22/1000))</f>
        <v>1.2769972379128808E-4</v>
      </c>
      <c r="Z22" s="5">
        <f t="shared" ref="Z22:Z43" si="32">1/(1+EXP(10.9745-2.375*J22/1000))</f>
        <v>2.0065303259501311E-5</v>
      </c>
      <c r="AA22" s="5">
        <f t="shared" ref="AA22:AA43" si="33">MAX(X22,Y22,Z22)</f>
        <v>5.9728644329886275E-2</v>
      </c>
      <c r="AB22" s="5">
        <f t="shared" ref="AB22:AB43" si="34">1/(1+EXP(12.597-0.05861*35-1.568*(K22^0.4612)))</f>
        <v>1.5383832354787418E-2</v>
      </c>
      <c r="AC22" s="5">
        <f t="shared" ref="AC22:AC43" si="35">AB22</f>
        <v>1.5383832354787418E-2</v>
      </c>
      <c r="AD22" s="5">
        <f t="shared" ref="AD22:AD43" si="36">1/(1+EXP(5.7949-0.5196*M22/1000))</f>
        <v>3.674909407374092E-3</v>
      </c>
      <c r="AE22" s="5">
        <f t="shared" ref="AE22:AE43" si="37">1/(1+EXP(5.7949-0.5196*N22/1000))</f>
        <v>5.531208672634051E-3</v>
      </c>
      <c r="AF22" s="23">
        <f t="shared" ref="AF22:AF43" si="38">MAX(AD22,AE22)</f>
        <v>5.531208672634051E-3</v>
      </c>
      <c r="AG22" s="22">
        <f t="shared" ref="AG22:AG43" si="39">NORMDIST(LN(O22),7.45231,0.73998,1)</f>
        <v>2.4459763174449315E-2</v>
      </c>
      <c r="AH22" s="5">
        <f t="shared" ref="AH22:AH43" si="40">1/(1+EXP(3.2269-1.9688*P22))</f>
        <v>6.5865207635833936E-2</v>
      </c>
      <c r="AI22" s="5">
        <f t="shared" ref="AI22:AI43" si="41">1/(1+EXP(10.958-3.77*Q22/1000))</f>
        <v>2.2743622191911397E-4</v>
      </c>
      <c r="AJ22" s="5">
        <f t="shared" ref="AJ22:AJ43" si="42">1/(1+EXP(10.958-3.77*R22/1000))</f>
        <v>6.8435249152448799E-5</v>
      </c>
      <c r="AK22" s="5">
        <f t="shared" ref="AK22:AK43" si="43">MAX(AH22,AI22,AJ22)</f>
        <v>6.5865207635833936E-2</v>
      </c>
      <c r="AL22" s="5">
        <f t="shared" ref="AL22:AL43" si="44">1/(1+EXP(12.597-0.05861*35-1.568*((S22/0.817)^0.4612)))</f>
        <v>4.1510555939668192E-3</v>
      </c>
      <c r="AM22" s="5">
        <f t="shared" ref="AM22:AM43" si="45">AL22</f>
        <v>4.1510555939668192E-3</v>
      </c>
      <c r="AN22" s="5">
        <f t="shared" ref="AN22:AN43" si="46">1/(1+EXP(5.7949-0.7619*U22/1000))</f>
        <v>1.2028387602739986E-2</v>
      </c>
      <c r="AO22" s="5">
        <f t="shared" ref="AO22:AO43" si="47">1/(1+EXP(5.7949-0.7619*V22/1000))</f>
        <v>1.1033228262350037E-2</v>
      </c>
      <c r="AP22" s="23">
        <f t="shared" ref="AP22:AP43" si="48">MAX(AN22,AO22)</f>
        <v>1.2028387602739986E-2</v>
      </c>
      <c r="AQ22" s="22">
        <f t="shared" ref="AQ22:AQ43" si="49">ROUND(1-(1-W22)*(1-AA22)*(1-AC22)*(1-AF22),3)</f>
        <v>0.08</v>
      </c>
      <c r="AR22" s="5">
        <f t="shared" ref="AR22:AR43" si="50">ROUND(1-(1-AG22)*(1-AK22)*(1-AM22)*(1-AP22),3)</f>
        <v>0.10299999999999999</v>
      </c>
      <c r="AS22" s="23">
        <f t="shared" ref="AS22:AS43" si="51">ROUND(AVERAGE(AR22,AQ22),3)</f>
        <v>9.1999999999999998E-2</v>
      </c>
      <c r="AT22" s="24">
        <f t="shared" ref="AT22:AT43" si="52">ROUND(AQ22/0.15,2)</f>
        <v>0.53</v>
      </c>
      <c r="AU22" s="218">
        <f t="shared" ref="AU22:AU43" si="53">ROUND(AR22/0.15,2)</f>
        <v>0.69</v>
      </c>
      <c r="AV22" s="25">
        <f t="shared" ref="AV22:AV43" si="54">ROUND(AS22/0.15,2)</f>
        <v>0.61</v>
      </c>
      <c r="AW22" s="253">
        <f t="shared" ref="AW22:AW43" si="55">IF(AT22&lt;0.67,5,IF(AT22&lt;1,4,IF(AT22&lt;1.33,3,IF(AT22&lt;2.67,2,1))))</f>
        <v>5</v>
      </c>
      <c r="AX22" s="44">
        <f t="shared" ref="AX22:AX43" si="56">IF(AU22&lt;0.67,5,IF(AU22&lt;1,4,IF(AU22&lt;1.33,3,IF(AU22&lt;2.67,2,1))))</f>
        <v>4</v>
      </c>
      <c r="AY22" s="254">
        <f t="shared" ref="AY22:AY43" si="57">IF(AV22&lt;0.67,5,IF(AV22&lt;1,4,IF(AV22&lt;1.33,3,IF(AV22&lt;2.67,2,1))))</f>
        <v>5</v>
      </c>
    </row>
    <row r="23" spans="1:51" ht="13.35" customHeight="1">
      <c r="A23" s="116">
        <v>11378</v>
      </c>
      <c r="B23" s="111" t="s">
        <v>202</v>
      </c>
      <c r="C23" s="247" t="str">
        <f>Rollover!A23</f>
        <v>Dodge</v>
      </c>
      <c r="D23" s="248" t="str">
        <f>Rollover!B23</f>
        <v>Durango SUV RWD</v>
      </c>
      <c r="E23" s="217" t="s">
        <v>147</v>
      </c>
      <c r="F23" s="73">
        <f>Rollover!C23</f>
        <v>2021</v>
      </c>
      <c r="G23" s="9">
        <v>95.087000000000003</v>
      </c>
      <c r="H23" s="10">
        <v>0.32700000000000001</v>
      </c>
      <c r="I23" s="10">
        <v>1124.5060000000001</v>
      </c>
      <c r="J23" s="10">
        <v>202.93600000000001</v>
      </c>
      <c r="K23" s="10">
        <v>34.533000000000001</v>
      </c>
      <c r="L23" s="10">
        <v>41.292999999999999</v>
      </c>
      <c r="M23" s="10">
        <v>1688.5170000000001</v>
      </c>
      <c r="N23" s="11">
        <v>1031.3520000000001</v>
      </c>
      <c r="O23" s="9">
        <v>116.498</v>
      </c>
      <c r="P23" s="10">
        <v>0.42399999999999999</v>
      </c>
      <c r="Q23" s="10">
        <v>543.65099999999995</v>
      </c>
      <c r="R23" s="10">
        <v>371.101</v>
      </c>
      <c r="S23" s="10">
        <v>24.533999999999999</v>
      </c>
      <c r="T23" s="10">
        <v>45.908999999999999</v>
      </c>
      <c r="U23" s="10">
        <v>1234.229</v>
      </c>
      <c r="V23" s="11">
        <v>1475.4459999999999</v>
      </c>
      <c r="W23" s="249">
        <f t="shared" si="29"/>
        <v>4.5076682824805616E-5</v>
      </c>
      <c r="X23" s="5">
        <f t="shared" si="30"/>
        <v>7.0233870528644993E-2</v>
      </c>
      <c r="Y23" s="5">
        <f t="shared" si="31"/>
        <v>2.4751341038568625E-4</v>
      </c>
      <c r="Z23" s="5">
        <f t="shared" si="32"/>
        <v>2.7742230398487381E-5</v>
      </c>
      <c r="AA23" s="5">
        <f t="shared" si="33"/>
        <v>7.0233870528644993E-2</v>
      </c>
      <c r="AB23" s="5">
        <f t="shared" si="34"/>
        <v>7.4850447756373895E-2</v>
      </c>
      <c r="AC23" s="5">
        <f t="shared" si="35"/>
        <v>7.4850447756373895E-2</v>
      </c>
      <c r="AD23" s="5">
        <f t="shared" si="36"/>
        <v>7.2639102897064656E-3</v>
      </c>
      <c r="AE23" s="5">
        <f t="shared" si="37"/>
        <v>5.1735484167540237E-3</v>
      </c>
      <c r="AF23" s="23">
        <f t="shared" si="38"/>
        <v>7.2639102897064656E-3</v>
      </c>
      <c r="AG23" s="22">
        <f t="shared" si="39"/>
        <v>1.3567035086297223E-4</v>
      </c>
      <c r="AH23" s="5">
        <f t="shared" si="40"/>
        <v>8.3774887480479704E-2</v>
      </c>
      <c r="AI23" s="5">
        <f t="shared" si="41"/>
        <v>1.3522493727262502E-4</v>
      </c>
      <c r="AJ23" s="5">
        <f t="shared" si="42"/>
        <v>7.0561929972658794E-5</v>
      </c>
      <c r="AK23" s="5">
        <f t="shared" si="43"/>
        <v>8.3774887480479704E-2</v>
      </c>
      <c r="AL23" s="5">
        <f t="shared" si="44"/>
        <v>4.6720321952942158E-2</v>
      </c>
      <c r="AM23" s="5">
        <f t="shared" si="45"/>
        <v>4.6720321952942158E-2</v>
      </c>
      <c r="AN23" s="5">
        <f t="shared" si="46"/>
        <v>7.7326502155458526E-3</v>
      </c>
      <c r="AO23" s="5">
        <f t="shared" si="47"/>
        <v>9.2782782556785695E-3</v>
      </c>
      <c r="AP23" s="23">
        <f t="shared" si="48"/>
        <v>9.2782782556785695E-3</v>
      </c>
      <c r="AQ23" s="22">
        <f t="shared" si="49"/>
        <v>0.14599999999999999</v>
      </c>
      <c r="AR23" s="5">
        <f t="shared" si="50"/>
        <v>0.13500000000000001</v>
      </c>
      <c r="AS23" s="23">
        <f t="shared" si="51"/>
        <v>0.14099999999999999</v>
      </c>
      <c r="AT23" s="24">
        <f t="shared" si="52"/>
        <v>0.97</v>
      </c>
      <c r="AU23" s="218">
        <f t="shared" si="53"/>
        <v>0.9</v>
      </c>
      <c r="AV23" s="25">
        <f t="shared" si="54"/>
        <v>0.94</v>
      </c>
      <c r="AW23" s="253">
        <f t="shared" si="55"/>
        <v>4</v>
      </c>
      <c r="AX23" s="44">
        <f t="shared" si="56"/>
        <v>4</v>
      </c>
      <c r="AY23" s="254">
        <f t="shared" si="57"/>
        <v>4</v>
      </c>
    </row>
    <row r="24" spans="1:51" ht="13.35" customHeight="1">
      <c r="A24" s="116">
        <v>11378</v>
      </c>
      <c r="B24" s="111" t="s">
        <v>202</v>
      </c>
      <c r="C24" s="247" t="str">
        <f>Rollover!A24</f>
        <v>Dodge</v>
      </c>
      <c r="D24" s="248" t="str">
        <f>Rollover!B24</f>
        <v>Durango SUV 4WD</v>
      </c>
      <c r="E24" s="217" t="s">
        <v>147</v>
      </c>
      <c r="F24" s="73">
        <f>Rollover!C24</f>
        <v>2021</v>
      </c>
      <c r="G24" s="9">
        <v>95.087000000000003</v>
      </c>
      <c r="H24" s="10">
        <v>0.32700000000000001</v>
      </c>
      <c r="I24" s="10">
        <v>1124.5060000000001</v>
      </c>
      <c r="J24" s="10">
        <v>202.93600000000001</v>
      </c>
      <c r="K24" s="10">
        <v>34.533000000000001</v>
      </c>
      <c r="L24" s="10">
        <v>41.292999999999999</v>
      </c>
      <c r="M24" s="10">
        <v>1688.5170000000001</v>
      </c>
      <c r="N24" s="11">
        <v>1031.3520000000001</v>
      </c>
      <c r="O24" s="9">
        <v>116.498</v>
      </c>
      <c r="P24" s="10">
        <v>0.42399999999999999</v>
      </c>
      <c r="Q24" s="10">
        <v>543.65099999999995</v>
      </c>
      <c r="R24" s="10">
        <v>371.101</v>
      </c>
      <c r="S24" s="10">
        <v>24.533999999999999</v>
      </c>
      <c r="T24" s="10">
        <v>45.908999999999999</v>
      </c>
      <c r="U24" s="10">
        <v>1234.229</v>
      </c>
      <c r="V24" s="11">
        <v>1475.4459999999999</v>
      </c>
      <c r="W24" s="249">
        <f t="shared" si="29"/>
        <v>4.5076682824805616E-5</v>
      </c>
      <c r="X24" s="5">
        <f t="shared" si="30"/>
        <v>7.0233870528644993E-2</v>
      </c>
      <c r="Y24" s="5">
        <f t="shared" si="31"/>
        <v>2.4751341038568625E-4</v>
      </c>
      <c r="Z24" s="5">
        <f t="shared" si="32"/>
        <v>2.7742230398487381E-5</v>
      </c>
      <c r="AA24" s="5">
        <f t="shared" si="33"/>
        <v>7.0233870528644993E-2</v>
      </c>
      <c r="AB24" s="5">
        <f t="shared" si="34"/>
        <v>7.4850447756373895E-2</v>
      </c>
      <c r="AC24" s="5">
        <f t="shared" si="35"/>
        <v>7.4850447756373895E-2</v>
      </c>
      <c r="AD24" s="5">
        <f t="shared" si="36"/>
        <v>7.2639102897064656E-3</v>
      </c>
      <c r="AE24" s="5">
        <f t="shared" si="37"/>
        <v>5.1735484167540237E-3</v>
      </c>
      <c r="AF24" s="23">
        <f t="shared" si="38"/>
        <v>7.2639102897064656E-3</v>
      </c>
      <c r="AG24" s="22">
        <f t="shared" si="39"/>
        <v>1.3567035086297223E-4</v>
      </c>
      <c r="AH24" s="5">
        <f t="shared" si="40"/>
        <v>8.3774887480479704E-2</v>
      </c>
      <c r="AI24" s="5">
        <f t="shared" si="41"/>
        <v>1.3522493727262502E-4</v>
      </c>
      <c r="AJ24" s="5">
        <f t="shared" si="42"/>
        <v>7.0561929972658794E-5</v>
      </c>
      <c r="AK24" s="5">
        <f t="shared" si="43"/>
        <v>8.3774887480479704E-2</v>
      </c>
      <c r="AL24" s="5">
        <f t="shared" si="44"/>
        <v>4.6720321952942158E-2</v>
      </c>
      <c r="AM24" s="5">
        <f t="shared" si="45"/>
        <v>4.6720321952942158E-2</v>
      </c>
      <c r="AN24" s="5">
        <f t="shared" si="46"/>
        <v>7.7326502155458526E-3</v>
      </c>
      <c r="AO24" s="5">
        <f t="shared" si="47"/>
        <v>9.2782782556785695E-3</v>
      </c>
      <c r="AP24" s="23">
        <f t="shared" si="48"/>
        <v>9.2782782556785695E-3</v>
      </c>
      <c r="AQ24" s="22">
        <f t="shared" si="49"/>
        <v>0.14599999999999999</v>
      </c>
      <c r="AR24" s="5">
        <f t="shared" si="50"/>
        <v>0.13500000000000001</v>
      </c>
      <c r="AS24" s="23">
        <f t="shared" si="51"/>
        <v>0.14099999999999999</v>
      </c>
      <c r="AT24" s="24">
        <f t="shared" si="52"/>
        <v>0.97</v>
      </c>
      <c r="AU24" s="218">
        <f t="shared" si="53"/>
        <v>0.9</v>
      </c>
      <c r="AV24" s="25">
        <f t="shared" si="54"/>
        <v>0.94</v>
      </c>
      <c r="AW24" s="253">
        <f t="shared" si="55"/>
        <v>4</v>
      </c>
      <c r="AX24" s="44">
        <f t="shared" si="56"/>
        <v>4</v>
      </c>
      <c r="AY24" s="254">
        <f t="shared" si="57"/>
        <v>4</v>
      </c>
    </row>
    <row r="25" spans="1:51" ht="13.35" customHeight="1">
      <c r="A25" s="111">
        <v>11291</v>
      </c>
      <c r="B25" s="77" t="s">
        <v>176</v>
      </c>
      <c r="C25" s="247" t="str">
        <f>Rollover!A25</f>
        <v xml:space="preserve">Ford </v>
      </c>
      <c r="D25" s="248" t="str">
        <f>Rollover!B25</f>
        <v>Transit Connect Wagon FWD</v>
      </c>
      <c r="E25" s="217" t="s">
        <v>92</v>
      </c>
      <c r="F25" s="73">
        <f>Rollover!C25</f>
        <v>2021</v>
      </c>
      <c r="G25" s="9">
        <v>144.79900000000001</v>
      </c>
      <c r="H25" s="10">
        <v>0.28100000000000003</v>
      </c>
      <c r="I25" s="10">
        <v>1022.27</v>
      </c>
      <c r="J25" s="10">
        <v>80.978999999999999</v>
      </c>
      <c r="K25" s="10">
        <v>24.748999999999999</v>
      </c>
      <c r="L25" s="10">
        <v>38.316000000000003</v>
      </c>
      <c r="M25" s="10">
        <v>1207.539</v>
      </c>
      <c r="N25" s="11">
        <v>1308.31</v>
      </c>
      <c r="O25" s="9">
        <v>146.15100000000001</v>
      </c>
      <c r="P25" s="10">
        <v>0.48199999999999998</v>
      </c>
      <c r="Q25" s="10">
        <v>797.15599999999995</v>
      </c>
      <c r="R25" s="10">
        <v>77.545000000000002</v>
      </c>
      <c r="S25" s="10">
        <v>9.6270000000000007</v>
      </c>
      <c r="T25" s="10">
        <v>37.445</v>
      </c>
      <c r="U25" s="10">
        <v>2835.0140000000001</v>
      </c>
      <c r="V25" s="11">
        <v>2175.9490000000001</v>
      </c>
      <c r="W25" s="249">
        <f t="shared" ref="W25:W26" si="58">NORMDIST(LN(G25),7.45231,0.73998,1)</f>
        <v>4.0795780154983255E-4</v>
      </c>
      <c r="X25" s="5">
        <f t="shared" ref="X25:X26" si="59">1/(1+EXP(3.2269-1.9688*H25))</f>
        <v>6.4545192426725559E-2</v>
      </c>
      <c r="Y25" s="5">
        <f t="shared" ref="Y25:Y26" si="60">1/(1+EXP(10.9745-2.375*I25/1000))</f>
        <v>1.9416486625951581E-4</v>
      </c>
      <c r="Z25" s="5">
        <f t="shared" ref="Z25:Z26" si="61">1/(1+EXP(10.9745-2.375*J25/1000))</f>
        <v>2.0765956036583821E-5</v>
      </c>
      <c r="AA25" s="5">
        <f t="shared" ref="AA25:AA26" si="62">MAX(X25,Y25,Z25)</f>
        <v>6.4545192426725559E-2</v>
      </c>
      <c r="AB25" s="5">
        <f t="shared" ref="AB25:AB26" si="63">1/(1+EXP(12.597-0.05861*35-1.568*(K25^0.4612)))</f>
        <v>2.5129620955269018E-2</v>
      </c>
      <c r="AC25" s="5">
        <f t="shared" ref="AC25:AC26" si="64">AB25</f>
        <v>2.5129620955269018E-2</v>
      </c>
      <c r="AD25" s="5">
        <f t="shared" ref="AD25:AD26" si="65">1/(1+EXP(5.7949-0.5196*M25/1000))</f>
        <v>5.6667157148867298E-3</v>
      </c>
      <c r="AE25" s="5">
        <f t="shared" ref="AE25:AE26" si="66">1/(1+EXP(5.7949-0.5196*N25/1000))</f>
        <v>5.9695153953563977E-3</v>
      </c>
      <c r="AF25" s="23">
        <f t="shared" ref="AF25:AF26" si="67">MAX(AD25,AE25)</f>
        <v>5.9695153953563977E-3</v>
      </c>
      <c r="AG25" s="22">
        <f t="shared" ref="AG25:AG26" si="68">NORMDIST(LN(O25),7.45231,0.73998,1)</f>
        <v>4.2683627993218647E-4</v>
      </c>
      <c r="AH25" s="5">
        <f t="shared" ref="AH25:AH26" si="69">1/(1+EXP(3.2269-1.9688*P25))</f>
        <v>9.2966649352356739E-2</v>
      </c>
      <c r="AI25" s="5">
        <f t="shared" ref="AI25:AI26" si="70">1/(1+EXP(10.958-3.77*Q25/1000))</f>
        <v>3.515799138136919E-4</v>
      </c>
      <c r="AJ25" s="5">
        <f t="shared" ref="AJ25:AJ26" si="71">1/(1+EXP(10.958-3.77*R25/1000))</f>
        <v>2.3332141547720342E-5</v>
      </c>
      <c r="AK25" s="5">
        <f t="shared" ref="AK25:AK26" si="72">MAX(AH25,AI25,AJ25)</f>
        <v>9.2966649352356739E-2</v>
      </c>
      <c r="AL25" s="5">
        <f t="shared" ref="AL25:AL26" si="73">1/(1+EXP(12.597-0.05861*35-1.568*((S25/0.817)^0.4612)))</f>
        <v>3.4896726467213246E-3</v>
      </c>
      <c r="AM25" s="5">
        <f t="shared" ref="AM25:AM26" si="74">AL25</f>
        <v>3.4896726467213246E-3</v>
      </c>
      <c r="AN25" s="5">
        <f t="shared" ref="AN25:AN26" si="75">1/(1+EXP(5.7949-0.7619*U25/1000))</f>
        <v>2.5708150094295293E-2</v>
      </c>
      <c r="AO25" s="5">
        <f t="shared" ref="AO25:AO26" si="76">1/(1+EXP(5.7949-0.7619*V25/1000))</f>
        <v>1.5718950439590172E-2</v>
      </c>
      <c r="AP25" s="23">
        <f t="shared" ref="AP25:AP26" si="77">MAX(AN25,AO25)</f>
        <v>2.5708150094295293E-2</v>
      </c>
      <c r="AQ25" s="22">
        <f t="shared" ref="AQ25:AQ26" si="78">ROUND(1-(1-W25)*(1-AA25)*(1-AC25)*(1-AF25),3)</f>
        <v>9.4E-2</v>
      </c>
      <c r="AR25" s="5">
        <f t="shared" ref="AR25:AR26" si="79">ROUND(1-(1-AG25)*(1-AK25)*(1-AM25)*(1-AP25),3)</f>
        <v>0.12</v>
      </c>
      <c r="AS25" s="23">
        <f t="shared" ref="AS25:AS26" si="80">ROUND(AVERAGE(AR25,AQ25),3)</f>
        <v>0.107</v>
      </c>
      <c r="AT25" s="24">
        <f t="shared" ref="AT25:AT26" si="81">ROUND(AQ25/0.15,2)</f>
        <v>0.63</v>
      </c>
      <c r="AU25" s="218">
        <f t="shared" ref="AU25:AU26" si="82">ROUND(AR25/0.15,2)</f>
        <v>0.8</v>
      </c>
      <c r="AV25" s="25">
        <f t="shared" ref="AV25:AV26" si="83">ROUND(AS25/0.15,2)</f>
        <v>0.71</v>
      </c>
      <c r="AW25" s="253">
        <f t="shared" ref="AW25:AW26" si="84">IF(AT25&lt;0.67,5,IF(AT25&lt;1,4,IF(AT25&lt;1.33,3,IF(AT25&lt;2.67,2,1))))</f>
        <v>5</v>
      </c>
      <c r="AX25" s="44">
        <f t="shared" ref="AX25:AX26" si="85">IF(AU25&lt;0.67,5,IF(AU25&lt;1,4,IF(AU25&lt;1.33,3,IF(AU25&lt;2.67,2,1))))</f>
        <v>4</v>
      </c>
      <c r="AY25" s="254">
        <f t="shared" ref="AY25:AY26" si="86">IF(AV25&lt;0.67,5,IF(AV25&lt;1,4,IF(AV25&lt;1.33,3,IF(AV25&lt;2.67,2,1))))</f>
        <v>4</v>
      </c>
    </row>
    <row r="26" spans="1:51" ht="13.35" customHeight="1">
      <c r="A26" s="116">
        <v>11291</v>
      </c>
      <c r="B26" s="77" t="s">
        <v>176</v>
      </c>
      <c r="C26" s="256" t="str">
        <f>Rollover!A26</f>
        <v xml:space="preserve">Ford </v>
      </c>
      <c r="D26" s="74" t="str">
        <f>Rollover!B26</f>
        <v>Transit Connect Van FWD</v>
      </c>
      <c r="E26" s="217" t="s">
        <v>92</v>
      </c>
      <c r="F26" s="73">
        <f>Rollover!C26</f>
        <v>2021</v>
      </c>
      <c r="G26" s="75">
        <v>144.79900000000001</v>
      </c>
      <c r="H26" s="10">
        <v>0.28100000000000003</v>
      </c>
      <c r="I26" s="10">
        <v>1022.27</v>
      </c>
      <c r="J26" s="10">
        <v>80.978999999999999</v>
      </c>
      <c r="K26" s="10">
        <v>24.748999999999999</v>
      </c>
      <c r="L26" s="10">
        <v>38.316000000000003</v>
      </c>
      <c r="M26" s="10">
        <v>1207.539</v>
      </c>
      <c r="N26" s="11">
        <v>1308.31</v>
      </c>
      <c r="O26" s="9">
        <v>146.15100000000001</v>
      </c>
      <c r="P26" s="10">
        <v>0.48199999999999998</v>
      </c>
      <c r="Q26" s="10">
        <v>797.15599999999995</v>
      </c>
      <c r="R26" s="10">
        <v>77.545000000000002</v>
      </c>
      <c r="S26" s="10">
        <v>9.6270000000000007</v>
      </c>
      <c r="T26" s="10">
        <v>37.445</v>
      </c>
      <c r="U26" s="10">
        <v>2835.0140000000001</v>
      </c>
      <c r="V26" s="11">
        <v>2175.9490000000001</v>
      </c>
      <c r="W26" s="249">
        <f t="shared" si="58"/>
        <v>4.0795780154983255E-4</v>
      </c>
      <c r="X26" s="5">
        <f t="shared" si="59"/>
        <v>6.4545192426725559E-2</v>
      </c>
      <c r="Y26" s="5">
        <f t="shared" si="60"/>
        <v>1.9416486625951581E-4</v>
      </c>
      <c r="Z26" s="5">
        <f t="shared" si="61"/>
        <v>2.0765956036583821E-5</v>
      </c>
      <c r="AA26" s="5">
        <f t="shared" si="62"/>
        <v>6.4545192426725559E-2</v>
      </c>
      <c r="AB26" s="5">
        <f t="shared" si="63"/>
        <v>2.5129620955269018E-2</v>
      </c>
      <c r="AC26" s="5">
        <f t="shared" si="64"/>
        <v>2.5129620955269018E-2</v>
      </c>
      <c r="AD26" s="5">
        <f t="shared" si="65"/>
        <v>5.6667157148867298E-3</v>
      </c>
      <c r="AE26" s="5">
        <f t="shared" si="66"/>
        <v>5.9695153953563977E-3</v>
      </c>
      <c r="AF26" s="23">
        <f t="shared" si="67"/>
        <v>5.9695153953563977E-3</v>
      </c>
      <c r="AG26" s="22">
        <f t="shared" si="68"/>
        <v>4.2683627993218647E-4</v>
      </c>
      <c r="AH26" s="5">
        <f t="shared" si="69"/>
        <v>9.2966649352356739E-2</v>
      </c>
      <c r="AI26" s="5">
        <f t="shared" si="70"/>
        <v>3.515799138136919E-4</v>
      </c>
      <c r="AJ26" s="5">
        <f t="shared" si="71"/>
        <v>2.3332141547720342E-5</v>
      </c>
      <c r="AK26" s="5">
        <f t="shared" si="72"/>
        <v>9.2966649352356739E-2</v>
      </c>
      <c r="AL26" s="5">
        <f t="shared" si="73"/>
        <v>3.4896726467213246E-3</v>
      </c>
      <c r="AM26" s="5">
        <f t="shared" si="74"/>
        <v>3.4896726467213246E-3</v>
      </c>
      <c r="AN26" s="5">
        <f t="shared" si="75"/>
        <v>2.5708150094295293E-2</v>
      </c>
      <c r="AO26" s="5">
        <f t="shared" si="76"/>
        <v>1.5718950439590172E-2</v>
      </c>
      <c r="AP26" s="23">
        <f t="shared" si="77"/>
        <v>2.5708150094295293E-2</v>
      </c>
      <c r="AQ26" s="22">
        <f t="shared" si="78"/>
        <v>9.4E-2</v>
      </c>
      <c r="AR26" s="5">
        <f t="shared" si="79"/>
        <v>0.12</v>
      </c>
      <c r="AS26" s="23">
        <f t="shared" si="80"/>
        <v>0.107</v>
      </c>
      <c r="AT26" s="24">
        <f t="shared" si="81"/>
        <v>0.63</v>
      </c>
      <c r="AU26" s="218">
        <f t="shared" si="82"/>
        <v>0.8</v>
      </c>
      <c r="AV26" s="25">
        <f t="shared" si="83"/>
        <v>0.71</v>
      </c>
      <c r="AW26" s="253">
        <f t="shared" si="84"/>
        <v>5</v>
      </c>
      <c r="AX26" s="44">
        <f t="shared" si="85"/>
        <v>4</v>
      </c>
      <c r="AY26" s="254">
        <f t="shared" si="86"/>
        <v>4</v>
      </c>
    </row>
    <row r="27" spans="1:51" ht="13.35" customHeight="1">
      <c r="A27" s="116">
        <v>11268</v>
      </c>
      <c r="B27" s="111" t="s">
        <v>169</v>
      </c>
      <c r="C27" s="247" t="str">
        <f>Rollover!A27</f>
        <v>Kia</v>
      </c>
      <c r="D27" s="248" t="str">
        <f>Rollover!B27</f>
        <v>K5 4DR FWD</v>
      </c>
      <c r="E27" s="217" t="s">
        <v>92</v>
      </c>
      <c r="F27" s="73">
        <f>Rollover!C27</f>
        <v>2021</v>
      </c>
      <c r="G27" s="22">
        <v>294.64800000000002</v>
      </c>
      <c r="H27" s="5">
        <v>0.20899999999999999</v>
      </c>
      <c r="I27" s="5">
        <v>801.27300000000002</v>
      </c>
      <c r="J27" s="5">
        <v>94.372</v>
      </c>
      <c r="K27" s="5">
        <v>21.593</v>
      </c>
      <c r="L27" s="5">
        <v>41.38</v>
      </c>
      <c r="M27" s="5">
        <v>1975.1410000000001</v>
      </c>
      <c r="N27" s="23">
        <v>1229.261</v>
      </c>
      <c r="O27" s="22">
        <v>372.92899999999997</v>
      </c>
      <c r="P27" s="5">
        <v>0.501</v>
      </c>
      <c r="Q27" s="5">
        <v>655.30700000000002</v>
      </c>
      <c r="R27" s="5">
        <v>255.69800000000001</v>
      </c>
      <c r="S27" s="5">
        <v>13.215999999999999</v>
      </c>
      <c r="T27" s="5">
        <v>41.445</v>
      </c>
      <c r="U27" s="5">
        <v>88.203999999999994</v>
      </c>
      <c r="V27" s="23">
        <v>135.499</v>
      </c>
      <c r="W27" s="249">
        <f t="shared" si="29"/>
        <v>8.4871185456827716E-3</v>
      </c>
      <c r="X27" s="5">
        <f t="shared" si="30"/>
        <v>5.6496531186568832E-2</v>
      </c>
      <c r="Y27" s="5">
        <f t="shared" si="31"/>
        <v>1.1488355415619377E-4</v>
      </c>
      <c r="Z27" s="5">
        <f t="shared" si="32"/>
        <v>2.1437090455864124E-5</v>
      </c>
      <c r="AA27" s="5">
        <f t="shared" si="33"/>
        <v>5.6496531186568832E-2</v>
      </c>
      <c r="AB27" s="5">
        <f t="shared" si="34"/>
        <v>1.6655354772788181E-2</v>
      </c>
      <c r="AC27" s="5">
        <f t="shared" si="35"/>
        <v>1.6655354772788181E-2</v>
      </c>
      <c r="AD27" s="5">
        <f t="shared" si="36"/>
        <v>8.4206100565153187E-3</v>
      </c>
      <c r="AE27" s="5">
        <f t="shared" si="37"/>
        <v>5.7306682276977447E-3</v>
      </c>
      <c r="AF27" s="23">
        <f t="shared" si="38"/>
        <v>8.4206100565153187E-3</v>
      </c>
      <c r="AG27" s="22">
        <f t="shared" si="39"/>
        <v>1.9279173887082925E-2</v>
      </c>
      <c r="AH27" s="5">
        <f t="shared" si="40"/>
        <v>9.6169359468729107E-2</v>
      </c>
      <c r="AI27" s="5">
        <f t="shared" si="41"/>
        <v>2.0598676928946724E-4</v>
      </c>
      <c r="AJ27" s="5">
        <f t="shared" si="42"/>
        <v>4.5670215540480505E-5</v>
      </c>
      <c r="AK27" s="5">
        <f t="shared" si="43"/>
        <v>9.6169359468729107E-2</v>
      </c>
      <c r="AL27" s="5">
        <f t="shared" si="44"/>
        <v>7.5037978448511565E-3</v>
      </c>
      <c r="AM27" s="5">
        <f t="shared" si="45"/>
        <v>7.5037978448511565E-3</v>
      </c>
      <c r="AN27" s="5">
        <f t="shared" si="46"/>
        <v>3.2440048410150536E-3</v>
      </c>
      <c r="AO27" s="5">
        <f t="shared" si="47"/>
        <v>3.3626308875815566E-3</v>
      </c>
      <c r="AP27" s="23">
        <f t="shared" si="48"/>
        <v>3.3626308875815566E-3</v>
      </c>
      <c r="AQ27" s="22">
        <f t="shared" si="49"/>
        <v>8.7999999999999995E-2</v>
      </c>
      <c r="AR27" s="5">
        <f t="shared" si="50"/>
        <v>0.123</v>
      </c>
      <c r="AS27" s="23">
        <f t="shared" si="51"/>
        <v>0.106</v>
      </c>
      <c r="AT27" s="24">
        <f t="shared" si="52"/>
        <v>0.59</v>
      </c>
      <c r="AU27" s="218">
        <f t="shared" si="53"/>
        <v>0.82</v>
      </c>
      <c r="AV27" s="25">
        <f t="shared" si="54"/>
        <v>0.71</v>
      </c>
      <c r="AW27" s="253">
        <f t="shared" si="55"/>
        <v>5</v>
      </c>
      <c r="AX27" s="44">
        <f t="shared" si="56"/>
        <v>4</v>
      </c>
      <c r="AY27" s="254">
        <f t="shared" si="57"/>
        <v>4</v>
      </c>
    </row>
    <row r="28" spans="1:51" ht="13.35" customHeight="1">
      <c r="A28" s="111">
        <v>11079</v>
      </c>
      <c r="B28" s="77" t="s">
        <v>94</v>
      </c>
      <c r="C28" s="247" t="str">
        <f>Rollover!A28</f>
        <v>Kia</v>
      </c>
      <c r="D28" s="248" t="str">
        <f>Rollover!B28</f>
        <v>Seltos SUV FWD</v>
      </c>
      <c r="E28" s="217" t="s">
        <v>92</v>
      </c>
      <c r="F28" s="73">
        <f>Rollover!C28</f>
        <v>2021</v>
      </c>
      <c r="G28" s="9">
        <v>129.126</v>
      </c>
      <c r="H28" s="10">
        <v>0.24199999999999999</v>
      </c>
      <c r="I28" s="10">
        <v>1054.5129999999999</v>
      </c>
      <c r="J28" s="10">
        <v>103.148</v>
      </c>
      <c r="K28" s="10">
        <v>26.001999999999999</v>
      </c>
      <c r="L28" s="10">
        <v>43.406999999999996</v>
      </c>
      <c r="M28" s="10">
        <v>2045.9860000000001</v>
      </c>
      <c r="N28" s="11">
        <v>1907.635</v>
      </c>
      <c r="O28" s="9">
        <v>404.99299999999999</v>
      </c>
      <c r="P28" s="10">
        <v>0.41399999999999998</v>
      </c>
      <c r="Q28" s="10">
        <v>566.78099999999995</v>
      </c>
      <c r="R28" s="10">
        <v>762.06899999999996</v>
      </c>
      <c r="S28" s="10">
        <v>13.621</v>
      </c>
      <c r="T28" s="10">
        <v>52.731000000000002</v>
      </c>
      <c r="U28" s="10">
        <v>639.43100000000004</v>
      </c>
      <c r="V28" s="11">
        <v>194.53100000000001</v>
      </c>
      <c r="W28" s="249">
        <f t="shared" si="29"/>
        <v>2.3075942002772419E-4</v>
      </c>
      <c r="X28" s="5">
        <f t="shared" si="30"/>
        <v>6.0061218312841474E-2</v>
      </c>
      <c r="Y28" s="5">
        <f t="shared" si="31"/>
        <v>2.0961432543799391E-4</v>
      </c>
      <c r="Z28" s="5">
        <f t="shared" si="32"/>
        <v>2.1888582834895422E-5</v>
      </c>
      <c r="AA28" s="5">
        <f t="shared" si="33"/>
        <v>6.0061218312841474E-2</v>
      </c>
      <c r="AB28" s="5">
        <f t="shared" si="34"/>
        <v>2.9324284916038272E-2</v>
      </c>
      <c r="AC28" s="5">
        <f t="shared" si="35"/>
        <v>2.9324284916038272E-2</v>
      </c>
      <c r="AD28" s="5">
        <f t="shared" si="36"/>
        <v>8.733599889142794E-3</v>
      </c>
      <c r="AE28" s="5">
        <f t="shared" si="37"/>
        <v>8.1327282525987463E-3</v>
      </c>
      <c r="AF28" s="23">
        <f t="shared" si="38"/>
        <v>8.733599889142794E-3</v>
      </c>
      <c r="AG28" s="22">
        <f t="shared" si="39"/>
        <v>2.5149962139034938E-2</v>
      </c>
      <c r="AH28" s="5">
        <f t="shared" si="40"/>
        <v>8.2276033427140446E-2</v>
      </c>
      <c r="AI28" s="5">
        <f t="shared" si="41"/>
        <v>1.4754413818385533E-4</v>
      </c>
      <c r="AJ28" s="5">
        <f t="shared" si="42"/>
        <v>3.080316719954209E-4</v>
      </c>
      <c r="AK28" s="5">
        <f t="shared" si="43"/>
        <v>8.2276033427140446E-2</v>
      </c>
      <c r="AL28" s="5">
        <f t="shared" si="44"/>
        <v>8.118503430097403E-3</v>
      </c>
      <c r="AM28" s="5">
        <f t="shared" si="45"/>
        <v>8.118503430097403E-3</v>
      </c>
      <c r="AN28" s="5">
        <f t="shared" si="46"/>
        <v>4.9288059862936072E-3</v>
      </c>
      <c r="AO28" s="5">
        <f t="shared" si="47"/>
        <v>3.5167788479315704E-3</v>
      </c>
      <c r="AP28" s="23">
        <f t="shared" si="48"/>
        <v>4.9288059862936072E-3</v>
      </c>
      <c r="AQ28" s="22">
        <f t="shared" si="49"/>
        <v>9.6000000000000002E-2</v>
      </c>
      <c r="AR28" s="5">
        <f t="shared" si="50"/>
        <v>0.11700000000000001</v>
      </c>
      <c r="AS28" s="23">
        <f t="shared" si="51"/>
        <v>0.107</v>
      </c>
      <c r="AT28" s="24">
        <f t="shared" si="52"/>
        <v>0.64</v>
      </c>
      <c r="AU28" s="218">
        <f t="shared" si="53"/>
        <v>0.78</v>
      </c>
      <c r="AV28" s="25">
        <f t="shared" si="54"/>
        <v>0.71</v>
      </c>
      <c r="AW28" s="253">
        <f t="shared" si="55"/>
        <v>5</v>
      </c>
      <c r="AX28" s="44">
        <f t="shared" si="56"/>
        <v>4</v>
      </c>
      <c r="AY28" s="254">
        <f t="shared" si="57"/>
        <v>4</v>
      </c>
    </row>
    <row r="29" spans="1:51" ht="13.35" customHeight="1">
      <c r="A29" s="116">
        <v>11079</v>
      </c>
      <c r="B29" s="77" t="s">
        <v>94</v>
      </c>
      <c r="C29" s="247" t="str">
        <f>Rollover!A29</f>
        <v>Kia</v>
      </c>
      <c r="D29" s="248" t="str">
        <f>Rollover!B29</f>
        <v>Seltos SUV AWD</v>
      </c>
      <c r="E29" s="217" t="s">
        <v>92</v>
      </c>
      <c r="F29" s="73">
        <f>Rollover!C29</f>
        <v>2021</v>
      </c>
      <c r="G29" s="75">
        <v>129.126</v>
      </c>
      <c r="H29" s="10">
        <v>0.24199999999999999</v>
      </c>
      <c r="I29" s="10">
        <v>1054.5129999999999</v>
      </c>
      <c r="J29" s="10">
        <v>103.148</v>
      </c>
      <c r="K29" s="10">
        <v>26.001999999999999</v>
      </c>
      <c r="L29" s="10">
        <v>43.406999999999996</v>
      </c>
      <c r="M29" s="10">
        <v>2045.9860000000001</v>
      </c>
      <c r="N29" s="11">
        <v>1907.635</v>
      </c>
      <c r="O29" s="9">
        <v>404.99299999999999</v>
      </c>
      <c r="P29" s="10">
        <v>0.41399999999999998</v>
      </c>
      <c r="Q29" s="10">
        <v>566.78099999999995</v>
      </c>
      <c r="R29" s="10">
        <v>762.06899999999996</v>
      </c>
      <c r="S29" s="10">
        <v>13.621</v>
      </c>
      <c r="T29" s="10">
        <v>52.731000000000002</v>
      </c>
      <c r="U29" s="10">
        <v>639.43100000000004</v>
      </c>
      <c r="V29" s="11">
        <v>194.53100000000001</v>
      </c>
      <c r="W29" s="249">
        <f t="shared" si="29"/>
        <v>2.3075942002772419E-4</v>
      </c>
      <c r="X29" s="5">
        <f t="shared" si="30"/>
        <v>6.0061218312841474E-2</v>
      </c>
      <c r="Y29" s="5">
        <f t="shared" si="31"/>
        <v>2.0961432543799391E-4</v>
      </c>
      <c r="Z29" s="5">
        <f t="shared" si="32"/>
        <v>2.1888582834895422E-5</v>
      </c>
      <c r="AA29" s="5">
        <f t="shared" si="33"/>
        <v>6.0061218312841474E-2</v>
      </c>
      <c r="AB29" s="5">
        <f t="shared" si="34"/>
        <v>2.9324284916038272E-2</v>
      </c>
      <c r="AC29" s="5">
        <f t="shared" si="35"/>
        <v>2.9324284916038272E-2</v>
      </c>
      <c r="AD29" s="5">
        <f t="shared" si="36"/>
        <v>8.733599889142794E-3</v>
      </c>
      <c r="AE29" s="5">
        <f t="shared" si="37"/>
        <v>8.1327282525987463E-3</v>
      </c>
      <c r="AF29" s="23">
        <f t="shared" si="38"/>
        <v>8.733599889142794E-3</v>
      </c>
      <c r="AG29" s="22">
        <f t="shared" si="39"/>
        <v>2.5149962139034938E-2</v>
      </c>
      <c r="AH29" s="5">
        <f t="shared" si="40"/>
        <v>8.2276033427140446E-2</v>
      </c>
      <c r="AI29" s="5">
        <f t="shared" si="41"/>
        <v>1.4754413818385533E-4</v>
      </c>
      <c r="AJ29" s="5">
        <f t="shared" si="42"/>
        <v>3.080316719954209E-4</v>
      </c>
      <c r="AK29" s="5">
        <f t="shared" si="43"/>
        <v>8.2276033427140446E-2</v>
      </c>
      <c r="AL29" s="5">
        <f t="shared" si="44"/>
        <v>8.118503430097403E-3</v>
      </c>
      <c r="AM29" s="5">
        <f t="shared" si="45"/>
        <v>8.118503430097403E-3</v>
      </c>
      <c r="AN29" s="5">
        <f t="shared" si="46"/>
        <v>4.9288059862936072E-3</v>
      </c>
      <c r="AO29" s="5">
        <f t="shared" si="47"/>
        <v>3.5167788479315704E-3</v>
      </c>
      <c r="AP29" s="23">
        <f t="shared" si="48"/>
        <v>4.9288059862936072E-3</v>
      </c>
      <c r="AQ29" s="22">
        <f t="shared" si="49"/>
        <v>9.6000000000000002E-2</v>
      </c>
      <c r="AR29" s="5">
        <f t="shared" si="50"/>
        <v>0.11700000000000001</v>
      </c>
      <c r="AS29" s="23">
        <f t="shared" si="51"/>
        <v>0.107</v>
      </c>
      <c r="AT29" s="24">
        <f t="shared" si="52"/>
        <v>0.64</v>
      </c>
      <c r="AU29" s="218">
        <f t="shared" si="53"/>
        <v>0.78</v>
      </c>
      <c r="AV29" s="25">
        <f t="shared" si="54"/>
        <v>0.71</v>
      </c>
      <c r="AW29" s="253">
        <f t="shared" si="55"/>
        <v>5</v>
      </c>
      <c r="AX29" s="44">
        <f t="shared" si="56"/>
        <v>4</v>
      </c>
      <c r="AY29" s="254">
        <f t="shared" si="57"/>
        <v>4</v>
      </c>
    </row>
    <row r="30" spans="1:51" ht="13.35" customHeight="1">
      <c r="A30" s="116">
        <v>11299</v>
      </c>
      <c r="B30" s="77" t="s">
        <v>182</v>
      </c>
      <c r="C30" s="247" t="str">
        <f>Rollover!A30</f>
        <v>Lexus</v>
      </c>
      <c r="D30" s="248" t="str">
        <f>Rollover!B30</f>
        <v>RX 350 SUV FWD</v>
      </c>
      <c r="E30" s="217" t="s">
        <v>149</v>
      </c>
      <c r="F30" s="73">
        <f>Rollover!C30</f>
        <v>2021</v>
      </c>
      <c r="G30" s="9">
        <v>194.03100000000001</v>
      </c>
      <c r="H30" s="10">
        <v>0.33200000000000002</v>
      </c>
      <c r="I30" s="10">
        <v>1833.354</v>
      </c>
      <c r="J30" s="10">
        <v>265.60700000000003</v>
      </c>
      <c r="K30" s="10">
        <v>34.49</v>
      </c>
      <c r="L30" s="10">
        <v>49.652000000000001</v>
      </c>
      <c r="M30" s="10">
        <v>1925.5139999999999</v>
      </c>
      <c r="N30" s="11">
        <v>3196.7190000000001</v>
      </c>
      <c r="O30" s="9">
        <v>304.69200000000001</v>
      </c>
      <c r="P30" s="10">
        <v>0.40100000000000002</v>
      </c>
      <c r="Q30" s="10">
        <v>1188.8579999999999</v>
      </c>
      <c r="R30" s="10">
        <v>311.596</v>
      </c>
      <c r="S30" s="10">
        <v>18.48</v>
      </c>
      <c r="T30" s="10">
        <v>46.317</v>
      </c>
      <c r="U30" s="10">
        <v>1793.9570000000001</v>
      </c>
      <c r="V30" s="11">
        <v>2031.271</v>
      </c>
      <c r="W30" s="249">
        <f t="shared" si="29"/>
        <v>1.5795054292463042E-3</v>
      </c>
      <c r="X30" s="5">
        <f t="shared" si="30"/>
        <v>7.087942016141463E-2</v>
      </c>
      <c r="Y30" s="5">
        <f t="shared" si="31"/>
        <v>1.3312773098884156E-3</v>
      </c>
      <c r="Z30" s="5">
        <f t="shared" si="32"/>
        <v>3.2194479313720859E-5</v>
      </c>
      <c r="AA30" s="5">
        <f t="shared" si="33"/>
        <v>7.087942016141463E-2</v>
      </c>
      <c r="AB30" s="5">
        <f t="shared" si="34"/>
        <v>7.4531585247378407E-2</v>
      </c>
      <c r="AC30" s="5">
        <f t="shared" si="35"/>
        <v>7.4531585247378407E-2</v>
      </c>
      <c r="AD30" s="5">
        <f t="shared" si="36"/>
        <v>8.2080097187093304E-3</v>
      </c>
      <c r="AE30" s="5">
        <f t="shared" si="37"/>
        <v>1.5767910983772358E-2</v>
      </c>
      <c r="AF30" s="23">
        <f t="shared" si="38"/>
        <v>1.5767910983772358E-2</v>
      </c>
      <c r="AG30" s="22">
        <f t="shared" si="39"/>
        <v>9.5912113998648171E-3</v>
      </c>
      <c r="AH30" s="5">
        <f t="shared" si="40"/>
        <v>8.0364031399719496E-2</v>
      </c>
      <c r="AI30" s="5">
        <f t="shared" si="41"/>
        <v>1.5375821858844038E-3</v>
      </c>
      <c r="AJ30" s="5">
        <f t="shared" si="42"/>
        <v>5.6383191621020164E-5</v>
      </c>
      <c r="AK30" s="5">
        <f t="shared" si="43"/>
        <v>8.0364031399719496E-2</v>
      </c>
      <c r="AL30" s="5">
        <f t="shared" si="44"/>
        <v>1.9110427683468278E-2</v>
      </c>
      <c r="AM30" s="5">
        <f t="shared" si="45"/>
        <v>1.9110427683468278E-2</v>
      </c>
      <c r="AN30" s="5">
        <f t="shared" si="46"/>
        <v>1.1796518758939386E-2</v>
      </c>
      <c r="AO30" s="5">
        <f t="shared" si="47"/>
        <v>1.4101466749392843E-2</v>
      </c>
      <c r="AP30" s="23">
        <f t="shared" si="48"/>
        <v>1.4101466749392843E-2</v>
      </c>
      <c r="AQ30" s="22">
        <f t="shared" si="49"/>
        <v>0.155</v>
      </c>
      <c r="AR30" s="5">
        <f t="shared" si="50"/>
        <v>0.11899999999999999</v>
      </c>
      <c r="AS30" s="23">
        <f t="shared" si="51"/>
        <v>0.13700000000000001</v>
      </c>
      <c r="AT30" s="24">
        <f t="shared" si="52"/>
        <v>1.03</v>
      </c>
      <c r="AU30" s="218">
        <f t="shared" si="53"/>
        <v>0.79</v>
      </c>
      <c r="AV30" s="25">
        <f t="shared" si="54"/>
        <v>0.91</v>
      </c>
      <c r="AW30" s="253">
        <f t="shared" si="55"/>
        <v>3</v>
      </c>
      <c r="AX30" s="44">
        <f t="shared" si="56"/>
        <v>4</v>
      </c>
      <c r="AY30" s="254">
        <f t="shared" si="57"/>
        <v>4</v>
      </c>
    </row>
    <row r="31" spans="1:51" ht="13.35" customHeight="1">
      <c r="A31" s="116">
        <v>11299</v>
      </c>
      <c r="B31" s="77" t="s">
        <v>182</v>
      </c>
      <c r="C31" s="247" t="str">
        <f>Rollover!A31</f>
        <v>Lexus</v>
      </c>
      <c r="D31" s="248" t="str">
        <f>Rollover!B31</f>
        <v>RX 350 SUV AWD</v>
      </c>
      <c r="E31" s="217" t="s">
        <v>149</v>
      </c>
      <c r="F31" s="73">
        <f>Rollover!C31</f>
        <v>2021</v>
      </c>
      <c r="G31" s="9">
        <v>194.03100000000001</v>
      </c>
      <c r="H31" s="10">
        <v>0.33200000000000002</v>
      </c>
      <c r="I31" s="10">
        <v>1833.354</v>
      </c>
      <c r="J31" s="10">
        <v>265.60700000000003</v>
      </c>
      <c r="K31" s="10">
        <v>34.49</v>
      </c>
      <c r="L31" s="10">
        <v>49.652000000000001</v>
      </c>
      <c r="M31" s="10">
        <v>1925.5139999999999</v>
      </c>
      <c r="N31" s="11">
        <v>3196.7190000000001</v>
      </c>
      <c r="O31" s="9">
        <v>304.69200000000001</v>
      </c>
      <c r="P31" s="10">
        <v>0.40100000000000002</v>
      </c>
      <c r="Q31" s="10">
        <v>1188.8579999999999</v>
      </c>
      <c r="R31" s="10">
        <v>311.596</v>
      </c>
      <c r="S31" s="10">
        <v>18.48</v>
      </c>
      <c r="T31" s="10">
        <v>46.317</v>
      </c>
      <c r="U31" s="10">
        <v>1793.9570000000001</v>
      </c>
      <c r="V31" s="11">
        <v>2031.271</v>
      </c>
      <c r="W31" s="249">
        <f t="shared" si="29"/>
        <v>1.5795054292463042E-3</v>
      </c>
      <c r="X31" s="5">
        <f t="shared" si="30"/>
        <v>7.087942016141463E-2</v>
      </c>
      <c r="Y31" s="5">
        <f t="shared" si="31"/>
        <v>1.3312773098884156E-3</v>
      </c>
      <c r="Z31" s="5">
        <f t="shared" si="32"/>
        <v>3.2194479313720859E-5</v>
      </c>
      <c r="AA31" s="5">
        <f t="shared" si="33"/>
        <v>7.087942016141463E-2</v>
      </c>
      <c r="AB31" s="5">
        <f t="shared" si="34"/>
        <v>7.4531585247378407E-2</v>
      </c>
      <c r="AC31" s="5">
        <f t="shared" si="35"/>
        <v>7.4531585247378407E-2</v>
      </c>
      <c r="AD31" s="5">
        <f t="shared" si="36"/>
        <v>8.2080097187093304E-3</v>
      </c>
      <c r="AE31" s="5">
        <f t="shared" si="37"/>
        <v>1.5767910983772358E-2</v>
      </c>
      <c r="AF31" s="23">
        <f t="shared" si="38"/>
        <v>1.5767910983772358E-2</v>
      </c>
      <c r="AG31" s="22">
        <f t="shared" si="39"/>
        <v>9.5912113998648171E-3</v>
      </c>
      <c r="AH31" s="5">
        <f t="shared" si="40"/>
        <v>8.0364031399719496E-2</v>
      </c>
      <c r="AI31" s="5">
        <f t="shared" si="41"/>
        <v>1.5375821858844038E-3</v>
      </c>
      <c r="AJ31" s="5">
        <f t="shared" si="42"/>
        <v>5.6383191621020164E-5</v>
      </c>
      <c r="AK31" s="5">
        <f t="shared" si="43"/>
        <v>8.0364031399719496E-2</v>
      </c>
      <c r="AL31" s="5">
        <f t="shared" si="44"/>
        <v>1.9110427683468278E-2</v>
      </c>
      <c r="AM31" s="5">
        <f t="shared" si="45"/>
        <v>1.9110427683468278E-2</v>
      </c>
      <c r="AN31" s="5">
        <f t="shared" si="46"/>
        <v>1.1796518758939386E-2</v>
      </c>
      <c r="AO31" s="5">
        <f t="shared" si="47"/>
        <v>1.4101466749392843E-2</v>
      </c>
      <c r="AP31" s="23">
        <f t="shared" si="48"/>
        <v>1.4101466749392843E-2</v>
      </c>
      <c r="AQ31" s="22">
        <f t="shared" si="49"/>
        <v>0.155</v>
      </c>
      <c r="AR31" s="5">
        <f t="shared" si="50"/>
        <v>0.11899999999999999</v>
      </c>
      <c r="AS31" s="23">
        <f t="shared" si="51"/>
        <v>0.13700000000000001</v>
      </c>
      <c r="AT31" s="24">
        <f t="shared" si="52"/>
        <v>1.03</v>
      </c>
      <c r="AU31" s="218">
        <f t="shared" si="53"/>
        <v>0.79</v>
      </c>
      <c r="AV31" s="25">
        <f t="shared" si="54"/>
        <v>0.91</v>
      </c>
      <c r="AW31" s="253">
        <f t="shared" si="55"/>
        <v>3</v>
      </c>
      <c r="AX31" s="44">
        <f t="shared" si="56"/>
        <v>4</v>
      </c>
      <c r="AY31" s="254">
        <f t="shared" si="57"/>
        <v>4</v>
      </c>
    </row>
    <row r="32" spans="1:51" ht="13.35" customHeight="1">
      <c r="A32" s="255">
        <v>11299</v>
      </c>
      <c r="B32" s="77" t="s">
        <v>182</v>
      </c>
      <c r="C32" s="256" t="str">
        <f>Rollover!A32</f>
        <v>Lexus</v>
      </c>
      <c r="D32" s="74" t="str">
        <f>Rollover!B32</f>
        <v>RX 350L SUV FWD</v>
      </c>
      <c r="E32" s="217" t="s">
        <v>149</v>
      </c>
      <c r="F32" s="73">
        <f>Rollover!C32</f>
        <v>2021</v>
      </c>
      <c r="G32" s="9">
        <v>194.03100000000001</v>
      </c>
      <c r="H32" s="10">
        <v>0.33200000000000002</v>
      </c>
      <c r="I32" s="10">
        <v>1833.354</v>
      </c>
      <c r="J32" s="10">
        <v>265.60700000000003</v>
      </c>
      <c r="K32" s="10">
        <v>34.49</v>
      </c>
      <c r="L32" s="10">
        <v>49.652000000000001</v>
      </c>
      <c r="M32" s="10">
        <v>1925.5139999999999</v>
      </c>
      <c r="N32" s="11">
        <v>3196.7190000000001</v>
      </c>
      <c r="O32" s="9">
        <v>304.69200000000001</v>
      </c>
      <c r="P32" s="10">
        <v>0.40100000000000002</v>
      </c>
      <c r="Q32" s="10">
        <v>1188.8579999999999</v>
      </c>
      <c r="R32" s="10">
        <v>311.596</v>
      </c>
      <c r="S32" s="10">
        <v>18.48</v>
      </c>
      <c r="T32" s="10">
        <v>46.317</v>
      </c>
      <c r="U32" s="10">
        <v>1793.9570000000001</v>
      </c>
      <c r="V32" s="11">
        <v>2031.271</v>
      </c>
      <c r="W32" s="249">
        <f t="shared" si="29"/>
        <v>1.5795054292463042E-3</v>
      </c>
      <c r="X32" s="5">
        <f t="shared" si="30"/>
        <v>7.087942016141463E-2</v>
      </c>
      <c r="Y32" s="5">
        <f t="shared" si="31"/>
        <v>1.3312773098884156E-3</v>
      </c>
      <c r="Z32" s="5">
        <f t="shared" si="32"/>
        <v>3.2194479313720859E-5</v>
      </c>
      <c r="AA32" s="5">
        <f t="shared" si="33"/>
        <v>7.087942016141463E-2</v>
      </c>
      <c r="AB32" s="5">
        <f t="shared" si="34"/>
        <v>7.4531585247378407E-2</v>
      </c>
      <c r="AC32" s="5">
        <f t="shared" si="35"/>
        <v>7.4531585247378407E-2</v>
      </c>
      <c r="AD32" s="5">
        <f t="shared" si="36"/>
        <v>8.2080097187093304E-3</v>
      </c>
      <c r="AE32" s="5">
        <f t="shared" si="37"/>
        <v>1.5767910983772358E-2</v>
      </c>
      <c r="AF32" s="23">
        <f t="shared" si="38"/>
        <v>1.5767910983772358E-2</v>
      </c>
      <c r="AG32" s="22">
        <f t="shared" si="39"/>
        <v>9.5912113998648171E-3</v>
      </c>
      <c r="AH32" s="5">
        <f t="shared" si="40"/>
        <v>8.0364031399719496E-2</v>
      </c>
      <c r="AI32" s="5">
        <f t="shared" si="41"/>
        <v>1.5375821858844038E-3</v>
      </c>
      <c r="AJ32" s="5">
        <f t="shared" si="42"/>
        <v>5.6383191621020164E-5</v>
      </c>
      <c r="AK32" s="5">
        <f t="shared" si="43"/>
        <v>8.0364031399719496E-2</v>
      </c>
      <c r="AL32" s="5">
        <f t="shared" si="44"/>
        <v>1.9110427683468278E-2</v>
      </c>
      <c r="AM32" s="5">
        <f t="shared" si="45"/>
        <v>1.9110427683468278E-2</v>
      </c>
      <c r="AN32" s="5">
        <f t="shared" si="46"/>
        <v>1.1796518758939386E-2</v>
      </c>
      <c r="AO32" s="5">
        <f t="shared" si="47"/>
        <v>1.4101466749392843E-2</v>
      </c>
      <c r="AP32" s="23">
        <f t="shared" si="48"/>
        <v>1.4101466749392843E-2</v>
      </c>
      <c r="AQ32" s="22">
        <f t="shared" si="49"/>
        <v>0.155</v>
      </c>
      <c r="AR32" s="5">
        <f t="shared" si="50"/>
        <v>0.11899999999999999</v>
      </c>
      <c r="AS32" s="23">
        <f t="shared" si="51"/>
        <v>0.13700000000000001</v>
      </c>
      <c r="AT32" s="24">
        <f t="shared" si="52"/>
        <v>1.03</v>
      </c>
      <c r="AU32" s="218">
        <f t="shared" si="53"/>
        <v>0.79</v>
      </c>
      <c r="AV32" s="25">
        <f t="shared" si="54"/>
        <v>0.91</v>
      </c>
      <c r="AW32" s="253">
        <f t="shared" si="55"/>
        <v>3</v>
      </c>
      <c r="AX32" s="44">
        <f t="shared" si="56"/>
        <v>4</v>
      </c>
      <c r="AY32" s="254">
        <f t="shared" si="57"/>
        <v>4</v>
      </c>
    </row>
    <row r="33" spans="1:51" ht="13.35" customHeight="1">
      <c r="A33" s="111">
        <v>11299</v>
      </c>
      <c r="B33" s="77" t="s">
        <v>182</v>
      </c>
      <c r="C33" s="256" t="str">
        <f>Rollover!A33</f>
        <v>Lexus</v>
      </c>
      <c r="D33" s="74" t="str">
        <f>Rollover!B33</f>
        <v>RX 350L SUV AWD</v>
      </c>
      <c r="E33" s="217" t="s">
        <v>149</v>
      </c>
      <c r="F33" s="73">
        <f>Rollover!C33</f>
        <v>2021</v>
      </c>
      <c r="G33" s="9">
        <v>194.03100000000001</v>
      </c>
      <c r="H33" s="10">
        <v>0.33200000000000002</v>
      </c>
      <c r="I33" s="10">
        <v>1833.354</v>
      </c>
      <c r="J33" s="10">
        <v>265.60700000000003</v>
      </c>
      <c r="K33" s="10">
        <v>34.49</v>
      </c>
      <c r="L33" s="10">
        <v>49.652000000000001</v>
      </c>
      <c r="M33" s="10">
        <v>1925.5139999999999</v>
      </c>
      <c r="N33" s="11">
        <v>3196.7190000000001</v>
      </c>
      <c r="O33" s="9">
        <v>304.69200000000001</v>
      </c>
      <c r="P33" s="10">
        <v>0.40100000000000002</v>
      </c>
      <c r="Q33" s="10">
        <v>1188.8579999999999</v>
      </c>
      <c r="R33" s="10">
        <v>311.596</v>
      </c>
      <c r="S33" s="10">
        <v>18.48</v>
      </c>
      <c r="T33" s="10">
        <v>46.317</v>
      </c>
      <c r="U33" s="10">
        <v>1793.9570000000001</v>
      </c>
      <c r="V33" s="11">
        <v>2031.271</v>
      </c>
      <c r="W33" s="249">
        <f t="shared" si="29"/>
        <v>1.5795054292463042E-3</v>
      </c>
      <c r="X33" s="5">
        <f t="shared" si="30"/>
        <v>7.087942016141463E-2</v>
      </c>
      <c r="Y33" s="5">
        <f t="shared" si="31"/>
        <v>1.3312773098884156E-3</v>
      </c>
      <c r="Z33" s="5">
        <f t="shared" si="32"/>
        <v>3.2194479313720859E-5</v>
      </c>
      <c r="AA33" s="5">
        <f t="shared" si="33"/>
        <v>7.087942016141463E-2</v>
      </c>
      <c r="AB33" s="5">
        <f t="shared" si="34"/>
        <v>7.4531585247378407E-2</v>
      </c>
      <c r="AC33" s="5">
        <f t="shared" si="35"/>
        <v>7.4531585247378407E-2</v>
      </c>
      <c r="AD33" s="5">
        <f t="shared" si="36"/>
        <v>8.2080097187093304E-3</v>
      </c>
      <c r="AE33" s="5">
        <f t="shared" si="37"/>
        <v>1.5767910983772358E-2</v>
      </c>
      <c r="AF33" s="23">
        <f t="shared" si="38"/>
        <v>1.5767910983772358E-2</v>
      </c>
      <c r="AG33" s="22">
        <f t="shared" si="39"/>
        <v>9.5912113998648171E-3</v>
      </c>
      <c r="AH33" s="5">
        <f t="shared" si="40"/>
        <v>8.0364031399719496E-2</v>
      </c>
      <c r="AI33" s="5">
        <f t="shared" si="41"/>
        <v>1.5375821858844038E-3</v>
      </c>
      <c r="AJ33" s="5">
        <f t="shared" si="42"/>
        <v>5.6383191621020164E-5</v>
      </c>
      <c r="AK33" s="5">
        <f t="shared" si="43"/>
        <v>8.0364031399719496E-2</v>
      </c>
      <c r="AL33" s="5">
        <f t="shared" si="44"/>
        <v>1.9110427683468278E-2</v>
      </c>
      <c r="AM33" s="5">
        <f t="shared" si="45"/>
        <v>1.9110427683468278E-2</v>
      </c>
      <c r="AN33" s="5">
        <f t="shared" si="46"/>
        <v>1.1796518758939386E-2</v>
      </c>
      <c r="AO33" s="5">
        <f t="shared" si="47"/>
        <v>1.4101466749392843E-2</v>
      </c>
      <c r="AP33" s="23">
        <f t="shared" si="48"/>
        <v>1.4101466749392843E-2</v>
      </c>
      <c r="AQ33" s="22">
        <f t="shared" si="49"/>
        <v>0.155</v>
      </c>
      <c r="AR33" s="5">
        <f t="shared" si="50"/>
        <v>0.11899999999999999</v>
      </c>
      <c r="AS33" s="23">
        <f t="shared" si="51"/>
        <v>0.13700000000000001</v>
      </c>
      <c r="AT33" s="24">
        <f t="shared" si="52"/>
        <v>1.03</v>
      </c>
      <c r="AU33" s="218">
        <f t="shared" si="53"/>
        <v>0.79</v>
      </c>
      <c r="AV33" s="25">
        <f t="shared" si="54"/>
        <v>0.91</v>
      </c>
      <c r="AW33" s="253">
        <f t="shared" si="55"/>
        <v>3</v>
      </c>
      <c r="AX33" s="44">
        <f t="shared" si="56"/>
        <v>4</v>
      </c>
      <c r="AY33" s="254">
        <f t="shared" si="57"/>
        <v>4</v>
      </c>
    </row>
    <row r="34" spans="1:51" ht="13.35" customHeight="1">
      <c r="A34" s="111">
        <v>11299</v>
      </c>
      <c r="B34" s="77" t="s">
        <v>182</v>
      </c>
      <c r="C34" s="256" t="str">
        <f>Rollover!A34</f>
        <v>Lexus</v>
      </c>
      <c r="D34" s="74" t="str">
        <f>Rollover!B34</f>
        <v>RX 450h SUV AWD</v>
      </c>
      <c r="E34" s="217" t="s">
        <v>149</v>
      </c>
      <c r="F34" s="73">
        <f>Rollover!C34</f>
        <v>2021</v>
      </c>
      <c r="G34" s="9">
        <v>194.03100000000001</v>
      </c>
      <c r="H34" s="10">
        <v>0.33200000000000002</v>
      </c>
      <c r="I34" s="10">
        <v>1833.354</v>
      </c>
      <c r="J34" s="10">
        <v>265.60700000000003</v>
      </c>
      <c r="K34" s="10">
        <v>34.49</v>
      </c>
      <c r="L34" s="10">
        <v>49.652000000000001</v>
      </c>
      <c r="M34" s="10">
        <v>1925.5139999999999</v>
      </c>
      <c r="N34" s="11">
        <v>3196.7190000000001</v>
      </c>
      <c r="O34" s="9">
        <v>304.69200000000001</v>
      </c>
      <c r="P34" s="10">
        <v>0.40100000000000002</v>
      </c>
      <c r="Q34" s="10">
        <v>1188.8579999999999</v>
      </c>
      <c r="R34" s="10">
        <v>311.596</v>
      </c>
      <c r="S34" s="10">
        <v>18.48</v>
      </c>
      <c r="T34" s="10">
        <v>46.317</v>
      </c>
      <c r="U34" s="10">
        <v>1793.9570000000001</v>
      </c>
      <c r="V34" s="11">
        <v>2031.271</v>
      </c>
      <c r="W34" s="249">
        <f t="shared" si="29"/>
        <v>1.5795054292463042E-3</v>
      </c>
      <c r="X34" s="5">
        <f t="shared" si="30"/>
        <v>7.087942016141463E-2</v>
      </c>
      <c r="Y34" s="5">
        <f t="shared" si="31"/>
        <v>1.3312773098884156E-3</v>
      </c>
      <c r="Z34" s="5">
        <f t="shared" si="32"/>
        <v>3.2194479313720859E-5</v>
      </c>
      <c r="AA34" s="5">
        <f t="shared" si="33"/>
        <v>7.087942016141463E-2</v>
      </c>
      <c r="AB34" s="5">
        <f t="shared" si="34"/>
        <v>7.4531585247378407E-2</v>
      </c>
      <c r="AC34" s="5">
        <f t="shared" si="35"/>
        <v>7.4531585247378407E-2</v>
      </c>
      <c r="AD34" s="5">
        <f t="shared" si="36"/>
        <v>8.2080097187093304E-3</v>
      </c>
      <c r="AE34" s="5">
        <f t="shared" si="37"/>
        <v>1.5767910983772358E-2</v>
      </c>
      <c r="AF34" s="23">
        <f t="shared" si="38"/>
        <v>1.5767910983772358E-2</v>
      </c>
      <c r="AG34" s="22">
        <f t="shared" si="39"/>
        <v>9.5912113998648171E-3</v>
      </c>
      <c r="AH34" s="5">
        <f t="shared" si="40"/>
        <v>8.0364031399719496E-2</v>
      </c>
      <c r="AI34" s="5">
        <f t="shared" si="41"/>
        <v>1.5375821858844038E-3</v>
      </c>
      <c r="AJ34" s="5">
        <f t="shared" si="42"/>
        <v>5.6383191621020164E-5</v>
      </c>
      <c r="AK34" s="5">
        <f t="shared" si="43"/>
        <v>8.0364031399719496E-2</v>
      </c>
      <c r="AL34" s="5">
        <f t="shared" si="44"/>
        <v>1.9110427683468278E-2</v>
      </c>
      <c r="AM34" s="5">
        <f t="shared" si="45"/>
        <v>1.9110427683468278E-2</v>
      </c>
      <c r="AN34" s="5">
        <f t="shared" si="46"/>
        <v>1.1796518758939386E-2</v>
      </c>
      <c r="AO34" s="5">
        <f t="shared" si="47"/>
        <v>1.4101466749392843E-2</v>
      </c>
      <c r="AP34" s="23">
        <f t="shared" si="48"/>
        <v>1.4101466749392843E-2</v>
      </c>
      <c r="AQ34" s="22">
        <f t="shared" si="49"/>
        <v>0.155</v>
      </c>
      <c r="AR34" s="5">
        <f t="shared" si="50"/>
        <v>0.11899999999999999</v>
      </c>
      <c r="AS34" s="23">
        <f t="shared" si="51"/>
        <v>0.13700000000000001</v>
      </c>
      <c r="AT34" s="24">
        <f t="shared" si="52"/>
        <v>1.03</v>
      </c>
      <c r="AU34" s="218">
        <f t="shared" si="53"/>
        <v>0.79</v>
      </c>
      <c r="AV34" s="25">
        <f t="shared" si="54"/>
        <v>0.91</v>
      </c>
      <c r="AW34" s="253">
        <f t="shared" si="55"/>
        <v>3</v>
      </c>
      <c r="AX34" s="44">
        <f t="shared" si="56"/>
        <v>4</v>
      </c>
      <c r="AY34" s="254">
        <f t="shared" si="57"/>
        <v>4</v>
      </c>
    </row>
    <row r="35" spans="1:51" ht="13.35" customHeight="1">
      <c r="A35" s="111">
        <v>11299</v>
      </c>
      <c r="B35" s="77" t="s">
        <v>182</v>
      </c>
      <c r="C35" s="256" t="str">
        <f>Rollover!A35</f>
        <v>Lexus</v>
      </c>
      <c r="D35" s="74" t="str">
        <f>Rollover!B35</f>
        <v>RX 450hL SUV AWD</v>
      </c>
      <c r="E35" s="217" t="s">
        <v>149</v>
      </c>
      <c r="F35" s="73">
        <f>Rollover!C35</f>
        <v>2021</v>
      </c>
      <c r="G35" s="9">
        <v>194.03100000000001</v>
      </c>
      <c r="H35" s="10">
        <v>0.33200000000000002</v>
      </c>
      <c r="I35" s="10">
        <v>1833.354</v>
      </c>
      <c r="J35" s="10">
        <v>265.60700000000003</v>
      </c>
      <c r="K35" s="10">
        <v>34.49</v>
      </c>
      <c r="L35" s="10">
        <v>49.652000000000001</v>
      </c>
      <c r="M35" s="10">
        <v>1925.5139999999999</v>
      </c>
      <c r="N35" s="11">
        <v>3196.7190000000001</v>
      </c>
      <c r="O35" s="9">
        <v>304.69200000000001</v>
      </c>
      <c r="P35" s="10">
        <v>0.40100000000000002</v>
      </c>
      <c r="Q35" s="10">
        <v>1188.8579999999999</v>
      </c>
      <c r="R35" s="10">
        <v>311.596</v>
      </c>
      <c r="S35" s="10">
        <v>18.48</v>
      </c>
      <c r="T35" s="10">
        <v>46.317</v>
      </c>
      <c r="U35" s="10">
        <v>1793.9570000000001</v>
      </c>
      <c r="V35" s="11">
        <v>2031.271</v>
      </c>
      <c r="W35" s="249">
        <f t="shared" si="29"/>
        <v>1.5795054292463042E-3</v>
      </c>
      <c r="X35" s="5">
        <f t="shared" si="30"/>
        <v>7.087942016141463E-2</v>
      </c>
      <c r="Y35" s="5">
        <f t="shared" si="31"/>
        <v>1.3312773098884156E-3</v>
      </c>
      <c r="Z35" s="5">
        <f t="shared" si="32"/>
        <v>3.2194479313720859E-5</v>
      </c>
      <c r="AA35" s="5">
        <f t="shared" si="33"/>
        <v>7.087942016141463E-2</v>
      </c>
      <c r="AB35" s="5">
        <f t="shared" si="34"/>
        <v>7.4531585247378407E-2</v>
      </c>
      <c r="AC35" s="5">
        <f t="shared" si="35"/>
        <v>7.4531585247378407E-2</v>
      </c>
      <c r="AD35" s="5">
        <f t="shared" si="36"/>
        <v>8.2080097187093304E-3</v>
      </c>
      <c r="AE35" s="5">
        <f t="shared" si="37"/>
        <v>1.5767910983772358E-2</v>
      </c>
      <c r="AF35" s="23">
        <f t="shared" si="38"/>
        <v>1.5767910983772358E-2</v>
      </c>
      <c r="AG35" s="22">
        <f t="shared" si="39"/>
        <v>9.5912113998648171E-3</v>
      </c>
      <c r="AH35" s="5">
        <f t="shared" si="40"/>
        <v>8.0364031399719496E-2</v>
      </c>
      <c r="AI35" s="5">
        <f t="shared" si="41"/>
        <v>1.5375821858844038E-3</v>
      </c>
      <c r="AJ35" s="5">
        <f t="shared" si="42"/>
        <v>5.6383191621020164E-5</v>
      </c>
      <c r="AK35" s="5">
        <f t="shared" si="43"/>
        <v>8.0364031399719496E-2</v>
      </c>
      <c r="AL35" s="5">
        <f t="shared" si="44"/>
        <v>1.9110427683468278E-2</v>
      </c>
      <c r="AM35" s="5">
        <f t="shared" si="45"/>
        <v>1.9110427683468278E-2</v>
      </c>
      <c r="AN35" s="5">
        <f t="shared" si="46"/>
        <v>1.1796518758939386E-2</v>
      </c>
      <c r="AO35" s="5">
        <f t="shared" si="47"/>
        <v>1.4101466749392843E-2</v>
      </c>
      <c r="AP35" s="23">
        <f t="shared" si="48"/>
        <v>1.4101466749392843E-2</v>
      </c>
      <c r="AQ35" s="22">
        <f t="shared" si="49"/>
        <v>0.155</v>
      </c>
      <c r="AR35" s="5">
        <f t="shared" si="50"/>
        <v>0.11899999999999999</v>
      </c>
      <c r="AS35" s="23">
        <f t="shared" si="51"/>
        <v>0.13700000000000001</v>
      </c>
      <c r="AT35" s="24">
        <f t="shared" si="52"/>
        <v>1.03</v>
      </c>
      <c r="AU35" s="218">
        <f t="shared" si="53"/>
        <v>0.79</v>
      </c>
      <c r="AV35" s="25">
        <f t="shared" si="54"/>
        <v>0.91</v>
      </c>
      <c r="AW35" s="253">
        <f t="shared" si="55"/>
        <v>3</v>
      </c>
      <c r="AX35" s="44">
        <f t="shared" si="56"/>
        <v>4</v>
      </c>
      <c r="AY35" s="254">
        <f t="shared" si="57"/>
        <v>4</v>
      </c>
    </row>
    <row r="36" spans="1:51" ht="13.35" customHeight="1">
      <c r="A36" s="116">
        <v>11296</v>
      </c>
      <c r="B36" s="77" t="s">
        <v>181</v>
      </c>
      <c r="C36" s="247" t="str">
        <f>Rollover!A36</f>
        <v>Mercedes-Benz</v>
      </c>
      <c r="D36" s="248" t="str">
        <f>Rollover!B36</f>
        <v>E-Class 4DR RWD</v>
      </c>
      <c r="E36" s="257" t="s">
        <v>92</v>
      </c>
      <c r="F36" s="73">
        <f>Rollover!C36</f>
        <v>2021</v>
      </c>
      <c r="G36" s="17">
        <v>190.43100000000001</v>
      </c>
      <c r="H36" s="18">
        <v>0.30199999999999999</v>
      </c>
      <c r="I36" s="18">
        <v>827.81100000000004</v>
      </c>
      <c r="J36" s="18">
        <v>91.884</v>
      </c>
      <c r="K36" s="18">
        <v>25.927</v>
      </c>
      <c r="L36" s="18">
        <v>42.018000000000001</v>
      </c>
      <c r="M36" s="18">
        <v>1721.633</v>
      </c>
      <c r="N36" s="19">
        <v>2139.0430000000001</v>
      </c>
      <c r="O36" s="17">
        <v>204.39099999999999</v>
      </c>
      <c r="P36" s="18">
        <v>0.29399999999999998</v>
      </c>
      <c r="Q36" s="18">
        <v>535.05899999999997</v>
      </c>
      <c r="R36" s="18">
        <v>503.57799999999997</v>
      </c>
      <c r="S36" s="18">
        <v>10.904</v>
      </c>
      <c r="T36" s="18">
        <v>44.42</v>
      </c>
      <c r="U36" s="18">
        <v>1145.0509999999999</v>
      </c>
      <c r="V36" s="19">
        <v>1369.5840000000001</v>
      </c>
      <c r="W36" s="249">
        <f t="shared" si="29"/>
        <v>1.4547811144128102E-3</v>
      </c>
      <c r="X36" s="5">
        <f t="shared" si="30"/>
        <v>6.7086953960828088E-2</v>
      </c>
      <c r="Y36" s="5">
        <f t="shared" si="31"/>
        <v>1.2235654945333125E-4</v>
      </c>
      <c r="Z36" s="5">
        <f t="shared" si="32"/>
        <v>2.1310794895550137E-5</v>
      </c>
      <c r="AA36" s="5">
        <f t="shared" si="33"/>
        <v>6.7086953960828088E-2</v>
      </c>
      <c r="AB36" s="5">
        <f t="shared" si="34"/>
        <v>2.9058448809324393E-2</v>
      </c>
      <c r="AC36" s="5">
        <f t="shared" si="35"/>
        <v>2.9058448809324393E-2</v>
      </c>
      <c r="AD36" s="5">
        <f t="shared" si="36"/>
        <v>7.3890509309432065E-3</v>
      </c>
      <c r="AE36" s="5">
        <f t="shared" si="37"/>
        <v>9.1623022775866141E-3</v>
      </c>
      <c r="AF36" s="23">
        <f t="shared" si="38"/>
        <v>9.1623022775866141E-3</v>
      </c>
      <c r="AG36" s="22">
        <f t="shared" si="39"/>
        <v>1.9787426655660987E-3</v>
      </c>
      <c r="AH36" s="5">
        <f t="shared" si="40"/>
        <v>6.6107890821395843E-2</v>
      </c>
      <c r="AI36" s="5">
        <f t="shared" si="41"/>
        <v>1.3091549829668552E-4</v>
      </c>
      <c r="AJ36" s="5">
        <f t="shared" si="42"/>
        <v>1.1626631106875408E-4</v>
      </c>
      <c r="AK36" s="5">
        <f t="shared" si="43"/>
        <v>6.6107890821395843E-2</v>
      </c>
      <c r="AL36" s="5">
        <f t="shared" si="44"/>
        <v>4.6545550534722764E-3</v>
      </c>
      <c r="AM36" s="5">
        <f t="shared" si="45"/>
        <v>4.6545550534722764E-3</v>
      </c>
      <c r="AN36" s="5">
        <f t="shared" si="46"/>
        <v>7.2283804297778864E-3</v>
      </c>
      <c r="AO36" s="5">
        <f t="shared" si="47"/>
        <v>8.5654696548316811E-3</v>
      </c>
      <c r="AP36" s="23">
        <f t="shared" si="48"/>
        <v>8.5654696548316811E-3</v>
      </c>
      <c r="AQ36" s="22">
        <f t="shared" si="49"/>
        <v>0.104</v>
      </c>
      <c r="AR36" s="5">
        <f t="shared" si="50"/>
        <v>0.08</v>
      </c>
      <c r="AS36" s="23">
        <f t="shared" si="51"/>
        <v>9.1999999999999998E-2</v>
      </c>
      <c r="AT36" s="24">
        <f t="shared" si="52"/>
        <v>0.69</v>
      </c>
      <c r="AU36" s="218">
        <f t="shared" si="53"/>
        <v>0.53</v>
      </c>
      <c r="AV36" s="25">
        <f t="shared" si="54"/>
        <v>0.61</v>
      </c>
      <c r="AW36" s="253">
        <f t="shared" si="55"/>
        <v>4</v>
      </c>
      <c r="AX36" s="44">
        <f t="shared" si="56"/>
        <v>5</v>
      </c>
      <c r="AY36" s="254">
        <f t="shared" si="57"/>
        <v>5</v>
      </c>
    </row>
    <row r="37" spans="1:51" ht="13.35" customHeight="1">
      <c r="A37" s="255">
        <v>11296</v>
      </c>
      <c r="B37" s="103" t="s">
        <v>181</v>
      </c>
      <c r="C37" s="247" t="str">
        <f>Rollover!A37</f>
        <v>Mercedes-Benz</v>
      </c>
      <c r="D37" s="248" t="str">
        <f>Rollover!B37</f>
        <v>E-Class 4DR 4WD</v>
      </c>
      <c r="E37" s="217" t="s">
        <v>92</v>
      </c>
      <c r="F37" s="73">
        <f>Rollover!C37</f>
        <v>2021</v>
      </c>
      <c r="G37" s="17">
        <v>190.43100000000001</v>
      </c>
      <c r="H37" s="18">
        <v>0.30199999999999999</v>
      </c>
      <c r="I37" s="18">
        <v>827.81100000000004</v>
      </c>
      <c r="J37" s="18">
        <v>91.884</v>
      </c>
      <c r="K37" s="18">
        <v>25.927</v>
      </c>
      <c r="L37" s="18">
        <v>42.018000000000001</v>
      </c>
      <c r="M37" s="18">
        <v>1721.633</v>
      </c>
      <c r="N37" s="19">
        <v>2139.0430000000001</v>
      </c>
      <c r="O37" s="17">
        <v>204.39099999999999</v>
      </c>
      <c r="P37" s="18">
        <v>0.29399999999999998</v>
      </c>
      <c r="Q37" s="18">
        <v>535.05899999999997</v>
      </c>
      <c r="R37" s="18">
        <v>503.57799999999997</v>
      </c>
      <c r="S37" s="18">
        <v>10.904</v>
      </c>
      <c r="T37" s="18">
        <v>44.42</v>
      </c>
      <c r="U37" s="18">
        <v>1145.0509999999999</v>
      </c>
      <c r="V37" s="19">
        <v>1369.5840000000001</v>
      </c>
      <c r="W37" s="249">
        <f t="shared" si="29"/>
        <v>1.4547811144128102E-3</v>
      </c>
      <c r="X37" s="5">
        <f t="shared" si="30"/>
        <v>6.7086953960828088E-2</v>
      </c>
      <c r="Y37" s="5">
        <f t="shared" si="31"/>
        <v>1.2235654945333125E-4</v>
      </c>
      <c r="Z37" s="5">
        <f t="shared" si="32"/>
        <v>2.1310794895550137E-5</v>
      </c>
      <c r="AA37" s="5">
        <f t="shared" si="33"/>
        <v>6.7086953960828088E-2</v>
      </c>
      <c r="AB37" s="5">
        <f t="shared" si="34"/>
        <v>2.9058448809324393E-2</v>
      </c>
      <c r="AC37" s="5">
        <f t="shared" si="35"/>
        <v>2.9058448809324393E-2</v>
      </c>
      <c r="AD37" s="5">
        <f t="shared" si="36"/>
        <v>7.3890509309432065E-3</v>
      </c>
      <c r="AE37" s="5">
        <f t="shared" si="37"/>
        <v>9.1623022775866141E-3</v>
      </c>
      <c r="AF37" s="23">
        <f t="shared" si="38"/>
        <v>9.1623022775866141E-3</v>
      </c>
      <c r="AG37" s="22">
        <f t="shared" si="39"/>
        <v>1.9787426655660987E-3</v>
      </c>
      <c r="AH37" s="5">
        <f t="shared" si="40"/>
        <v>6.6107890821395843E-2</v>
      </c>
      <c r="AI37" s="5">
        <f t="shared" si="41"/>
        <v>1.3091549829668552E-4</v>
      </c>
      <c r="AJ37" s="5">
        <f t="shared" si="42"/>
        <v>1.1626631106875408E-4</v>
      </c>
      <c r="AK37" s="5">
        <f t="shared" si="43"/>
        <v>6.6107890821395843E-2</v>
      </c>
      <c r="AL37" s="5">
        <f t="shared" si="44"/>
        <v>4.6545550534722764E-3</v>
      </c>
      <c r="AM37" s="5">
        <f t="shared" si="45"/>
        <v>4.6545550534722764E-3</v>
      </c>
      <c r="AN37" s="5">
        <f t="shared" si="46"/>
        <v>7.2283804297778864E-3</v>
      </c>
      <c r="AO37" s="5">
        <f t="shared" si="47"/>
        <v>8.5654696548316811E-3</v>
      </c>
      <c r="AP37" s="23">
        <f t="shared" si="48"/>
        <v>8.5654696548316811E-3</v>
      </c>
      <c r="AQ37" s="22">
        <f t="shared" si="49"/>
        <v>0.104</v>
      </c>
      <c r="AR37" s="5">
        <f t="shared" si="50"/>
        <v>0.08</v>
      </c>
      <c r="AS37" s="23">
        <f t="shared" si="51"/>
        <v>9.1999999999999998E-2</v>
      </c>
      <c r="AT37" s="24">
        <f t="shared" si="52"/>
        <v>0.69</v>
      </c>
      <c r="AU37" s="218">
        <f t="shared" si="53"/>
        <v>0.53</v>
      </c>
      <c r="AV37" s="25">
        <f t="shared" si="54"/>
        <v>0.61</v>
      </c>
      <c r="AW37" s="253">
        <f t="shared" si="55"/>
        <v>4</v>
      </c>
      <c r="AX37" s="44">
        <f t="shared" si="56"/>
        <v>5</v>
      </c>
      <c r="AY37" s="254">
        <f t="shared" si="57"/>
        <v>5</v>
      </c>
    </row>
    <row r="38" spans="1:51" ht="13.35" customHeight="1">
      <c r="A38" s="116">
        <v>11296</v>
      </c>
      <c r="B38" s="77" t="s">
        <v>181</v>
      </c>
      <c r="C38" s="256" t="str">
        <f>Rollover!A38</f>
        <v>Mercedes-Benz</v>
      </c>
      <c r="D38" s="74" t="str">
        <f>Rollover!B38</f>
        <v>E-Class SW RWD</v>
      </c>
      <c r="E38" s="217" t="s">
        <v>92</v>
      </c>
      <c r="F38" s="73">
        <f>Rollover!C38</f>
        <v>2021</v>
      </c>
      <c r="G38" s="17">
        <v>190.43100000000001</v>
      </c>
      <c r="H38" s="18">
        <v>0.30199999999999999</v>
      </c>
      <c r="I38" s="18">
        <v>827.81100000000004</v>
      </c>
      <c r="J38" s="18">
        <v>91.884</v>
      </c>
      <c r="K38" s="18">
        <v>25.927</v>
      </c>
      <c r="L38" s="18">
        <v>42.018000000000001</v>
      </c>
      <c r="M38" s="18">
        <v>1721.633</v>
      </c>
      <c r="N38" s="19">
        <v>2139.0430000000001</v>
      </c>
      <c r="O38" s="17">
        <v>204.39099999999999</v>
      </c>
      <c r="P38" s="18">
        <v>0.29399999999999998</v>
      </c>
      <c r="Q38" s="18">
        <v>535.05899999999997</v>
      </c>
      <c r="R38" s="18">
        <v>503.57799999999997</v>
      </c>
      <c r="S38" s="18">
        <v>10.904</v>
      </c>
      <c r="T38" s="18">
        <v>44.42</v>
      </c>
      <c r="U38" s="18">
        <v>1145.0509999999999</v>
      </c>
      <c r="V38" s="19">
        <v>1369.5840000000001</v>
      </c>
      <c r="W38" s="249">
        <f t="shared" si="29"/>
        <v>1.4547811144128102E-3</v>
      </c>
      <c r="X38" s="5">
        <f t="shared" si="30"/>
        <v>6.7086953960828088E-2</v>
      </c>
      <c r="Y38" s="5">
        <f t="shared" si="31"/>
        <v>1.2235654945333125E-4</v>
      </c>
      <c r="Z38" s="5">
        <f t="shared" si="32"/>
        <v>2.1310794895550137E-5</v>
      </c>
      <c r="AA38" s="5">
        <f t="shared" si="33"/>
        <v>6.7086953960828088E-2</v>
      </c>
      <c r="AB38" s="5">
        <f t="shared" si="34"/>
        <v>2.9058448809324393E-2</v>
      </c>
      <c r="AC38" s="5">
        <f t="shared" si="35"/>
        <v>2.9058448809324393E-2</v>
      </c>
      <c r="AD38" s="5">
        <f t="shared" si="36"/>
        <v>7.3890509309432065E-3</v>
      </c>
      <c r="AE38" s="5">
        <f t="shared" si="37"/>
        <v>9.1623022775866141E-3</v>
      </c>
      <c r="AF38" s="23">
        <f t="shared" si="38"/>
        <v>9.1623022775866141E-3</v>
      </c>
      <c r="AG38" s="22">
        <f t="shared" si="39"/>
        <v>1.9787426655660987E-3</v>
      </c>
      <c r="AH38" s="5">
        <f t="shared" si="40"/>
        <v>6.6107890821395843E-2</v>
      </c>
      <c r="AI38" s="5">
        <f t="shared" si="41"/>
        <v>1.3091549829668552E-4</v>
      </c>
      <c r="AJ38" s="5">
        <f t="shared" si="42"/>
        <v>1.1626631106875408E-4</v>
      </c>
      <c r="AK38" s="5">
        <f t="shared" si="43"/>
        <v>6.6107890821395843E-2</v>
      </c>
      <c r="AL38" s="5">
        <f t="shared" si="44"/>
        <v>4.6545550534722764E-3</v>
      </c>
      <c r="AM38" s="5">
        <f t="shared" si="45"/>
        <v>4.6545550534722764E-3</v>
      </c>
      <c r="AN38" s="5">
        <f t="shared" si="46"/>
        <v>7.2283804297778864E-3</v>
      </c>
      <c r="AO38" s="5">
        <f t="shared" si="47"/>
        <v>8.5654696548316811E-3</v>
      </c>
      <c r="AP38" s="23">
        <f t="shared" si="48"/>
        <v>8.5654696548316811E-3</v>
      </c>
      <c r="AQ38" s="22">
        <f t="shared" si="49"/>
        <v>0.104</v>
      </c>
      <c r="AR38" s="5">
        <f t="shared" si="50"/>
        <v>0.08</v>
      </c>
      <c r="AS38" s="23">
        <f t="shared" si="51"/>
        <v>9.1999999999999998E-2</v>
      </c>
      <c r="AT38" s="24">
        <f t="shared" si="52"/>
        <v>0.69</v>
      </c>
      <c r="AU38" s="218">
        <f t="shared" si="53"/>
        <v>0.53</v>
      </c>
      <c r="AV38" s="25">
        <f t="shared" si="54"/>
        <v>0.61</v>
      </c>
      <c r="AW38" s="253">
        <f t="shared" si="55"/>
        <v>4</v>
      </c>
      <c r="AX38" s="44">
        <f t="shared" si="56"/>
        <v>5</v>
      </c>
      <c r="AY38" s="254">
        <f t="shared" si="57"/>
        <v>5</v>
      </c>
    </row>
    <row r="39" spans="1:51" ht="13.35" customHeight="1">
      <c r="A39" s="255">
        <v>11296</v>
      </c>
      <c r="B39" s="103" t="s">
        <v>181</v>
      </c>
      <c r="C39" s="256" t="str">
        <f>Rollover!A39</f>
        <v>Mercedes-Benz</v>
      </c>
      <c r="D39" s="74" t="str">
        <f>Rollover!B39</f>
        <v>E-Class SW 4WD</v>
      </c>
      <c r="E39" s="217" t="s">
        <v>92</v>
      </c>
      <c r="F39" s="73">
        <f>Rollover!C39</f>
        <v>2021</v>
      </c>
      <c r="G39" s="17">
        <v>190.43100000000001</v>
      </c>
      <c r="H39" s="18">
        <v>0.30199999999999999</v>
      </c>
      <c r="I39" s="18">
        <v>827.81100000000004</v>
      </c>
      <c r="J39" s="18">
        <v>91.884</v>
      </c>
      <c r="K39" s="18">
        <v>25.927</v>
      </c>
      <c r="L39" s="18">
        <v>42.018000000000001</v>
      </c>
      <c r="M39" s="18">
        <v>1721.633</v>
      </c>
      <c r="N39" s="19">
        <v>2139.0430000000001</v>
      </c>
      <c r="O39" s="17">
        <v>204.39099999999999</v>
      </c>
      <c r="P39" s="18">
        <v>0.29399999999999998</v>
      </c>
      <c r="Q39" s="18">
        <v>535.05899999999997</v>
      </c>
      <c r="R39" s="18">
        <v>503.57799999999997</v>
      </c>
      <c r="S39" s="18">
        <v>10.904</v>
      </c>
      <c r="T39" s="18">
        <v>44.42</v>
      </c>
      <c r="U39" s="18">
        <v>1145.0509999999999</v>
      </c>
      <c r="V39" s="19">
        <v>1369.5840000000001</v>
      </c>
      <c r="W39" s="249">
        <f t="shared" si="29"/>
        <v>1.4547811144128102E-3</v>
      </c>
      <c r="X39" s="5">
        <f t="shared" si="30"/>
        <v>6.7086953960828088E-2</v>
      </c>
      <c r="Y39" s="5">
        <f t="shared" si="31"/>
        <v>1.2235654945333125E-4</v>
      </c>
      <c r="Z39" s="5">
        <f t="shared" si="32"/>
        <v>2.1310794895550137E-5</v>
      </c>
      <c r="AA39" s="5">
        <f t="shared" si="33"/>
        <v>6.7086953960828088E-2</v>
      </c>
      <c r="AB39" s="5">
        <f t="shared" si="34"/>
        <v>2.9058448809324393E-2</v>
      </c>
      <c r="AC39" s="5">
        <f t="shared" si="35"/>
        <v>2.9058448809324393E-2</v>
      </c>
      <c r="AD39" s="5">
        <f t="shared" si="36"/>
        <v>7.3890509309432065E-3</v>
      </c>
      <c r="AE39" s="5">
        <f t="shared" si="37"/>
        <v>9.1623022775866141E-3</v>
      </c>
      <c r="AF39" s="23">
        <f t="shared" si="38"/>
        <v>9.1623022775866141E-3</v>
      </c>
      <c r="AG39" s="22">
        <f t="shared" si="39"/>
        <v>1.9787426655660987E-3</v>
      </c>
      <c r="AH39" s="5">
        <f t="shared" si="40"/>
        <v>6.6107890821395843E-2</v>
      </c>
      <c r="AI39" s="5">
        <f t="shared" si="41"/>
        <v>1.3091549829668552E-4</v>
      </c>
      <c r="AJ39" s="5">
        <f t="shared" si="42"/>
        <v>1.1626631106875408E-4</v>
      </c>
      <c r="AK39" s="5">
        <f t="shared" si="43"/>
        <v>6.6107890821395843E-2</v>
      </c>
      <c r="AL39" s="5">
        <f t="shared" si="44"/>
        <v>4.6545550534722764E-3</v>
      </c>
      <c r="AM39" s="5">
        <f t="shared" si="45"/>
        <v>4.6545550534722764E-3</v>
      </c>
      <c r="AN39" s="5">
        <f t="shared" si="46"/>
        <v>7.2283804297778864E-3</v>
      </c>
      <c r="AO39" s="5">
        <f t="shared" si="47"/>
        <v>8.5654696548316811E-3</v>
      </c>
      <c r="AP39" s="23">
        <f t="shared" si="48"/>
        <v>8.5654696548316811E-3</v>
      </c>
      <c r="AQ39" s="22">
        <f t="shared" si="49"/>
        <v>0.104</v>
      </c>
      <c r="AR39" s="5">
        <f t="shared" si="50"/>
        <v>0.08</v>
      </c>
      <c r="AS39" s="23">
        <f t="shared" si="51"/>
        <v>9.1999999999999998E-2</v>
      </c>
      <c r="AT39" s="24">
        <f t="shared" si="52"/>
        <v>0.69</v>
      </c>
      <c r="AU39" s="218">
        <f t="shared" si="53"/>
        <v>0.53</v>
      </c>
      <c r="AV39" s="25">
        <f t="shared" si="54"/>
        <v>0.61</v>
      </c>
      <c r="AW39" s="253">
        <f t="shared" si="55"/>
        <v>4</v>
      </c>
      <c r="AX39" s="44">
        <f t="shared" si="56"/>
        <v>5</v>
      </c>
      <c r="AY39" s="254">
        <f t="shared" si="57"/>
        <v>5</v>
      </c>
    </row>
    <row r="40" spans="1:51" ht="13.35" customHeight="1">
      <c r="A40" s="116">
        <v>11298</v>
      </c>
      <c r="B40" s="77" t="s">
        <v>187</v>
      </c>
      <c r="C40" s="247" t="str">
        <f>Rollover!A40</f>
        <v>Mercedes-Benz</v>
      </c>
      <c r="D40" s="248" t="str">
        <f>Rollover!B40</f>
        <v>GLC Class SUV RWD</v>
      </c>
      <c r="E40" s="217" t="s">
        <v>149</v>
      </c>
      <c r="F40" s="73">
        <f>Rollover!C40</f>
        <v>2021</v>
      </c>
      <c r="G40" s="78">
        <v>176.60900000000001</v>
      </c>
      <c r="H40" s="79">
        <v>0.188</v>
      </c>
      <c r="I40" s="79">
        <v>730.529</v>
      </c>
      <c r="J40" s="79">
        <v>112.971</v>
      </c>
      <c r="K40" s="79">
        <v>25.417999999999999</v>
      </c>
      <c r="L40" s="79">
        <v>37.807000000000002</v>
      </c>
      <c r="M40" s="79">
        <v>1772.2090000000001</v>
      </c>
      <c r="N40" s="80">
        <v>2463.143</v>
      </c>
      <c r="O40" s="9">
        <v>139.19399999999999</v>
      </c>
      <c r="P40" s="10">
        <v>0.28100000000000003</v>
      </c>
      <c r="Q40" s="10">
        <v>752.274</v>
      </c>
      <c r="R40" s="10">
        <v>408.79199999999997</v>
      </c>
      <c r="S40" s="10">
        <v>15.305999999999999</v>
      </c>
      <c r="T40" s="10">
        <v>40.468000000000004</v>
      </c>
      <c r="U40" s="10">
        <v>979.92700000000002</v>
      </c>
      <c r="V40" s="11">
        <v>300.22500000000002</v>
      </c>
      <c r="W40" s="249">
        <f t="shared" si="29"/>
        <v>1.0386090466723292E-3</v>
      </c>
      <c r="X40" s="5">
        <f t="shared" si="30"/>
        <v>5.433264657611532E-2</v>
      </c>
      <c r="Y40" s="5">
        <f t="shared" si="31"/>
        <v>9.7117327644896984E-5</v>
      </c>
      <c r="Z40" s="5">
        <f t="shared" si="32"/>
        <v>2.2405226946955762E-5</v>
      </c>
      <c r="AA40" s="5">
        <f t="shared" si="33"/>
        <v>5.433264657611532E-2</v>
      </c>
      <c r="AB40" s="5">
        <f t="shared" si="34"/>
        <v>2.7304761433181685E-2</v>
      </c>
      <c r="AC40" s="5">
        <f t="shared" si="35"/>
        <v>2.7304761433181685E-2</v>
      </c>
      <c r="AD40" s="5">
        <f t="shared" si="36"/>
        <v>7.5843116453944443E-3</v>
      </c>
      <c r="AE40" s="5">
        <f t="shared" si="37"/>
        <v>1.0824594087923972E-2</v>
      </c>
      <c r="AF40" s="23">
        <f t="shared" si="38"/>
        <v>1.0824594087923972E-2</v>
      </c>
      <c r="AG40" s="22">
        <f t="shared" si="39"/>
        <v>3.3608207400895307E-4</v>
      </c>
      <c r="AH40" s="5">
        <f t="shared" si="40"/>
        <v>6.4545192426725559E-2</v>
      </c>
      <c r="AI40" s="5">
        <f t="shared" si="41"/>
        <v>2.9686771222062289E-4</v>
      </c>
      <c r="AJ40" s="5">
        <f t="shared" si="42"/>
        <v>8.1334888697138399E-5</v>
      </c>
      <c r="AK40" s="5">
        <f t="shared" si="43"/>
        <v>6.4545192426725559E-2</v>
      </c>
      <c r="AL40" s="5">
        <f t="shared" si="44"/>
        <v>1.1115543153670301E-2</v>
      </c>
      <c r="AM40" s="5">
        <f t="shared" si="45"/>
        <v>1.1115543153670301E-2</v>
      </c>
      <c r="AN40" s="5">
        <f t="shared" si="46"/>
        <v>6.3793225155653853E-3</v>
      </c>
      <c r="AO40" s="5">
        <f t="shared" si="47"/>
        <v>3.8105702790694946E-3</v>
      </c>
      <c r="AP40" s="23">
        <f t="shared" si="48"/>
        <v>6.3793225155653853E-3</v>
      </c>
      <c r="AQ40" s="22">
        <f t="shared" si="49"/>
        <v>9.0999999999999998E-2</v>
      </c>
      <c r="AR40" s="5">
        <f t="shared" si="50"/>
        <v>8.1000000000000003E-2</v>
      </c>
      <c r="AS40" s="23">
        <f t="shared" si="51"/>
        <v>8.5999999999999993E-2</v>
      </c>
      <c r="AT40" s="24">
        <f t="shared" si="52"/>
        <v>0.61</v>
      </c>
      <c r="AU40" s="218">
        <f t="shared" si="53"/>
        <v>0.54</v>
      </c>
      <c r="AV40" s="25">
        <f t="shared" si="54"/>
        <v>0.56999999999999995</v>
      </c>
      <c r="AW40" s="253">
        <f t="shared" si="55"/>
        <v>5</v>
      </c>
      <c r="AX40" s="44">
        <f t="shared" si="56"/>
        <v>5</v>
      </c>
      <c r="AY40" s="254">
        <f t="shared" si="57"/>
        <v>5</v>
      </c>
    </row>
    <row r="41" spans="1:51" ht="13.35" customHeight="1">
      <c r="A41" s="116">
        <v>11298</v>
      </c>
      <c r="B41" s="77" t="s">
        <v>187</v>
      </c>
      <c r="C41" s="247" t="str">
        <f>Rollover!A41</f>
        <v>Mercedes-Benz</v>
      </c>
      <c r="D41" s="248" t="str">
        <f>Rollover!B41</f>
        <v>GLC Class SUV 4WD</v>
      </c>
      <c r="E41" s="217" t="s">
        <v>149</v>
      </c>
      <c r="F41" s="73">
        <f>Rollover!C41</f>
        <v>2021</v>
      </c>
      <c r="G41" s="9">
        <v>176.60900000000001</v>
      </c>
      <c r="H41" s="10">
        <v>0.188</v>
      </c>
      <c r="I41" s="10">
        <v>730.529</v>
      </c>
      <c r="J41" s="10">
        <v>112.971</v>
      </c>
      <c r="K41" s="10">
        <v>25.417999999999999</v>
      </c>
      <c r="L41" s="10">
        <v>37.807000000000002</v>
      </c>
      <c r="M41" s="10">
        <v>1772.2090000000001</v>
      </c>
      <c r="N41" s="11">
        <v>2463.143</v>
      </c>
      <c r="O41" s="9">
        <v>139.19399999999999</v>
      </c>
      <c r="P41" s="10">
        <v>0.28100000000000003</v>
      </c>
      <c r="Q41" s="10">
        <v>752.274</v>
      </c>
      <c r="R41" s="10">
        <v>408.79199999999997</v>
      </c>
      <c r="S41" s="10">
        <v>15.305999999999999</v>
      </c>
      <c r="T41" s="10">
        <v>40.468000000000004</v>
      </c>
      <c r="U41" s="10">
        <v>979.92700000000002</v>
      </c>
      <c r="V41" s="11">
        <v>300.22500000000002</v>
      </c>
      <c r="W41" s="249">
        <f t="shared" si="29"/>
        <v>1.0386090466723292E-3</v>
      </c>
      <c r="X41" s="5">
        <f t="shared" si="30"/>
        <v>5.433264657611532E-2</v>
      </c>
      <c r="Y41" s="5">
        <f t="shared" si="31"/>
        <v>9.7117327644896984E-5</v>
      </c>
      <c r="Z41" s="5">
        <f t="shared" si="32"/>
        <v>2.2405226946955762E-5</v>
      </c>
      <c r="AA41" s="5">
        <f t="shared" si="33"/>
        <v>5.433264657611532E-2</v>
      </c>
      <c r="AB41" s="5">
        <f t="shared" si="34"/>
        <v>2.7304761433181685E-2</v>
      </c>
      <c r="AC41" s="5">
        <f t="shared" si="35"/>
        <v>2.7304761433181685E-2</v>
      </c>
      <c r="AD41" s="5">
        <f t="shared" si="36"/>
        <v>7.5843116453944443E-3</v>
      </c>
      <c r="AE41" s="5">
        <f t="shared" si="37"/>
        <v>1.0824594087923972E-2</v>
      </c>
      <c r="AF41" s="23">
        <f t="shared" si="38"/>
        <v>1.0824594087923972E-2</v>
      </c>
      <c r="AG41" s="22">
        <f t="shared" si="39"/>
        <v>3.3608207400895307E-4</v>
      </c>
      <c r="AH41" s="5">
        <f t="shared" si="40"/>
        <v>6.4545192426725559E-2</v>
      </c>
      <c r="AI41" s="5">
        <f t="shared" si="41"/>
        <v>2.9686771222062289E-4</v>
      </c>
      <c r="AJ41" s="5">
        <f t="shared" si="42"/>
        <v>8.1334888697138399E-5</v>
      </c>
      <c r="AK41" s="5">
        <f t="shared" si="43"/>
        <v>6.4545192426725559E-2</v>
      </c>
      <c r="AL41" s="5">
        <f t="shared" si="44"/>
        <v>1.1115543153670301E-2</v>
      </c>
      <c r="AM41" s="5">
        <f t="shared" si="45"/>
        <v>1.1115543153670301E-2</v>
      </c>
      <c r="AN41" s="5">
        <f t="shared" si="46"/>
        <v>6.3793225155653853E-3</v>
      </c>
      <c r="AO41" s="5">
        <f t="shared" si="47"/>
        <v>3.8105702790694946E-3</v>
      </c>
      <c r="AP41" s="23">
        <f t="shared" si="48"/>
        <v>6.3793225155653853E-3</v>
      </c>
      <c r="AQ41" s="22">
        <f t="shared" si="49"/>
        <v>9.0999999999999998E-2</v>
      </c>
      <c r="AR41" s="5">
        <f t="shared" si="50"/>
        <v>8.1000000000000003E-2</v>
      </c>
      <c r="AS41" s="23">
        <f t="shared" si="51"/>
        <v>8.5999999999999993E-2</v>
      </c>
      <c r="AT41" s="24">
        <f t="shared" si="52"/>
        <v>0.61</v>
      </c>
      <c r="AU41" s="218">
        <f t="shared" si="53"/>
        <v>0.54</v>
      </c>
      <c r="AV41" s="25">
        <f t="shared" si="54"/>
        <v>0.56999999999999995</v>
      </c>
      <c r="AW41" s="253">
        <f t="shared" si="55"/>
        <v>5</v>
      </c>
      <c r="AX41" s="44">
        <f t="shared" si="56"/>
        <v>5</v>
      </c>
      <c r="AY41" s="254">
        <f t="shared" si="57"/>
        <v>5</v>
      </c>
    </row>
    <row r="42" spans="1:51" ht="13.35" customHeight="1">
      <c r="A42" s="116">
        <v>10963</v>
      </c>
      <c r="B42" s="77" t="s">
        <v>159</v>
      </c>
      <c r="C42" s="247" t="str">
        <f>Rollover!A42</f>
        <v>Nissan</v>
      </c>
      <c r="D42" s="248" t="str">
        <f>Rollover!B42</f>
        <v>Maxima 4DR FWD</v>
      </c>
      <c r="E42" s="217" t="s">
        <v>92</v>
      </c>
      <c r="F42" s="73">
        <f>Rollover!C42</f>
        <v>2021</v>
      </c>
      <c r="G42" s="9">
        <v>251.82400000000001</v>
      </c>
      <c r="H42" s="10">
        <v>0.25</v>
      </c>
      <c r="I42" s="10">
        <v>1285.509</v>
      </c>
      <c r="J42" s="10">
        <v>104.209</v>
      </c>
      <c r="K42" s="10">
        <v>15.782999999999999</v>
      </c>
      <c r="L42" s="10">
        <v>45.03</v>
      </c>
      <c r="M42" s="10">
        <v>1597.0740000000001</v>
      </c>
      <c r="N42" s="11">
        <v>1058.086</v>
      </c>
      <c r="O42" s="9">
        <v>290.15499999999997</v>
      </c>
      <c r="P42" s="10">
        <v>0.307</v>
      </c>
      <c r="Q42" s="10">
        <v>551.27200000000005</v>
      </c>
      <c r="R42" s="10">
        <v>406.803</v>
      </c>
      <c r="S42" s="10">
        <v>14.493</v>
      </c>
      <c r="T42" s="10">
        <v>46.73</v>
      </c>
      <c r="U42" s="10">
        <v>1992.5219999999999</v>
      </c>
      <c r="V42" s="11">
        <v>1384.8579999999999</v>
      </c>
      <c r="W42" s="249">
        <f t="shared" si="29"/>
        <v>4.6679552669952945E-3</v>
      </c>
      <c r="X42" s="5">
        <f t="shared" si="30"/>
        <v>6.0956574927221202E-2</v>
      </c>
      <c r="Y42" s="5">
        <f t="shared" si="31"/>
        <v>3.6275642760980758E-4</v>
      </c>
      <c r="Z42" s="5">
        <f t="shared" si="32"/>
        <v>2.1943807667838937E-5</v>
      </c>
      <c r="AA42" s="5">
        <f t="shared" si="33"/>
        <v>6.0956574927221202E-2</v>
      </c>
      <c r="AB42" s="5">
        <f t="shared" si="34"/>
        <v>7.042641201093886E-3</v>
      </c>
      <c r="AC42" s="5">
        <f t="shared" si="35"/>
        <v>7.042641201093886E-3</v>
      </c>
      <c r="AD42" s="5">
        <f t="shared" si="36"/>
        <v>6.9291810394300057E-3</v>
      </c>
      <c r="AE42" s="5">
        <f t="shared" si="37"/>
        <v>5.2455359648584787E-3</v>
      </c>
      <c r="AF42" s="23">
        <f t="shared" si="38"/>
        <v>6.9291810394300057E-3</v>
      </c>
      <c r="AG42" s="22">
        <f t="shared" si="39"/>
        <v>8.0194107866494151E-3</v>
      </c>
      <c r="AH42" s="5">
        <f t="shared" si="40"/>
        <v>6.7705685230816506E-2</v>
      </c>
      <c r="AI42" s="5">
        <f t="shared" si="41"/>
        <v>1.3916591054093623E-4</v>
      </c>
      <c r="AJ42" s="5">
        <f t="shared" si="42"/>
        <v>8.0727326587337308E-5</v>
      </c>
      <c r="AK42" s="5">
        <f t="shared" si="43"/>
        <v>6.7705685230816506E-2</v>
      </c>
      <c r="AL42" s="5">
        <f t="shared" si="44"/>
        <v>9.5766304602146121E-3</v>
      </c>
      <c r="AM42" s="5">
        <f t="shared" si="45"/>
        <v>9.5766304602146121E-3</v>
      </c>
      <c r="AN42" s="5">
        <f t="shared" si="46"/>
        <v>1.3696855324262075E-2</v>
      </c>
      <c r="AO42" s="5">
        <f t="shared" si="47"/>
        <v>8.6648617602855995E-3</v>
      </c>
      <c r="AP42" s="23">
        <f t="shared" si="48"/>
        <v>1.3696855324262075E-2</v>
      </c>
      <c r="AQ42" s="22">
        <f t="shared" si="49"/>
        <v>7.8E-2</v>
      </c>
      <c r="AR42" s="5">
        <f t="shared" si="50"/>
        <v>9.7000000000000003E-2</v>
      </c>
      <c r="AS42" s="23">
        <f t="shared" si="51"/>
        <v>8.7999999999999995E-2</v>
      </c>
      <c r="AT42" s="24">
        <f t="shared" si="52"/>
        <v>0.52</v>
      </c>
      <c r="AU42" s="218">
        <f t="shared" si="53"/>
        <v>0.65</v>
      </c>
      <c r="AV42" s="25">
        <f t="shared" si="54"/>
        <v>0.59</v>
      </c>
      <c r="AW42" s="253">
        <f t="shared" si="55"/>
        <v>5</v>
      </c>
      <c r="AX42" s="44">
        <f t="shared" si="56"/>
        <v>5</v>
      </c>
      <c r="AY42" s="254">
        <f t="shared" si="57"/>
        <v>5</v>
      </c>
    </row>
    <row r="43" spans="1:51" ht="13.35" customHeight="1">
      <c r="A43" s="116">
        <v>11347</v>
      </c>
      <c r="B43" s="77" t="s">
        <v>194</v>
      </c>
      <c r="C43" s="247" t="str">
        <f>Rollover!A43</f>
        <v>Nissan</v>
      </c>
      <c r="D43" s="248" t="str">
        <f>Rollover!B43</f>
        <v>Rogue SUV FWD (early release)</v>
      </c>
      <c r="E43" s="217" t="s">
        <v>149</v>
      </c>
      <c r="F43" s="73">
        <f>Rollover!C43</f>
        <v>2021</v>
      </c>
      <c r="G43" s="9">
        <v>305.98</v>
      </c>
      <c r="H43" s="10">
        <v>0.30399999999999999</v>
      </c>
      <c r="I43" s="10">
        <v>1880.56</v>
      </c>
      <c r="J43" s="10">
        <v>323.79000000000002</v>
      </c>
      <c r="K43" s="10">
        <v>25.856999999999999</v>
      </c>
      <c r="L43" s="10">
        <v>42.319000000000003</v>
      </c>
      <c r="M43" s="10">
        <v>1208.8030000000001</v>
      </c>
      <c r="N43" s="11">
        <v>1627.836</v>
      </c>
      <c r="O43" s="9">
        <v>346.88499999999999</v>
      </c>
      <c r="P43" s="10">
        <v>0.69</v>
      </c>
      <c r="Q43" s="10">
        <v>1380.5260000000001</v>
      </c>
      <c r="R43" s="10">
        <v>170.02500000000001</v>
      </c>
      <c r="S43" s="10">
        <v>21.818000000000001</v>
      </c>
      <c r="T43" s="10">
        <v>40.728000000000002</v>
      </c>
      <c r="U43" s="10">
        <v>3117.7440000000001</v>
      </c>
      <c r="V43" s="11">
        <v>1739.4880000000001</v>
      </c>
      <c r="W43" s="249">
        <f t="shared" si="29"/>
        <v>9.738686085923676E-3</v>
      </c>
      <c r="X43" s="5">
        <f t="shared" si="30"/>
        <v>6.7333814242884357E-2</v>
      </c>
      <c r="Y43" s="5">
        <f t="shared" si="31"/>
        <v>1.4889857501731744E-3</v>
      </c>
      <c r="Z43" s="5">
        <f t="shared" si="32"/>
        <v>3.6965122840412182E-5</v>
      </c>
      <c r="AA43" s="5">
        <f t="shared" si="33"/>
        <v>6.7333814242884357E-2</v>
      </c>
      <c r="AB43" s="5">
        <f t="shared" si="34"/>
        <v>2.8812075905315197E-2</v>
      </c>
      <c r="AC43" s="5">
        <f t="shared" si="35"/>
        <v>2.8812075905315197E-2</v>
      </c>
      <c r="AD43" s="5">
        <f t="shared" si="36"/>
        <v>5.6704175803142477E-3</v>
      </c>
      <c r="AE43" s="5">
        <f t="shared" si="37"/>
        <v>7.040040521520608E-3</v>
      </c>
      <c r="AF43" s="23">
        <f t="shared" si="38"/>
        <v>7.040040521520608E-3</v>
      </c>
      <c r="AG43" s="22">
        <f t="shared" si="39"/>
        <v>1.512876410471725E-2</v>
      </c>
      <c r="AH43" s="5">
        <f t="shared" si="40"/>
        <v>0.1337237208360717</v>
      </c>
      <c r="AI43" s="5">
        <f t="shared" si="41"/>
        <v>3.1618945688998562E-3</v>
      </c>
      <c r="AJ43" s="5">
        <f t="shared" si="42"/>
        <v>3.3064881674110857E-5</v>
      </c>
      <c r="AK43" s="5">
        <f t="shared" si="43"/>
        <v>0.1337237208360717</v>
      </c>
      <c r="AL43" s="5">
        <f t="shared" si="44"/>
        <v>3.1911822607021488E-2</v>
      </c>
      <c r="AM43" s="5">
        <f t="shared" si="45"/>
        <v>3.1911822607021488E-2</v>
      </c>
      <c r="AN43" s="5">
        <f t="shared" si="46"/>
        <v>3.1691849292926837E-2</v>
      </c>
      <c r="AO43" s="5">
        <f t="shared" si="47"/>
        <v>1.1322412709860627E-2</v>
      </c>
      <c r="AP43" s="23">
        <f t="shared" si="48"/>
        <v>3.1691849292926837E-2</v>
      </c>
      <c r="AQ43" s="22">
        <f t="shared" si="49"/>
        <v>0.109</v>
      </c>
      <c r="AR43" s="5">
        <f t="shared" si="50"/>
        <v>0.2</v>
      </c>
      <c r="AS43" s="23">
        <f t="shared" si="51"/>
        <v>0.155</v>
      </c>
      <c r="AT43" s="24">
        <f t="shared" si="52"/>
        <v>0.73</v>
      </c>
      <c r="AU43" s="218">
        <f t="shared" si="53"/>
        <v>1.33</v>
      </c>
      <c r="AV43" s="25">
        <f t="shared" si="54"/>
        <v>1.03</v>
      </c>
      <c r="AW43" s="253">
        <f t="shared" si="55"/>
        <v>4</v>
      </c>
      <c r="AX43" s="44">
        <f t="shared" si="56"/>
        <v>2</v>
      </c>
      <c r="AY43" s="254">
        <f t="shared" si="57"/>
        <v>3</v>
      </c>
    </row>
    <row r="44" spans="1:51" ht="13.35" customHeight="1">
      <c r="A44" s="116">
        <v>11347</v>
      </c>
      <c r="B44" s="77" t="s">
        <v>194</v>
      </c>
      <c r="C44" s="247" t="str">
        <f>Rollover!A44</f>
        <v>Nissan</v>
      </c>
      <c r="D44" s="248" t="str">
        <f>Rollover!B44</f>
        <v>Rogue SUV AWD (early release)</v>
      </c>
      <c r="E44" s="217" t="s">
        <v>149</v>
      </c>
      <c r="F44" s="73">
        <f>Rollover!C44</f>
        <v>2021</v>
      </c>
      <c r="G44" s="9">
        <v>305.98</v>
      </c>
      <c r="H44" s="10">
        <v>0.30399999999999999</v>
      </c>
      <c r="I44" s="10">
        <v>1880.56</v>
      </c>
      <c r="J44" s="10">
        <v>323.79000000000002</v>
      </c>
      <c r="K44" s="10">
        <v>25.856999999999999</v>
      </c>
      <c r="L44" s="10">
        <v>42.319000000000003</v>
      </c>
      <c r="M44" s="10">
        <v>1208.8030000000001</v>
      </c>
      <c r="N44" s="11">
        <v>1627.836</v>
      </c>
      <c r="O44" s="9">
        <v>346.88499999999999</v>
      </c>
      <c r="P44" s="10">
        <v>0.69</v>
      </c>
      <c r="Q44" s="10">
        <v>1380.5260000000001</v>
      </c>
      <c r="R44" s="10">
        <v>170.02500000000001</v>
      </c>
      <c r="S44" s="10">
        <v>21.818000000000001</v>
      </c>
      <c r="T44" s="10">
        <v>40.728000000000002</v>
      </c>
      <c r="U44" s="10">
        <v>3117.7440000000001</v>
      </c>
      <c r="V44" s="11">
        <v>1739.4880000000001</v>
      </c>
      <c r="W44" s="249">
        <f t="shared" ref="W44:W45" si="87">NORMDIST(LN(G44),7.45231,0.73998,1)</f>
        <v>9.738686085923676E-3</v>
      </c>
      <c r="X44" s="5">
        <f t="shared" ref="X44:X45" si="88">1/(1+EXP(3.2269-1.9688*H44))</f>
        <v>6.7333814242884357E-2</v>
      </c>
      <c r="Y44" s="5">
        <f t="shared" ref="Y44:Y45" si="89">1/(1+EXP(10.9745-2.375*I44/1000))</f>
        <v>1.4889857501731744E-3</v>
      </c>
      <c r="Z44" s="5">
        <f t="shared" ref="Z44:Z45" si="90">1/(1+EXP(10.9745-2.375*J44/1000))</f>
        <v>3.6965122840412182E-5</v>
      </c>
      <c r="AA44" s="5">
        <f t="shared" ref="AA44:AA45" si="91">MAX(X44,Y44,Z44)</f>
        <v>6.7333814242884357E-2</v>
      </c>
      <c r="AB44" s="5">
        <f t="shared" ref="AB44:AB45" si="92">1/(1+EXP(12.597-0.05861*35-1.568*(K44^0.4612)))</f>
        <v>2.8812075905315197E-2</v>
      </c>
      <c r="AC44" s="5">
        <f t="shared" ref="AC44:AC45" si="93">AB44</f>
        <v>2.8812075905315197E-2</v>
      </c>
      <c r="AD44" s="5">
        <f t="shared" ref="AD44:AD45" si="94">1/(1+EXP(5.7949-0.5196*M44/1000))</f>
        <v>5.6704175803142477E-3</v>
      </c>
      <c r="AE44" s="5">
        <f t="shared" ref="AE44:AE45" si="95">1/(1+EXP(5.7949-0.5196*N44/1000))</f>
        <v>7.040040521520608E-3</v>
      </c>
      <c r="AF44" s="23">
        <f t="shared" ref="AF44:AF45" si="96">MAX(AD44,AE44)</f>
        <v>7.040040521520608E-3</v>
      </c>
      <c r="AG44" s="22">
        <f t="shared" ref="AG44:AG45" si="97">NORMDIST(LN(O44),7.45231,0.73998,1)</f>
        <v>1.512876410471725E-2</v>
      </c>
      <c r="AH44" s="5">
        <f t="shared" ref="AH44:AH45" si="98">1/(1+EXP(3.2269-1.9688*P44))</f>
        <v>0.1337237208360717</v>
      </c>
      <c r="AI44" s="5">
        <f t="shared" ref="AI44:AI45" si="99">1/(1+EXP(10.958-3.77*Q44/1000))</f>
        <v>3.1618945688998562E-3</v>
      </c>
      <c r="AJ44" s="5">
        <f t="shared" ref="AJ44:AJ45" si="100">1/(1+EXP(10.958-3.77*R44/1000))</f>
        <v>3.3064881674110857E-5</v>
      </c>
      <c r="AK44" s="5">
        <f t="shared" ref="AK44:AK45" si="101">MAX(AH44,AI44,AJ44)</f>
        <v>0.1337237208360717</v>
      </c>
      <c r="AL44" s="5">
        <f t="shared" ref="AL44:AL45" si="102">1/(1+EXP(12.597-0.05861*35-1.568*((S44/0.817)^0.4612)))</f>
        <v>3.1911822607021488E-2</v>
      </c>
      <c r="AM44" s="5">
        <f t="shared" ref="AM44:AM45" si="103">AL44</f>
        <v>3.1911822607021488E-2</v>
      </c>
      <c r="AN44" s="5">
        <f t="shared" ref="AN44:AN45" si="104">1/(1+EXP(5.7949-0.7619*U44/1000))</f>
        <v>3.1691849292926837E-2</v>
      </c>
      <c r="AO44" s="5">
        <f t="shared" ref="AO44:AO45" si="105">1/(1+EXP(5.7949-0.7619*V44/1000))</f>
        <v>1.1322412709860627E-2</v>
      </c>
      <c r="AP44" s="23">
        <f t="shared" ref="AP44:AP45" si="106">MAX(AN44,AO44)</f>
        <v>3.1691849292926837E-2</v>
      </c>
      <c r="AQ44" s="22">
        <f t="shared" ref="AQ44:AQ45" si="107">ROUND(1-(1-W44)*(1-AA44)*(1-AC44)*(1-AF44),3)</f>
        <v>0.109</v>
      </c>
      <c r="AR44" s="5">
        <f t="shared" ref="AR44:AR45" si="108">ROUND(1-(1-AG44)*(1-AK44)*(1-AM44)*(1-AP44),3)</f>
        <v>0.2</v>
      </c>
      <c r="AS44" s="23">
        <f t="shared" ref="AS44:AS45" si="109">ROUND(AVERAGE(AR44,AQ44),3)</f>
        <v>0.155</v>
      </c>
      <c r="AT44" s="24">
        <f t="shared" ref="AT44:AT45" si="110">ROUND(AQ44/0.15,2)</f>
        <v>0.73</v>
      </c>
      <c r="AU44" s="218">
        <f t="shared" ref="AU44:AU45" si="111">ROUND(AR44/0.15,2)</f>
        <v>1.33</v>
      </c>
      <c r="AV44" s="25">
        <f t="shared" ref="AV44:AV45" si="112">ROUND(AS44/0.15,2)</f>
        <v>1.03</v>
      </c>
      <c r="AW44" s="253">
        <f t="shared" ref="AW44:AW45" si="113">IF(AT44&lt;0.67,5,IF(AT44&lt;1,4,IF(AT44&lt;1.33,3,IF(AT44&lt;2.67,2,1))))</f>
        <v>4</v>
      </c>
      <c r="AX44" s="44">
        <f t="shared" ref="AX44:AX45" si="114">IF(AU44&lt;0.67,5,IF(AU44&lt;1,4,IF(AU44&lt;1.33,3,IF(AU44&lt;2.67,2,1))))</f>
        <v>2</v>
      </c>
      <c r="AY44" s="254">
        <f t="shared" ref="AY44:AY45" si="115">IF(AV44&lt;0.67,5,IF(AV44&lt;1,4,IF(AV44&lt;1.33,3,IF(AV44&lt;2.67,2,1))))</f>
        <v>3</v>
      </c>
    </row>
    <row r="45" spans="1:51" ht="13.35" customHeight="1">
      <c r="A45" s="111"/>
      <c r="B45" s="77"/>
      <c r="C45" s="247" t="str">
        <f>Rollover!A45</f>
        <v>Nissan</v>
      </c>
      <c r="D45" s="248" t="str">
        <f>Rollover!B45</f>
        <v>Rogue SUV FWD (later release)</v>
      </c>
      <c r="E45" s="217"/>
      <c r="F45" s="73">
        <f>Rollover!C45</f>
        <v>2021</v>
      </c>
      <c r="G45" s="9"/>
      <c r="H45" s="10"/>
      <c r="I45" s="10"/>
      <c r="J45" s="10"/>
      <c r="K45" s="10"/>
      <c r="L45" s="10"/>
      <c r="M45" s="10"/>
      <c r="N45" s="11"/>
      <c r="O45" s="9"/>
      <c r="P45" s="10"/>
      <c r="Q45" s="10"/>
      <c r="R45" s="10"/>
      <c r="S45" s="10"/>
      <c r="T45" s="10"/>
      <c r="U45" s="10"/>
      <c r="V45" s="11"/>
      <c r="W45" s="249" t="e">
        <f t="shared" si="87"/>
        <v>#NUM!</v>
      </c>
      <c r="X45" s="5">
        <f t="shared" si="88"/>
        <v>3.8165882958950202E-2</v>
      </c>
      <c r="Y45" s="5">
        <f t="shared" si="89"/>
        <v>1.713277721572889E-5</v>
      </c>
      <c r="Z45" s="5">
        <f t="shared" si="90"/>
        <v>1.713277721572889E-5</v>
      </c>
      <c r="AA45" s="5">
        <f t="shared" si="91"/>
        <v>3.8165882958950202E-2</v>
      </c>
      <c r="AB45" s="5">
        <f t="shared" si="92"/>
        <v>2.6306978617002889E-5</v>
      </c>
      <c r="AC45" s="5">
        <f t="shared" si="93"/>
        <v>2.6306978617002889E-5</v>
      </c>
      <c r="AD45" s="5">
        <f t="shared" si="94"/>
        <v>3.033802747866758E-3</v>
      </c>
      <c r="AE45" s="5">
        <f t="shared" si="95"/>
        <v>3.033802747866758E-3</v>
      </c>
      <c r="AF45" s="23">
        <f t="shared" si="96"/>
        <v>3.033802747866758E-3</v>
      </c>
      <c r="AG45" s="22" t="e">
        <f t="shared" si="97"/>
        <v>#NUM!</v>
      </c>
      <c r="AH45" s="5">
        <f t="shared" si="98"/>
        <v>3.8165882958950202E-2</v>
      </c>
      <c r="AI45" s="5">
        <f t="shared" si="99"/>
        <v>1.7417808154569238E-5</v>
      </c>
      <c r="AJ45" s="5">
        <f t="shared" si="100"/>
        <v>1.7417808154569238E-5</v>
      </c>
      <c r="AK45" s="5">
        <f t="shared" si="101"/>
        <v>3.8165882958950202E-2</v>
      </c>
      <c r="AL45" s="5">
        <f t="shared" si="102"/>
        <v>2.6306978617002889E-5</v>
      </c>
      <c r="AM45" s="5">
        <f t="shared" si="103"/>
        <v>2.6306978617002889E-5</v>
      </c>
      <c r="AN45" s="5">
        <f t="shared" si="104"/>
        <v>3.033802747866758E-3</v>
      </c>
      <c r="AO45" s="5">
        <f t="shared" si="105"/>
        <v>3.033802747866758E-3</v>
      </c>
      <c r="AP45" s="23">
        <f t="shared" si="106"/>
        <v>3.033802747866758E-3</v>
      </c>
      <c r="AQ45" s="22" t="e">
        <f t="shared" si="107"/>
        <v>#NUM!</v>
      </c>
      <c r="AR45" s="5" t="e">
        <f t="shared" si="108"/>
        <v>#NUM!</v>
      </c>
      <c r="AS45" s="23" t="e">
        <f t="shared" si="109"/>
        <v>#NUM!</v>
      </c>
      <c r="AT45" s="24" t="e">
        <f t="shared" si="110"/>
        <v>#NUM!</v>
      </c>
      <c r="AU45" s="218" t="e">
        <f t="shared" si="111"/>
        <v>#NUM!</v>
      </c>
      <c r="AV45" s="25" t="e">
        <f t="shared" si="112"/>
        <v>#NUM!</v>
      </c>
      <c r="AW45" s="253" t="e">
        <f t="shared" si="113"/>
        <v>#NUM!</v>
      </c>
      <c r="AX45" s="44" t="e">
        <f t="shared" si="114"/>
        <v>#NUM!</v>
      </c>
      <c r="AY45" s="254" t="e">
        <f t="shared" si="115"/>
        <v>#NUM!</v>
      </c>
    </row>
    <row r="46" spans="1:51" ht="13.35" customHeight="1">
      <c r="A46" s="111"/>
      <c r="B46" s="77"/>
      <c r="C46" s="247" t="str">
        <f>Rollover!A46</f>
        <v>Nissan</v>
      </c>
      <c r="D46" s="248" t="str">
        <f>Rollover!B46</f>
        <v>Rogue SUV AWD (later release)</v>
      </c>
      <c r="E46" s="217"/>
      <c r="F46" s="73">
        <f>Rollover!C46</f>
        <v>2021</v>
      </c>
      <c r="G46" s="9"/>
      <c r="H46" s="10"/>
      <c r="I46" s="10"/>
      <c r="J46" s="10"/>
      <c r="K46" s="10"/>
      <c r="L46" s="10"/>
      <c r="M46" s="10"/>
      <c r="N46" s="11"/>
      <c r="O46" s="9"/>
      <c r="P46" s="10"/>
      <c r="Q46" s="10"/>
      <c r="R46" s="10"/>
      <c r="S46" s="10"/>
      <c r="T46" s="10"/>
      <c r="U46" s="10"/>
      <c r="V46" s="11"/>
      <c r="W46" s="249" t="e">
        <f t="shared" ref="W46" si="116">NORMDIST(LN(G46),7.45231,0.73998,1)</f>
        <v>#NUM!</v>
      </c>
      <c r="X46" s="5">
        <f t="shared" ref="X46" si="117">1/(1+EXP(3.2269-1.9688*H46))</f>
        <v>3.8165882958950202E-2</v>
      </c>
      <c r="Y46" s="5">
        <f t="shared" ref="Y46" si="118">1/(1+EXP(10.9745-2.375*I46/1000))</f>
        <v>1.713277721572889E-5</v>
      </c>
      <c r="Z46" s="5">
        <f t="shared" ref="Z46" si="119">1/(1+EXP(10.9745-2.375*J46/1000))</f>
        <v>1.713277721572889E-5</v>
      </c>
      <c r="AA46" s="5">
        <f t="shared" ref="AA46" si="120">MAX(X46,Y46,Z46)</f>
        <v>3.8165882958950202E-2</v>
      </c>
      <c r="AB46" s="5">
        <f t="shared" ref="AB46" si="121">1/(1+EXP(12.597-0.05861*35-1.568*(K46^0.4612)))</f>
        <v>2.6306978617002889E-5</v>
      </c>
      <c r="AC46" s="5">
        <f t="shared" ref="AC46" si="122">AB46</f>
        <v>2.6306978617002889E-5</v>
      </c>
      <c r="AD46" s="5">
        <f t="shared" ref="AD46" si="123">1/(1+EXP(5.7949-0.5196*M46/1000))</f>
        <v>3.033802747866758E-3</v>
      </c>
      <c r="AE46" s="5">
        <f t="shared" ref="AE46" si="124">1/(1+EXP(5.7949-0.5196*N46/1000))</f>
        <v>3.033802747866758E-3</v>
      </c>
      <c r="AF46" s="23">
        <f t="shared" ref="AF46" si="125">MAX(AD46,AE46)</f>
        <v>3.033802747866758E-3</v>
      </c>
      <c r="AG46" s="22" t="e">
        <f t="shared" ref="AG46" si="126">NORMDIST(LN(O46),7.45231,0.73998,1)</f>
        <v>#NUM!</v>
      </c>
      <c r="AH46" s="5">
        <f t="shared" ref="AH46" si="127">1/(1+EXP(3.2269-1.9688*P46))</f>
        <v>3.8165882958950202E-2</v>
      </c>
      <c r="AI46" s="5">
        <f t="shared" ref="AI46" si="128">1/(1+EXP(10.958-3.77*Q46/1000))</f>
        <v>1.7417808154569238E-5</v>
      </c>
      <c r="AJ46" s="5">
        <f t="shared" ref="AJ46" si="129">1/(1+EXP(10.958-3.77*R46/1000))</f>
        <v>1.7417808154569238E-5</v>
      </c>
      <c r="AK46" s="5">
        <f t="shared" ref="AK46" si="130">MAX(AH46,AI46,AJ46)</f>
        <v>3.8165882958950202E-2</v>
      </c>
      <c r="AL46" s="5">
        <f t="shared" ref="AL46" si="131">1/(1+EXP(12.597-0.05861*35-1.568*((S46/0.817)^0.4612)))</f>
        <v>2.6306978617002889E-5</v>
      </c>
      <c r="AM46" s="5">
        <f t="shared" ref="AM46" si="132">AL46</f>
        <v>2.6306978617002889E-5</v>
      </c>
      <c r="AN46" s="5">
        <f t="shared" ref="AN46" si="133">1/(1+EXP(5.7949-0.7619*U46/1000))</f>
        <v>3.033802747866758E-3</v>
      </c>
      <c r="AO46" s="5">
        <f t="shared" ref="AO46" si="134">1/(1+EXP(5.7949-0.7619*V46/1000))</f>
        <v>3.033802747866758E-3</v>
      </c>
      <c r="AP46" s="23">
        <f t="shared" ref="AP46" si="135">MAX(AN46,AO46)</f>
        <v>3.033802747866758E-3</v>
      </c>
      <c r="AQ46" s="22" t="e">
        <f t="shared" ref="AQ46" si="136">ROUND(1-(1-W46)*(1-AA46)*(1-AC46)*(1-AF46),3)</f>
        <v>#NUM!</v>
      </c>
      <c r="AR46" s="5" t="e">
        <f t="shared" ref="AR46" si="137">ROUND(1-(1-AG46)*(1-AK46)*(1-AM46)*(1-AP46),3)</f>
        <v>#NUM!</v>
      </c>
      <c r="AS46" s="23" t="e">
        <f t="shared" ref="AS46" si="138">ROUND(AVERAGE(AR46,AQ46),3)</f>
        <v>#NUM!</v>
      </c>
      <c r="AT46" s="24" t="e">
        <f t="shared" ref="AT46" si="139">ROUND(AQ46/0.15,2)</f>
        <v>#NUM!</v>
      </c>
      <c r="AU46" s="218" t="e">
        <f t="shared" ref="AU46" si="140">ROUND(AR46/0.15,2)</f>
        <v>#NUM!</v>
      </c>
      <c r="AV46" s="25" t="e">
        <f t="shared" ref="AV46" si="141">ROUND(AS46/0.15,2)</f>
        <v>#NUM!</v>
      </c>
      <c r="AW46" s="253" t="e">
        <f t="shared" ref="AW46" si="142">IF(AT46&lt;0.67,5,IF(AT46&lt;1,4,IF(AT46&lt;1.33,3,IF(AT46&lt;2.67,2,1))))</f>
        <v>#NUM!</v>
      </c>
      <c r="AX46" s="44" t="e">
        <f t="shared" ref="AX46" si="143">IF(AU46&lt;0.67,5,IF(AU46&lt;1,4,IF(AU46&lt;1.33,3,IF(AU46&lt;2.67,2,1))))</f>
        <v>#NUM!</v>
      </c>
      <c r="AY46" s="254" t="e">
        <f t="shared" ref="AY46" si="144">IF(AV46&lt;0.67,5,IF(AV46&lt;1,4,IF(AV46&lt;1.33,3,IF(AV46&lt;2.67,2,1))))</f>
        <v>#NUM!</v>
      </c>
    </row>
    <row r="47" spans="1:51" ht="13.35" customHeight="1">
      <c r="A47" s="116">
        <v>11295</v>
      </c>
      <c r="B47" s="77" t="s">
        <v>180</v>
      </c>
      <c r="C47" s="247" t="str">
        <f>Rollover!A47</f>
        <v>Subaru</v>
      </c>
      <c r="D47" s="248" t="str">
        <f>Rollover!B47</f>
        <v>Outback SW AWD</v>
      </c>
      <c r="E47" s="217" t="s">
        <v>152</v>
      </c>
      <c r="F47" s="73">
        <f>Rollover!C47</f>
        <v>2021</v>
      </c>
      <c r="G47" s="9">
        <v>157.81</v>
      </c>
      <c r="H47" s="10">
        <v>0.25900000000000001</v>
      </c>
      <c r="I47" s="10">
        <v>1250.2829999999999</v>
      </c>
      <c r="J47" s="10">
        <v>254.84100000000001</v>
      </c>
      <c r="K47" s="10">
        <v>18.795000000000002</v>
      </c>
      <c r="L47" s="10">
        <v>42.832000000000001</v>
      </c>
      <c r="M47" s="10">
        <v>1022.537</v>
      </c>
      <c r="N47" s="11">
        <v>1109.2339999999999</v>
      </c>
      <c r="O47" s="9">
        <v>241.36699999999999</v>
      </c>
      <c r="P47" s="10">
        <v>0.434</v>
      </c>
      <c r="Q47" s="10">
        <v>653.5</v>
      </c>
      <c r="R47" s="10">
        <v>227.21299999999999</v>
      </c>
      <c r="S47" s="10">
        <v>13.581</v>
      </c>
      <c r="T47" s="10">
        <v>45.71</v>
      </c>
      <c r="U47" s="10">
        <v>717.75</v>
      </c>
      <c r="V47" s="11">
        <v>609.28399999999999</v>
      </c>
      <c r="W47" s="249">
        <f t="shared" ref="W47:W51" si="145">NORMDIST(LN(G47),7.45231,0.73998,1)</f>
        <v>6.1666477612068405E-4</v>
      </c>
      <c r="X47" s="5">
        <f t="shared" ref="X47:X51" si="146">1/(1+EXP(3.2269-1.9688*H47))</f>
        <v>6.1978762730557614E-2</v>
      </c>
      <c r="Y47" s="5">
        <f t="shared" ref="Y47:Y51" si="147">1/(1+EXP(10.9745-2.375*I47/1000))</f>
        <v>3.3365214730927294E-4</v>
      </c>
      <c r="Z47" s="5">
        <f t="shared" ref="Z47:Z51" si="148">1/(1+EXP(10.9745-2.375*J47/1000))</f>
        <v>3.1381751160047977E-5</v>
      </c>
      <c r="AA47" s="5">
        <f t="shared" ref="AA47:AA51" si="149">MAX(X47,Y47,Z47)</f>
        <v>6.1978762730557614E-2</v>
      </c>
      <c r="AB47" s="5">
        <f t="shared" ref="AB47:AB51" si="150">1/(1+EXP(12.597-0.05861*35-1.568*(K47^0.4612)))</f>
        <v>1.1215237037561467E-2</v>
      </c>
      <c r="AC47" s="5">
        <f t="shared" ref="AC47:AC51" si="151">AB47</f>
        <v>1.1215237037561467E-2</v>
      </c>
      <c r="AD47" s="5">
        <f t="shared" ref="AD47:AD51" si="152">1/(1+EXP(5.7949-0.5196*M47/1000))</f>
        <v>5.1500280897957907E-3</v>
      </c>
      <c r="AE47" s="5">
        <f t="shared" ref="AE47:AE51" si="153">1/(1+EXP(5.7949-0.5196*N47/1000))</f>
        <v>5.386052039146088E-3</v>
      </c>
      <c r="AF47" s="23">
        <f t="shared" ref="AF47:AF51" si="154">MAX(AD47,AE47)</f>
        <v>5.386052039146088E-3</v>
      </c>
      <c r="AG47" s="22">
        <f t="shared" ref="AG47:AG51" si="155">NORMDIST(LN(O47),7.45231,0.73998,1)</f>
        <v>3.9441131335601126E-3</v>
      </c>
      <c r="AH47" s="5">
        <f t="shared" ref="AH47:AH51" si="156">1/(1+EXP(3.2269-1.9688*P47))</f>
        <v>8.5298508831700037E-2</v>
      </c>
      <c r="AI47" s="5">
        <f t="shared" ref="AI47:AI51" si="157">1/(1+EXP(10.958-3.77*Q47/1000))</f>
        <v>2.0458856214720703E-4</v>
      </c>
      <c r="AJ47" s="5">
        <f t="shared" ref="AJ47:AJ51" si="158">1/(1+EXP(10.958-3.77*R47/1000))</f>
        <v>4.1020114624974128E-5</v>
      </c>
      <c r="AK47" s="5">
        <f t="shared" ref="AK47:AK51" si="159">MAX(AH47,AI47,AJ47)</f>
        <v>8.5298508831700037E-2</v>
      </c>
      <c r="AL47" s="5">
        <f t="shared" ref="AL47:AL51" si="160">1/(1+EXP(12.597-0.05861*35-1.568*((S47/0.817)^0.4612)))</f>
        <v>8.056088949604941E-3</v>
      </c>
      <c r="AM47" s="5">
        <f t="shared" ref="AM47:AM51" si="161">AL47</f>
        <v>8.056088949604941E-3</v>
      </c>
      <c r="AN47" s="5">
        <f t="shared" ref="AN47:AN51" si="162">1/(1+EXP(5.7949-0.7619*U47/1000))</f>
        <v>5.2302809586819848E-3</v>
      </c>
      <c r="AO47" s="5">
        <f t="shared" ref="AO47:AO51" si="163">1/(1+EXP(5.7949-0.7619*V47/1000))</f>
        <v>4.8174256685239968E-3</v>
      </c>
      <c r="AP47" s="23">
        <f t="shared" ref="AP47:AP51" si="164">MAX(AN47,AO47)</f>
        <v>5.2302809586819848E-3</v>
      </c>
      <c r="AQ47" s="22">
        <f t="shared" ref="AQ47:AQ51" si="165">ROUND(1-(1-W47)*(1-AA47)*(1-AC47)*(1-AF47),3)</f>
        <v>7.8E-2</v>
      </c>
      <c r="AR47" s="5">
        <f t="shared" ref="AR47:AR51" si="166">ROUND(1-(1-AG47)*(1-AK47)*(1-AM47)*(1-AP47),3)</f>
        <v>0.10100000000000001</v>
      </c>
      <c r="AS47" s="23">
        <f t="shared" ref="AS47:AS51" si="167">ROUND(AVERAGE(AR47,AQ47),3)</f>
        <v>0.09</v>
      </c>
      <c r="AT47" s="24">
        <f t="shared" ref="AT47:AT51" si="168">ROUND(AQ47/0.15,2)</f>
        <v>0.52</v>
      </c>
      <c r="AU47" s="218">
        <f t="shared" ref="AU47:AU51" si="169">ROUND(AR47/0.15,2)</f>
        <v>0.67</v>
      </c>
      <c r="AV47" s="25">
        <f t="shared" ref="AV47:AV51" si="170">ROUND(AS47/0.15,2)</f>
        <v>0.6</v>
      </c>
      <c r="AW47" s="253">
        <f t="shared" ref="AW47:AW51" si="171">IF(AT47&lt;0.67,5,IF(AT47&lt;1,4,IF(AT47&lt;1.33,3,IF(AT47&lt;2.67,2,1))))</f>
        <v>5</v>
      </c>
      <c r="AX47" s="44">
        <f t="shared" ref="AX47:AX51" si="172">IF(AU47&lt;0.67,5,IF(AU47&lt;1,4,IF(AU47&lt;1.33,3,IF(AU47&lt;2.67,2,1))))</f>
        <v>4</v>
      </c>
      <c r="AY47" s="254">
        <f t="shared" ref="AY47:AY51" si="173">IF(AV47&lt;0.67,5,IF(AV47&lt;1,4,IF(AV47&lt;1.33,3,IF(AV47&lt;2.67,2,1))))</f>
        <v>5</v>
      </c>
    </row>
    <row r="48" spans="1:51" ht="12" customHeight="1">
      <c r="A48" s="116">
        <v>11295</v>
      </c>
      <c r="B48" s="111" t="s">
        <v>180</v>
      </c>
      <c r="C48" s="256" t="str">
        <f>Rollover!A48</f>
        <v>Subaru</v>
      </c>
      <c r="D48" s="74" t="str">
        <f>Rollover!B48</f>
        <v>Legacy 4DR AWD</v>
      </c>
      <c r="E48" s="217" t="s">
        <v>152</v>
      </c>
      <c r="F48" s="73">
        <f>Rollover!C48</f>
        <v>2021</v>
      </c>
      <c r="G48" s="9">
        <v>157.81</v>
      </c>
      <c r="H48" s="10">
        <v>0.25900000000000001</v>
      </c>
      <c r="I48" s="10">
        <v>1250.2829999999999</v>
      </c>
      <c r="J48" s="10">
        <v>254.84100000000001</v>
      </c>
      <c r="K48" s="10">
        <v>18.795000000000002</v>
      </c>
      <c r="L48" s="10">
        <v>42.832000000000001</v>
      </c>
      <c r="M48" s="10">
        <v>1022.537</v>
      </c>
      <c r="N48" s="11">
        <v>1109.2339999999999</v>
      </c>
      <c r="O48" s="9">
        <v>241.36699999999999</v>
      </c>
      <c r="P48" s="10">
        <v>0.434</v>
      </c>
      <c r="Q48" s="10">
        <v>653.5</v>
      </c>
      <c r="R48" s="10">
        <v>227.21299999999999</v>
      </c>
      <c r="S48" s="10">
        <v>13.581</v>
      </c>
      <c r="T48" s="10">
        <v>45.71</v>
      </c>
      <c r="U48" s="10">
        <v>717.75</v>
      </c>
      <c r="V48" s="11">
        <v>609.28399999999999</v>
      </c>
      <c r="W48" s="249">
        <f t="shared" si="145"/>
        <v>6.1666477612068405E-4</v>
      </c>
      <c r="X48" s="5">
        <f t="shared" si="146"/>
        <v>6.1978762730557614E-2</v>
      </c>
      <c r="Y48" s="5">
        <f t="shared" si="147"/>
        <v>3.3365214730927294E-4</v>
      </c>
      <c r="Z48" s="5">
        <f t="shared" si="148"/>
        <v>3.1381751160047977E-5</v>
      </c>
      <c r="AA48" s="5">
        <f t="shared" si="149"/>
        <v>6.1978762730557614E-2</v>
      </c>
      <c r="AB48" s="5">
        <f t="shared" si="150"/>
        <v>1.1215237037561467E-2</v>
      </c>
      <c r="AC48" s="5">
        <f t="shared" si="151"/>
        <v>1.1215237037561467E-2</v>
      </c>
      <c r="AD48" s="5">
        <f t="shared" si="152"/>
        <v>5.1500280897957907E-3</v>
      </c>
      <c r="AE48" s="5">
        <f t="shared" si="153"/>
        <v>5.386052039146088E-3</v>
      </c>
      <c r="AF48" s="23">
        <f t="shared" si="154"/>
        <v>5.386052039146088E-3</v>
      </c>
      <c r="AG48" s="22">
        <f t="shared" si="155"/>
        <v>3.9441131335601126E-3</v>
      </c>
      <c r="AH48" s="5">
        <f t="shared" si="156"/>
        <v>8.5298508831700037E-2</v>
      </c>
      <c r="AI48" s="5">
        <f t="shared" si="157"/>
        <v>2.0458856214720703E-4</v>
      </c>
      <c r="AJ48" s="5">
        <f t="shared" si="158"/>
        <v>4.1020114624974128E-5</v>
      </c>
      <c r="AK48" s="5">
        <f t="shared" si="159"/>
        <v>8.5298508831700037E-2</v>
      </c>
      <c r="AL48" s="5">
        <f t="shared" si="160"/>
        <v>8.056088949604941E-3</v>
      </c>
      <c r="AM48" s="5">
        <f t="shared" si="161"/>
        <v>8.056088949604941E-3</v>
      </c>
      <c r="AN48" s="5">
        <f t="shared" si="162"/>
        <v>5.2302809586819848E-3</v>
      </c>
      <c r="AO48" s="5">
        <f t="shared" si="163"/>
        <v>4.8174256685239968E-3</v>
      </c>
      <c r="AP48" s="23">
        <f t="shared" si="164"/>
        <v>5.2302809586819848E-3</v>
      </c>
      <c r="AQ48" s="22">
        <f t="shared" si="165"/>
        <v>7.8E-2</v>
      </c>
      <c r="AR48" s="5">
        <f t="shared" si="166"/>
        <v>0.10100000000000001</v>
      </c>
      <c r="AS48" s="23">
        <f t="shared" si="167"/>
        <v>0.09</v>
      </c>
      <c r="AT48" s="24">
        <f t="shared" si="168"/>
        <v>0.52</v>
      </c>
      <c r="AU48" s="218">
        <f t="shared" si="169"/>
        <v>0.67</v>
      </c>
      <c r="AV48" s="25">
        <f t="shared" si="170"/>
        <v>0.6</v>
      </c>
      <c r="AW48" s="253">
        <f t="shared" si="171"/>
        <v>5</v>
      </c>
      <c r="AX48" s="44">
        <f t="shared" si="172"/>
        <v>4</v>
      </c>
      <c r="AY48" s="254">
        <f t="shared" si="173"/>
        <v>5</v>
      </c>
    </row>
    <row r="49" spans="1:51" ht="13.35" customHeight="1">
      <c r="A49" s="255">
        <v>10651</v>
      </c>
      <c r="B49" s="103" t="s">
        <v>164</v>
      </c>
      <c r="C49" s="247" t="str">
        <f>Rollover!A49</f>
        <v>Toyota</v>
      </c>
      <c r="D49" s="248" t="str">
        <f>Rollover!B49</f>
        <v>Corolla 4DR FWD</v>
      </c>
      <c r="E49" s="217" t="s">
        <v>92</v>
      </c>
      <c r="F49" s="73">
        <f>Rollover!C49</f>
        <v>2021</v>
      </c>
      <c r="G49" s="9">
        <v>186.548</v>
      </c>
      <c r="H49" s="10">
        <v>0.27300000000000002</v>
      </c>
      <c r="I49" s="10">
        <v>1080.8340000000001</v>
      </c>
      <c r="J49" s="10">
        <v>221.012</v>
      </c>
      <c r="K49" s="10">
        <v>24.053999999999998</v>
      </c>
      <c r="L49" s="10">
        <v>45.079000000000001</v>
      </c>
      <c r="M49" s="10">
        <v>1468.2719999999999</v>
      </c>
      <c r="N49" s="11">
        <v>1380.788</v>
      </c>
      <c r="O49" s="9">
        <v>356.32299999999998</v>
      </c>
      <c r="P49" s="10">
        <v>0.27100000000000002</v>
      </c>
      <c r="Q49" s="10">
        <v>733.971</v>
      </c>
      <c r="R49" s="10">
        <v>381.9</v>
      </c>
      <c r="S49" s="10">
        <v>13.587999999999999</v>
      </c>
      <c r="T49" s="10">
        <v>48.542000000000002</v>
      </c>
      <c r="U49" s="10">
        <v>1337.059</v>
      </c>
      <c r="V49" s="11">
        <v>693.72799999999995</v>
      </c>
      <c r="W49" s="249">
        <f t="shared" si="145"/>
        <v>1.3280132735441646E-3</v>
      </c>
      <c r="X49" s="5">
        <f t="shared" si="146"/>
        <v>6.3600694729198576E-2</v>
      </c>
      <c r="Y49" s="5">
        <f t="shared" si="147"/>
        <v>2.231330320868445E-4</v>
      </c>
      <c r="Z49" s="5">
        <f t="shared" si="148"/>
        <v>2.8959117628590589E-5</v>
      </c>
      <c r="AA49" s="5">
        <f t="shared" si="149"/>
        <v>6.3600694729198576E-2</v>
      </c>
      <c r="AB49" s="5">
        <f t="shared" si="150"/>
        <v>2.3019088613042766E-2</v>
      </c>
      <c r="AC49" s="5">
        <f t="shared" si="151"/>
        <v>2.3019088613042766E-2</v>
      </c>
      <c r="AD49" s="5">
        <f t="shared" si="152"/>
        <v>6.4835277820869067E-3</v>
      </c>
      <c r="AE49" s="5">
        <f t="shared" si="153"/>
        <v>6.1971917736574752E-3</v>
      </c>
      <c r="AF49" s="23">
        <f t="shared" si="154"/>
        <v>6.4835277820869067E-3</v>
      </c>
      <c r="AG49" s="22">
        <f t="shared" si="155"/>
        <v>1.6568243756006254E-2</v>
      </c>
      <c r="AH49" s="5">
        <f t="shared" si="156"/>
        <v>6.3366590994446123E-2</v>
      </c>
      <c r="AI49" s="5">
        <f t="shared" si="157"/>
        <v>2.7707940068093061E-4</v>
      </c>
      <c r="AJ49" s="5">
        <f t="shared" si="158"/>
        <v>7.3493727433486964E-5</v>
      </c>
      <c r="AK49" s="5">
        <f t="shared" si="159"/>
        <v>6.3366590994446123E-2</v>
      </c>
      <c r="AL49" s="5">
        <f t="shared" si="160"/>
        <v>8.066984148380035E-3</v>
      </c>
      <c r="AM49" s="5">
        <f t="shared" si="161"/>
        <v>8.066984148380035E-3</v>
      </c>
      <c r="AN49" s="5">
        <f t="shared" si="162"/>
        <v>8.3575710425069869E-3</v>
      </c>
      <c r="AO49" s="5">
        <f t="shared" si="163"/>
        <v>5.1359123258313873E-3</v>
      </c>
      <c r="AP49" s="23">
        <f t="shared" si="164"/>
        <v>8.3575710425069869E-3</v>
      </c>
      <c r="AQ49" s="22">
        <f t="shared" si="165"/>
        <v>9.1999999999999998E-2</v>
      </c>
      <c r="AR49" s="5">
        <f t="shared" si="166"/>
        <v>9.4E-2</v>
      </c>
      <c r="AS49" s="23">
        <f t="shared" si="167"/>
        <v>9.2999999999999999E-2</v>
      </c>
      <c r="AT49" s="24">
        <f t="shared" si="168"/>
        <v>0.61</v>
      </c>
      <c r="AU49" s="218">
        <f t="shared" si="169"/>
        <v>0.63</v>
      </c>
      <c r="AV49" s="25">
        <f t="shared" si="170"/>
        <v>0.62</v>
      </c>
      <c r="AW49" s="253">
        <f t="shared" si="171"/>
        <v>5</v>
      </c>
      <c r="AX49" s="44">
        <f t="shared" si="172"/>
        <v>5</v>
      </c>
      <c r="AY49" s="254">
        <f t="shared" si="173"/>
        <v>5</v>
      </c>
    </row>
    <row r="50" spans="1:51" ht="13.35" customHeight="1">
      <c r="A50" s="255">
        <v>10651</v>
      </c>
      <c r="B50" s="103" t="s">
        <v>164</v>
      </c>
      <c r="C50" s="256" t="str">
        <f>Rollover!A50</f>
        <v>Toyota</v>
      </c>
      <c r="D50" s="74" t="str">
        <f>Rollover!B50</f>
        <v>Corolla Hybrid 4DR FWD</v>
      </c>
      <c r="E50" s="217" t="s">
        <v>92</v>
      </c>
      <c r="F50" s="73">
        <f>Rollover!C50</f>
        <v>2021</v>
      </c>
      <c r="G50" s="9">
        <v>186.548</v>
      </c>
      <c r="H50" s="10">
        <v>0.27300000000000002</v>
      </c>
      <c r="I50" s="10">
        <v>1080.8340000000001</v>
      </c>
      <c r="J50" s="10">
        <v>221.012</v>
      </c>
      <c r="K50" s="10">
        <v>24.053999999999998</v>
      </c>
      <c r="L50" s="10">
        <v>45.079000000000001</v>
      </c>
      <c r="M50" s="10">
        <v>1468.2719999999999</v>
      </c>
      <c r="N50" s="11">
        <v>1380.788</v>
      </c>
      <c r="O50" s="9">
        <v>356.32299999999998</v>
      </c>
      <c r="P50" s="10">
        <v>0.27100000000000002</v>
      </c>
      <c r="Q50" s="10">
        <v>733.971</v>
      </c>
      <c r="R50" s="10">
        <v>381.9</v>
      </c>
      <c r="S50" s="10">
        <v>13.587999999999999</v>
      </c>
      <c r="T50" s="10">
        <v>48.542000000000002</v>
      </c>
      <c r="U50" s="10">
        <v>1337.059</v>
      </c>
      <c r="V50" s="11">
        <v>693.72799999999995</v>
      </c>
      <c r="W50" s="249">
        <f t="shared" si="145"/>
        <v>1.3280132735441646E-3</v>
      </c>
      <c r="X50" s="5">
        <f t="shared" si="146"/>
        <v>6.3600694729198576E-2</v>
      </c>
      <c r="Y50" s="5">
        <f t="shared" si="147"/>
        <v>2.231330320868445E-4</v>
      </c>
      <c r="Z50" s="5">
        <f t="shared" si="148"/>
        <v>2.8959117628590589E-5</v>
      </c>
      <c r="AA50" s="5">
        <f t="shared" si="149"/>
        <v>6.3600694729198576E-2</v>
      </c>
      <c r="AB50" s="5">
        <f t="shared" si="150"/>
        <v>2.3019088613042766E-2</v>
      </c>
      <c r="AC50" s="5">
        <f t="shared" si="151"/>
        <v>2.3019088613042766E-2</v>
      </c>
      <c r="AD50" s="5">
        <f t="shared" si="152"/>
        <v>6.4835277820869067E-3</v>
      </c>
      <c r="AE50" s="5">
        <f t="shared" si="153"/>
        <v>6.1971917736574752E-3</v>
      </c>
      <c r="AF50" s="23">
        <f t="shared" si="154"/>
        <v>6.4835277820869067E-3</v>
      </c>
      <c r="AG50" s="22">
        <f t="shared" si="155"/>
        <v>1.6568243756006254E-2</v>
      </c>
      <c r="AH50" s="5">
        <f t="shared" si="156"/>
        <v>6.3366590994446123E-2</v>
      </c>
      <c r="AI50" s="5">
        <f t="shared" si="157"/>
        <v>2.7707940068093061E-4</v>
      </c>
      <c r="AJ50" s="5">
        <f t="shared" si="158"/>
        <v>7.3493727433486964E-5</v>
      </c>
      <c r="AK50" s="5">
        <f t="shared" si="159"/>
        <v>6.3366590994446123E-2</v>
      </c>
      <c r="AL50" s="5">
        <f t="shared" si="160"/>
        <v>8.066984148380035E-3</v>
      </c>
      <c r="AM50" s="5">
        <f t="shared" si="161"/>
        <v>8.066984148380035E-3</v>
      </c>
      <c r="AN50" s="5">
        <f t="shared" si="162"/>
        <v>8.3575710425069869E-3</v>
      </c>
      <c r="AO50" s="5">
        <f t="shared" si="163"/>
        <v>5.1359123258313873E-3</v>
      </c>
      <c r="AP50" s="23">
        <f t="shared" si="164"/>
        <v>8.3575710425069869E-3</v>
      </c>
      <c r="AQ50" s="22">
        <f t="shared" si="165"/>
        <v>9.1999999999999998E-2</v>
      </c>
      <c r="AR50" s="5">
        <f t="shared" si="166"/>
        <v>9.4E-2</v>
      </c>
      <c r="AS50" s="23">
        <f t="shared" si="167"/>
        <v>9.2999999999999999E-2</v>
      </c>
      <c r="AT50" s="24">
        <f t="shared" si="168"/>
        <v>0.61</v>
      </c>
      <c r="AU50" s="218">
        <f t="shared" si="169"/>
        <v>0.63</v>
      </c>
      <c r="AV50" s="25">
        <f t="shared" si="170"/>
        <v>0.62</v>
      </c>
      <c r="AW50" s="253">
        <f t="shared" si="171"/>
        <v>5</v>
      </c>
      <c r="AX50" s="44">
        <f t="shared" si="172"/>
        <v>5</v>
      </c>
      <c r="AY50" s="254">
        <f t="shared" si="173"/>
        <v>5</v>
      </c>
    </row>
    <row r="51" spans="1:51" ht="13.35" customHeight="1">
      <c r="A51" s="255">
        <v>10651</v>
      </c>
      <c r="B51" s="103" t="s">
        <v>164</v>
      </c>
      <c r="C51" s="256" t="str">
        <f>Rollover!A51</f>
        <v>Toyota</v>
      </c>
      <c r="D51" s="74" t="str">
        <f>Rollover!B51</f>
        <v>Corolla Hatchback 5HB FWD</v>
      </c>
      <c r="E51" s="217" t="s">
        <v>92</v>
      </c>
      <c r="F51" s="73">
        <f>Rollover!C51</f>
        <v>2021</v>
      </c>
      <c r="G51" s="9">
        <v>186.548</v>
      </c>
      <c r="H51" s="10">
        <v>0.27300000000000002</v>
      </c>
      <c r="I51" s="10">
        <v>1080.8340000000001</v>
      </c>
      <c r="J51" s="10">
        <v>221.012</v>
      </c>
      <c r="K51" s="10">
        <v>24.053999999999998</v>
      </c>
      <c r="L51" s="10">
        <v>45.079000000000001</v>
      </c>
      <c r="M51" s="10">
        <v>1468.2719999999999</v>
      </c>
      <c r="N51" s="11">
        <v>1380.788</v>
      </c>
      <c r="O51" s="9">
        <v>356.32299999999998</v>
      </c>
      <c r="P51" s="10">
        <v>0.27100000000000002</v>
      </c>
      <c r="Q51" s="10">
        <v>733.971</v>
      </c>
      <c r="R51" s="10">
        <v>381.9</v>
      </c>
      <c r="S51" s="10">
        <v>13.587999999999999</v>
      </c>
      <c r="T51" s="10">
        <v>48.542000000000002</v>
      </c>
      <c r="U51" s="10">
        <v>1337.059</v>
      </c>
      <c r="V51" s="11">
        <v>693.72799999999995</v>
      </c>
      <c r="W51" s="249">
        <f t="shared" si="145"/>
        <v>1.3280132735441646E-3</v>
      </c>
      <c r="X51" s="5">
        <f t="shared" si="146"/>
        <v>6.3600694729198576E-2</v>
      </c>
      <c r="Y51" s="5">
        <f t="shared" si="147"/>
        <v>2.231330320868445E-4</v>
      </c>
      <c r="Z51" s="5">
        <f t="shared" si="148"/>
        <v>2.8959117628590589E-5</v>
      </c>
      <c r="AA51" s="5">
        <f t="shared" si="149"/>
        <v>6.3600694729198576E-2</v>
      </c>
      <c r="AB51" s="5">
        <f t="shared" si="150"/>
        <v>2.3019088613042766E-2</v>
      </c>
      <c r="AC51" s="5">
        <f t="shared" si="151"/>
        <v>2.3019088613042766E-2</v>
      </c>
      <c r="AD51" s="5">
        <f t="shared" si="152"/>
        <v>6.4835277820869067E-3</v>
      </c>
      <c r="AE51" s="5">
        <f t="shared" si="153"/>
        <v>6.1971917736574752E-3</v>
      </c>
      <c r="AF51" s="23">
        <f t="shared" si="154"/>
        <v>6.4835277820869067E-3</v>
      </c>
      <c r="AG51" s="22">
        <f t="shared" si="155"/>
        <v>1.6568243756006254E-2</v>
      </c>
      <c r="AH51" s="5">
        <f t="shared" si="156"/>
        <v>6.3366590994446123E-2</v>
      </c>
      <c r="AI51" s="5">
        <f t="shared" si="157"/>
        <v>2.7707940068093061E-4</v>
      </c>
      <c r="AJ51" s="5">
        <f t="shared" si="158"/>
        <v>7.3493727433486964E-5</v>
      </c>
      <c r="AK51" s="5">
        <f t="shared" si="159"/>
        <v>6.3366590994446123E-2</v>
      </c>
      <c r="AL51" s="5">
        <f t="shared" si="160"/>
        <v>8.066984148380035E-3</v>
      </c>
      <c r="AM51" s="5">
        <f t="shared" si="161"/>
        <v>8.066984148380035E-3</v>
      </c>
      <c r="AN51" s="5">
        <f t="shared" si="162"/>
        <v>8.3575710425069869E-3</v>
      </c>
      <c r="AO51" s="5">
        <f t="shared" si="163"/>
        <v>5.1359123258313873E-3</v>
      </c>
      <c r="AP51" s="23">
        <f t="shared" si="164"/>
        <v>8.3575710425069869E-3</v>
      </c>
      <c r="AQ51" s="22">
        <f t="shared" si="165"/>
        <v>9.1999999999999998E-2</v>
      </c>
      <c r="AR51" s="5">
        <f t="shared" si="166"/>
        <v>9.4E-2</v>
      </c>
      <c r="AS51" s="23">
        <f t="shared" si="167"/>
        <v>9.2999999999999999E-2</v>
      </c>
      <c r="AT51" s="24">
        <f t="shared" si="168"/>
        <v>0.61</v>
      </c>
      <c r="AU51" s="218">
        <f t="shared" si="169"/>
        <v>0.63</v>
      </c>
      <c r="AV51" s="25">
        <f t="shared" si="170"/>
        <v>0.62</v>
      </c>
      <c r="AW51" s="253">
        <f t="shared" si="171"/>
        <v>5</v>
      </c>
      <c r="AX51" s="44">
        <f t="shared" si="172"/>
        <v>5</v>
      </c>
      <c r="AY51" s="254">
        <f t="shared" si="173"/>
        <v>5</v>
      </c>
    </row>
    <row r="52" spans="1:51">
      <c r="A52" s="165"/>
      <c r="B52" s="165"/>
      <c r="C52" s="165"/>
    </row>
    <row r="53" spans="1:51">
      <c r="A53" s="165"/>
      <c r="B53" s="165"/>
      <c r="C53" s="165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</row>
    <row r="54" spans="1:51">
      <c r="A54" s="165"/>
      <c r="B54" s="165"/>
      <c r="C54" s="165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</row>
    <row r="55" spans="1:51">
      <c r="A55" s="165"/>
      <c r="B55" s="165"/>
      <c r="C55" s="165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</row>
    <row r="56" spans="1:51">
      <c r="A56" s="165"/>
      <c r="B56" s="165"/>
      <c r="C56" s="165"/>
      <c r="D56" s="165"/>
      <c r="E56" s="165"/>
      <c r="F56" s="165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</row>
    <row r="57" spans="1:51">
      <c r="A57" s="165"/>
      <c r="B57" s="165"/>
      <c r="C57" s="165"/>
      <c r="D57" s="165"/>
      <c r="E57" s="165"/>
      <c r="F57" s="165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</row>
    <row r="58" spans="1:51">
      <c r="A58" s="165"/>
      <c r="B58" s="165"/>
      <c r="C58" s="165"/>
      <c r="D58" s="165"/>
      <c r="E58" s="165"/>
      <c r="F58" s="165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</row>
    <row r="59" spans="1:51">
      <c r="A59" s="165"/>
      <c r="B59" s="165"/>
      <c r="C59" s="165"/>
      <c r="D59" s="165"/>
      <c r="E59" s="165"/>
      <c r="F59" s="165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</row>
    <row r="60" spans="1:51">
      <c r="A60" s="165"/>
      <c r="B60" s="165"/>
      <c r="C60" s="165"/>
      <c r="D60" s="165"/>
      <c r="E60" s="165"/>
      <c r="F60" s="165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</row>
    <row r="61" spans="1:51">
      <c r="A61" s="165"/>
      <c r="B61" s="165"/>
      <c r="C61" s="165"/>
      <c r="D61" s="165"/>
      <c r="E61" s="165"/>
      <c r="F61" s="165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</row>
    <row r="62" spans="1:51">
      <c r="A62" s="264"/>
      <c r="B62" s="264"/>
      <c r="C62" s="165"/>
      <c r="D62" s="165"/>
      <c r="E62" s="165"/>
      <c r="F62" s="165"/>
      <c r="G62" s="263"/>
      <c r="H62" s="263"/>
      <c r="I62" s="263"/>
      <c r="J62" s="263"/>
      <c r="K62" s="263"/>
      <c r="L62" s="265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00"/>
      <c r="X62" s="100"/>
      <c r="Y62" s="100"/>
      <c r="Z62" s="100"/>
    </row>
    <row r="63" spans="1:51">
      <c r="L63" s="265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00"/>
      <c r="X63" s="100"/>
      <c r="Y63" s="100"/>
      <c r="Z63" s="100"/>
    </row>
    <row r="64" spans="1:51">
      <c r="L64" s="265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00"/>
      <c r="X64" s="100"/>
      <c r="Y64" s="100"/>
      <c r="Z64" s="100"/>
    </row>
    <row r="65" spans="1:31">
      <c r="C65" s="170"/>
      <c r="D65" s="170"/>
      <c r="E65" s="170"/>
      <c r="F65" s="170"/>
      <c r="G65" s="266"/>
      <c r="H65" s="266"/>
      <c r="K65" s="266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00"/>
      <c r="X65" s="100"/>
      <c r="Y65" s="100"/>
      <c r="Z65" s="100"/>
    </row>
    <row r="66" spans="1:31">
      <c r="C66" s="170"/>
      <c r="D66" s="170"/>
      <c r="E66" s="170"/>
      <c r="F66" s="170"/>
      <c r="G66" s="266"/>
      <c r="H66" s="266"/>
      <c r="K66" s="267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00"/>
      <c r="X66" s="100"/>
      <c r="Y66" s="100"/>
      <c r="Z66" s="100"/>
    </row>
    <row r="67" spans="1:31">
      <c r="C67" s="170"/>
      <c r="D67" s="170"/>
      <c r="E67" s="170"/>
      <c r="F67" s="170"/>
      <c r="G67" s="266"/>
      <c r="H67" s="266"/>
      <c r="K67" s="266"/>
      <c r="L67" s="265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00"/>
      <c r="X67" s="100"/>
      <c r="Y67" s="100"/>
      <c r="Z67" s="100"/>
    </row>
    <row r="68" spans="1:31">
      <c r="C68" s="170"/>
      <c r="D68" s="170"/>
      <c r="E68" s="170"/>
      <c r="F68" s="170"/>
      <c r="G68" s="266"/>
      <c r="H68" s="266"/>
      <c r="K68" s="266"/>
      <c r="L68" s="265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00"/>
      <c r="X68" s="100"/>
      <c r="Y68" s="100"/>
      <c r="Z68" s="100"/>
    </row>
    <row r="69" spans="1:31">
      <c r="C69" s="170"/>
      <c r="D69" s="170"/>
      <c r="E69" s="170"/>
      <c r="F69" s="170"/>
      <c r="G69" s="266"/>
      <c r="H69" s="266"/>
      <c r="K69" s="267"/>
      <c r="L69" s="265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00"/>
      <c r="X69" s="100"/>
      <c r="Y69" s="100"/>
      <c r="Z69" s="100"/>
    </row>
    <row r="70" spans="1:31">
      <c r="C70" s="170"/>
      <c r="D70" s="170"/>
      <c r="E70" s="170"/>
      <c r="F70" s="170"/>
      <c r="G70" s="266"/>
      <c r="H70" s="266"/>
      <c r="K70" s="266"/>
      <c r="L70" s="265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00"/>
      <c r="X70" s="100"/>
      <c r="Y70" s="100"/>
      <c r="Z70" s="100"/>
    </row>
    <row r="71" spans="1:31">
      <c r="C71" s="170"/>
      <c r="D71" s="170"/>
      <c r="E71" s="170"/>
      <c r="F71" s="170"/>
      <c r="G71" s="266"/>
      <c r="H71" s="266"/>
      <c r="K71" s="266"/>
    </row>
    <row r="72" spans="1:31">
      <c r="C72" s="170"/>
      <c r="D72" s="170"/>
      <c r="E72" s="170"/>
      <c r="F72" s="170"/>
      <c r="G72" s="266"/>
      <c r="H72" s="266"/>
      <c r="K72" s="266"/>
    </row>
    <row r="73" spans="1:31">
      <c r="C73" s="170"/>
      <c r="D73" s="170"/>
      <c r="E73" s="170"/>
      <c r="F73" s="170"/>
      <c r="G73" s="266"/>
      <c r="H73" s="266"/>
      <c r="K73" s="267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</row>
    <row r="74" spans="1:31">
      <c r="C74" s="170"/>
      <c r="D74" s="170"/>
      <c r="E74" s="170"/>
      <c r="F74" s="170"/>
      <c r="G74" s="266"/>
      <c r="H74" s="266"/>
      <c r="K74" s="266"/>
    </row>
    <row r="75" spans="1:31">
      <c r="G75" s="266"/>
      <c r="H75" s="266"/>
      <c r="K75" s="266"/>
    </row>
    <row r="76" spans="1:31">
      <c r="G76" s="266"/>
      <c r="H76" s="266"/>
      <c r="K76" s="266"/>
    </row>
    <row r="77" spans="1:31">
      <c r="C77" s="170"/>
      <c r="D77" s="170"/>
      <c r="E77" s="170"/>
      <c r="F77" s="170"/>
      <c r="G77" s="266"/>
      <c r="H77" s="266"/>
      <c r="K77" s="266"/>
    </row>
    <row r="78" spans="1:31">
      <c r="A78" s="165"/>
      <c r="B78" s="165"/>
      <c r="C78" s="170"/>
      <c r="D78" s="170"/>
      <c r="E78" s="170"/>
      <c r="F78" s="170"/>
      <c r="G78" s="266"/>
      <c r="H78" s="266"/>
      <c r="K78" s="266"/>
    </row>
    <row r="79" spans="1:31">
      <c r="A79" s="165"/>
      <c r="B79" s="165"/>
      <c r="C79" s="170"/>
      <c r="D79" s="170"/>
      <c r="E79" s="170"/>
      <c r="F79" s="170"/>
      <c r="G79" s="266"/>
      <c r="H79" s="266"/>
      <c r="K79" s="266"/>
    </row>
    <row r="80" spans="1:31">
      <c r="A80" s="165"/>
      <c r="B80" s="165"/>
      <c r="C80" s="170"/>
      <c r="D80" s="170"/>
      <c r="E80" s="170"/>
      <c r="F80" s="170"/>
      <c r="G80" s="266"/>
      <c r="H80" s="266"/>
      <c r="K80" s="266"/>
      <c r="N80" s="266"/>
      <c r="O80" s="266"/>
      <c r="P80" s="266"/>
      <c r="Q80" s="266"/>
      <c r="R80" s="266"/>
      <c r="S80" s="266"/>
      <c r="T80" s="266"/>
      <c r="U80" s="266"/>
      <c r="V80" s="266"/>
      <c r="W80" s="268"/>
      <c r="X80" s="269"/>
      <c r="Y80" s="268"/>
      <c r="Z80" s="268"/>
      <c r="AA80" s="170"/>
      <c r="AB80" s="170"/>
      <c r="AC80" s="170"/>
      <c r="AD80" s="170"/>
      <c r="AE80" s="170"/>
    </row>
    <row r="81" spans="1:31">
      <c r="C81" s="170"/>
      <c r="D81" s="170"/>
      <c r="E81" s="170"/>
      <c r="F81" s="170"/>
      <c r="H81" s="193"/>
      <c r="I81" s="193"/>
      <c r="J81" s="193"/>
      <c r="K81" s="193"/>
      <c r="L81" s="193"/>
      <c r="M81" s="193"/>
      <c r="N81" s="266"/>
      <c r="O81" s="266"/>
      <c r="P81" s="266"/>
      <c r="Q81" s="266"/>
      <c r="R81" s="266"/>
      <c r="S81" s="266"/>
      <c r="T81" s="266"/>
      <c r="U81" s="266"/>
      <c r="V81" s="266"/>
      <c r="W81" s="268"/>
      <c r="X81" s="269"/>
      <c r="Y81" s="268"/>
      <c r="Z81" s="268"/>
      <c r="AA81" s="121"/>
      <c r="AB81" s="121"/>
      <c r="AC81" s="121"/>
      <c r="AD81" s="121"/>
      <c r="AE81" s="121"/>
    </row>
    <row r="82" spans="1:31">
      <c r="C82" s="170"/>
      <c r="D82" s="170"/>
      <c r="E82" s="170"/>
      <c r="F82" s="170"/>
      <c r="H82" s="193"/>
      <c r="I82" s="193"/>
      <c r="J82" s="193"/>
      <c r="K82" s="193"/>
      <c r="L82" s="193"/>
      <c r="M82" s="193"/>
      <c r="N82" s="266"/>
      <c r="O82" s="266"/>
      <c r="P82" s="266"/>
      <c r="Q82" s="266"/>
      <c r="R82" s="266"/>
      <c r="S82" s="266"/>
      <c r="T82" s="266"/>
      <c r="U82" s="266"/>
      <c r="V82" s="266"/>
      <c r="W82" s="268"/>
      <c r="X82" s="269"/>
      <c r="Y82" s="268"/>
      <c r="Z82" s="268"/>
      <c r="AA82" s="72"/>
      <c r="AB82" s="268"/>
      <c r="AC82" s="268"/>
      <c r="AD82" s="72"/>
      <c r="AE82" s="72"/>
    </row>
    <row r="83" spans="1:31">
      <c r="A83" s="270"/>
      <c r="B83" s="270"/>
      <c r="C83" s="173"/>
      <c r="D83" s="173"/>
      <c r="E83" s="173"/>
      <c r="F83" s="173"/>
      <c r="G83" s="271"/>
      <c r="H83" s="193"/>
      <c r="I83" s="193"/>
      <c r="J83" s="193"/>
      <c r="K83" s="193"/>
      <c r="L83" s="193"/>
      <c r="M83" s="193"/>
      <c r="N83" s="266"/>
      <c r="O83" s="266"/>
      <c r="P83" s="266"/>
      <c r="Q83" s="266"/>
      <c r="R83" s="266"/>
      <c r="S83" s="266"/>
      <c r="T83" s="266"/>
      <c r="U83" s="266"/>
      <c r="V83" s="266"/>
      <c r="W83" s="268"/>
      <c r="X83" s="269"/>
      <c r="Y83" s="268"/>
      <c r="Z83" s="268"/>
      <c r="AA83" s="72"/>
      <c r="AB83" s="268"/>
      <c r="AC83" s="268"/>
      <c r="AD83" s="72"/>
      <c r="AE83" s="72"/>
    </row>
    <row r="84" spans="1:31">
      <c r="A84" s="165"/>
      <c r="B84" s="165"/>
      <c r="C84" s="165"/>
      <c r="D84" s="165"/>
      <c r="E84" s="165"/>
      <c r="F84" s="165"/>
      <c r="G84" s="263"/>
      <c r="H84" s="193"/>
      <c r="I84" s="193"/>
      <c r="J84" s="193"/>
      <c r="K84" s="193"/>
      <c r="L84" s="193"/>
      <c r="M84" s="193"/>
      <c r="N84" s="266"/>
      <c r="O84" s="266"/>
      <c r="P84" s="266"/>
      <c r="Q84" s="266"/>
      <c r="R84" s="266"/>
      <c r="S84" s="266"/>
      <c r="T84" s="266"/>
      <c r="U84" s="266"/>
      <c r="V84" s="266"/>
      <c r="W84" s="268"/>
      <c r="X84" s="269"/>
      <c r="Y84" s="268"/>
      <c r="Z84" s="268"/>
      <c r="AA84" s="72"/>
      <c r="AB84" s="268"/>
      <c r="AC84" s="268"/>
      <c r="AD84" s="72"/>
      <c r="AE84" s="72"/>
    </row>
    <row r="85" spans="1:31">
      <c r="C85" s="170"/>
      <c r="D85" s="170"/>
      <c r="E85" s="170"/>
      <c r="F85" s="170"/>
      <c r="H85" s="193"/>
      <c r="I85" s="193"/>
      <c r="J85" s="193"/>
      <c r="K85" s="193"/>
      <c r="L85" s="193"/>
      <c r="M85" s="193"/>
      <c r="N85" s="266"/>
      <c r="O85" s="266"/>
      <c r="P85" s="266"/>
      <c r="Q85" s="266"/>
      <c r="R85" s="266"/>
      <c r="S85" s="266"/>
      <c r="T85" s="266"/>
      <c r="U85" s="266"/>
      <c r="V85" s="266"/>
      <c r="W85" s="268"/>
      <c r="X85" s="269"/>
      <c r="Y85" s="268"/>
      <c r="Z85" s="268"/>
      <c r="AA85" s="72"/>
      <c r="AB85" s="268"/>
      <c r="AC85" s="268"/>
      <c r="AD85" s="72"/>
      <c r="AE85" s="72"/>
    </row>
    <row r="86" spans="1:31">
      <c r="A86" s="165"/>
      <c r="B86" s="165"/>
      <c r="C86" s="170"/>
      <c r="D86" s="170"/>
      <c r="E86" s="170"/>
      <c r="F86" s="170"/>
      <c r="H86" s="193"/>
      <c r="I86" s="193"/>
      <c r="J86" s="193"/>
      <c r="K86" s="193"/>
      <c r="L86" s="193"/>
      <c r="M86" s="193"/>
      <c r="N86" s="266"/>
      <c r="O86" s="266"/>
      <c r="P86" s="266"/>
      <c r="Q86" s="266"/>
      <c r="R86" s="266"/>
      <c r="S86" s="266"/>
      <c r="T86" s="266"/>
      <c r="U86" s="266"/>
      <c r="V86" s="266"/>
      <c r="W86" s="268"/>
      <c r="X86" s="269"/>
      <c r="Y86" s="268"/>
      <c r="Z86" s="268"/>
      <c r="AA86" s="72"/>
      <c r="AB86" s="268"/>
      <c r="AC86" s="268"/>
      <c r="AD86" s="72"/>
      <c r="AE86" s="72"/>
    </row>
    <row r="87" spans="1:31">
      <c r="C87" s="170"/>
      <c r="D87" s="170"/>
      <c r="E87" s="170"/>
      <c r="F87" s="170"/>
      <c r="H87" s="193"/>
      <c r="I87" s="193"/>
      <c r="J87" s="193"/>
      <c r="K87" s="193"/>
      <c r="L87" s="193"/>
      <c r="M87" s="193"/>
      <c r="N87" s="266"/>
      <c r="O87" s="266"/>
      <c r="P87" s="266"/>
      <c r="Q87" s="266"/>
      <c r="R87" s="266"/>
      <c r="S87" s="266"/>
      <c r="T87" s="266"/>
      <c r="U87" s="266"/>
      <c r="V87" s="266"/>
      <c r="W87" s="268"/>
      <c r="X87" s="269"/>
      <c r="Y87" s="268"/>
      <c r="Z87" s="268"/>
      <c r="AA87" s="72"/>
      <c r="AB87" s="268"/>
      <c r="AC87" s="268"/>
      <c r="AD87" s="72"/>
      <c r="AE87" s="72"/>
    </row>
    <row r="88" spans="1:31">
      <c r="C88" s="170"/>
      <c r="D88" s="170"/>
      <c r="E88" s="170"/>
      <c r="F88" s="170"/>
      <c r="H88" s="193"/>
      <c r="I88" s="193"/>
      <c r="J88" s="193"/>
      <c r="K88" s="193"/>
      <c r="L88" s="193"/>
      <c r="M88" s="193"/>
      <c r="N88" s="266"/>
      <c r="O88" s="266"/>
      <c r="P88" s="266"/>
      <c r="Q88" s="266"/>
      <c r="R88" s="266"/>
      <c r="S88" s="266"/>
      <c r="T88" s="266"/>
      <c r="U88" s="266"/>
      <c r="V88" s="266"/>
      <c r="W88" s="268"/>
      <c r="X88" s="269"/>
      <c r="Y88" s="268"/>
      <c r="Z88" s="268"/>
      <c r="AA88" s="72"/>
      <c r="AB88" s="268"/>
      <c r="AC88" s="268"/>
      <c r="AD88" s="72"/>
      <c r="AE88" s="72"/>
    </row>
    <row r="89" spans="1:31">
      <c r="A89" s="165"/>
      <c r="B89" s="165"/>
      <c r="C89" s="165"/>
      <c r="D89" s="165"/>
      <c r="E89" s="165"/>
      <c r="F89" s="165"/>
      <c r="G89" s="263"/>
      <c r="H89" s="193"/>
      <c r="I89" s="193"/>
      <c r="J89" s="193"/>
      <c r="K89" s="193"/>
      <c r="L89" s="193"/>
      <c r="M89" s="193"/>
      <c r="N89" s="266"/>
      <c r="O89" s="266"/>
      <c r="P89" s="266"/>
      <c r="Q89" s="266"/>
      <c r="R89" s="266"/>
      <c r="S89" s="266"/>
      <c r="T89" s="266"/>
      <c r="U89" s="266"/>
      <c r="V89" s="266"/>
      <c r="W89" s="268"/>
      <c r="X89" s="269"/>
      <c r="Y89" s="268"/>
      <c r="Z89" s="268"/>
      <c r="AA89" s="72"/>
      <c r="AB89" s="268"/>
      <c r="AC89" s="268"/>
      <c r="AD89" s="72"/>
      <c r="AE89" s="72"/>
    </row>
    <row r="90" spans="1:31">
      <c r="H90" s="193"/>
      <c r="I90" s="193"/>
      <c r="J90" s="193"/>
      <c r="K90" s="193"/>
      <c r="L90" s="193"/>
      <c r="M90" s="193"/>
      <c r="N90" s="266"/>
      <c r="O90" s="266"/>
      <c r="P90" s="266"/>
      <c r="Q90" s="266"/>
      <c r="R90" s="266"/>
      <c r="S90" s="266"/>
      <c r="T90" s="266"/>
      <c r="U90" s="266"/>
      <c r="V90" s="266"/>
      <c r="W90" s="268"/>
      <c r="X90" s="269"/>
      <c r="Y90" s="268"/>
      <c r="Z90" s="268"/>
      <c r="AA90" s="72"/>
      <c r="AB90" s="268"/>
      <c r="AC90" s="268"/>
      <c r="AD90" s="72"/>
      <c r="AE90" s="72"/>
    </row>
    <row r="91" spans="1:31">
      <c r="H91" s="193"/>
      <c r="I91" s="193"/>
      <c r="J91" s="193"/>
      <c r="K91" s="193"/>
      <c r="L91" s="193"/>
      <c r="M91" s="193"/>
      <c r="N91" s="266"/>
      <c r="O91" s="266"/>
      <c r="P91" s="266"/>
      <c r="Q91" s="266"/>
      <c r="R91" s="266"/>
      <c r="S91" s="266"/>
      <c r="T91" s="266"/>
      <c r="U91" s="266"/>
      <c r="V91" s="266"/>
      <c r="W91" s="268"/>
      <c r="X91" s="269"/>
      <c r="Y91" s="268"/>
      <c r="Z91" s="268"/>
      <c r="AA91" s="72"/>
      <c r="AB91" s="268"/>
      <c r="AC91" s="268"/>
      <c r="AD91" s="72"/>
      <c r="AE91" s="72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0"/>
  <sheetViews>
    <sheetView workbookViewId="0">
      <pane xSplit="6" ySplit="2" topLeftCell="G12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3" sqref="A23:XFD24"/>
    </sheetView>
  </sheetViews>
  <sheetFormatPr defaultRowHeight="12.75"/>
  <cols>
    <col min="1" max="1" width="7.42578125" style="221" customWidth="1"/>
    <col min="2" max="2" width="9" style="221" bestFit="1" customWidth="1"/>
    <col min="3" max="3" width="13.5703125" style="100" bestFit="1" customWidth="1"/>
    <col min="4" max="4" width="36.42578125" style="100" customWidth="1"/>
    <col min="5" max="5" width="6.5703125" style="100" bestFit="1" customWidth="1"/>
    <col min="6" max="6" width="5.5703125" style="100" customWidth="1"/>
    <col min="7" max="16" width="8.5703125" style="193" customWidth="1"/>
    <col min="17" max="20" width="9.42578125" style="100" customWidth="1"/>
    <col min="21" max="21" width="10.5703125" style="100" customWidth="1"/>
    <col min="22" max="22" width="8.42578125" style="100" customWidth="1"/>
    <col min="23" max="23" width="8" style="72" customWidth="1"/>
    <col min="24" max="24" width="10.42578125" style="72" customWidth="1"/>
    <col min="25" max="25" width="9.42578125" style="72" customWidth="1"/>
    <col min="26" max="26" width="8" style="72" customWidth="1"/>
    <col min="27" max="27" width="9.5703125" style="72" customWidth="1"/>
    <col min="28" max="28" width="6.42578125" style="72" customWidth="1"/>
    <col min="29" max="29" width="5.5703125" style="2" customWidth="1"/>
    <col min="30" max="30" width="9" style="2" customWidth="1"/>
    <col min="31" max="31" width="8.42578125" style="1" bestFit="1" customWidth="1"/>
    <col min="32" max="16384" width="9.140625" style="100"/>
  </cols>
  <sheetData>
    <row r="1" spans="1:51" s="84" customFormat="1" ht="13.5" thickBot="1">
      <c r="A1" s="202"/>
      <c r="B1" s="203"/>
      <c r="C1" s="204"/>
      <c r="D1" s="204"/>
      <c r="E1" s="205"/>
      <c r="F1" s="205"/>
      <c r="G1" s="206" t="s">
        <v>40</v>
      </c>
      <c r="H1" s="207"/>
      <c r="I1" s="207"/>
      <c r="J1" s="207"/>
      <c r="K1" s="208"/>
      <c r="L1" s="209" t="s">
        <v>41</v>
      </c>
      <c r="M1" s="210"/>
      <c r="N1" s="210"/>
      <c r="O1" s="210"/>
      <c r="P1" s="211"/>
      <c r="Q1" s="49" t="s">
        <v>42</v>
      </c>
      <c r="R1" s="212"/>
      <c r="S1" s="212"/>
      <c r="T1" s="213"/>
      <c r="U1" s="49" t="s">
        <v>41</v>
      </c>
      <c r="V1" s="50"/>
      <c r="W1" s="33" t="s">
        <v>13</v>
      </c>
      <c r="X1" s="34" t="s">
        <v>67</v>
      </c>
      <c r="Y1" s="35" t="s">
        <v>48</v>
      </c>
      <c r="Z1" s="33" t="s">
        <v>13</v>
      </c>
      <c r="AA1" s="34" t="s">
        <v>16</v>
      </c>
      <c r="AB1" s="35" t="s">
        <v>53</v>
      </c>
      <c r="AC1" s="37" t="s">
        <v>13</v>
      </c>
      <c r="AD1" s="38" t="s">
        <v>16</v>
      </c>
      <c r="AE1" s="39" t="s">
        <v>43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214" t="s">
        <v>26</v>
      </c>
      <c r="B2" s="215" t="s">
        <v>82</v>
      </c>
      <c r="C2" s="48" t="s">
        <v>18</v>
      </c>
      <c r="D2" s="85" t="s">
        <v>19</v>
      </c>
      <c r="E2" s="85" t="s">
        <v>74</v>
      </c>
      <c r="F2" s="86" t="s">
        <v>20</v>
      </c>
      <c r="G2" s="55" t="s">
        <v>58</v>
      </c>
      <c r="H2" s="51" t="s">
        <v>32</v>
      </c>
      <c r="I2" s="51" t="s">
        <v>10</v>
      </c>
      <c r="J2" s="51" t="s">
        <v>11</v>
      </c>
      <c r="K2" s="216" t="s">
        <v>12</v>
      </c>
      <c r="L2" s="55" t="s">
        <v>58</v>
      </c>
      <c r="M2" s="51" t="s">
        <v>32</v>
      </c>
      <c r="N2" s="51" t="s">
        <v>10</v>
      </c>
      <c r="O2" s="51" t="s">
        <v>38</v>
      </c>
      <c r="P2" s="216" t="s">
        <v>39</v>
      </c>
      <c r="Q2" s="27" t="s">
        <v>1</v>
      </c>
      <c r="R2" s="28" t="s">
        <v>3</v>
      </c>
      <c r="S2" s="28" t="s">
        <v>14</v>
      </c>
      <c r="T2" s="29" t="s">
        <v>15</v>
      </c>
      <c r="U2" s="27" t="s">
        <v>1</v>
      </c>
      <c r="V2" s="29" t="s">
        <v>15</v>
      </c>
      <c r="W2" s="30" t="s">
        <v>17</v>
      </c>
      <c r="X2" s="31" t="s">
        <v>17</v>
      </c>
      <c r="Y2" s="32" t="s">
        <v>17</v>
      </c>
      <c r="Z2" s="66" t="s">
        <v>64</v>
      </c>
      <c r="AA2" s="67" t="s">
        <v>64</v>
      </c>
      <c r="AB2" s="36" t="s">
        <v>64</v>
      </c>
      <c r="AC2" s="68" t="s">
        <v>44</v>
      </c>
      <c r="AD2" s="69" t="s">
        <v>44</v>
      </c>
      <c r="AE2" s="29" t="s">
        <v>44</v>
      </c>
      <c r="AF2" s="70"/>
      <c r="AG2" s="70"/>
      <c r="AH2" s="71"/>
      <c r="AI2" s="71"/>
      <c r="AJ2" s="71"/>
      <c r="AK2" s="71"/>
      <c r="AL2" s="13"/>
      <c r="AM2" s="13"/>
      <c r="AN2" s="13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ht="13.35" customHeight="1">
      <c r="A3" s="111">
        <v>11348</v>
      </c>
      <c r="B3" s="217" t="s">
        <v>190</v>
      </c>
      <c r="C3" s="26" t="str">
        <f>Rollover!A3</f>
        <v>Acura</v>
      </c>
      <c r="D3" s="42" t="str">
        <f>Rollover!B3</f>
        <v>TLX 4DR FWD</v>
      </c>
      <c r="E3" s="8" t="s">
        <v>92</v>
      </c>
      <c r="F3" s="109">
        <f>Rollover!C3</f>
        <v>2021</v>
      </c>
      <c r="G3" s="9">
        <v>127.93300000000001</v>
      </c>
      <c r="H3" s="10">
        <v>19.93</v>
      </c>
      <c r="I3" s="10">
        <v>23.388000000000002</v>
      </c>
      <c r="J3" s="10">
        <v>838.32500000000005</v>
      </c>
      <c r="K3" s="11">
        <v>1240.9079999999999</v>
      </c>
      <c r="L3" s="9">
        <v>180.62299999999999</v>
      </c>
      <c r="M3" s="10">
        <v>23.923999999999999</v>
      </c>
      <c r="N3" s="10">
        <v>53.405999999999999</v>
      </c>
      <c r="O3" s="10">
        <v>36.567999999999998</v>
      </c>
      <c r="P3" s="11">
        <v>2398.7069999999999</v>
      </c>
      <c r="Q3" s="22">
        <f t="shared" ref="Q3:Q21" si="0">NORMDIST(LN(G3),7.45231,0.73998,1)</f>
        <v>2.2013043499891907E-4</v>
      </c>
      <c r="R3" s="5">
        <f t="shared" ref="R3:R21" si="1">1/(1+EXP(5.3895-0.0919*H3))</f>
        <v>2.7708053630260528E-2</v>
      </c>
      <c r="S3" s="5">
        <f t="shared" ref="S3:S21" si="2">1/(1+EXP(6.04044-0.002133*J3))</f>
        <v>1.4031871183116421E-2</v>
      </c>
      <c r="T3" s="23">
        <f t="shared" ref="T3:T21" si="3">1/(1+EXP(7.5969-0.0011*K3))</f>
        <v>1.9618546921842612E-3</v>
      </c>
      <c r="U3" s="22">
        <f t="shared" ref="U3:U21" si="4">NORMDIST(LN(L3),7.45231,0.73998,1)</f>
        <v>1.1495778256614101E-3</v>
      </c>
      <c r="V3" s="23">
        <f t="shared" ref="V3:V21" si="5">1/(1+EXP(6.3055-0.00094*P3))</f>
        <v>1.711199638300194E-2</v>
      </c>
      <c r="W3" s="22">
        <f t="shared" ref="W3:W21" si="6">ROUND(1-(1-Q3)*(1-R3)*(1-S3)*(1-T3),3)</f>
        <v>4.2999999999999997E-2</v>
      </c>
      <c r="X3" s="5">
        <f t="shared" ref="X3:X21" si="7">IF(L3="N/A",L3,ROUND(1-(1-U3)*(1-V3),3))</f>
        <v>1.7999999999999999E-2</v>
      </c>
      <c r="Y3" s="23">
        <f t="shared" ref="Y3:Y21" si="8">ROUND(AVERAGE(W3:X3),3)</f>
        <v>3.1E-2</v>
      </c>
      <c r="Z3" s="24">
        <f t="shared" ref="Z3:Z21" si="9">ROUND(W3/0.15,2)</f>
        <v>0.28999999999999998</v>
      </c>
      <c r="AA3" s="218">
        <f t="shared" ref="AA3:AA21" si="10">IF(L3="N/A", L3, ROUND(X3/0.15,2))</f>
        <v>0.12</v>
      </c>
      <c r="AB3" s="25">
        <f t="shared" ref="AB3:AB21" si="11">ROUND(Y3/0.15,2)</f>
        <v>0.21</v>
      </c>
      <c r="AC3" s="20">
        <f t="shared" ref="AC3:AC21" si="12">IF(Z3&lt;0.67,5,IF(Z3&lt;1,4,IF(Z3&lt;1.33,3,IF(Z3&lt;2.67,2,1))))</f>
        <v>5</v>
      </c>
      <c r="AD3" s="44">
        <f t="shared" ref="AD3:AD21" si="13">IF(L3="N/A",L3,IF(AA3&lt;0.67,5,IF(AA3&lt;1,4,IF(AA3&lt;1.33,3,IF(AA3&lt;2.67,2,1)))))</f>
        <v>5</v>
      </c>
      <c r="AE3" s="21">
        <f t="shared" ref="AE3:AE21" si="14">IF(AB3&lt;0.67,5,IF(AB3&lt;1,4,IF(AB3&lt;1.33,3,IF(AB3&lt;2.67,2,1))))</f>
        <v>5</v>
      </c>
      <c r="AF3" s="12"/>
      <c r="AG3" s="12"/>
      <c r="AH3" s="14"/>
      <c r="AI3" s="14"/>
      <c r="AJ3" s="14"/>
      <c r="AK3" s="14"/>
      <c r="AL3" s="13"/>
      <c r="AM3" s="13"/>
      <c r="AN3" s="13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>
      <c r="A4" s="111">
        <v>11348</v>
      </c>
      <c r="B4" s="217" t="s">
        <v>190</v>
      </c>
      <c r="C4" s="219" t="str">
        <f>Rollover!A4</f>
        <v>Acura</v>
      </c>
      <c r="D4" s="8" t="str">
        <f>Rollover!B4</f>
        <v>TLX 4DR AWD</v>
      </c>
      <c r="E4" s="8" t="s">
        <v>92</v>
      </c>
      <c r="F4" s="109">
        <f>Rollover!C4</f>
        <v>2021</v>
      </c>
      <c r="G4" s="9">
        <v>127.93300000000001</v>
      </c>
      <c r="H4" s="10">
        <v>19.93</v>
      </c>
      <c r="I4" s="10">
        <v>23.388000000000002</v>
      </c>
      <c r="J4" s="10">
        <v>838.32500000000005</v>
      </c>
      <c r="K4" s="11">
        <v>1240.9079999999999</v>
      </c>
      <c r="L4" s="9">
        <v>180.62299999999999</v>
      </c>
      <c r="M4" s="10">
        <v>23.923999999999999</v>
      </c>
      <c r="N4" s="10">
        <v>53.405999999999999</v>
      </c>
      <c r="O4" s="10">
        <v>36.567999999999998</v>
      </c>
      <c r="P4" s="11">
        <v>2398.7069999999999</v>
      </c>
      <c r="Q4" s="22">
        <f t="shared" si="0"/>
        <v>2.2013043499891907E-4</v>
      </c>
      <c r="R4" s="5">
        <f t="shared" si="1"/>
        <v>2.7708053630260528E-2</v>
      </c>
      <c r="S4" s="5">
        <f t="shared" si="2"/>
        <v>1.4031871183116421E-2</v>
      </c>
      <c r="T4" s="23">
        <f t="shared" si="3"/>
        <v>1.9618546921842612E-3</v>
      </c>
      <c r="U4" s="22">
        <f t="shared" si="4"/>
        <v>1.1495778256614101E-3</v>
      </c>
      <c r="V4" s="23">
        <f t="shared" si="5"/>
        <v>1.711199638300194E-2</v>
      </c>
      <c r="W4" s="22">
        <f t="shared" si="6"/>
        <v>4.2999999999999997E-2</v>
      </c>
      <c r="X4" s="5">
        <f t="shared" si="7"/>
        <v>1.7999999999999999E-2</v>
      </c>
      <c r="Y4" s="23">
        <f t="shared" si="8"/>
        <v>3.1E-2</v>
      </c>
      <c r="Z4" s="24">
        <f t="shared" si="9"/>
        <v>0.28999999999999998</v>
      </c>
      <c r="AA4" s="218">
        <f t="shared" si="10"/>
        <v>0.12</v>
      </c>
      <c r="AB4" s="25">
        <f t="shared" si="11"/>
        <v>0.21</v>
      </c>
      <c r="AC4" s="20">
        <f t="shared" si="12"/>
        <v>5</v>
      </c>
      <c r="AD4" s="44">
        <f t="shared" si="13"/>
        <v>5</v>
      </c>
      <c r="AE4" s="21">
        <f t="shared" si="14"/>
        <v>5</v>
      </c>
      <c r="AF4" s="12"/>
      <c r="AG4" s="12"/>
      <c r="AH4" s="14"/>
      <c r="AI4" s="14"/>
      <c r="AJ4" s="14"/>
      <c r="AK4" s="14"/>
      <c r="AL4" s="13"/>
      <c r="AM4" s="13"/>
      <c r="AN4" s="13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>
      <c r="A5" s="111">
        <v>11357</v>
      </c>
      <c r="B5" s="217" t="s">
        <v>198</v>
      </c>
      <c r="C5" s="26" t="str">
        <f>Rollover!A5</f>
        <v>Cadillac</v>
      </c>
      <c r="D5" s="42" t="str">
        <f>Rollover!B5</f>
        <v>XT6 SUV FWD</v>
      </c>
      <c r="E5" s="8" t="s">
        <v>149</v>
      </c>
      <c r="F5" s="109">
        <f>Rollover!C5</f>
        <v>2021</v>
      </c>
      <c r="G5" s="9">
        <v>114.598</v>
      </c>
      <c r="H5" s="10">
        <v>18.114999999999998</v>
      </c>
      <c r="I5" s="10">
        <v>22.42</v>
      </c>
      <c r="J5" s="10">
        <v>519.53899999999999</v>
      </c>
      <c r="K5" s="11">
        <v>1176.578</v>
      </c>
      <c r="L5" s="9">
        <v>211.839</v>
      </c>
      <c r="M5" s="10">
        <v>19.715</v>
      </c>
      <c r="N5" s="10">
        <v>42.573999999999998</v>
      </c>
      <c r="O5" s="10">
        <v>30.268999999999998</v>
      </c>
      <c r="P5" s="11">
        <v>1511.23</v>
      </c>
      <c r="Q5" s="22">
        <f t="shared" si="0"/>
        <v>1.244204588302397E-4</v>
      </c>
      <c r="R5" s="5">
        <f t="shared" si="1"/>
        <v>2.3551522924376921E-2</v>
      </c>
      <c r="S5" s="5">
        <f t="shared" si="2"/>
        <v>7.1585515929310931E-3</v>
      </c>
      <c r="T5" s="23">
        <f t="shared" si="3"/>
        <v>1.8280710410215509E-3</v>
      </c>
      <c r="U5" s="22">
        <f t="shared" si="4"/>
        <v>2.3044988254322519E-3</v>
      </c>
      <c r="V5" s="23">
        <f t="shared" si="5"/>
        <v>7.5028305843194767E-3</v>
      </c>
      <c r="W5" s="22">
        <f t="shared" si="6"/>
        <v>3.2000000000000001E-2</v>
      </c>
      <c r="X5" s="5">
        <f t="shared" si="7"/>
        <v>0.01</v>
      </c>
      <c r="Y5" s="23">
        <f t="shared" si="8"/>
        <v>2.1000000000000001E-2</v>
      </c>
      <c r="Z5" s="24">
        <f t="shared" si="9"/>
        <v>0.21</v>
      </c>
      <c r="AA5" s="218">
        <f t="shared" si="10"/>
        <v>7.0000000000000007E-2</v>
      </c>
      <c r="AB5" s="25">
        <f t="shared" si="11"/>
        <v>0.14000000000000001</v>
      </c>
      <c r="AC5" s="20">
        <f t="shared" si="12"/>
        <v>5</v>
      </c>
      <c r="AD5" s="44">
        <f t="shared" si="13"/>
        <v>5</v>
      </c>
      <c r="AE5" s="21">
        <f t="shared" si="14"/>
        <v>5</v>
      </c>
      <c r="AF5" s="12"/>
      <c r="AG5" s="12"/>
      <c r="AH5" s="14"/>
      <c r="AI5" s="14"/>
      <c r="AJ5" s="14"/>
      <c r="AK5" s="14"/>
      <c r="AL5" s="13"/>
      <c r="AM5" s="13"/>
      <c r="AN5" s="13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>
      <c r="A6" s="111">
        <v>11357</v>
      </c>
      <c r="B6" s="217" t="s">
        <v>198</v>
      </c>
      <c r="C6" s="219" t="str">
        <f>Rollover!A6</f>
        <v>Cadillac</v>
      </c>
      <c r="D6" s="8" t="str">
        <f>Rollover!B6</f>
        <v>XT6 SUV AWD</v>
      </c>
      <c r="E6" s="8" t="s">
        <v>149</v>
      </c>
      <c r="F6" s="109">
        <f>Rollover!C6</f>
        <v>2021</v>
      </c>
      <c r="G6" s="9">
        <v>114.598</v>
      </c>
      <c r="H6" s="10">
        <v>18.114999999999998</v>
      </c>
      <c r="I6" s="10">
        <v>22.42</v>
      </c>
      <c r="J6" s="10">
        <v>519.53899999999999</v>
      </c>
      <c r="K6" s="11">
        <v>1176.578</v>
      </c>
      <c r="L6" s="9">
        <v>211.839</v>
      </c>
      <c r="M6" s="10">
        <v>19.715</v>
      </c>
      <c r="N6" s="10">
        <v>42.573999999999998</v>
      </c>
      <c r="O6" s="10">
        <v>30.268999999999998</v>
      </c>
      <c r="P6" s="11">
        <v>1511.23</v>
      </c>
      <c r="Q6" s="22">
        <f t="shared" si="0"/>
        <v>1.244204588302397E-4</v>
      </c>
      <c r="R6" s="5">
        <f t="shared" si="1"/>
        <v>2.3551522924376921E-2</v>
      </c>
      <c r="S6" s="5">
        <f t="shared" si="2"/>
        <v>7.1585515929310931E-3</v>
      </c>
      <c r="T6" s="23">
        <f t="shared" si="3"/>
        <v>1.8280710410215509E-3</v>
      </c>
      <c r="U6" s="22">
        <f t="shared" si="4"/>
        <v>2.3044988254322519E-3</v>
      </c>
      <c r="V6" s="23">
        <f t="shared" si="5"/>
        <v>7.5028305843194767E-3</v>
      </c>
      <c r="W6" s="22">
        <f t="shared" si="6"/>
        <v>3.2000000000000001E-2</v>
      </c>
      <c r="X6" s="5">
        <f t="shared" si="7"/>
        <v>0.01</v>
      </c>
      <c r="Y6" s="23">
        <f t="shared" si="8"/>
        <v>2.1000000000000001E-2</v>
      </c>
      <c r="Z6" s="24">
        <f t="shared" si="9"/>
        <v>0.21</v>
      </c>
      <c r="AA6" s="218">
        <f t="shared" si="10"/>
        <v>7.0000000000000007E-2</v>
      </c>
      <c r="AB6" s="25">
        <f t="shared" si="11"/>
        <v>0.14000000000000001</v>
      </c>
      <c r="AC6" s="20">
        <f t="shared" si="12"/>
        <v>5</v>
      </c>
      <c r="AD6" s="44">
        <f t="shared" si="13"/>
        <v>5</v>
      </c>
      <c r="AE6" s="21">
        <f t="shared" si="14"/>
        <v>5</v>
      </c>
      <c r="AF6" s="12"/>
      <c r="AG6" s="12"/>
      <c r="AH6" s="14"/>
      <c r="AI6" s="14"/>
      <c r="AJ6" s="14"/>
      <c r="AK6" s="14"/>
      <c r="AL6" s="13"/>
      <c r="AM6" s="13"/>
      <c r="AN6" s="13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>
      <c r="A7" s="111">
        <v>11351</v>
      </c>
      <c r="B7" s="217" t="s">
        <v>195</v>
      </c>
      <c r="C7" s="26" t="str">
        <f>Rollover!A7</f>
        <v>Chevrolet</v>
      </c>
      <c r="D7" s="42" t="str">
        <f>Rollover!B7</f>
        <v>Tahoe SUV 2WD</v>
      </c>
      <c r="E7" s="8" t="s">
        <v>147</v>
      </c>
      <c r="F7" s="109">
        <f>Rollover!C7</f>
        <v>2021</v>
      </c>
      <c r="G7" s="9">
        <v>24.670999999999999</v>
      </c>
      <c r="H7" s="10">
        <v>17.416</v>
      </c>
      <c r="I7" s="10">
        <v>20.440000000000001</v>
      </c>
      <c r="J7" s="10">
        <v>495.28</v>
      </c>
      <c r="K7" s="11">
        <v>524.69200000000001</v>
      </c>
      <c r="L7" s="9">
        <v>88.155000000000001</v>
      </c>
      <c r="M7" s="10">
        <v>4.7229999999999999</v>
      </c>
      <c r="N7" s="10">
        <v>23.92</v>
      </c>
      <c r="O7" s="10">
        <v>7.7670000000000003</v>
      </c>
      <c r="P7" s="11">
        <v>1101.797</v>
      </c>
      <c r="Q7" s="22">
        <f t="shared" si="0"/>
        <v>4.7642811720888102E-9</v>
      </c>
      <c r="R7" s="5">
        <f t="shared" si="1"/>
        <v>2.2118598080949299E-2</v>
      </c>
      <c r="S7" s="5">
        <f t="shared" si="2"/>
        <v>6.8000113561323379E-3</v>
      </c>
      <c r="T7" s="23">
        <f t="shared" si="3"/>
        <v>8.9326036310255529E-4</v>
      </c>
      <c r="U7" s="22">
        <f t="shared" si="4"/>
        <v>2.9351519042188252E-5</v>
      </c>
      <c r="V7" s="23">
        <f t="shared" si="5"/>
        <v>5.1182524550038438E-3</v>
      </c>
      <c r="W7" s="22">
        <f t="shared" si="6"/>
        <v>0.03</v>
      </c>
      <c r="X7" s="5">
        <f t="shared" si="7"/>
        <v>5.0000000000000001E-3</v>
      </c>
      <c r="Y7" s="23">
        <f t="shared" si="8"/>
        <v>1.7999999999999999E-2</v>
      </c>
      <c r="Z7" s="24">
        <f t="shared" si="9"/>
        <v>0.2</v>
      </c>
      <c r="AA7" s="218">
        <f t="shared" si="10"/>
        <v>0.03</v>
      </c>
      <c r="AB7" s="25">
        <f t="shared" si="11"/>
        <v>0.12</v>
      </c>
      <c r="AC7" s="20">
        <f t="shared" si="12"/>
        <v>5</v>
      </c>
      <c r="AD7" s="44">
        <f t="shared" si="13"/>
        <v>5</v>
      </c>
      <c r="AE7" s="21">
        <f t="shared" si="14"/>
        <v>5</v>
      </c>
      <c r="AF7" s="12"/>
      <c r="AG7" s="12"/>
      <c r="AH7" s="14"/>
      <c r="AI7" s="14"/>
      <c r="AJ7" s="14"/>
      <c r="AK7" s="14"/>
      <c r="AL7" s="13"/>
      <c r="AM7" s="13"/>
      <c r="AN7" s="13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ht="13.35" customHeight="1">
      <c r="A8" s="111">
        <v>11351</v>
      </c>
      <c r="B8" s="217" t="s">
        <v>195</v>
      </c>
      <c r="C8" s="219" t="str">
        <f>Rollover!A8</f>
        <v>Chevrolet</v>
      </c>
      <c r="D8" s="8" t="str">
        <f>Rollover!B8</f>
        <v>Tahoe SUV 4WD</v>
      </c>
      <c r="E8" s="8" t="s">
        <v>147</v>
      </c>
      <c r="F8" s="109">
        <f>Rollover!C8</f>
        <v>2021</v>
      </c>
      <c r="G8" s="9">
        <v>24.670999999999999</v>
      </c>
      <c r="H8" s="10">
        <v>17.416</v>
      </c>
      <c r="I8" s="10">
        <v>20.440000000000001</v>
      </c>
      <c r="J8" s="10">
        <v>495.28</v>
      </c>
      <c r="K8" s="11">
        <v>524.69200000000001</v>
      </c>
      <c r="L8" s="9">
        <v>88.155000000000001</v>
      </c>
      <c r="M8" s="10">
        <v>4.7229999999999999</v>
      </c>
      <c r="N8" s="10">
        <v>23.92</v>
      </c>
      <c r="O8" s="10">
        <v>7.7670000000000003</v>
      </c>
      <c r="P8" s="11">
        <v>1101.797</v>
      </c>
      <c r="Q8" s="22">
        <f t="shared" si="0"/>
        <v>4.7642811720888102E-9</v>
      </c>
      <c r="R8" s="5">
        <f t="shared" si="1"/>
        <v>2.2118598080949299E-2</v>
      </c>
      <c r="S8" s="5">
        <f t="shared" si="2"/>
        <v>6.8000113561323379E-3</v>
      </c>
      <c r="T8" s="23">
        <f t="shared" si="3"/>
        <v>8.9326036310255529E-4</v>
      </c>
      <c r="U8" s="22">
        <f t="shared" si="4"/>
        <v>2.9351519042188252E-5</v>
      </c>
      <c r="V8" s="23">
        <f t="shared" si="5"/>
        <v>5.1182524550038438E-3</v>
      </c>
      <c r="W8" s="22">
        <f t="shared" si="6"/>
        <v>0.03</v>
      </c>
      <c r="X8" s="5">
        <f t="shared" si="7"/>
        <v>5.0000000000000001E-3</v>
      </c>
      <c r="Y8" s="23">
        <f t="shared" si="8"/>
        <v>1.7999999999999999E-2</v>
      </c>
      <c r="Z8" s="24">
        <f t="shared" si="9"/>
        <v>0.2</v>
      </c>
      <c r="AA8" s="218">
        <f t="shared" si="10"/>
        <v>0.03</v>
      </c>
      <c r="AB8" s="25">
        <f t="shared" si="11"/>
        <v>0.12</v>
      </c>
      <c r="AC8" s="20">
        <f t="shared" si="12"/>
        <v>5</v>
      </c>
      <c r="AD8" s="44">
        <f t="shared" si="13"/>
        <v>5</v>
      </c>
      <c r="AE8" s="21">
        <f t="shared" si="14"/>
        <v>5</v>
      </c>
      <c r="AF8" s="12"/>
      <c r="AG8" s="12"/>
      <c r="AH8" s="14"/>
      <c r="AI8" s="14"/>
      <c r="AJ8" s="14"/>
      <c r="AK8" s="14"/>
      <c r="AL8" s="13"/>
      <c r="AM8" s="13"/>
      <c r="AN8" s="13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ht="13.35" customHeight="1">
      <c r="A9" s="111">
        <v>11351</v>
      </c>
      <c r="B9" s="217" t="s">
        <v>195</v>
      </c>
      <c r="C9" s="219" t="str">
        <f>Rollover!A9</f>
        <v xml:space="preserve">GMC </v>
      </c>
      <c r="D9" s="8" t="str">
        <f>Rollover!B9</f>
        <v>Yukon SUV 2WD</v>
      </c>
      <c r="E9" s="8" t="s">
        <v>147</v>
      </c>
      <c r="F9" s="109">
        <f>Rollover!C9</f>
        <v>2021</v>
      </c>
      <c r="G9" s="9">
        <v>24.670999999999999</v>
      </c>
      <c r="H9" s="10">
        <v>17.416</v>
      </c>
      <c r="I9" s="10">
        <v>20.440000000000001</v>
      </c>
      <c r="J9" s="10">
        <v>495.28</v>
      </c>
      <c r="K9" s="11">
        <v>524.69200000000001</v>
      </c>
      <c r="L9" s="9">
        <v>88.155000000000001</v>
      </c>
      <c r="M9" s="10">
        <v>4.7229999999999999</v>
      </c>
      <c r="N9" s="10">
        <v>23.92</v>
      </c>
      <c r="O9" s="10">
        <v>7.7670000000000003</v>
      </c>
      <c r="P9" s="11">
        <v>1101.797</v>
      </c>
      <c r="Q9" s="22">
        <f t="shared" si="0"/>
        <v>4.7642811720888102E-9</v>
      </c>
      <c r="R9" s="5">
        <f t="shared" si="1"/>
        <v>2.2118598080949299E-2</v>
      </c>
      <c r="S9" s="5">
        <f t="shared" si="2"/>
        <v>6.8000113561323379E-3</v>
      </c>
      <c r="T9" s="23">
        <f t="shared" si="3"/>
        <v>8.9326036310255529E-4</v>
      </c>
      <c r="U9" s="22">
        <f t="shared" si="4"/>
        <v>2.9351519042188252E-5</v>
      </c>
      <c r="V9" s="23">
        <f t="shared" si="5"/>
        <v>5.1182524550038438E-3</v>
      </c>
      <c r="W9" s="22">
        <f t="shared" si="6"/>
        <v>0.03</v>
      </c>
      <c r="X9" s="5">
        <f t="shared" si="7"/>
        <v>5.0000000000000001E-3</v>
      </c>
      <c r="Y9" s="23">
        <f t="shared" si="8"/>
        <v>1.7999999999999999E-2</v>
      </c>
      <c r="Z9" s="24">
        <f t="shared" si="9"/>
        <v>0.2</v>
      </c>
      <c r="AA9" s="218">
        <f t="shared" si="10"/>
        <v>0.03</v>
      </c>
      <c r="AB9" s="25">
        <f t="shared" si="11"/>
        <v>0.12</v>
      </c>
      <c r="AC9" s="20">
        <f t="shared" si="12"/>
        <v>5</v>
      </c>
      <c r="AD9" s="44">
        <f t="shared" si="13"/>
        <v>5</v>
      </c>
      <c r="AE9" s="21">
        <f t="shared" si="14"/>
        <v>5</v>
      </c>
      <c r="AF9" s="12"/>
      <c r="AG9" s="12"/>
      <c r="AH9" s="14"/>
      <c r="AI9" s="14"/>
      <c r="AJ9" s="14"/>
      <c r="AK9" s="14"/>
      <c r="AL9" s="13"/>
      <c r="AM9" s="13"/>
      <c r="AN9" s="13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13.35" customHeight="1">
      <c r="A10" s="111">
        <v>11351</v>
      </c>
      <c r="B10" s="217" t="s">
        <v>195</v>
      </c>
      <c r="C10" s="219" t="str">
        <f>Rollover!A10</f>
        <v xml:space="preserve">GMC </v>
      </c>
      <c r="D10" s="8" t="str">
        <f>Rollover!B10</f>
        <v>Yukon SUV 4WD</v>
      </c>
      <c r="E10" s="8" t="s">
        <v>147</v>
      </c>
      <c r="F10" s="109">
        <f>Rollover!C10</f>
        <v>2021</v>
      </c>
      <c r="G10" s="9">
        <v>24.670999999999999</v>
      </c>
      <c r="H10" s="10">
        <v>17.416</v>
      </c>
      <c r="I10" s="10">
        <v>20.440000000000001</v>
      </c>
      <c r="J10" s="10">
        <v>495.28</v>
      </c>
      <c r="K10" s="11">
        <v>524.69200000000001</v>
      </c>
      <c r="L10" s="9">
        <v>88.155000000000001</v>
      </c>
      <c r="M10" s="10">
        <v>4.7229999999999999</v>
      </c>
      <c r="N10" s="10">
        <v>23.92</v>
      </c>
      <c r="O10" s="10">
        <v>7.7670000000000003</v>
      </c>
      <c r="P10" s="11">
        <v>1101.797</v>
      </c>
      <c r="Q10" s="22">
        <f t="shared" si="0"/>
        <v>4.7642811720888102E-9</v>
      </c>
      <c r="R10" s="5">
        <f t="shared" si="1"/>
        <v>2.2118598080949299E-2</v>
      </c>
      <c r="S10" s="5">
        <f t="shared" si="2"/>
        <v>6.8000113561323379E-3</v>
      </c>
      <c r="T10" s="23">
        <f t="shared" si="3"/>
        <v>8.9326036310255529E-4</v>
      </c>
      <c r="U10" s="22">
        <f t="shared" si="4"/>
        <v>2.9351519042188252E-5</v>
      </c>
      <c r="V10" s="23">
        <f t="shared" si="5"/>
        <v>5.1182524550038438E-3</v>
      </c>
      <c r="W10" s="22">
        <f t="shared" si="6"/>
        <v>0.03</v>
      </c>
      <c r="X10" s="5">
        <f t="shared" si="7"/>
        <v>5.0000000000000001E-3</v>
      </c>
      <c r="Y10" s="23">
        <f t="shared" si="8"/>
        <v>1.7999999999999999E-2</v>
      </c>
      <c r="Z10" s="24">
        <f t="shared" si="9"/>
        <v>0.2</v>
      </c>
      <c r="AA10" s="218">
        <f t="shared" si="10"/>
        <v>0.03</v>
      </c>
      <c r="AB10" s="25">
        <f t="shared" si="11"/>
        <v>0.12</v>
      </c>
      <c r="AC10" s="20">
        <f t="shared" si="12"/>
        <v>5</v>
      </c>
      <c r="AD10" s="44">
        <f t="shared" si="13"/>
        <v>5</v>
      </c>
      <c r="AE10" s="21">
        <f t="shared" si="14"/>
        <v>5</v>
      </c>
      <c r="AF10" s="12"/>
      <c r="AG10" s="12"/>
      <c r="AH10" s="14"/>
      <c r="AI10" s="14"/>
      <c r="AJ10" s="14"/>
      <c r="AK10" s="14"/>
      <c r="AL10" s="13"/>
      <c r="AM10" s="13"/>
      <c r="AN10" s="13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13.35" customHeight="1">
      <c r="A11" s="111">
        <v>11351</v>
      </c>
      <c r="B11" s="217" t="s">
        <v>195</v>
      </c>
      <c r="C11" s="219" t="str">
        <f>Rollover!A11</f>
        <v>Cadillac</v>
      </c>
      <c r="D11" s="8" t="str">
        <f>Rollover!B11</f>
        <v>Escalade SUV 2WD</v>
      </c>
      <c r="E11" s="8" t="s">
        <v>147</v>
      </c>
      <c r="F11" s="109">
        <f>Rollover!C11</f>
        <v>2021</v>
      </c>
      <c r="G11" s="9">
        <v>24.670999999999999</v>
      </c>
      <c r="H11" s="10">
        <v>17.416</v>
      </c>
      <c r="I11" s="10">
        <v>20.440000000000001</v>
      </c>
      <c r="J11" s="10">
        <v>495.28</v>
      </c>
      <c r="K11" s="11">
        <v>524.69200000000001</v>
      </c>
      <c r="L11" s="9">
        <v>88.155000000000001</v>
      </c>
      <c r="M11" s="10">
        <v>4.7229999999999999</v>
      </c>
      <c r="N11" s="10">
        <v>23.92</v>
      </c>
      <c r="O11" s="10">
        <v>7.7670000000000003</v>
      </c>
      <c r="P11" s="11">
        <v>1101.797</v>
      </c>
      <c r="Q11" s="22">
        <f t="shared" si="0"/>
        <v>4.7642811720888102E-9</v>
      </c>
      <c r="R11" s="5">
        <f t="shared" si="1"/>
        <v>2.2118598080949299E-2</v>
      </c>
      <c r="S11" s="5">
        <f t="shared" si="2"/>
        <v>6.8000113561323379E-3</v>
      </c>
      <c r="T11" s="23">
        <f t="shared" si="3"/>
        <v>8.9326036310255529E-4</v>
      </c>
      <c r="U11" s="22">
        <f t="shared" si="4"/>
        <v>2.9351519042188252E-5</v>
      </c>
      <c r="V11" s="23">
        <f t="shared" si="5"/>
        <v>5.1182524550038438E-3</v>
      </c>
      <c r="W11" s="22">
        <f t="shared" si="6"/>
        <v>0.03</v>
      </c>
      <c r="X11" s="5">
        <f t="shared" si="7"/>
        <v>5.0000000000000001E-3</v>
      </c>
      <c r="Y11" s="23">
        <f t="shared" si="8"/>
        <v>1.7999999999999999E-2</v>
      </c>
      <c r="Z11" s="24">
        <f t="shared" si="9"/>
        <v>0.2</v>
      </c>
      <c r="AA11" s="218">
        <f t="shared" si="10"/>
        <v>0.03</v>
      </c>
      <c r="AB11" s="25">
        <f t="shared" si="11"/>
        <v>0.12</v>
      </c>
      <c r="AC11" s="20">
        <f t="shared" si="12"/>
        <v>5</v>
      </c>
      <c r="AD11" s="44">
        <f t="shared" si="13"/>
        <v>5</v>
      </c>
      <c r="AE11" s="21">
        <f t="shared" si="14"/>
        <v>5</v>
      </c>
      <c r="AF11" s="12"/>
      <c r="AG11" s="12"/>
      <c r="AH11" s="14"/>
      <c r="AI11" s="14"/>
      <c r="AJ11" s="14"/>
      <c r="AK11" s="14"/>
      <c r="AL11" s="13"/>
      <c r="AM11" s="13"/>
      <c r="AN11" s="13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3.35" customHeight="1">
      <c r="A12" s="111">
        <v>11351</v>
      </c>
      <c r="B12" s="217" t="s">
        <v>195</v>
      </c>
      <c r="C12" s="219" t="str">
        <f>Rollover!A12</f>
        <v>Cadillac</v>
      </c>
      <c r="D12" s="8" t="str">
        <f>Rollover!B12</f>
        <v>Escalade SUV 4WD</v>
      </c>
      <c r="E12" s="8" t="s">
        <v>147</v>
      </c>
      <c r="F12" s="109">
        <f>Rollover!C12</f>
        <v>2021</v>
      </c>
      <c r="G12" s="9">
        <v>24.670999999999999</v>
      </c>
      <c r="H12" s="10">
        <v>17.416</v>
      </c>
      <c r="I12" s="10">
        <v>20.440000000000001</v>
      </c>
      <c r="J12" s="10">
        <v>495.28</v>
      </c>
      <c r="K12" s="11">
        <v>524.69200000000001</v>
      </c>
      <c r="L12" s="9">
        <v>88.155000000000001</v>
      </c>
      <c r="M12" s="10">
        <v>4.7229999999999999</v>
      </c>
      <c r="N12" s="10">
        <v>23.92</v>
      </c>
      <c r="O12" s="10">
        <v>7.7670000000000003</v>
      </c>
      <c r="P12" s="11">
        <v>1101.797</v>
      </c>
      <c r="Q12" s="22">
        <f t="shared" si="0"/>
        <v>4.7642811720888102E-9</v>
      </c>
      <c r="R12" s="5">
        <f t="shared" si="1"/>
        <v>2.2118598080949299E-2</v>
      </c>
      <c r="S12" s="5">
        <f t="shared" si="2"/>
        <v>6.8000113561323379E-3</v>
      </c>
      <c r="T12" s="23">
        <f t="shared" si="3"/>
        <v>8.9326036310255529E-4</v>
      </c>
      <c r="U12" s="22">
        <f t="shared" si="4"/>
        <v>2.9351519042188252E-5</v>
      </c>
      <c r="V12" s="23">
        <f t="shared" si="5"/>
        <v>5.1182524550038438E-3</v>
      </c>
      <c r="W12" s="22">
        <f t="shared" si="6"/>
        <v>0.03</v>
      </c>
      <c r="X12" s="5">
        <f t="shared" si="7"/>
        <v>5.0000000000000001E-3</v>
      </c>
      <c r="Y12" s="23">
        <f t="shared" si="8"/>
        <v>1.7999999999999999E-2</v>
      </c>
      <c r="Z12" s="24">
        <f t="shared" si="9"/>
        <v>0.2</v>
      </c>
      <c r="AA12" s="218">
        <f t="shared" si="10"/>
        <v>0.03</v>
      </c>
      <c r="AB12" s="25">
        <f t="shared" si="11"/>
        <v>0.12</v>
      </c>
      <c r="AC12" s="20">
        <f t="shared" si="12"/>
        <v>5</v>
      </c>
      <c r="AD12" s="44">
        <f t="shared" si="13"/>
        <v>5</v>
      </c>
      <c r="AE12" s="21">
        <f t="shared" si="14"/>
        <v>5</v>
      </c>
      <c r="AF12" s="12"/>
      <c r="AG12" s="12"/>
      <c r="AH12" s="14"/>
      <c r="AI12" s="14"/>
      <c r="AJ12" s="14"/>
      <c r="AK12" s="14"/>
      <c r="AL12" s="13"/>
      <c r="AM12" s="13"/>
      <c r="AN12" s="13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ht="13.35" customHeight="1">
      <c r="A13" s="111">
        <v>11351</v>
      </c>
      <c r="B13" s="217" t="s">
        <v>195</v>
      </c>
      <c r="C13" s="219" t="str">
        <f>Rollover!A13</f>
        <v>Chevrolet</v>
      </c>
      <c r="D13" s="8" t="str">
        <f>Rollover!B13</f>
        <v>Suburban SUV 2WD</v>
      </c>
      <c r="E13" s="8" t="s">
        <v>147</v>
      </c>
      <c r="F13" s="109">
        <f>Rollover!C13</f>
        <v>2021</v>
      </c>
      <c r="G13" s="9">
        <v>24.670999999999999</v>
      </c>
      <c r="H13" s="10">
        <v>17.416</v>
      </c>
      <c r="I13" s="10">
        <v>20.440000000000001</v>
      </c>
      <c r="J13" s="10">
        <v>495.28</v>
      </c>
      <c r="K13" s="11">
        <v>524.69200000000001</v>
      </c>
      <c r="L13" s="9">
        <v>88.155000000000001</v>
      </c>
      <c r="M13" s="10">
        <v>4.7229999999999999</v>
      </c>
      <c r="N13" s="10">
        <v>23.92</v>
      </c>
      <c r="O13" s="10">
        <v>7.7670000000000003</v>
      </c>
      <c r="P13" s="11">
        <v>1101.797</v>
      </c>
      <c r="Q13" s="22">
        <f t="shared" si="0"/>
        <v>4.7642811720888102E-9</v>
      </c>
      <c r="R13" s="5">
        <f t="shared" si="1"/>
        <v>2.2118598080949299E-2</v>
      </c>
      <c r="S13" s="5">
        <f t="shared" si="2"/>
        <v>6.8000113561323379E-3</v>
      </c>
      <c r="T13" s="23">
        <f t="shared" si="3"/>
        <v>8.9326036310255529E-4</v>
      </c>
      <c r="U13" s="22">
        <f t="shared" si="4"/>
        <v>2.9351519042188252E-5</v>
      </c>
      <c r="V13" s="23">
        <f t="shared" si="5"/>
        <v>5.1182524550038438E-3</v>
      </c>
      <c r="W13" s="22">
        <f t="shared" si="6"/>
        <v>0.03</v>
      </c>
      <c r="X13" s="5">
        <f t="shared" si="7"/>
        <v>5.0000000000000001E-3</v>
      </c>
      <c r="Y13" s="23">
        <f t="shared" si="8"/>
        <v>1.7999999999999999E-2</v>
      </c>
      <c r="Z13" s="24">
        <f t="shared" si="9"/>
        <v>0.2</v>
      </c>
      <c r="AA13" s="218">
        <f t="shared" si="10"/>
        <v>0.03</v>
      </c>
      <c r="AB13" s="25">
        <f t="shared" si="11"/>
        <v>0.12</v>
      </c>
      <c r="AC13" s="20">
        <f t="shared" si="12"/>
        <v>5</v>
      </c>
      <c r="AD13" s="44">
        <f t="shared" si="13"/>
        <v>5</v>
      </c>
      <c r="AE13" s="21">
        <f t="shared" si="14"/>
        <v>5</v>
      </c>
      <c r="AF13" s="12"/>
      <c r="AG13" s="12"/>
      <c r="AH13" s="14"/>
      <c r="AI13" s="14"/>
      <c r="AJ13" s="14"/>
      <c r="AK13" s="14"/>
      <c r="AL13" s="13"/>
      <c r="AM13" s="13"/>
      <c r="AN13" s="13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ht="13.35" customHeight="1">
      <c r="A14" s="111">
        <v>11351</v>
      </c>
      <c r="B14" s="217" t="s">
        <v>195</v>
      </c>
      <c r="C14" s="219" t="str">
        <f>Rollover!A14</f>
        <v>Chevrolet</v>
      </c>
      <c r="D14" s="8" t="str">
        <f>Rollover!B14</f>
        <v>Suburban SUV 4WD</v>
      </c>
      <c r="E14" s="8" t="s">
        <v>147</v>
      </c>
      <c r="F14" s="109">
        <f>Rollover!C14</f>
        <v>2021</v>
      </c>
      <c r="G14" s="9">
        <v>24.670999999999999</v>
      </c>
      <c r="H14" s="10">
        <v>17.416</v>
      </c>
      <c r="I14" s="10">
        <v>20.440000000000001</v>
      </c>
      <c r="J14" s="10">
        <v>495.28</v>
      </c>
      <c r="K14" s="11">
        <v>524.69200000000001</v>
      </c>
      <c r="L14" s="9">
        <v>88.155000000000001</v>
      </c>
      <c r="M14" s="10">
        <v>4.7229999999999999</v>
      </c>
      <c r="N14" s="10">
        <v>23.92</v>
      </c>
      <c r="O14" s="10">
        <v>7.7670000000000003</v>
      </c>
      <c r="P14" s="11">
        <v>1101.797</v>
      </c>
      <c r="Q14" s="22">
        <f t="shared" si="0"/>
        <v>4.7642811720888102E-9</v>
      </c>
      <c r="R14" s="5">
        <f t="shared" si="1"/>
        <v>2.2118598080949299E-2</v>
      </c>
      <c r="S14" s="5">
        <f t="shared" si="2"/>
        <v>6.8000113561323379E-3</v>
      </c>
      <c r="T14" s="23">
        <f t="shared" si="3"/>
        <v>8.9326036310255529E-4</v>
      </c>
      <c r="U14" s="22">
        <f t="shared" si="4"/>
        <v>2.9351519042188252E-5</v>
      </c>
      <c r="V14" s="23">
        <f t="shared" si="5"/>
        <v>5.1182524550038438E-3</v>
      </c>
      <c r="W14" s="22">
        <f t="shared" si="6"/>
        <v>0.03</v>
      </c>
      <c r="X14" s="5">
        <f t="shared" si="7"/>
        <v>5.0000000000000001E-3</v>
      </c>
      <c r="Y14" s="23">
        <f t="shared" si="8"/>
        <v>1.7999999999999999E-2</v>
      </c>
      <c r="Z14" s="24">
        <f t="shared" si="9"/>
        <v>0.2</v>
      </c>
      <c r="AA14" s="218">
        <f t="shared" si="10"/>
        <v>0.03</v>
      </c>
      <c r="AB14" s="25">
        <f t="shared" si="11"/>
        <v>0.12</v>
      </c>
      <c r="AC14" s="20">
        <f t="shared" si="12"/>
        <v>5</v>
      </c>
      <c r="AD14" s="44">
        <f t="shared" si="13"/>
        <v>5</v>
      </c>
      <c r="AE14" s="21">
        <f t="shared" si="14"/>
        <v>5</v>
      </c>
      <c r="AF14" s="12"/>
      <c r="AG14" s="12"/>
      <c r="AH14" s="14"/>
      <c r="AI14" s="14"/>
      <c r="AJ14" s="14"/>
      <c r="AK14" s="14"/>
      <c r="AL14" s="13"/>
      <c r="AM14" s="13"/>
      <c r="AN14" s="13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>
      <c r="A15" s="111">
        <v>11351</v>
      </c>
      <c r="B15" s="217" t="s">
        <v>195</v>
      </c>
      <c r="C15" s="219" t="str">
        <f>Rollover!A15</f>
        <v xml:space="preserve">GMC </v>
      </c>
      <c r="D15" s="8" t="str">
        <f>Rollover!B15</f>
        <v>Yukon XL SUV 2WD</v>
      </c>
      <c r="E15" s="8" t="s">
        <v>147</v>
      </c>
      <c r="F15" s="109">
        <f>Rollover!C15</f>
        <v>2021</v>
      </c>
      <c r="G15" s="9">
        <v>24.670999999999999</v>
      </c>
      <c r="H15" s="10">
        <v>17.416</v>
      </c>
      <c r="I15" s="10">
        <v>20.440000000000001</v>
      </c>
      <c r="J15" s="10">
        <v>495.28</v>
      </c>
      <c r="K15" s="11">
        <v>524.69200000000001</v>
      </c>
      <c r="L15" s="9">
        <v>88.155000000000001</v>
      </c>
      <c r="M15" s="10">
        <v>4.7229999999999999</v>
      </c>
      <c r="N15" s="10">
        <v>23.92</v>
      </c>
      <c r="O15" s="10">
        <v>7.7670000000000003</v>
      </c>
      <c r="P15" s="11">
        <v>1101.797</v>
      </c>
      <c r="Q15" s="22">
        <f t="shared" si="0"/>
        <v>4.7642811720888102E-9</v>
      </c>
      <c r="R15" s="5">
        <f t="shared" si="1"/>
        <v>2.2118598080949299E-2</v>
      </c>
      <c r="S15" s="5">
        <f t="shared" si="2"/>
        <v>6.8000113561323379E-3</v>
      </c>
      <c r="T15" s="23">
        <f t="shared" si="3"/>
        <v>8.9326036310255529E-4</v>
      </c>
      <c r="U15" s="22">
        <f t="shared" si="4"/>
        <v>2.9351519042188252E-5</v>
      </c>
      <c r="V15" s="23">
        <f t="shared" si="5"/>
        <v>5.1182524550038438E-3</v>
      </c>
      <c r="W15" s="22">
        <f t="shared" si="6"/>
        <v>0.03</v>
      </c>
      <c r="X15" s="5">
        <f t="shared" si="7"/>
        <v>5.0000000000000001E-3</v>
      </c>
      <c r="Y15" s="23">
        <f t="shared" si="8"/>
        <v>1.7999999999999999E-2</v>
      </c>
      <c r="Z15" s="24">
        <f t="shared" si="9"/>
        <v>0.2</v>
      </c>
      <c r="AA15" s="218">
        <f t="shared" si="10"/>
        <v>0.03</v>
      </c>
      <c r="AB15" s="25">
        <f t="shared" si="11"/>
        <v>0.12</v>
      </c>
      <c r="AC15" s="20">
        <f t="shared" si="12"/>
        <v>5</v>
      </c>
      <c r="AD15" s="44">
        <f t="shared" si="13"/>
        <v>5</v>
      </c>
      <c r="AE15" s="21">
        <f t="shared" si="14"/>
        <v>5</v>
      </c>
      <c r="AF15" s="12"/>
      <c r="AG15" s="12"/>
      <c r="AH15" s="14"/>
      <c r="AI15" s="14"/>
      <c r="AJ15" s="14"/>
      <c r="AK15" s="14"/>
      <c r="AL15" s="13"/>
      <c r="AM15" s="13"/>
      <c r="AN15" s="13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>
      <c r="A16" s="111">
        <v>11351</v>
      </c>
      <c r="B16" s="217" t="s">
        <v>195</v>
      </c>
      <c r="C16" s="219" t="str">
        <f>Rollover!A16</f>
        <v xml:space="preserve">GMC </v>
      </c>
      <c r="D16" s="8" t="str">
        <f>Rollover!B16</f>
        <v>Yukon XL SUV 4WD</v>
      </c>
      <c r="E16" s="8" t="s">
        <v>147</v>
      </c>
      <c r="F16" s="109">
        <f>Rollover!C16</f>
        <v>2021</v>
      </c>
      <c r="G16" s="9">
        <v>24.670999999999999</v>
      </c>
      <c r="H16" s="10">
        <v>17.416</v>
      </c>
      <c r="I16" s="10">
        <v>20.440000000000001</v>
      </c>
      <c r="J16" s="10">
        <v>495.28</v>
      </c>
      <c r="K16" s="11">
        <v>524.69200000000001</v>
      </c>
      <c r="L16" s="9">
        <v>88.155000000000001</v>
      </c>
      <c r="M16" s="10">
        <v>4.7229999999999999</v>
      </c>
      <c r="N16" s="10">
        <v>23.92</v>
      </c>
      <c r="O16" s="10">
        <v>7.7670000000000003</v>
      </c>
      <c r="P16" s="11">
        <v>1101.797</v>
      </c>
      <c r="Q16" s="22">
        <f t="shared" si="0"/>
        <v>4.7642811720888102E-9</v>
      </c>
      <c r="R16" s="5">
        <f t="shared" si="1"/>
        <v>2.2118598080949299E-2</v>
      </c>
      <c r="S16" s="5">
        <f t="shared" si="2"/>
        <v>6.8000113561323379E-3</v>
      </c>
      <c r="T16" s="23">
        <f t="shared" si="3"/>
        <v>8.9326036310255529E-4</v>
      </c>
      <c r="U16" s="22">
        <f t="shared" si="4"/>
        <v>2.9351519042188252E-5</v>
      </c>
      <c r="V16" s="23">
        <f t="shared" si="5"/>
        <v>5.1182524550038438E-3</v>
      </c>
      <c r="W16" s="22">
        <f t="shared" si="6"/>
        <v>0.03</v>
      </c>
      <c r="X16" s="5">
        <f t="shared" si="7"/>
        <v>5.0000000000000001E-3</v>
      </c>
      <c r="Y16" s="23">
        <f t="shared" si="8"/>
        <v>1.7999999999999999E-2</v>
      </c>
      <c r="Z16" s="24">
        <f t="shared" si="9"/>
        <v>0.2</v>
      </c>
      <c r="AA16" s="218">
        <f t="shared" si="10"/>
        <v>0.03</v>
      </c>
      <c r="AB16" s="25">
        <f t="shared" si="11"/>
        <v>0.12</v>
      </c>
      <c r="AC16" s="20">
        <f t="shared" si="12"/>
        <v>5</v>
      </c>
      <c r="AD16" s="44">
        <f t="shared" si="13"/>
        <v>5</v>
      </c>
      <c r="AE16" s="21">
        <f t="shared" si="14"/>
        <v>5</v>
      </c>
      <c r="AF16" s="12"/>
      <c r="AG16" s="12"/>
      <c r="AH16" s="14"/>
      <c r="AI16" s="14"/>
      <c r="AJ16" s="14"/>
      <c r="AK16" s="14"/>
      <c r="AL16" s="13"/>
      <c r="AM16" s="13"/>
      <c r="AN16" s="13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13.35" customHeight="1">
      <c r="A17" s="111">
        <v>11351</v>
      </c>
      <c r="B17" s="217" t="s">
        <v>195</v>
      </c>
      <c r="C17" s="219" t="str">
        <f>Rollover!A17</f>
        <v>Cadillac</v>
      </c>
      <c r="D17" s="8" t="str">
        <f>Rollover!B17</f>
        <v>Escalade ESV SUV 2WD</v>
      </c>
      <c r="E17" s="8" t="s">
        <v>147</v>
      </c>
      <c r="F17" s="109">
        <f>Rollover!C17</f>
        <v>2021</v>
      </c>
      <c r="G17" s="9">
        <v>24.670999999999999</v>
      </c>
      <c r="H17" s="10">
        <v>17.416</v>
      </c>
      <c r="I17" s="10">
        <v>20.440000000000001</v>
      </c>
      <c r="J17" s="10">
        <v>495.28</v>
      </c>
      <c r="K17" s="11">
        <v>524.69200000000001</v>
      </c>
      <c r="L17" s="9">
        <v>88.155000000000001</v>
      </c>
      <c r="M17" s="10">
        <v>4.7229999999999999</v>
      </c>
      <c r="N17" s="10">
        <v>23.92</v>
      </c>
      <c r="O17" s="10">
        <v>7.7670000000000003</v>
      </c>
      <c r="P17" s="11">
        <v>1101.797</v>
      </c>
      <c r="Q17" s="22">
        <f t="shared" si="0"/>
        <v>4.7642811720888102E-9</v>
      </c>
      <c r="R17" s="5">
        <f t="shared" si="1"/>
        <v>2.2118598080949299E-2</v>
      </c>
      <c r="S17" s="5">
        <f t="shared" si="2"/>
        <v>6.8000113561323379E-3</v>
      </c>
      <c r="T17" s="23">
        <f t="shared" si="3"/>
        <v>8.9326036310255529E-4</v>
      </c>
      <c r="U17" s="22">
        <f t="shared" si="4"/>
        <v>2.9351519042188252E-5</v>
      </c>
      <c r="V17" s="23">
        <f t="shared" si="5"/>
        <v>5.1182524550038438E-3</v>
      </c>
      <c r="W17" s="22">
        <f t="shared" si="6"/>
        <v>0.03</v>
      </c>
      <c r="X17" s="5">
        <f t="shared" si="7"/>
        <v>5.0000000000000001E-3</v>
      </c>
      <c r="Y17" s="23">
        <f t="shared" si="8"/>
        <v>1.7999999999999999E-2</v>
      </c>
      <c r="Z17" s="24">
        <f t="shared" si="9"/>
        <v>0.2</v>
      </c>
      <c r="AA17" s="218">
        <f t="shared" si="10"/>
        <v>0.03</v>
      </c>
      <c r="AB17" s="25">
        <f t="shared" si="11"/>
        <v>0.12</v>
      </c>
      <c r="AC17" s="20">
        <f t="shared" si="12"/>
        <v>5</v>
      </c>
      <c r="AD17" s="44">
        <f t="shared" si="13"/>
        <v>5</v>
      </c>
      <c r="AE17" s="21">
        <f t="shared" si="14"/>
        <v>5</v>
      </c>
      <c r="AF17" s="12"/>
      <c r="AG17" s="12"/>
      <c r="AH17" s="14"/>
      <c r="AI17" s="14"/>
      <c r="AJ17" s="14"/>
      <c r="AK17" s="14"/>
      <c r="AL17" s="13"/>
      <c r="AM17" s="13"/>
      <c r="AN17" s="13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13.35" customHeight="1">
      <c r="A18" s="111">
        <v>11351</v>
      </c>
      <c r="B18" s="217" t="s">
        <v>195</v>
      </c>
      <c r="C18" s="219" t="str">
        <f>Rollover!A18</f>
        <v>Cadillac</v>
      </c>
      <c r="D18" s="8" t="str">
        <f>Rollover!B18</f>
        <v>Escalade ESV SUV 4WD</v>
      </c>
      <c r="E18" s="8" t="s">
        <v>147</v>
      </c>
      <c r="F18" s="109">
        <f>Rollover!C18</f>
        <v>2021</v>
      </c>
      <c r="G18" s="9">
        <v>24.670999999999999</v>
      </c>
      <c r="H18" s="10">
        <v>17.416</v>
      </c>
      <c r="I18" s="10">
        <v>20.440000000000001</v>
      </c>
      <c r="J18" s="10">
        <v>495.28</v>
      </c>
      <c r="K18" s="11">
        <v>524.69200000000001</v>
      </c>
      <c r="L18" s="9">
        <v>88.155000000000001</v>
      </c>
      <c r="M18" s="10">
        <v>4.7229999999999999</v>
      </c>
      <c r="N18" s="10">
        <v>23.92</v>
      </c>
      <c r="O18" s="10">
        <v>7.7670000000000003</v>
      </c>
      <c r="P18" s="11">
        <v>1101.797</v>
      </c>
      <c r="Q18" s="22">
        <f t="shared" si="0"/>
        <v>4.7642811720888102E-9</v>
      </c>
      <c r="R18" s="5">
        <f t="shared" si="1"/>
        <v>2.2118598080949299E-2</v>
      </c>
      <c r="S18" s="5">
        <f t="shared" si="2"/>
        <v>6.8000113561323379E-3</v>
      </c>
      <c r="T18" s="23">
        <f t="shared" si="3"/>
        <v>8.9326036310255529E-4</v>
      </c>
      <c r="U18" s="22">
        <f t="shared" si="4"/>
        <v>2.9351519042188252E-5</v>
      </c>
      <c r="V18" s="23">
        <f t="shared" si="5"/>
        <v>5.1182524550038438E-3</v>
      </c>
      <c r="W18" s="22">
        <f t="shared" si="6"/>
        <v>0.03</v>
      </c>
      <c r="X18" s="5">
        <f t="shared" si="7"/>
        <v>5.0000000000000001E-3</v>
      </c>
      <c r="Y18" s="23">
        <f t="shared" si="8"/>
        <v>1.7999999999999999E-2</v>
      </c>
      <c r="Z18" s="24">
        <f t="shared" si="9"/>
        <v>0.2</v>
      </c>
      <c r="AA18" s="218">
        <f t="shared" si="10"/>
        <v>0.03</v>
      </c>
      <c r="AB18" s="25">
        <f t="shared" si="11"/>
        <v>0.12</v>
      </c>
      <c r="AC18" s="20">
        <f t="shared" si="12"/>
        <v>5</v>
      </c>
      <c r="AD18" s="44">
        <f t="shared" si="13"/>
        <v>5</v>
      </c>
      <c r="AE18" s="21">
        <f t="shared" si="14"/>
        <v>5</v>
      </c>
      <c r="AF18" s="12"/>
      <c r="AG18" s="12"/>
      <c r="AH18" s="14"/>
      <c r="AI18" s="14"/>
      <c r="AJ18" s="14"/>
      <c r="AK18" s="14"/>
      <c r="AL18" s="13"/>
      <c r="AM18" s="13"/>
      <c r="AN18" s="13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13.35" customHeight="1">
      <c r="A19" s="111">
        <v>11271</v>
      </c>
      <c r="B19" s="217" t="s">
        <v>171</v>
      </c>
      <c r="C19" s="26" t="str">
        <f>Rollover!A19</f>
        <v>Chevrolet</v>
      </c>
      <c r="D19" s="42" t="str">
        <f>Rollover!B19</f>
        <v>Trailblazer SUV FWD (Later Release)</v>
      </c>
      <c r="E19" s="8" t="s">
        <v>92</v>
      </c>
      <c r="F19" s="109">
        <f>Rollover!C19</f>
        <v>2021</v>
      </c>
      <c r="G19" s="9">
        <v>90.795000000000002</v>
      </c>
      <c r="H19" s="10">
        <v>28.062000000000001</v>
      </c>
      <c r="I19" s="10">
        <v>34.384999999999998</v>
      </c>
      <c r="J19" s="10">
        <v>886.01700000000005</v>
      </c>
      <c r="K19" s="11">
        <v>2042.7360000000001</v>
      </c>
      <c r="L19" s="9">
        <v>185.41</v>
      </c>
      <c r="M19" s="10">
        <v>22.013000000000002</v>
      </c>
      <c r="N19" s="10">
        <v>40.75</v>
      </c>
      <c r="O19" s="10">
        <v>22.038</v>
      </c>
      <c r="P19" s="11">
        <v>2299.375</v>
      </c>
      <c r="Q19" s="22">
        <f t="shared" si="0"/>
        <v>3.4735786681506435E-5</v>
      </c>
      <c r="R19" s="5">
        <f t="shared" si="1"/>
        <v>5.6753934674754751E-2</v>
      </c>
      <c r="S19" s="5">
        <f t="shared" si="2"/>
        <v>1.5511115081119643E-2</v>
      </c>
      <c r="T19" s="23">
        <f t="shared" si="3"/>
        <v>4.7262281208529811E-3</v>
      </c>
      <c r="U19" s="22">
        <f t="shared" si="4"/>
        <v>1.2923543824272684E-3</v>
      </c>
      <c r="V19" s="23">
        <f t="shared" si="5"/>
        <v>1.5610352284136739E-2</v>
      </c>
      <c r="W19" s="22">
        <f t="shared" si="6"/>
        <v>7.5999999999999998E-2</v>
      </c>
      <c r="X19" s="5">
        <f t="shared" si="7"/>
        <v>1.7000000000000001E-2</v>
      </c>
      <c r="Y19" s="23">
        <f t="shared" si="8"/>
        <v>4.7E-2</v>
      </c>
      <c r="Z19" s="24">
        <f t="shared" si="9"/>
        <v>0.51</v>
      </c>
      <c r="AA19" s="218">
        <f t="shared" si="10"/>
        <v>0.11</v>
      </c>
      <c r="AB19" s="25">
        <f t="shared" si="11"/>
        <v>0.31</v>
      </c>
      <c r="AC19" s="20">
        <f t="shared" si="12"/>
        <v>5</v>
      </c>
      <c r="AD19" s="44">
        <f t="shared" si="13"/>
        <v>5</v>
      </c>
      <c r="AE19" s="21">
        <f t="shared" si="14"/>
        <v>5</v>
      </c>
      <c r="AF19" s="12"/>
      <c r="AG19" s="12"/>
      <c r="AH19" s="14"/>
      <c r="AI19" s="14"/>
      <c r="AJ19" s="14"/>
      <c r="AK19" s="14"/>
      <c r="AL19" s="13"/>
      <c r="AM19" s="13"/>
      <c r="AN19" s="13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3.35" customHeight="1">
      <c r="A20" s="111">
        <v>11271</v>
      </c>
      <c r="B20" s="217" t="s">
        <v>171</v>
      </c>
      <c r="C20" s="26" t="str">
        <f>Rollover!A20</f>
        <v>Chevrolet</v>
      </c>
      <c r="D20" s="42" t="str">
        <f>Rollover!B20</f>
        <v>Trailblazer SUV AWD (Later Release)</v>
      </c>
      <c r="E20" s="8" t="s">
        <v>92</v>
      </c>
      <c r="F20" s="109">
        <f>Rollover!C20</f>
        <v>2021</v>
      </c>
      <c r="G20" s="9">
        <v>90.795000000000002</v>
      </c>
      <c r="H20" s="10">
        <v>28.062000000000001</v>
      </c>
      <c r="I20" s="10">
        <v>34.384999999999998</v>
      </c>
      <c r="J20" s="10">
        <v>886.01700000000005</v>
      </c>
      <c r="K20" s="11">
        <v>2042.7360000000001</v>
      </c>
      <c r="L20" s="9">
        <v>185.41</v>
      </c>
      <c r="M20" s="10">
        <v>22.013000000000002</v>
      </c>
      <c r="N20" s="10">
        <v>40.75</v>
      </c>
      <c r="O20" s="10">
        <v>22.038</v>
      </c>
      <c r="P20" s="11">
        <v>2299.375</v>
      </c>
      <c r="Q20" s="22">
        <f t="shared" si="0"/>
        <v>3.4735786681506435E-5</v>
      </c>
      <c r="R20" s="5">
        <f t="shared" si="1"/>
        <v>5.6753934674754751E-2</v>
      </c>
      <c r="S20" s="5">
        <f t="shared" si="2"/>
        <v>1.5511115081119643E-2</v>
      </c>
      <c r="T20" s="23">
        <f t="shared" si="3"/>
        <v>4.7262281208529811E-3</v>
      </c>
      <c r="U20" s="22">
        <f t="shared" si="4"/>
        <v>1.2923543824272684E-3</v>
      </c>
      <c r="V20" s="23">
        <f t="shared" si="5"/>
        <v>1.5610352284136739E-2</v>
      </c>
      <c r="W20" s="22">
        <f t="shared" si="6"/>
        <v>7.5999999999999998E-2</v>
      </c>
      <c r="X20" s="5">
        <f t="shared" si="7"/>
        <v>1.7000000000000001E-2</v>
      </c>
      <c r="Y20" s="23">
        <f t="shared" si="8"/>
        <v>4.7E-2</v>
      </c>
      <c r="Z20" s="24">
        <f t="shared" si="9"/>
        <v>0.51</v>
      </c>
      <c r="AA20" s="218">
        <f t="shared" si="10"/>
        <v>0.11</v>
      </c>
      <c r="AB20" s="25">
        <f t="shared" si="11"/>
        <v>0.31</v>
      </c>
      <c r="AC20" s="20">
        <f t="shared" si="12"/>
        <v>5</v>
      </c>
      <c r="AD20" s="44">
        <f t="shared" si="13"/>
        <v>5</v>
      </c>
      <c r="AE20" s="21">
        <f t="shared" si="14"/>
        <v>5</v>
      </c>
      <c r="AF20" s="12"/>
      <c r="AG20" s="12"/>
      <c r="AH20" s="14"/>
      <c r="AI20" s="14"/>
      <c r="AJ20" s="14"/>
      <c r="AK20" s="14"/>
      <c r="AL20" s="13"/>
      <c r="AM20" s="13"/>
      <c r="AN20" s="13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>
      <c r="A21" s="111">
        <v>11271</v>
      </c>
      <c r="B21" s="217" t="s">
        <v>171</v>
      </c>
      <c r="C21" s="219" t="str">
        <f>Rollover!A21</f>
        <v>Buick</v>
      </c>
      <c r="D21" s="8" t="str">
        <f>Rollover!B21</f>
        <v>Encore GX SUV FWD</v>
      </c>
      <c r="E21" s="8" t="s">
        <v>92</v>
      </c>
      <c r="F21" s="109">
        <f>Rollover!C21</f>
        <v>2021</v>
      </c>
      <c r="G21" s="9">
        <v>90.795000000000002</v>
      </c>
      <c r="H21" s="10">
        <v>28.062000000000001</v>
      </c>
      <c r="I21" s="10">
        <v>34.384999999999998</v>
      </c>
      <c r="J21" s="10">
        <v>886.01700000000005</v>
      </c>
      <c r="K21" s="11">
        <v>2042.7360000000001</v>
      </c>
      <c r="L21" s="9">
        <v>185.41</v>
      </c>
      <c r="M21" s="10">
        <v>22.013000000000002</v>
      </c>
      <c r="N21" s="10">
        <v>40.75</v>
      </c>
      <c r="O21" s="10">
        <v>22.038</v>
      </c>
      <c r="P21" s="11">
        <v>2299.375</v>
      </c>
      <c r="Q21" s="22">
        <f t="shared" si="0"/>
        <v>3.4735786681506435E-5</v>
      </c>
      <c r="R21" s="5">
        <f t="shared" si="1"/>
        <v>5.6753934674754751E-2</v>
      </c>
      <c r="S21" s="5">
        <f t="shared" si="2"/>
        <v>1.5511115081119643E-2</v>
      </c>
      <c r="T21" s="23">
        <f t="shared" si="3"/>
        <v>4.7262281208529811E-3</v>
      </c>
      <c r="U21" s="22">
        <f t="shared" si="4"/>
        <v>1.2923543824272684E-3</v>
      </c>
      <c r="V21" s="23">
        <f t="shared" si="5"/>
        <v>1.5610352284136739E-2</v>
      </c>
      <c r="W21" s="22">
        <f t="shared" si="6"/>
        <v>7.5999999999999998E-2</v>
      </c>
      <c r="X21" s="5">
        <f t="shared" si="7"/>
        <v>1.7000000000000001E-2</v>
      </c>
      <c r="Y21" s="23">
        <f t="shared" si="8"/>
        <v>4.7E-2</v>
      </c>
      <c r="Z21" s="24">
        <f t="shared" si="9"/>
        <v>0.51</v>
      </c>
      <c r="AA21" s="218">
        <f t="shared" si="10"/>
        <v>0.11</v>
      </c>
      <c r="AB21" s="25">
        <f t="shared" si="11"/>
        <v>0.31</v>
      </c>
      <c r="AC21" s="20">
        <f t="shared" si="12"/>
        <v>5</v>
      </c>
      <c r="AD21" s="44">
        <f t="shared" si="13"/>
        <v>5</v>
      </c>
      <c r="AE21" s="21">
        <f t="shared" si="14"/>
        <v>5</v>
      </c>
      <c r="AF21" s="12"/>
      <c r="AG21" s="12"/>
      <c r="AH21" s="14"/>
      <c r="AI21" s="14"/>
      <c r="AJ21" s="14"/>
      <c r="AK21" s="14"/>
      <c r="AL21" s="13"/>
      <c r="AM21" s="13"/>
      <c r="AN21" s="13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>
      <c r="A22" s="111">
        <v>11271</v>
      </c>
      <c r="B22" s="217" t="s">
        <v>171</v>
      </c>
      <c r="C22" s="219" t="str">
        <f>Rollover!A22</f>
        <v>Buick</v>
      </c>
      <c r="D22" s="8" t="str">
        <f>Rollover!B22</f>
        <v>Encore GX SUV AWD</v>
      </c>
      <c r="E22" s="8" t="s">
        <v>92</v>
      </c>
      <c r="F22" s="109">
        <f>Rollover!C22</f>
        <v>2021</v>
      </c>
      <c r="G22" s="9">
        <v>90.795000000000002</v>
      </c>
      <c r="H22" s="10">
        <v>28.062000000000001</v>
      </c>
      <c r="I22" s="10">
        <v>34.384999999999998</v>
      </c>
      <c r="J22" s="10">
        <v>886.01700000000005</v>
      </c>
      <c r="K22" s="11">
        <v>2042.7360000000001</v>
      </c>
      <c r="L22" s="9">
        <v>185.41</v>
      </c>
      <c r="M22" s="10">
        <v>22.013000000000002</v>
      </c>
      <c r="N22" s="10">
        <v>40.75</v>
      </c>
      <c r="O22" s="10">
        <v>22.038</v>
      </c>
      <c r="P22" s="11">
        <v>2299.375</v>
      </c>
      <c r="Q22" s="22">
        <f t="shared" ref="Q22:Q43" si="15">NORMDIST(LN(G22),7.45231,0.73998,1)</f>
        <v>3.4735786681506435E-5</v>
      </c>
      <c r="R22" s="5">
        <f t="shared" ref="R22:R43" si="16">1/(1+EXP(5.3895-0.0919*H22))</f>
        <v>5.6753934674754751E-2</v>
      </c>
      <c r="S22" s="5">
        <f t="shared" ref="S22:S43" si="17">1/(1+EXP(6.04044-0.002133*J22))</f>
        <v>1.5511115081119643E-2</v>
      </c>
      <c r="T22" s="23">
        <f t="shared" ref="T22:T43" si="18">1/(1+EXP(7.5969-0.0011*K22))</f>
        <v>4.7262281208529811E-3</v>
      </c>
      <c r="U22" s="22">
        <f t="shared" ref="U22:U43" si="19">NORMDIST(LN(L22),7.45231,0.73998,1)</f>
        <v>1.2923543824272684E-3</v>
      </c>
      <c r="V22" s="23">
        <f t="shared" ref="V22:V43" si="20">1/(1+EXP(6.3055-0.00094*P22))</f>
        <v>1.5610352284136739E-2</v>
      </c>
      <c r="W22" s="22">
        <f t="shared" ref="W22:W43" si="21">ROUND(1-(1-Q22)*(1-R22)*(1-S22)*(1-T22),3)</f>
        <v>7.5999999999999998E-2</v>
      </c>
      <c r="X22" s="5">
        <f t="shared" ref="X22:X43" si="22">IF(L22="N/A",L22,ROUND(1-(1-U22)*(1-V22),3))</f>
        <v>1.7000000000000001E-2</v>
      </c>
      <c r="Y22" s="23">
        <f t="shared" ref="Y22:Y43" si="23">ROUND(AVERAGE(W22:X22),3)</f>
        <v>4.7E-2</v>
      </c>
      <c r="Z22" s="24">
        <f t="shared" ref="Z22:Z43" si="24">ROUND(W22/0.15,2)</f>
        <v>0.51</v>
      </c>
      <c r="AA22" s="218">
        <f t="shared" ref="AA22:AA43" si="25">IF(L22="N/A", L22, ROUND(X22/0.15,2))</f>
        <v>0.11</v>
      </c>
      <c r="AB22" s="25">
        <f t="shared" ref="AB22:AB43" si="26">ROUND(Y22/0.15,2)</f>
        <v>0.31</v>
      </c>
      <c r="AC22" s="20">
        <f t="shared" ref="AC22:AC43" si="27">IF(Z22&lt;0.67,5,IF(Z22&lt;1,4,IF(Z22&lt;1.33,3,IF(Z22&lt;2.67,2,1))))</f>
        <v>5</v>
      </c>
      <c r="AD22" s="44">
        <f t="shared" ref="AD22:AD43" si="28">IF(L22="N/A",L22,IF(AA22&lt;0.67,5,IF(AA22&lt;1,4,IF(AA22&lt;1.33,3,IF(AA22&lt;2.67,2,1)))))</f>
        <v>5</v>
      </c>
      <c r="AE22" s="21">
        <f t="shared" ref="AE22:AE43" si="29">IF(AB22&lt;0.67,5,IF(AB22&lt;1,4,IF(AB22&lt;1.33,3,IF(AB22&lt;2.67,2,1))))</f>
        <v>5</v>
      </c>
      <c r="AF22" s="12"/>
      <c r="AG22" s="12"/>
      <c r="AH22" s="14"/>
      <c r="AI22" s="14"/>
      <c r="AJ22" s="14"/>
      <c r="AK22" s="14"/>
      <c r="AL22" s="13"/>
      <c r="AM22" s="13"/>
      <c r="AN22" s="13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>
      <c r="A23" s="16">
        <v>10567</v>
      </c>
      <c r="B23" s="217" t="s">
        <v>150</v>
      </c>
      <c r="C23" s="26" t="str">
        <f>Rollover!A23</f>
        <v>Dodge</v>
      </c>
      <c r="D23" s="42" t="str">
        <f>Rollover!B23</f>
        <v>Durango SUV RWD</v>
      </c>
      <c r="E23" s="8" t="s">
        <v>92</v>
      </c>
      <c r="F23" s="109">
        <f>Rollover!C23</f>
        <v>2021</v>
      </c>
      <c r="G23" s="17">
        <v>46.110999999999997</v>
      </c>
      <c r="H23" s="18">
        <v>28.314</v>
      </c>
      <c r="I23" s="18">
        <v>25.994</v>
      </c>
      <c r="J23" s="18">
        <v>493.36900000000003</v>
      </c>
      <c r="K23" s="19">
        <v>1049.9110000000001</v>
      </c>
      <c r="L23" s="17">
        <v>50.095999999999997</v>
      </c>
      <c r="M23" s="18">
        <v>11.964</v>
      </c>
      <c r="N23" s="18">
        <v>34.396000000000001</v>
      </c>
      <c r="O23" s="18">
        <v>22.603999999999999</v>
      </c>
      <c r="P23" s="19">
        <v>1982.3989999999999</v>
      </c>
      <c r="Q23" s="22">
        <f t="shared" si="15"/>
        <v>4.9472590944309412E-7</v>
      </c>
      <c r="R23" s="5">
        <f t="shared" si="16"/>
        <v>5.8006494596344819E-2</v>
      </c>
      <c r="S23" s="5">
        <f t="shared" si="17"/>
        <v>6.7725371550224492E-3</v>
      </c>
      <c r="T23" s="23">
        <f t="shared" si="18"/>
        <v>1.5906860901615204E-3</v>
      </c>
      <c r="U23" s="22">
        <f t="shared" si="19"/>
        <v>8.6905694341778868E-7</v>
      </c>
      <c r="V23" s="23">
        <f t="shared" si="20"/>
        <v>1.163487725325971E-2</v>
      </c>
      <c r="W23" s="22">
        <f t="shared" si="21"/>
        <v>6.6000000000000003E-2</v>
      </c>
      <c r="X23" s="5">
        <f t="shared" si="22"/>
        <v>1.2E-2</v>
      </c>
      <c r="Y23" s="23">
        <f t="shared" si="23"/>
        <v>3.9E-2</v>
      </c>
      <c r="Z23" s="24">
        <f t="shared" si="24"/>
        <v>0.44</v>
      </c>
      <c r="AA23" s="218">
        <f t="shared" si="25"/>
        <v>0.08</v>
      </c>
      <c r="AB23" s="25">
        <f t="shared" si="26"/>
        <v>0.26</v>
      </c>
      <c r="AC23" s="20">
        <f t="shared" si="27"/>
        <v>5</v>
      </c>
      <c r="AD23" s="44">
        <f t="shared" si="28"/>
        <v>5</v>
      </c>
      <c r="AE23" s="21">
        <f t="shared" si="29"/>
        <v>5</v>
      </c>
      <c r="AF23" s="12"/>
      <c r="AG23" s="12"/>
      <c r="AH23" s="14"/>
      <c r="AI23" s="14"/>
      <c r="AJ23" s="14"/>
      <c r="AK23" s="14"/>
      <c r="AL23" s="13"/>
      <c r="AM23" s="13"/>
      <c r="AN23" s="13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16">
        <v>10567</v>
      </c>
      <c r="B24" s="217" t="s">
        <v>150</v>
      </c>
      <c r="C24" s="26" t="str">
        <f>Rollover!A24</f>
        <v>Dodge</v>
      </c>
      <c r="D24" s="42" t="str">
        <f>Rollover!B24</f>
        <v>Durango SUV 4WD</v>
      </c>
      <c r="E24" s="8" t="s">
        <v>92</v>
      </c>
      <c r="F24" s="109">
        <f>Rollover!C24</f>
        <v>2021</v>
      </c>
      <c r="G24" s="17">
        <v>46.110999999999997</v>
      </c>
      <c r="H24" s="18">
        <v>28.314</v>
      </c>
      <c r="I24" s="18">
        <v>25.994</v>
      </c>
      <c r="J24" s="18">
        <v>493.36900000000003</v>
      </c>
      <c r="K24" s="19">
        <v>1049.9110000000001</v>
      </c>
      <c r="L24" s="17">
        <v>50.095999999999997</v>
      </c>
      <c r="M24" s="18">
        <v>11.964</v>
      </c>
      <c r="N24" s="18">
        <v>34.396000000000001</v>
      </c>
      <c r="O24" s="18">
        <v>22.603999999999999</v>
      </c>
      <c r="P24" s="19">
        <v>1982.3989999999999</v>
      </c>
      <c r="Q24" s="22">
        <f t="shared" si="15"/>
        <v>4.9472590944309412E-7</v>
      </c>
      <c r="R24" s="5">
        <f t="shared" si="16"/>
        <v>5.8006494596344819E-2</v>
      </c>
      <c r="S24" s="5">
        <f t="shared" si="17"/>
        <v>6.7725371550224492E-3</v>
      </c>
      <c r="T24" s="23">
        <f t="shared" si="18"/>
        <v>1.5906860901615204E-3</v>
      </c>
      <c r="U24" s="22">
        <f t="shared" si="19"/>
        <v>8.6905694341778868E-7</v>
      </c>
      <c r="V24" s="23">
        <f t="shared" si="20"/>
        <v>1.163487725325971E-2</v>
      </c>
      <c r="W24" s="22">
        <f t="shared" si="21"/>
        <v>6.6000000000000003E-2</v>
      </c>
      <c r="X24" s="5">
        <f t="shared" si="22"/>
        <v>1.2E-2</v>
      </c>
      <c r="Y24" s="23">
        <f t="shared" si="23"/>
        <v>3.9E-2</v>
      </c>
      <c r="Z24" s="24">
        <f t="shared" si="24"/>
        <v>0.44</v>
      </c>
      <c r="AA24" s="218">
        <f t="shared" si="25"/>
        <v>0.08</v>
      </c>
      <c r="AB24" s="25">
        <f t="shared" si="26"/>
        <v>0.26</v>
      </c>
      <c r="AC24" s="20">
        <f t="shared" si="27"/>
        <v>5</v>
      </c>
      <c r="AD24" s="44">
        <f t="shared" si="28"/>
        <v>5</v>
      </c>
      <c r="AE24" s="21">
        <f t="shared" si="29"/>
        <v>5</v>
      </c>
      <c r="AF24" s="12"/>
      <c r="AG24" s="12"/>
      <c r="AH24" s="14"/>
      <c r="AI24" s="14"/>
      <c r="AJ24" s="14"/>
      <c r="AK24" s="14"/>
      <c r="AL24" s="13"/>
      <c r="AM24" s="13"/>
      <c r="AN24" s="13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6">
        <v>11293</v>
      </c>
      <c r="B25" s="217" t="s">
        <v>177</v>
      </c>
      <c r="C25" s="26" t="str">
        <f>Rollover!A25</f>
        <v xml:space="preserve">Ford </v>
      </c>
      <c r="D25" s="42" t="str">
        <f>Rollover!B25</f>
        <v>Transit Connect Wagon FWD</v>
      </c>
      <c r="E25" s="8" t="s">
        <v>92</v>
      </c>
      <c r="F25" s="109">
        <f>Rollover!C25</f>
        <v>2021</v>
      </c>
      <c r="G25" s="17">
        <v>78.284999999999997</v>
      </c>
      <c r="H25" s="18">
        <v>27.687000000000001</v>
      </c>
      <c r="I25" s="18">
        <v>25.097999999999999</v>
      </c>
      <c r="J25" s="18">
        <v>744.45299999999997</v>
      </c>
      <c r="K25" s="19">
        <v>1437.607</v>
      </c>
      <c r="L25" s="17">
        <v>265.33800000000002</v>
      </c>
      <c r="M25" s="18">
        <v>17.806999999999999</v>
      </c>
      <c r="N25" s="18">
        <v>57.42</v>
      </c>
      <c r="O25" s="18">
        <v>22.193000000000001</v>
      </c>
      <c r="P25" s="19">
        <v>3475.8009999999999</v>
      </c>
      <c r="Q25" s="22">
        <f t="shared" ref="Q25:Q26" si="30">NORMDIST(LN(G25),7.45231,0.73998,1)</f>
        <v>1.4676471639941581E-5</v>
      </c>
      <c r="R25" s="5">
        <f t="shared" ref="R25:R26" si="31">1/(1+EXP(5.3895-0.0919*H25))</f>
        <v>5.4936990539631511E-2</v>
      </c>
      <c r="S25" s="5">
        <f t="shared" ref="S25:S26" si="32">1/(1+EXP(6.04044-0.002133*J25))</f>
        <v>1.1515013473543121E-2</v>
      </c>
      <c r="T25" s="23">
        <f t="shared" ref="T25:T26" si="33">1/(1+EXP(7.5969-0.0011*K25))</f>
        <v>2.4346071367410431E-3</v>
      </c>
      <c r="U25" s="22">
        <f t="shared" ref="U25:U26" si="34">NORMDIST(LN(L25),7.45231,0.73998,1)</f>
        <v>5.7216899302127092E-3</v>
      </c>
      <c r="V25" s="23">
        <f t="shared" ref="V25:V26" si="35">1/(1+EXP(6.3055-0.00094*P25))</f>
        <v>4.5727602223232931E-2</v>
      </c>
      <c r="W25" s="22">
        <f t="shared" ref="W25:W26" si="36">ROUND(1-(1-Q25)*(1-R25)*(1-S25)*(1-T25),3)</f>
        <v>6.8000000000000005E-2</v>
      </c>
      <c r="X25" s="5">
        <f t="shared" ref="X25:X26" si="37">IF(L25="N/A",L25,ROUND(1-(1-U25)*(1-V25),3))</f>
        <v>5.0999999999999997E-2</v>
      </c>
      <c r="Y25" s="23">
        <f t="shared" ref="Y25:Y26" si="38">ROUND(AVERAGE(W25:X25),3)</f>
        <v>0.06</v>
      </c>
      <c r="Z25" s="24">
        <f t="shared" ref="Z25:Z26" si="39">ROUND(W25/0.15,2)</f>
        <v>0.45</v>
      </c>
      <c r="AA25" s="218">
        <f t="shared" ref="AA25:AA26" si="40">IF(L25="N/A", L25, ROUND(X25/0.15,2))</f>
        <v>0.34</v>
      </c>
      <c r="AB25" s="25">
        <f t="shared" ref="AB25:AB26" si="41">ROUND(Y25/0.15,2)</f>
        <v>0.4</v>
      </c>
      <c r="AC25" s="20">
        <f t="shared" ref="AC25:AC26" si="42">IF(Z25&lt;0.67,5,IF(Z25&lt;1,4,IF(Z25&lt;1.33,3,IF(Z25&lt;2.67,2,1))))</f>
        <v>5</v>
      </c>
      <c r="AD25" s="44">
        <f t="shared" ref="AD25:AD26" si="43">IF(L25="N/A",L25,IF(AA25&lt;0.67,5,IF(AA25&lt;1,4,IF(AA25&lt;1.33,3,IF(AA25&lt;2.67,2,1)))))</f>
        <v>5</v>
      </c>
      <c r="AE25" s="21">
        <f t="shared" ref="AE25:AE26" si="44">IF(AB25&lt;0.67,5,IF(AB25&lt;1,4,IF(AB25&lt;1.33,3,IF(AB25&lt;2.67,2,1))))</f>
        <v>5</v>
      </c>
      <c r="AF25" s="12"/>
      <c r="AG25" s="12"/>
      <c r="AH25" s="14"/>
      <c r="AI25" s="14"/>
      <c r="AJ25" s="14"/>
      <c r="AK25" s="14"/>
      <c r="AL25" s="13"/>
      <c r="AM25" s="13"/>
      <c r="AN25" s="13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>
      <c r="A26" s="16">
        <v>11293</v>
      </c>
      <c r="B26" s="217" t="s">
        <v>177</v>
      </c>
      <c r="C26" s="219" t="str">
        <f>Rollover!A26</f>
        <v xml:space="preserve">Ford </v>
      </c>
      <c r="D26" s="8" t="str">
        <f>Rollover!B26</f>
        <v>Transit Connect Van FWD</v>
      </c>
      <c r="E26" s="8" t="s">
        <v>92</v>
      </c>
      <c r="F26" s="109">
        <f>Rollover!C26</f>
        <v>2021</v>
      </c>
      <c r="G26" s="17">
        <v>78.284999999999997</v>
      </c>
      <c r="H26" s="18">
        <v>27.687000000000001</v>
      </c>
      <c r="I26" s="18">
        <v>25.097999999999999</v>
      </c>
      <c r="J26" s="18">
        <v>744.45299999999997</v>
      </c>
      <c r="K26" s="19">
        <v>1437.607</v>
      </c>
      <c r="L26" s="17" t="s">
        <v>178</v>
      </c>
      <c r="M26" s="18"/>
      <c r="N26" s="18"/>
      <c r="O26" s="18"/>
      <c r="P26" s="19"/>
      <c r="Q26" s="22">
        <f t="shared" si="30"/>
        <v>1.4676471639941581E-5</v>
      </c>
      <c r="R26" s="5">
        <f t="shared" si="31"/>
        <v>5.4936990539631511E-2</v>
      </c>
      <c r="S26" s="5">
        <f t="shared" si="32"/>
        <v>1.1515013473543121E-2</v>
      </c>
      <c r="T26" s="23">
        <f t="shared" si="33"/>
        <v>2.4346071367410431E-3</v>
      </c>
      <c r="U26" s="22" t="e">
        <f t="shared" si="34"/>
        <v>#VALUE!</v>
      </c>
      <c r="V26" s="23">
        <f t="shared" si="35"/>
        <v>1.8229037773026034E-3</v>
      </c>
      <c r="W26" s="22">
        <f t="shared" si="36"/>
        <v>6.8000000000000005E-2</v>
      </c>
      <c r="X26" s="5" t="str">
        <f t="shared" si="37"/>
        <v>N/A</v>
      </c>
      <c r="Y26" s="23">
        <f t="shared" si="38"/>
        <v>6.8000000000000005E-2</v>
      </c>
      <c r="Z26" s="24">
        <f t="shared" si="39"/>
        <v>0.45</v>
      </c>
      <c r="AA26" s="218" t="str">
        <f t="shared" si="40"/>
        <v>N/A</v>
      </c>
      <c r="AB26" s="25">
        <f t="shared" si="41"/>
        <v>0.45</v>
      </c>
      <c r="AC26" s="20">
        <f t="shared" si="42"/>
        <v>5</v>
      </c>
      <c r="AD26" s="44" t="str">
        <f t="shared" si="43"/>
        <v>N/A</v>
      </c>
      <c r="AE26" s="21">
        <f t="shared" si="44"/>
        <v>5</v>
      </c>
      <c r="AF26" s="12"/>
      <c r="AG26" s="12"/>
      <c r="AH26" s="14"/>
      <c r="AI26" s="14"/>
      <c r="AJ26" s="14"/>
      <c r="AK26" s="14"/>
      <c r="AL26" s="13"/>
      <c r="AM26" s="13"/>
      <c r="AN26" s="13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>
      <c r="A27" s="111">
        <v>11267</v>
      </c>
      <c r="B27" s="217" t="s">
        <v>168</v>
      </c>
      <c r="C27" s="26" t="str">
        <f>Rollover!A27</f>
        <v>Kia</v>
      </c>
      <c r="D27" s="42" t="str">
        <f>Rollover!B27</f>
        <v>K5 4DR FWD</v>
      </c>
      <c r="E27" s="8" t="s">
        <v>92</v>
      </c>
      <c r="F27" s="109">
        <f>Rollover!C27</f>
        <v>2021</v>
      </c>
      <c r="G27" s="9">
        <v>110.14400000000001</v>
      </c>
      <c r="H27" s="10">
        <v>25.866</v>
      </c>
      <c r="I27" s="10">
        <v>28.81</v>
      </c>
      <c r="J27" s="10">
        <v>846.61900000000003</v>
      </c>
      <c r="K27" s="11">
        <v>1173.597</v>
      </c>
      <c r="L27" s="9">
        <v>201.66300000000001</v>
      </c>
      <c r="M27" s="43">
        <v>25.321999999999999</v>
      </c>
      <c r="N27" s="10">
        <v>73.677999999999997</v>
      </c>
      <c r="O27" s="10">
        <v>27.437999999999999</v>
      </c>
      <c r="P27" s="11">
        <v>3054.8580000000002</v>
      </c>
      <c r="Q27" s="22">
        <f t="shared" si="15"/>
        <v>1.0079273895586684E-4</v>
      </c>
      <c r="R27" s="5">
        <f t="shared" si="16"/>
        <v>4.6868163686306558E-2</v>
      </c>
      <c r="S27" s="5">
        <f t="shared" si="17"/>
        <v>1.4278743182930412E-2</v>
      </c>
      <c r="T27" s="23">
        <f t="shared" si="18"/>
        <v>1.8220973352437615E-3</v>
      </c>
      <c r="U27" s="22">
        <f t="shared" si="19"/>
        <v>1.8676641942671772E-3</v>
      </c>
      <c r="V27" s="23">
        <f t="shared" si="20"/>
        <v>3.1251626465802755E-2</v>
      </c>
      <c r="W27" s="22">
        <f t="shared" si="21"/>
        <v>6.2E-2</v>
      </c>
      <c r="X27" s="5">
        <f t="shared" si="22"/>
        <v>3.3000000000000002E-2</v>
      </c>
      <c r="Y27" s="23">
        <f t="shared" si="23"/>
        <v>4.8000000000000001E-2</v>
      </c>
      <c r="Z27" s="24">
        <f t="shared" si="24"/>
        <v>0.41</v>
      </c>
      <c r="AA27" s="218">
        <f t="shared" si="25"/>
        <v>0.22</v>
      </c>
      <c r="AB27" s="25">
        <f t="shared" si="26"/>
        <v>0.32</v>
      </c>
      <c r="AC27" s="20">
        <f t="shared" si="27"/>
        <v>5</v>
      </c>
      <c r="AD27" s="44">
        <f t="shared" si="28"/>
        <v>5</v>
      </c>
      <c r="AE27" s="21">
        <f t="shared" si="29"/>
        <v>5</v>
      </c>
      <c r="AF27" s="12"/>
      <c r="AG27" s="12"/>
      <c r="AH27" s="14"/>
      <c r="AI27" s="14"/>
      <c r="AJ27" s="14"/>
      <c r="AK27" s="14"/>
      <c r="AL27" s="13"/>
      <c r="AM27" s="13"/>
      <c r="AN27" s="13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3.35" customHeight="1">
      <c r="A28" s="16">
        <v>11080</v>
      </c>
      <c r="B28" s="217" t="s">
        <v>93</v>
      </c>
      <c r="C28" s="26" t="str">
        <f>Rollover!A28</f>
        <v>Kia</v>
      </c>
      <c r="D28" s="42" t="str">
        <f>Rollover!B28</f>
        <v>Seltos SUV FWD</v>
      </c>
      <c r="E28" s="8" t="s">
        <v>92</v>
      </c>
      <c r="F28" s="109">
        <f>Rollover!C28</f>
        <v>2021</v>
      </c>
      <c r="G28" s="17">
        <v>109.039</v>
      </c>
      <c r="H28" s="18">
        <v>30.085000000000001</v>
      </c>
      <c r="I28" s="18">
        <v>38.634</v>
      </c>
      <c r="J28" s="18">
        <v>757.82</v>
      </c>
      <c r="K28" s="19">
        <v>1902.3240000000001</v>
      </c>
      <c r="L28" s="17">
        <v>233.83699999999999</v>
      </c>
      <c r="M28" s="18">
        <v>19.001999999999999</v>
      </c>
      <c r="N28" s="18">
        <v>70.343000000000004</v>
      </c>
      <c r="O28" s="18">
        <v>30.202999999999999</v>
      </c>
      <c r="P28" s="19">
        <v>3351.54</v>
      </c>
      <c r="Q28" s="22">
        <f t="shared" si="15"/>
        <v>9.5494222878269731E-5</v>
      </c>
      <c r="R28" s="5">
        <f t="shared" si="16"/>
        <v>6.7566313341018355E-2</v>
      </c>
      <c r="S28" s="5">
        <f t="shared" si="17"/>
        <v>1.1844108023259633E-2</v>
      </c>
      <c r="T28" s="23">
        <f t="shared" si="18"/>
        <v>4.0525684957305186E-3</v>
      </c>
      <c r="U28" s="22">
        <f t="shared" si="19"/>
        <v>3.4706411568995173E-3</v>
      </c>
      <c r="V28" s="23">
        <f t="shared" si="20"/>
        <v>4.0892660504839071E-2</v>
      </c>
      <c r="W28" s="22">
        <f t="shared" si="21"/>
        <v>8.2000000000000003E-2</v>
      </c>
      <c r="X28" s="5">
        <f t="shared" si="22"/>
        <v>4.3999999999999997E-2</v>
      </c>
      <c r="Y28" s="23">
        <f t="shared" si="23"/>
        <v>6.3E-2</v>
      </c>
      <c r="Z28" s="24">
        <f t="shared" si="24"/>
        <v>0.55000000000000004</v>
      </c>
      <c r="AA28" s="218">
        <f t="shared" si="25"/>
        <v>0.28999999999999998</v>
      </c>
      <c r="AB28" s="25">
        <f t="shared" si="26"/>
        <v>0.42</v>
      </c>
      <c r="AC28" s="20">
        <f t="shared" si="27"/>
        <v>5</v>
      </c>
      <c r="AD28" s="44">
        <f t="shared" si="28"/>
        <v>5</v>
      </c>
      <c r="AE28" s="21">
        <f t="shared" si="29"/>
        <v>5</v>
      </c>
      <c r="AF28" s="12"/>
      <c r="AG28" s="12"/>
      <c r="AH28" s="14"/>
      <c r="AI28" s="14"/>
      <c r="AJ28" s="14"/>
      <c r="AK28" s="14"/>
      <c r="AL28" s="13"/>
      <c r="AM28" s="13"/>
      <c r="AN28" s="13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ht="13.35" customHeight="1">
      <c r="A29" s="16">
        <v>11080</v>
      </c>
      <c r="B29" s="217" t="s">
        <v>93</v>
      </c>
      <c r="C29" s="26" t="str">
        <f>Rollover!A29</f>
        <v>Kia</v>
      </c>
      <c r="D29" s="42" t="str">
        <f>Rollover!B29</f>
        <v>Seltos SUV AWD</v>
      </c>
      <c r="E29" s="8" t="s">
        <v>92</v>
      </c>
      <c r="F29" s="109">
        <f>Rollover!C29</f>
        <v>2021</v>
      </c>
      <c r="G29" s="17">
        <v>109.039</v>
      </c>
      <c r="H29" s="18">
        <v>30.085000000000001</v>
      </c>
      <c r="I29" s="18">
        <v>38.634</v>
      </c>
      <c r="J29" s="18">
        <v>757.82</v>
      </c>
      <c r="K29" s="19">
        <v>1902.3240000000001</v>
      </c>
      <c r="L29" s="17">
        <v>233.83699999999999</v>
      </c>
      <c r="M29" s="18">
        <v>19.001999999999999</v>
      </c>
      <c r="N29" s="18">
        <v>70.343000000000004</v>
      </c>
      <c r="O29" s="18">
        <v>30.202999999999999</v>
      </c>
      <c r="P29" s="19">
        <v>3351.54</v>
      </c>
      <c r="Q29" s="22">
        <f t="shared" si="15"/>
        <v>9.5494222878269731E-5</v>
      </c>
      <c r="R29" s="5">
        <f t="shared" si="16"/>
        <v>6.7566313341018355E-2</v>
      </c>
      <c r="S29" s="5">
        <f t="shared" si="17"/>
        <v>1.1844108023259633E-2</v>
      </c>
      <c r="T29" s="23">
        <f t="shared" si="18"/>
        <v>4.0525684957305186E-3</v>
      </c>
      <c r="U29" s="22">
        <f t="shared" si="19"/>
        <v>3.4706411568995173E-3</v>
      </c>
      <c r="V29" s="23">
        <f t="shared" si="20"/>
        <v>4.0892660504839071E-2</v>
      </c>
      <c r="W29" s="22">
        <f t="shared" si="21"/>
        <v>8.2000000000000003E-2</v>
      </c>
      <c r="X29" s="5">
        <f t="shared" si="22"/>
        <v>4.3999999999999997E-2</v>
      </c>
      <c r="Y29" s="23">
        <f t="shared" si="23"/>
        <v>6.3E-2</v>
      </c>
      <c r="Z29" s="24">
        <f t="shared" si="24"/>
        <v>0.55000000000000004</v>
      </c>
      <c r="AA29" s="218">
        <f t="shared" si="25"/>
        <v>0.28999999999999998</v>
      </c>
      <c r="AB29" s="25">
        <f t="shared" si="26"/>
        <v>0.42</v>
      </c>
      <c r="AC29" s="20">
        <f t="shared" si="27"/>
        <v>5</v>
      </c>
      <c r="AD29" s="44">
        <f t="shared" si="28"/>
        <v>5</v>
      </c>
      <c r="AE29" s="21">
        <f t="shared" si="29"/>
        <v>5</v>
      </c>
      <c r="AF29" s="12"/>
      <c r="AG29" s="12"/>
      <c r="AH29" s="14"/>
      <c r="AI29" s="14"/>
      <c r="AJ29" s="14"/>
      <c r="AK29" s="14"/>
      <c r="AL29" s="13"/>
      <c r="AM29" s="13"/>
      <c r="AN29" s="13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3.35" customHeight="1">
      <c r="A30" s="111">
        <v>9582</v>
      </c>
      <c r="B30" s="111" t="s">
        <v>153</v>
      </c>
      <c r="C30" s="26" t="str">
        <f>Rollover!A30</f>
        <v>Lexus</v>
      </c>
      <c r="D30" s="42" t="str">
        <f>Rollover!B30</f>
        <v>RX 350 SUV FWD</v>
      </c>
      <c r="E30" s="8" t="s">
        <v>92</v>
      </c>
      <c r="F30" s="109">
        <f>Rollover!C30</f>
        <v>2021</v>
      </c>
      <c r="G30" s="9">
        <v>52.744999999999997</v>
      </c>
      <c r="H30" s="10">
        <v>17.954000000000001</v>
      </c>
      <c r="I30" s="10">
        <v>21.585999999999999</v>
      </c>
      <c r="J30" s="10">
        <v>487.70400000000001</v>
      </c>
      <c r="K30" s="11">
        <v>951.34</v>
      </c>
      <c r="L30" s="9">
        <v>164.94300000000001</v>
      </c>
      <c r="M30" s="10">
        <v>14.09</v>
      </c>
      <c r="N30" s="10">
        <v>44.07</v>
      </c>
      <c r="O30" s="10">
        <v>16.149000000000001</v>
      </c>
      <c r="P30" s="11">
        <v>2643.7849999999999</v>
      </c>
      <c r="Q30" s="22">
        <f t="shared" si="15"/>
        <v>1.2260374227483138E-6</v>
      </c>
      <c r="R30" s="5">
        <f t="shared" si="16"/>
        <v>2.3213651831515497E-2</v>
      </c>
      <c r="S30" s="5">
        <f t="shared" si="17"/>
        <v>6.6917383441974466E-3</v>
      </c>
      <c r="T30" s="23">
        <f t="shared" si="18"/>
        <v>1.4274659269909356E-3</v>
      </c>
      <c r="U30" s="22">
        <f t="shared" si="19"/>
        <v>7.5875116363981773E-4</v>
      </c>
      <c r="V30" s="23">
        <f t="shared" si="20"/>
        <v>2.1450107862666743E-2</v>
      </c>
      <c r="W30" s="22">
        <f t="shared" si="21"/>
        <v>3.1E-2</v>
      </c>
      <c r="X30" s="5">
        <f t="shared" si="22"/>
        <v>2.1999999999999999E-2</v>
      </c>
      <c r="Y30" s="23">
        <f t="shared" si="23"/>
        <v>2.7E-2</v>
      </c>
      <c r="Z30" s="24">
        <f t="shared" si="24"/>
        <v>0.21</v>
      </c>
      <c r="AA30" s="218">
        <f t="shared" si="25"/>
        <v>0.15</v>
      </c>
      <c r="AB30" s="25">
        <f t="shared" si="26"/>
        <v>0.18</v>
      </c>
      <c r="AC30" s="20">
        <f t="shared" si="27"/>
        <v>5</v>
      </c>
      <c r="AD30" s="44">
        <f t="shared" si="28"/>
        <v>5</v>
      </c>
      <c r="AE30" s="21">
        <f t="shared" si="29"/>
        <v>5</v>
      </c>
      <c r="AF30" s="12"/>
      <c r="AG30" s="12"/>
      <c r="AH30" s="14"/>
      <c r="AI30" s="14"/>
      <c r="AJ30" s="14"/>
      <c r="AK30" s="14"/>
      <c r="AL30" s="13"/>
      <c r="AM30" s="13"/>
      <c r="AN30" s="13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ht="13.35" customHeight="1">
      <c r="A31" s="111">
        <v>9582</v>
      </c>
      <c r="B31" s="111" t="s">
        <v>153</v>
      </c>
      <c r="C31" s="26" t="str">
        <f>Rollover!A31</f>
        <v>Lexus</v>
      </c>
      <c r="D31" s="42" t="str">
        <f>Rollover!B31</f>
        <v>RX 350 SUV AWD</v>
      </c>
      <c r="E31" s="8" t="s">
        <v>92</v>
      </c>
      <c r="F31" s="109">
        <f>Rollover!C31</f>
        <v>2021</v>
      </c>
      <c r="G31" s="9">
        <v>52.744999999999997</v>
      </c>
      <c r="H31" s="10">
        <v>17.954000000000001</v>
      </c>
      <c r="I31" s="10">
        <v>21.585999999999999</v>
      </c>
      <c r="J31" s="10">
        <v>487.70400000000001</v>
      </c>
      <c r="K31" s="11">
        <v>951.34</v>
      </c>
      <c r="L31" s="9">
        <v>164.94300000000001</v>
      </c>
      <c r="M31" s="10">
        <v>14.09</v>
      </c>
      <c r="N31" s="10">
        <v>44.07</v>
      </c>
      <c r="O31" s="10">
        <v>16.149000000000001</v>
      </c>
      <c r="P31" s="11">
        <v>2643.7849999999999</v>
      </c>
      <c r="Q31" s="22">
        <f t="shared" si="15"/>
        <v>1.2260374227483138E-6</v>
      </c>
      <c r="R31" s="5">
        <f t="shared" si="16"/>
        <v>2.3213651831515497E-2</v>
      </c>
      <c r="S31" s="5">
        <f t="shared" si="17"/>
        <v>6.6917383441974466E-3</v>
      </c>
      <c r="T31" s="23">
        <f t="shared" si="18"/>
        <v>1.4274659269909356E-3</v>
      </c>
      <c r="U31" s="22">
        <f t="shared" si="19"/>
        <v>7.5875116363981773E-4</v>
      </c>
      <c r="V31" s="23">
        <f t="shared" si="20"/>
        <v>2.1450107862666743E-2</v>
      </c>
      <c r="W31" s="22">
        <f t="shared" si="21"/>
        <v>3.1E-2</v>
      </c>
      <c r="X31" s="5">
        <f t="shared" si="22"/>
        <v>2.1999999999999999E-2</v>
      </c>
      <c r="Y31" s="23">
        <f t="shared" si="23"/>
        <v>2.7E-2</v>
      </c>
      <c r="Z31" s="24">
        <f t="shared" si="24"/>
        <v>0.21</v>
      </c>
      <c r="AA31" s="218">
        <f t="shared" si="25"/>
        <v>0.15</v>
      </c>
      <c r="AB31" s="25">
        <f t="shared" si="26"/>
        <v>0.18</v>
      </c>
      <c r="AC31" s="20">
        <f t="shared" si="27"/>
        <v>5</v>
      </c>
      <c r="AD31" s="44">
        <f t="shared" si="28"/>
        <v>5</v>
      </c>
      <c r="AE31" s="21">
        <f t="shared" si="29"/>
        <v>5</v>
      </c>
      <c r="AF31" s="12"/>
      <c r="AG31" s="12"/>
      <c r="AH31" s="14"/>
      <c r="AI31" s="14"/>
      <c r="AJ31" s="14"/>
      <c r="AK31" s="14"/>
      <c r="AL31" s="13"/>
      <c r="AM31" s="13"/>
      <c r="AN31" s="13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111">
        <v>9582</v>
      </c>
      <c r="B32" s="111" t="s">
        <v>153</v>
      </c>
      <c r="C32" s="219" t="str">
        <f>Rollover!A32</f>
        <v>Lexus</v>
      </c>
      <c r="D32" s="8" t="str">
        <f>Rollover!B32</f>
        <v>RX 350L SUV FWD</v>
      </c>
      <c r="E32" s="8" t="s">
        <v>92</v>
      </c>
      <c r="F32" s="109">
        <f>Rollover!C32</f>
        <v>2021</v>
      </c>
      <c r="G32" s="9">
        <v>52.744999999999997</v>
      </c>
      <c r="H32" s="10">
        <v>17.954000000000001</v>
      </c>
      <c r="I32" s="10">
        <v>21.585999999999999</v>
      </c>
      <c r="J32" s="10">
        <v>487.70400000000001</v>
      </c>
      <c r="K32" s="11">
        <v>951.34</v>
      </c>
      <c r="L32" s="9">
        <v>164.94300000000001</v>
      </c>
      <c r="M32" s="10">
        <v>14.09</v>
      </c>
      <c r="N32" s="10">
        <v>44.07</v>
      </c>
      <c r="O32" s="10">
        <v>16.149000000000001</v>
      </c>
      <c r="P32" s="11">
        <v>2643.7849999999999</v>
      </c>
      <c r="Q32" s="22">
        <f t="shared" si="15"/>
        <v>1.2260374227483138E-6</v>
      </c>
      <c r="R32" s="5">
        <f t="shared" si="16"/>
        <v>2.3213651831515497E-2</v>
      </c>
      <c r="S32" s="5">
        <f t="shared" si="17"/>
        <v>6.6917383441974466E-3</v>
      </c>
      <c r="T32" s="23">
        <f t="shared" si="18"/>
        <v>1.4274659269909356E-3</v>
      </c>
      <c r="U32" s="22">
        <f t="shared" si="19"/>
        <v>7.5875116363981773E-4</v>
      </c>
      <c r="V32" s="23">
        <f t="shared" si="20"/>
        <v>2.1450107862666743E-2</v>
      </c>
      <c r="W32" s="22">
        <f t="shared" si="21"/>
        <v>3.1E-2</v>
      </c>
      <c r="X32" s="5">
        <f t="shared" si="22"/>
        <v>2.1999999999999999E-2</v>
      </c>
      <c r="Y32" s="23">
        <f t="shared" si="23"/>
        <v>2.7E-2</v>
      </c>
      <c r="Z32" s="24">
        <f t="shared" si="24"/>
        <v>0.21</v>
      </c>
      <c r="AA32" s="218">
        <f t="shared" si="25"/>
        <v>0.15</v>
      </c>
      <c r="AB32" s="25">
        <f t="shared" si="26"/>
        <v>0.18</v>
      </c>
      <c r="AC32" s="20">
        <f t="shared" si="27"/>
        <v>5</v>
      </c>
      <c r="AD32" s="44">
        <f t="shared" si="28"/>
        <v>5</v>
      </c>
      <c r="AE32" s="21">
        <f t="shared" si="29"/>
        <v>5</v>
      </c>
      <c r="AF32" s="12"/>
      <c r="AG32" s="12"/>
      <c r="AH32" s="14"/>
      <c r="AI32" s="14"/>
      <c r="AJ32" s="14"/>
      <c r="AK32" s="14"/>
      <c r="AL32" s="13"/>
      <c r="AM32" s="13"/>
      <c r="AN32" s="13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13.35" customHeight="1">
      <c r="A33" s="111">
        <v>9582</v>
      </c>
      <c r="B33" s="111" t="s">
        <v>153</v>
      </c>
      <c r="C33" s="219" t="str">
        <f>Rollover!A33</f>
        <v>Lexus</v>
      </c>
      <c r="D33" s="8" t="str">
        <f>Rollover!B33</f>
        <v>RX 350L SUV AWD</v>
      </c>
      <c r="E33" s="8" t="s">
        <v>92</v>
      </c>
      <c r="F33" s="109">
        <f>Rollover!C33</f>
        <v>2021</v>
      </c>
      <c r="G33" s="9">
        <v>52.744999999999997</v>
      </c>
      <c r="H33" s="10">
        <v>17.954000000000001</v>
      </c>
      <c r="I33" s="10">
        <v>21.585999999999999</v>
      </c>
      <c r="J33" s="10">
        <v>487.70400000000001</v>
      </c>
      <c r="K33" s="11">
        <v>951.34</v>
      </c>
      <c r="L33" s="9">
        <v>164.94300000000001</v>
      </c>
      <c r="M33" s="10">
        <v>14.09</v>
      </c>
      <c r="N33" s="10">
        <v>44.07</v>
      </c>
      <c r="O33" s="10">
        <v>16.149000000000001</v>
      </c>
      <c r="P33" s="11">
        <v>2643.7849999999999</v>
      </c>
      <c r="Q33" s="22">
        <f t="shared" si="15"/>
        <v>1.2260374227483138E-6</v>
      </c>
      <c r="R33" s="5">
        <f t="shared" si="16"/>
        <v>2.3213651831515497E-2</v>
      </c>
      <c r="S33" s="5">
        <f t="shared" si="17"/>
        <v>6.6917383441974466E-3</v>
      </c>
      <c r="T33" s="23">
        <f t="shared" si="18"/>
        <v>1.4274659269909356E-3</v>
      </c>
      <c r="U33" s="22">
        <f t="shared" si="19"/>
        <v>7.5875116363981773E-4</v>
      </c>
      <c r="V33" s="23">
        <f t="shared" si="20"/>
        <v>2.1450107862666743E-2</v>
      </c>
      <c r="W33" s="22">
        <f t="shared" si="21"/>
        <v>3.1E-2</v>
      </c>
      <c r="X33" s="5">
        <f t="shared" si="22"/>
        <v>2.1999999999999999E-2</v>
      </c>
      <c r="Y33" s="23">
        <f t="shared" si="23"/>
        <v>2.7E-2</v>
      </c>
      <c r="Z33" s="24">
        <f t="shared" si="24"/>
        <v>0.21</v>
      </c>
      <c r="AA33" s="218">
        <f t="shared" si="25"/>
        <v>0.15</v>
      </c>
      <c r="AB33" s="25">
        <f t="shared" si="26"/>
        <v>0.18</v>
      </c>
      <c r="AC33" s="20">
        <f t="shared" si="27"/>
        <v>5</v>
      </c>
      <c r="AD33" s="44">
        <f t="shared" si="28"/>
        <v>5</v>
      </c>
      <c r="AE33" s="21">
        <f t="shared" si="29"/>
        <v>5</v>
      </c>
      <c r="AF33" s="12"/>
      <c r="AG33" s="12"/>
      <c r="AH33" s="14"/>
      <c r="AI33" s="14"/>
      <c r="AJ33" s="14"/>
      <c r="AK33" s="14"/>
      <c r="AL33" s="13"/>
      <c r="AM33" s="13"/>
      <c r="AN33" s="13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3.35" customHeight="1">
      <c r="A34" s="111">
        <v>9582</v>
      </c>
      <c r="B34" s="111" t="s">
        <v>153</v>
      </c>
      <c r="C34" s="219" t="str">
        <f>Rollover!A34</f>
        <v>Lexus</v>
      </c>
      <c r="D34" s="8" t="str">
        <f>Rollover!B34</f>
        <v>RX 450h SUV AWD</v>
      </c>
      <c r="E34" s="8" t="s">
        <v>92</v>
      </c>
      <c r="F34" s="109">
        <f>Rollover!C34</f>
        <v>2021</v>
      </c>
      <c r="G34" s="9">
        <v>52.744999999999997</v>
      </c>
      <c r="H34" s="10">
        <v>17.954000000000001</v>
      </c>
      <c r="I34" s="10">
        <v>21.585999999999999</v>
      </c>
      <c r="J34" s="10">
        <v>487.70400000000001</v>
      </c>
      <c r="K34" s="11">
        <v>951.34</v>
      </c>
      <c r="L34" s="9">
        <v>164.94300000000001</v>
      </c>
      <c r="M34" s="10">
        <v>14.09</v>
      </c>
      <c r="N34" s="10">
        <v>44.07</v>
      </c>
      <c r="O34" s="10">
        <v>16.149000000000001</v>
      </c>
      <c r="P34" s="11">
        <v>2643.7849999999999</v>
      </c>
      <c r="Q34" s="22">
        <f t="shared" si="15"/>
        <v>1.2260374227483138E-6</v>
      </c>
      <c r="R34" s="5">
        <f t="shared" si="16"/>
        <v>2.3213651831515497E-2</v>
      </c>
      <c r="S34" s="5">
        <f t="shared" si="17"/>
        <v>6.6917383441974466E-3</v>
      </c>
      <c r="T34" s="23">
        <f t="shared" si="18"/>
        <v>1.4274659269909356E-3</v>
      </c>
      <c r="U34" s="22">
        <f t="shared" si="19"/>
        <v>7.5875116363981773E-4</v>
      </c>
      <c r="V34" s="23">
        <f t="shared" si="20"/>
        <v>2.1450107862666743E-2</v>
      </c>
      <c r="W34" s="22">
        <f t="shared" si="21"/>
        <v>3.1E-2</v>
      </c>
      <c r="X34" s="5">
        <f t="shared" si="22"/>
        <v>2.1999999999999999E-2</v>
      </c>
      <c r="Y34" s="23">
        <f t="shared" si="23"/>
        <v>2.7E-2</v>
      </c>
      <c r="Z34" s="24">
        <f t="shared" si="24"/>
        <v>0.21</v>
      </c>
      <c r="AA34" s="218">
        <f t="shared" si="25"/>
        <v>0.15</v>
      </c>
      <c r="AB34" s="25">
        <f t="shared" si="26"/>
        <v>0.18</v>
      </c>
      <c r="AC34" s="20">
        <f t="shared" si="27"/>
        <v>5</v>
      </c>
      <c r="AD34" s="44">
        <f t="shared" si="28"/>
        <v>5</v>
      </c>
      <c r="AE34" s="21">
        <f t="shared" si="29"/>
        <v>5</v>
      </c>
      <c r="AF34" s="12"/>
      <c r="AG34" s="12"/>
      <c r="AH34" s="14"/>
      <c r="AI34" s="14"/>
      <c r="AJ34" s="14"/>
      <c r="AK34" s="14"/>
      <c r="AL34" s="13"/>
      <c r="AM34" s="13"/>
      <c r="AN34" s="13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>
      <c r="A35" s="111">
        <v>9582</v>
      </c>
      <c r="B35" s="111" t="s">
        <v>153</v>
      </c>
      <c r="C35" s="219" t="str">
        <f>Rollover!A35</f>
        <v>Lexus</v>
      </c>
      <c r="D35" s="8" t="str">
        <f>Rollover!B35</f>
        <v>RX 450hL SUV AWD</v>
      </c>
      <c r="E35" s="8" t="s">
        <v>92</v>
      </c>
      <c r="F35" s="109">
        <f>Rollover!C35</f>
        <v>2021</v>
      </c>
      <c r="G35" s="9">
        <v>52.744999999999997</v>
      </c>
      <c r="H35" s="10">
        <v>17.954000000000001</v>
      </c>
      <c r="I35" s="10">
        <v>21.585999999999999</v>
      </c>
      <c r="J35" s="10">
        <v>487.70400000000001</v>
      </c>
      <c r="K35" s="11">
        <v>951.34</v>
      </c>
      <c r="L35" s="9">
        <v>164.94300000000001</v>
      </c>
      <c r="M35" s="10">
        <v>14.09</v>
      </c>
      <c r="N35" s="10">
        <v>44.07</v>
      </c>
      <c r="O35" s="10">
        <v>16.149000000000001</v>
      </c>
      <c r="P35" s="11">
        <v>2643.7849999999999</v>
      </c>
      <c r="Q35" s="22">
        <f t="shared" si="15"/>
        <v>1.2260374227483138E-6</v>
      </c>
      <c r="R35" s="5">
        <f t="shared" si="16"/>
        <v>2.3213651831515497E-2</v>
      </c>
      <c r="S35" s="5">
        <f t="shared" si="17"/>
        <v>6.6917383441974466E-3</v>
      </c>
      <c r="T35" s="23">
        <f t="shared" si="18"/>
        <v>1.4274659269909356E-3</v>
      </c>
      <c r="U35" s="22">
        <f t="shared" si="19"/>
        <v>7.5875116363981773E-4</v>
      </c>
      <c r="V35" s="23">
        <f t="shared" si="20"/>
        <v>2.1450107862666743E-2</v>
      </c>
      <c r="W35" s="22">
        <f t="shared" si="21"/>
        <v>3.1E-2</v>
      </c>
      <c r="X35" s="5">
        <f t="shared" si="22"/>
        <v>2.1999999999999999E-2</v>
      </c>
      <c r="Y35" s="23">
        <f t="shared" si="23"/>
        <v>2.7E-2</v>
      </c>
      <c r="Z35" s="24">
        <f t="shared" si="24"/>
        <v>0.21</v>
      </c>
      <c r="AA35" s="218">
        <f t="shared" si="25"/>
        <v>0.15</v>
      </c>
      <c r="AB35" s="25">
        <f t="shared" si="26"/>
        <v>0.18</v>
      </c>
      <c r="AC35" s="20">
        <f t="shared" si="27"/>
        <v>5</v>
      </c>
      <c r="AD35" s="44">
        <f t="shared" si="28"/>
        <v>5</v>
      </c>
      <c r="AE35" s="21">
        <f t="shared" si="29"/>
        <v>5</v>
      </c>
      <c r="AF35" s="12"/>
      <c r="AG35" s="12"/>
      <c r="AH35" s="14"/>
      <c r="AI35" s="14"/>
      <c r="AJ35" s="14"/>
      <c r="AK35" s="14"/>
      <c r="AL35" s="13"/>
      <c r="AM35" s="13"/>
      <c r="AN35" s="13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>
      <c r="A36" s="111">
        <v>9996</v>
      </c>
      <c r="B36" s="111" t="s">
        <v>155</v>
      </c>
      <c r="C36" s="26" t="str">
        <f>Rollover!A36</f>
        <v>Mercedes-Benz</v>
      </c>
      <c r="D36" s="42" t="str">
        <f>Rollover!B36</f>
        <v>E-Class 4DR RWD</v>
      </c>
      <c r="E36" s="8" t="s">
        <v>147</v>
      </c>
      <c r="F36" s="109">
        <f>Rollover!C36</f>
        <v>2021</v>
      </c>
      <c r="G36" s="9">
        <v>132.1</v>
      </c>
      <c r="H36" s="10">
        <v>27.399000000000001</v>
      </c>
      <c r="I36" s="10">
        <v>25.407</v>
      </c>
      <c r="J36" s="10">
        <v>661.35400000000004</v>
      </c>
      <c r="K36" s="11">
        <v>991.79200000000003</v>
      </c>
      <c r="L36" s="9">
        <v>215.435</v>
      </c>
      <c r="M36" s="10">
        <v>10.717000000000001</v>
      </c>
      <c r="N36" s="10">
        <v>46.110999999999997</v>
      </c>
      <c r="O36" s="10">
        <v>4.03</v>
      </c>
      <c r="P36" s="11">
        <v>2640.8069999999998</v>
      </c>
      <c r="Q36" s="22">
        <f t="shared" si="15"/>
        <v>2.5889663176553344E-4</v>
      </c>
      <c r="R36" s="5">
        <f t="shared" si="16"/>
        <v>5.3578918943123478E-2</v>
      </c>
      <c r="S36" s="5">
        <f t="shared" si="17"/>
        <v>9.6627053769668455E-3</v>
      </c>
      <c r="T36" s="23">
        <f t="shared" si="18"/>
        <v>1.4923216217691761E-3</v>
      </c>
      <c r="U36" s="22">
        <f t="shared" si="19"/>
        <v>2.4738841769613123E-3</v>
      </c>
      <c r="V36" s="23">
        <f t="shared" si="20"/>
        <v>2.1391428779464677E-2</v>
      </c>
      <c r="W36" s="22">
        <f t="shared" si="21"/>
        <v>6.4000000000000001E-2</v>
      </c>
      <c r="X36" s="5">
        <f t="shared" si="22"/>
        <v>2.4E-2</v>
      </c>
      <c r="Y36" s="23">
        <f t="shared" si="23"/>
        <v>4.3999999999999997E-2</v>
      </c>
      <c r="Z36" s="24">
        <f t="shared" si="24"/>
        <v>0.43</v>
      </c>
      <c r="AA36" s="218">
        <f t="shared" si="25"/>
        <v>0.16</v>
      </c>
      <c r="AB36" s="25">
        <f t="shared" si="26"/>
        <v>0.28999999999999998</v>
      </c>
      <c r="AC36" s="20">
        <f t="shared" si="27"/>
        <v>5</v>
      </c>
      <c r="AD36" s="44">
        <f t="shared" si="28"/>
        <v>5</v>
      </c>
      <c r="AE36" s="21">
        <f t="shared" si="29"/>
        <v>5</v>
      </c>
      <c r="AF36" s="12"/>
      <c r="AG36" s="12"/>
      <c r="AH36" s="14"/>
      <c r="AI36" s="14"/>
      <c r="AJ36" s="14"/>
      <c r="AK36" s="14"/>
      <c r="AL36" s="13"/>
      <c r="AM36" s="13"/>
      <c r="AN36" s="13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>
      <c r="A37" s="111">
        <v>9996</v>
      </c>
      <c r="B37" s="111" t="s">
        <v>155</v>
      </c>
      <c r="C37" s="26" t="str">
        <f>Rollover!A37</f>
        <v>Mercedes-Benz</v>
      </c>
      <c r="D37" s="42" t="str">
        <f>Rollover!B37</f>
        <v>E-Class 4DR 4WD</v>
      </c>
      <c r="E37" s="8" t="s">
        <v>147</v>
      </c>
      <c r="F37" s="109">
        <f>Rollover!C37</f>
        <v>2021</v>
      </c>
      <c r="G37" s="9">
        <v>132.1</v>
      </c>
      <c r="H37" s="10">
        <v>27.399000000000001</v>
      </c>
      <c r="I37" s="10">
        <v>25.407</v>
      </c>
      <c r="J37" s="10">
        <v>661.35400000000004</v>
      </c>
      <c r="K37" s="11">
        <v>991.79200000000003</v>
      </c>
      <c r="L37" s="9">
        <v>215.435</v>
      </c>
      <c r="M37" s="10">
        <v>10.717000000000001</v>
      </c>
      <c r="N37" s="10">
        <v>46.110999999999997</v>
      </c>
      <c r="O37" s="10">
        <v>4.03</v>
      </c>
      <c r="P37" s="11">
        <v>2640.8069999999998</v>
      </c>
      <c r="Q37" s="22">
        <f t="shared" si="15"/>
        <v>2.5889663176553344E-4</v>
      </c>
      <c r="R37" s="5">
        <f t="shared" si="16"/>
        <v>5.3578918943123478E-2</v>
      </c>
      <c r="S37" s="5">
        <f t="shared" si="17"/>
        <v>9.6627053769668455E-3</v>
      </c>
      <c r="T37" s="23">
        <f t="shared" si="18"/>
        <v>1.4923216217691761E-3</v>
      </c>
      <c r="U37" s="22">
        <f t="shared" si="19"/>
        <v>2.4738841769613123E-3</v>
      </c>
      <c r="V37" s="23">
        <f t="shared" si="20"/>
        <v>2.1391428779464677E-2</v>
      </c>
      <c r="W37" s="22">
        <f t="shared" si="21"/>
        <v>6.4000000000000001E-2</v>
      </c>
      <c r="X37" s="5">
        <f t="shared" si="22"/>
        <v>2.4E-2</v>
      </c>
      <c r="Y37" s="23">
        <f t="shared" si="23"/>
        <v>4.3999999999999997E-2</v>
      </c>
      <c r="Z37" s="24">
        <f t="shared" si="24"/>
        <v>0.43</v>
      </c>
      <c r="AA37" s="218">
        <f t="shared" si="25"/>
        <v>0.16</v>
      </c>
      <c r="AB37" s="25">
        <f t="shared" si="26"/>
        <v>0.28999999999999998</v>
      </c>
      <c r="AC37" s="20">
        <f t="shared" si="27"/>
        <v>5</v>
      </c>
      <c r="AD37" s="44">
        <f t="shared" si="28"/>
        <v>5</v>
      </c>
      <c r="AE37" s="21">
        <f t="shared" si="29"/>
        <v>5</v>
      </c>
      <c r="AF37" s="12"/>
      <c r="AG37" s="12"/>
      <c r="AH37" s="14"/>
      <c r="AI37" s="14"/>
      <c r="AJ37" s="14"/>
      <c r="AK37" s="14"/>
      <c r="AL37" s="13"/>
      <c r="AM37" s="13"/>
      <c r="AN37" s="13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>
      <c r="A38" s="111">
        <v>9996</v>
      </c>
      <c r="B38" s="111" t="s">
        <v>155</v>
      </c>
      <c r="C38" s="219" t="str">
        <f>Rollover!A38</f>
        <v>Mercedes-Benz</v>
      </c>
      <c r="D38" s="8" t="str">
        <f>Rollover!B38</f>
        <v>E-Class SW RWD</v>
      </c>
      <c r="E38" s="8" t="s">
        <v>147</v>
      </c>
      <c r="F38" s="109">
        <f>Rollover!C38</f>
        <v>2021</v>
      </c>
      <c r="G38" s="9">
        <v>132.1</v>
      </c>
      <c r="H38" s="10">
        <v>27.399000000000001</v>
      </c>
      <c r="I38" s="10">
        <v>25.407</v>
      </c>
      <c r="J38" s="10">
        <v>661.35400000000004</v>
      </c>
      <c r="K38" s="11">
        <v>991.79200000000003</v>
      </c>
      <c r="L38" s="9">
        <v>215.435</v>
      </c>
      <c r="M38" s="10">
        <v>10.717000000000001</v>
      </c>
      <c r="N38" s="10">
        <v>46.110999999999997</v>
      </c>
      <c r="O38" s="10">
        <v>4.03</v>
      </c>
      <c r="P38" s="11">
        <v>2640.8069999999998</v>
      </c>
      <c r="Q38" s="22">
        <f t="shared" si="15"/>
        <v>2.5889663176553344E-4</v>
      </c>
      <c r="R38" s="5">
        <f t="shared" si="16"/>
        <v>5.3578918943123478E-2</v>
      </c>
      <c r="S38" s="5">
        <f t="shared" si="17"/>
        <v>9.6627053769668455E-3</v>
      </c>
      <c r="T38" s="23">
        <f t="shared" si="18"/>
        <v>1.4923216217691761E-3</v>
      </c>
      <c r="U38" s="22">
        <f t="shared" si="19"/>
        <v>2.4738841769613123E-3</v>
      </c>
      <c r="V38" s="23">
        <f t="shared" si="20"/>
        <v>2.1391428779464677E-2</v>
      </c>
      <c r="W38" s="22">
        <f t="shared" si="21"/>
        <v>6.4000000000000001E-2</v>
      </c>
      <c r="X38" s="5">
        <f t="shared" si="22"/>
        <v>2.4E-2</v>
      </c>
      <c r="Y38" s="23">
        <f t="shared" si="23"/>
        <v>4.3999999999999997E-2</v>
      </c>
      <c r="Z38" s="24">
        <f t="shared" si="24"/>
        <v>0.43</v>
      </c>
      <c r="AA38" s="218">
        <f t="shared" si="25"/>
        <v>0.16</v>
      </c>
      <c r="AB38" s="25">
        <f t="shared" si="26"/>
        <v>0.28999999999999998</v>
      </c>
      <c r="AC38" s="20">
        <f t="shared" si="27"/>
        <v>5</v>
      </c>
      <c r="AD38" s="44">
        <f t="shared" si="28"/>
        <v>5</v>
      </c>
      <c r="AE38" s="21">
        <f t="shared" si="29"/>
        <v>5</v>
      </c>
      <c r="AF38" s="12"/>
      <c r="AG38" s="12"/>
      <c r="AH38" s="14"/>
      <c r="AI38" s="14"/>
      <c r="AJ38" s="14"/>
      <c r="AK38" s="14"/>
      <c r="AL38" s="13"/>
      <c r="AM38" s="13"/>
      <c r="AN38" s="13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ht="13.35" customHeight="1">
      <c r="A39" s="111">
        <v>9996</v>
      </c>
      <c r="B39" s="111" t="s">
        <v>155</v>
      </c>
      <c r="C39" s="219" t="str">
        <f>Rollover!A39</f>
        <v>Mercedes-Benz</v>
      </c>
      <c r="D39" s="8" t="str">
        <f>Rollover!B39</f>
        <v>E-Class SW 4WD</v>
      </c>
      <c r="E39" s="8" t="s">
        <v>147</v>
      </c>
      <c r="F39" s="109">
        <f>Rollover!C39</f>
        <v>2021</v>
      </c>
      <c r="G39" s="9">
        <v>132.1</v>
      </c>
      <c r="H39" s="10">
        <v>27.399000000000001</v>
      </c>
      <c r="I39" s="10">
        <v>25.407</v>
      </c>
      <c r="J39" s="10">
        <v>661.35400000000004</v>
      </c>
      <c r="K39" s="11">
        <v>991.79200000000003</v>
      </c>
      <c r="L39" s="9">
        <v>215.435</v>
      </c>
      <c r="M39" s="10">
        <v>10.717000000000001</v>
      </c>
      <c r="N39" s="10">
        <v>46.110999999999997</v>
      </c>
      <c r="O39" s="10">
        <v>4.03</v>
      </c>
      <c r="P39" s="11">
        <v>2640.8069999999998</v>
      </c>
      <c r="Q39" s="22">
        <f t="shared" si="15"/>
        <v>2.5889663176553344E-4</v>
      </c>
      <c r="R39" s="5">
        <f t="shared" si="16"/>
        <v>5.3578918943123478E-2</v>
      </c>
      <c r="S39" s="5">
        <f t="shared" si="17"/>
        <v>9.6627053769668455E-3</v>
      </c>
      <c r="T39" s="23">
        <f t="shared" si="18"/>
        <v>1.4923216217691761E-3</v>
      </c>
      <c r="U39" s="22">
        <f t="shared" si="19"/>
        <v>2.4738841769613123E-3</v>
      </c>
      <c r="V39" s="23">
        <f t="shared" si="20"/>
        <v>2.1391428779464677E-2</v>
      </c>
      <c r="W39" s="22">
        <f t="shared" si="21"/>
        <v>6.4000000000000001E-2</v>
      </c>
      <c r="X39" s="5">
        <f t="shared" si="22"/>
        <v>2.4E-2</v>
      </c>
      <c r="Y39" s="23">
        <f t="shared" si="23"/>
        <v>4.3999999999999997E-2</v>
      </c>
      <c r="Z39" s="24">
        <f t="shared" si="24"/>
        <v>0.43</v>
      </c>
      <c r="AA39" s="218">
        <f t="shared" si="25"/>
        <v>0.16</v>
      </c>
      <c r="AB39" s="25">
        <f t="shared" si="26"/>
        <v>0.28999999999999998</v>
      </c>
      <c r="AC39" s="20">
        <f t="shared" si="27"/>
        <v>5</v>
      </c>
      <c r="AD39" s="44">
        <f t="shared" si="28"/>
        <v>5</v>
      </c>
      <c r="AE39" s="21">
        <f t="shared" si="29"/>
        <v>5</v>
      </c>
      <c r="AF39" s="12"/>
      <c r="AG39" s="12"/>
      <c r="AH39" s="14"/>
      <c r="AI39" s="14"/>
      <c r="AJ39" s="14"/>
      <c r="AK39" s="14"/>
      <c r="AL39" s="13"/>
      <c r="AM39" s="13"/>
      <c r="AN39" s="13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13.35" customHeight="1">
      <c r="A40" s="111">
        <v>10190</v>
      </c>
      <c r="B40" s="111" t="s">
        <v>157</v>
      </c>
      <c r="C40" s="26" t="str">
        <f>Rollover!A40</f>
        <v>Mercedes-Benz</v>
      </c>
      <c r="D40" s="42" t="str">
        <f>Rollover!B40</f>
        <v>GLC Class SUV RWD</v>
      </c>
      <c r="E40" s="8" t="s">
        <v>152</v>
      </c>
      <c r="F40" s="109">
        <f>Rollover!C40</f>
        <v>2021</v>
      </c>
      <c r="G40" s="9">
        <v>69.179000000000002</v>
      </c>
      <c r="H40" s="10">
        <v>24.146000000000001</v>
      </c>
      <c r="I40" s="10">
        <v>17.63</v>
      </c>
      <c r="J40" s="10">
        <v>519.72500000000002</v>
      </c>
      <c r="K40" s="11">
        <v>1819.8219999999999</v>
      </c>
      <c r="L40" s="9">
        <v>134.40600000000001</v>
      </c>
      <c r="M40" s="10">
        <v>14.952999999999999</v>
      </c>
      <c r="N40" s="10">
        <v>46.433999999999997</v>
      </c>
      <c r="O40" s="10">
        <v>18.882999999999999</v>
      </c>
      <c r="P40" s="11">
        <v>3486.9830000000002</v>
      </c>
      <c r="Q40" s="22">
        <f t="shared" si="15"/>
        <v>6.9466741254767415E-6</v>
      </c>
      <c r="R40" s="5">
        <f t="shared" si="16"/>
        <v>4.029174994847378E-2</v>
      </c>
      <c r="S40" s="5">
        <f t="shared" si="17"/>
        <v>7.1613718830006506E-3</v>
      </c>
      <c r="T40" s="23">
        <f t="shared" si="18"/>
        <v>3.7022854683052683E-3</v>
      </c>
      <c r="U40" s="22">
        <f t="shared" si="19"/>
        <v>2.8238565112398976E-4</v>
      </c>
      <c r="V40" s="23">
        <f t="shared" si="20"/>
        <v>4.6188466230564086E-2</v>
      </c>
      <c r="W40" s="22">
        <f t="shared" si="21"/>
        <v>5.0999999999999997E-2</v>
      </c>
      <c r="X40" s="5">
        <f t="shared" si="22"/>
        <v>4.5999999999999999E-2</v>
      </c>
      <c r="Y40" s="23">
        <f t="shared" si="23"/>
        <v>4.9000000000000002E-2</v>
      </c>
      <c r="Z40" s="24">
        <f t="shared" si="24"/>
        <v>0.34</v>
      </c>
      <c r="AA40" s="218">
        <f t="shared" si="25"/>
        <v>0.31</v>
      </c>
      <c r="AB40" s="25">
        <f t="shared" si="26"/>
        <v>0.33</v>
      </c>
      <c r="AC40" s="20">
        <f t="shared" si="27"/>
        <v>5</v>
      </c>
      <c r="AD40" s="44">
        <f t="shared" si="28"/>
        <v>5</v>
      </c>
      <c r="AE40" s="21">
        <f t="shared" si="29"/>
        <v>5</v>
      </c>
      <c r="AF40" s="12"/>
      <c r="AG40" s="12"/>
      <c r="AH40" s="14"/>
      <c r="AI40" s="14"/>
      <c r="AJ40" s="14"/>
      <c r="AK40" s="14"/>
      <c r="AL40" s="13"/>
      <c r="AM40" s="13"/>
      <c r="AN40" s="13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3.35" customHeight="1">
      <c r="A41" s="111">
        <v>10190</v>
      </c>
      <c r="B41" s="111" t="s">
        <v>157</v>
      </c>
      <c r="C41" s="26" t="str">
        <f>Rollover!A41</f>
        <v>Mercedes-Benz</v>
      </c>
      <c r="D41" s="42" t="str">
        <f>Rollover!B41</f>
        <v>GLC Class SUV 4WD</v>
      </c>
      <c r="E41" s="8" t="s">
        <v>152</v>
      </c>
      <c r="F41" s="109">
        <f>Rollover!C41</f>
        <v>2021</v>
      </c>
      <c r="G41" s="9">
        <v>69.179000000000002</v>
      </c>
      <c r="H41" s="10">
        <v>24.146000000000001</v>
      </c>
      <c r="I41" s="10">
        <v>17.63</v>
      </c>
      <c r="J41" s="10">
        <v>519.72500000000002</v>
      </c>
      <c r="K41" s="11">
        <v>1819.8219999999999</v>
      </c>
      <c r="L41" s="9">
        <v>134.40600000000001</v>
      </c>
      <c r="M41" s="10">
        <v>14.952999999999999</v>
      </c>
      <c r="N41" s="10">
        <v>46.433999999999997</v>
      </c>
      <c r="O41" s="10">
        <v>18.882999999999999</v>
      </c>
      <c r="P41" s="11">
        <v>3486.9830000000002</v>
      </c>
      <c r="Q41" s="22">
        <f t="shared" si="15"/>
        <v>6.9466741254767415E-6</v>
      </c>
      <c r="R41" s="5">
        <f t="shared" si="16"/>
        <v>4.029174994847378E-2</v>
      </c>
      <c r="S41" s="5">
        <f t="shared" si="17"/>
        <v>7.1613718830006506E-3</v>
      </c>
      <c r="T41" s="23">
        <f t="shared" si="18"/>
        <v>3.7022854683052683E-3</v>
      </c>
      <c r="U41" s="22">
        <f t="shared" si="19"/>
        <v>2.8238565112398976E-4</v>
      </c>
      <c r="V41" s="23">
        <f t="shared" si="20"/>
        <v>4.6188466230564086E-2</v>
      </c>
      <c r="W41" s="22">
        <f t="shared" si="21"/>
        <v>5.0999999999999997E-2</v>
      </c>
      <c r="X41" s="5">
        <f t="shared" si="22"/>
        <v>4.5999999999999999E-2</v>
      </c>
      <c r="Y41" s="23">
        <f t="shared" si="23"/>
        <v>4.9000000000000002E-2</v>
      </c>
      <c r="Z41" s="24">
        <f t="shared" si="24"/>
        <v>0.34</v>
      </c>
      <c r="AA41" s="218">
        <f t="shared" si="25"/>
        <v>0.31</v>
      </c>
      <c r="AB41" s="25">
        <f t="shared" si="26"/>
        <v>0.33</v>
      </c>
      <c r="AC41" s="20">
        <f t="shared" si="27"/>
        <v>5</v>
      </c>
      <c r="AD41" s="44">
        <f t="shared" si="28"/>
        <v>5</v>
      </c>
      <c r="AE41" s="21">
        <f t="shared" si="29"/>
        <v>5</v>
      </c>
      <c r="AF41" s="12"/>
      <c r="AG41" s="12"/>
      <c r="AH41" s="14"/>
      <c r="AI41" s="14"/>
      <c r="AJ41" s="14"/>
      <c r="AK41" s="14"/>
      <c r="AL41" s="13"/>
      <c r="AM41" s="13"/>
      <c r="AN41" s="13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>
      <c r="A42" s="16">
        <v>11360</v>
      </c>
      <c r="B42" s="217" t="s">
        <v>200</v>
      </c>
      <c r="C42" s="26" t="str">
        <f>Rollover!A42</f>
        <v>Nissan</v>
      </c>
      <c r="D42" s="42" t="str">
        <f>Rollover!B42</f>
        <v>Maxima 4DR FWD</v>
      </c>
      <c r="E42" s="8" t="s">
        <v>149</v>
      </c>
      <c r="F42" s="109">
        <f>Rollover!C42</f>
        <v>2021</v>
      </c>
      <c r="G42" s="17">
        <v>118.51900000000001</v>
      </c>
      <c r="H42" s="18">
        <v>23.646999999999998</v>
      </c>
      <c r="I42" s="18">
        <v>31.550999999999998</v>
      </c>
      <c r="J42" s="18">
        <v>1000.136</v>
      </c>
      <c r="K42" s="19">
        <v>1500.848</v>
      </c>
      <c r="L42" s="17">
        <v>241.999</v>
      </c>
      <c r="M42" s="18">
        <v>16.007000000000001</v>
      </c>
      <c r="N42" s="18">
        <v>26.765999999999998</v>
      </c>
      <c r="O42" s="18">
        <v>18.094000000000001</v>
      </c>
      <c r="P42" s="19">
        <v>1552.1679999999999</v>
      </c>
      <c r="Q42" s="22">
        <f t="shared" si="15"/>
        <v>1.4845266455334522E-4</v>
      </c>
      <c r="R42" s="5">
        <f t="shared" si="16"/>
        <v>3.8555402855925167E-2</v>
      </c>
      <c r="S42" s="5">
        <f t="shared" si="17"/>
        <v>1.9701740069193428E-2</v>
      </c>
      <c r="T42" s="23">
        <f t="shared" si="18"/>
        <v>2.6095430389672541E-3</v>
      </c>
      <c r="U42" s="22">
        <f t="shared" si="19"/>
        <v>3.9856495171423402E-3</v>
      </c>
      <c r="V42" s="23">
        <f t="shared" si="20"/>
        <v>7.7948851988460183E-3</v>
      </c>
      <c r="W42" s="22">
        <f t="shared" si="21"/>
        <v>0.06</v>
      </c>
      <c r="X42" s="5">
        <f t="shared" si="22"/>
        <v>1.2E-2</v>
      </c>
      <c r="Y42" s="23">
        <f t="shared" si="23"/>
        <v>3.5999999999999997E-2</v>
      </c>
      <c r="Z42" s="24">
        <f t="shared" si="24"/>
        <v>0.4</v>
      </c>
      <c r="AA42" s="218">
        <f t="shared" si="25"/>
        <v>0.08</v>
      </c>
      <c r="AB42" s="25">
        <f t="shared" si="26"/>
        <v>0.24</v>
      </c>
      <c r="AC42" s="20">
        <f t="shared" si="27"/>
        <v>5</v>
      </c>
      <c r="AD42" s="44">
        <f t="shared" si="28"/>
        <v>5</v>
      </c>
      <c r="AE42" s="21">
        <f t="shared" si="29"/>
        <v>5</v>
      </c>
      <c r="AF42" s="12"/>
      <c r="AG42" s="12"/>
      <c r="AH42" s="14"/>
      <c r="AI42" s="14"/>
      <c r="AJ42" s="14"/>
      <c r="AK42" s="14"/>
      <c r="AL42" s="13"/>
      <c r="AM42" s="13"/>
      <c r="AN42" s="13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>
      <c r="A43" s="111">
        <v>11352</v>
      </c>
      <c r="B43" s="217" t="s">
        <v>191</v>
      </c>
      <c r="C43" s="26" t="str">
        <f>Rollover!A43</f>
        <v>Nissan</v>
      </c>
      <c r="D43" s="42" t="str">
        <f>Rollover!B43</f>
        <v>Rogue SUV FWD (early release)</v>
      </c>
      <c r="E43" s="8" t="s">
        <v>149</v>
      </c>
      <c r="F43" s="109">
        <f>Rollover!C43</f>
        <v>2021</v>
      </c>
      <c r="G43" s="9">
        <v>95.481999999999999</v>
      </c>
      <c r="H43" s="10">
        <v>9.15</v>
      </c>
      <c r="I43" s="10">
        <v>19.488</v>
      </c>
      <c r="J43" s="10">
        <v>441.05799999999999</v>
      </c>
      <c r="K43" s="11">
        <v>1509.934</v>
      </c>
      <c r="L43" s="9">
        <v>160.845</v>
      </c>
      <c r="M43" s="10">
        <v>13.993</v>
      </c>
      <c r="N43" s="10">
        <v>31.033999999999999</v>
      </c>
      <c r="O43" s="10">
        <v>13.718</v>
      </c>
      <c r="P43" s="11">
        <v>2282.6239999999998</v>
      </c>
      <c r="Q43" s="22">
        <f t="shared" si="15"/>
        <v>4.6135036644297193E-5</v>
      </c>
      <c r="R43" s="5">
        <f t="shared" si="16"/>
        <v>1.0471047051436188E-2</v>
      </c>
      <c r="S43" s="5">
        <f t="shared" si="17"/>
        <v>6.0618298843795829E-3</v>
      </c>
      <c r="T43" s="23">
        <f t="shared" si="18"/>
        <v>2.6356860625118155E-3</v>
      </c>
      <c r="U43" s="22">
        <f t="shared" si="19"/>
        <v>6.7457423078721361E-4</v>
      </c>
      <c r="V43" s="23">
        <f t="shared" si="20"/>
        <v>1.537022607789403E-2</v>
      </c>
      <c r="W43" s="22">
        <f t="shared" si="21"/>
        <v>1.9E-2</v>
      </c>
      <c r="X43" s="5">
        <f t="shared" si="22"/>
        <v>1.6E-2</v>
      </c>
      <c r="Y43" s="23">
        <f t="shared" si="23"/>
        <v>1.7999999999999999E-2</v>
      </c>
      <c r="Z43" s="24">
        <f t="shared" si="24"/>
        <v>0.13</v>
      </c>
      <c r="AA43" s="218">
        <f t="shared" si="25"/>
        <v>0.11</v>
      </c>
      <c r="AB43" s="25">
        <f t="shared" si="26"/>
        <v>0.12</v>
      </c>
      <c r="AC43" s="20">
        <f t="shared" si="27"/>
        <v>5</v>
      </c>
      <c r="AD43" s="44">
        <f t="shared" si="28"/>
        <v>5</v>
      </c>
      <c r="AE43" s="21">
        <f t="shared" si="29"/>
        <v>5</v>
      </c>
      <c r="AF43" s="12"/>
      <c r="AG43" s="12"/>
      <c r="AH43" s="14"/>
      <c r="AI43" s="14"/>
      <c r="AJ43" s="14"/>
      <c r="AK43" s="14"/>
      <c r="AL43" s="13"/>
      <c r="AM43" s="13"/>
      <c r="AN43" s="13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>
      <c r="A44" s="111">
        <v>11352</v>
      </c>
      <c r="B44" s="217" t="s">
        <v>191</v>
      </c>
      <c r="C44" s="219" t="str">
        <f>Rollover!A44</f>
        <v>Nissan</v>
      </c>
      <c r="D44" s="8" t="str">
        <f>Rollover!B44</f>
        <v>Rogue SUV AWD (early release)</v>
      </c>
      <c r="E44" s="8" t="s">
        <v>149</v>
      </c>
      <c r="F44" s="109">
        <f>Rollover!C44</f>
        <v>2021</v>
      </c>
      <c r="G44" s="9">
        <v>95.481999999999999</v>
      </c>
      <c r="H44" s="10">
        <v>9.15</v>
      </c>
      <c r="I44" s="10">
        <v>19.488</v>
      </c>
      <c r="J44" s="10">
        <v>441.05799999999999</v>
      </c>
      <c r="K44" s="11">
        <v>1509.934</v>
      </c>
      <c r="L44" s="9">
        <v>160.845</v>
      </c>
      <c r="M44" s="10">
        <v>13.993</v>
      </c>
      <c r="N44" s="10">
        <v>31.033999999999999</v>
      </c>
      <c r="O44" s="10">
        <v>13.718</v>
      </c>
      <c r="P44" s="11">
        <v>2282.6239999999998</v>
      </c>
      <c r="Q44" s="22">
        <f t="shared" ref="Q44" si="45">NORMDIST(LN(G44),7.45231,0.73998,1)</f>
        <v>4.6135036644297193E-5</v>
      </c>
      <c r="R44" s="5">
        <f t="shared" ref="R44" si="46">1/(1+EXP(5.3895-0.0919*H44))</f>
        <v>1.0471047051436188E-2</v>
      </c>
      <c r="S44" s="5">
        <f t="shared" ref="S44" si="47">1/(1+EXP(6.04044-0.002133*J44))</f>
        <v>6.0618298843795829E-3</v>
      </c>
      <c r="T44" s="23">
        <f t="shared" ref="T44" si="48">1/(1+EXP(7.5969-0.0011*K44))</f>
        <v>2.6356860625118155E-3</v>
      </c>
      <c r="U44" s="22">
        <f t="shared" ref="U44" si="49">NORMDIST(LN(L44),7.45231,0.73998,1)</f>
        <v>6.7457423078721361E-4</v>
      </c>
      <c r="V44" s="23">
        <f t="shared" ref="V44" si="50">1/(1+EXP(6.3055-0.00094*P44))</f>
        <v>1.537022607789403E-2</v>
      </c>
      <c r="W44" s="22">
        <f t="shared" ref="W44" si="51">ROUND(1-(1-Q44)*(1-R44)*(1-S44)*(1-T44),3)</f>
        <v>1.9E-2</v>
      </c>
      <c r="X44" s="5">
        <f t="shared" ref="X44" si="52">IF(L44="N/A",L44,ROUND(1-(1-U44)*(1-V44),3))</f>
        <v>1.6E-2</v>
      </c>
      <c r="Y44" s="23">
        <f t="shared" ref="Y44" si="53">ROUND(AVERAGE(W44:X44),3)</f>
        <v>1.7999999999999999E-2</v>
      </c>
      <c r="Z44" s="24">
        <f t="shared" ref="Z44" si="54">ROUND(W44/0.15,2)</f>
        <v>0.13</v>
      </c>
      <c r="AA44" s="218">
        <f t="shared" ref="AA44" si="55">IF(L44="N/A", L44, ROUND(X44/0.15,2))</f>
        <v>0.11</v>
      </c>
      <c r="AB44" s="25">
        <f t="shared" ref="AB44" si="56">ROUND(Y44/0.15,2)</f>
        <v>0.12</v>
      </c>
      <c r="AC44" s="20">
        <f t="shared" ref="AC44" si="57">IF(Z44&lt;0.67,5,IF(Z44&lt;1,4,IF(Z44&lt;1.33,3,IF(Z44&lt;2.67,2,1))))</f>
        <v>5</v>
      </c>
      <c r="AD44" s="44">
        <f t="shared" ref="AD44" si="58">IF(L44="N/A",L44,IF(AA44&lt;0.67,5,IF(AA44&lt;1,4,IF(AA44&lt;1.33,3,IF(AA44&lt;2.67,2,1)))))</f>
        <v>5</v>
      </c>
      <c r="AE44" s="21">
        <f t="shared" ref="AE44" si="59">IF(AB44&lt;0.67,5,IF(AB44&lt;1,4,IF(AB44&lt;1.33,3,IF(AB44&lt;2.67,2,1))))</f>
        <v>5</v>
      </c>
      <c r="AF44" s="12"/>
      <c r="AG44" s="12"/>
      <c r="AH44" s="14"/>
      <c r="AI44" s="14"/>
      <c r="AJ44" s="14"/>
      <c r="AK44" s="14"/>
      <c r="AL44" s="13"/>
      <c r="AM44" s="13"/>
      <c r="AN44" s="13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ht="13.35" customHeight="1">
      <c r="A45" s="111">
        <v>11352</v>
      </c>
      <c r="B45" s="217" t="s">
        <v>191</v>
      </c>
      <c r="C45" s="219" t="str">
        <f>Rollover!A45</f>
        <v>Nissan</v>
      </c>
      <c r="D45" s="8" t="str">
        <f>Rollover!B45</f>
        <v>Rogue SUV FWD (later release)</v>
      </c>
      <c r="E45" s="8" t="s">
        <v>149</v>
      </c>
      <c r="F45" s="109">
        <f>Rollover!C45</f>
        <v>2021</v>
      </c>
      <c r="G45" s="9">
        <v>95.481999999999999</v>
      </c>
      <c r="H45" s="10">
        <v>9.15</v>
      </c>
      <c r="I45" s="10">
        <v>19.488</v>
      </c>
      <c r="J45" s="10">
        <v>441.05799999999999</v>
      </c>
      <c r="K45" s="11">
        <v>1509.934</v>
      </c>
      <c r="L45" s="9">
        <v>160.845</v>
      </c>
      <c r="M45" s="10">
        <v>13.993</v>
      </c>
      <c r="N45" s="10">
        <v>31.033999999999999</v>
      </c>
      <c r="O45" s="10">
        <v>13.718</v>
      </c>
      <c r="P45" s="11">
        <v>2282.6239999999998</v>
      </c>
      <c r="Q45" s="22">
        <f t="shared" ref="Q45:Q46" si="60">NORMDIST(LN(G45),7.45231,0.73998,1)</f>
        <v>4.6135036644297193E-5</v>
      </c>
      <c r="R45" s="5">
        <f t="shared" ref="R45:R46" si="61">1/(1+EXP(5.3895-0.0919*H45))</f>
        <v>1.0471047051436188E-2</v>
      </c>
      <c r="S45" s="5">
        <f t="shared" ref="S45:S46" si="62">1/(1+EXP(6.04044-0.002133*J45))</f>
        <v>6.0618298843795829E-3</v>
      </c>
      <c r="T45" s="23">
        <f t="shared" ref="T45:T46" si="63">1/(1+EXP(7.5969-0.0011*K45))</f>
        <v>2.6356860625118155E-3</v>
      </c>
      <c r="U45" s="22">
        <f t="shared" ref="U45:U46" si="64">NORMDIST(LN(L45),7.45231,0.73998,1)</f>
        <v>6.7457423078721361E-4</v>
      </c>
      <c r="V45" s="23">
        <f t="shared" ref="V45:V46" si="65">1/(1+EXP(6.3055-0.00094*P45))</f>
        <v>1.537022607789403E-2</v>
      </c>
      <c r="W45" s="22">
        <f t="shared" ref="W45:W46" si="66">ROUND(1-(1-Q45)*(1-R45)*(1-S45)*(1-T45),3)</f>
        <v>1.9E-2</v>
      </c>
      <c r="X45" s="5">
        <f t="shared" ref="X45:X46" si="67">IF(L45="N/A",L45,ROUND(1-(1-U45)*(1-V45),3))</f>
        <v>1.6E-2</v>
      </c>
      <c r="Y45" s="23">
        <f t="shared" ref="Y45:Y46" si="68">ROUND(AVERAGE(W45:X45),3)</f>
        <v>1.7999999999999999E-2</v>
      </c>
      <c r="Z45" s="24">
        <f t="shared" ref="Z45:Z46" si="69">ROUND(W45/0.15,2)</f>
        <v>0.13</v>
      </c>
      <c r="AA45" s="218">
        <f t="shared" ref="AA45:AA46" si="70">IF(L45="N/A", L45, ROUND(X45/0.15,2))</f>
        <v>0.11</v>
      </c>
      <c r="AB45" s="25">
        <f t="shared" ref="AB45:AB46" si="71">ROUND(Y45/0.15,2)</f>
        <v>0.12</v>
      </c>
      <c r="AC45" s="20">
        <f t="shared" ref="AC45:AC46" si="72">IF(Z45&lt;0.67,5,IF(Z45&lt;1,4,IF(Z45&lt;1.33,3,IF(Z45&lt;2.67,2,1))))</f>
        <v>5</v>
      </c>
      <c r="AD45" s="44">
        <f t="shared" ref="AD45:AD46" si="73">IF(L45="N/A",L45,IF(AA45&lt;0.67,5,IF(AA45&lt;1,4,IF(AA45&lt;1.33,3,IF(AA45&lt;2.67,2,1)))))</f>
        <v>5</v>
      </c>
      <c r="AE45" s="21">
        <f t="shared" ref="AE45:AE46" si="74">IF(AB45&lt;0.67,5,IF(AB45&lt;1,4,IF(AB45&lt;1.33,3,IF(AB45&lt;2.67,2,1))))</f>
        <v>5</v>
      </c>
      <c r="AF45" s="12"/>
      <c r="AG45" s="12"/>
      <c r="AH45" s="14"/>
      <c r="AI45" s="14"/>
      <c r="AJ45" s="14"/>
      <c r="AK45" s="14"/>
      <c r="AL45" s="13"/>
      <c r="AM45" s="13"/>
      <c r="AN45" s="13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ht="13.35" customHeight="1">
      <c r="A46" s="111">
        <v>11352</v>
      </c>
      <c r="B46" s="217" t="s">
        <v>191</v>
      </c>
      <c r="C46" s="219" t="str">
        <f>Rollover!A46</f>
        <v>Nissan</v>
      </c>
      <c r="D46" s="8" t="str">
        <f>Rollover!B46</f>
        <v>Rogue SUV AWD (later release)</v>
      </c>
      <c r="E46" s="8" t="s">
        <v>149</v>
      </c>
      <c r="F46" s="109">
        <f>Rollover!C46</f>
        <v>2021</v>
      </c>
      <c r="G46" s="9">
        <v>95.481999999999999</v>
      </c>
      <c r="H46" s="10">
        <v>9.15</v>
      </c>
      <c r="I46" s="10">
        <v>19.488</v>
      </c>
      <c r="J46" s="10">
        <v>441.05799999999999</v>
      </c>
      <c r="K46" s="11">
        <v>1509.934</v>
      </c>
      <c r="L46" s="9">
        <v>160.845</v>
      </c>
      <c r="M46" s="10">
        <v>13.993</v>
      </c>
      <c r="N46" s="10">
        <v>31.033999999999999</v>
      </c>
      <c r="O46" s="10">
        <v>13.718</v>
      </c>
      <c r="P46" s="11">
        <v>2282.6239999999998</v>
      </c>
      <c r="Q46" s="22">
        <f t="shared" si="60"/>
        <v>4.6135036644297193E-5</v>
      </c>
      <c r="R46" s="5">
        <f t="shared" si="61"/>
        <v>1.0471047051436188E-2</v>
      </c>
      <c r="S46" s="5">
        <f t="shared" si="62"/>
        <v>6.0618298843795829E-3</v>
      </c>
      <c r="T46" s="23">
        <f t="shared" si="63"/>
        <v>2.6356860625118155E-3</v>
      </c>
      <c r="U46" s="22">
        <f t="shared" si="64"/>
        <v>6.7457423078721361E-4</v>
      </c>
      <c r="V46" s="23">
        <f t="shared" si="65"/>
        <v>1.537022607789403E-2</v>
      </c>
      <c r="W46" s="22">
        <f t="shared" si="66"/>
        <v>1.9E-2</v>
      </c>
      <c r="X46" s="5">
        <f t="shared" si="67"/>
        <v>1.6E-2</v>
      </c>
      <c r="Y46" s="23">
        <f t="shared" si="68"/>
        <v>1.7999999999999999E-2</v>
      </c>
      <c r="Z46" s="24">
        <f t="shared" si="69"/>
        <v>0.13</v>
      </c>
      <c r="AA46" s="218">
        <f t="shared" si="70"/>
        <v>0.11</v>
      </c>
      <c r="AB46" s="25">
        <f t="shared" si="71"/>
        <v>0.12</v>
      </c>
      <c r="AC46" s="20">
        <f t="shared" si="72"/>
        <v>5</v>
      </c>
      <c r="AD46" s="44">
        <f t="shared" si="73"/>
        <v>5</v>
      </c>
      <c r="AE46" s="21">
        <f t="shared" si="74"/>
        <v>5</v>
      </c>
      <c r="AF46" s="12"/>
      <c r="AG46" s="12"/>
      <c r="AH46" s="14"/>
      <c r="AI46" s="14"/>
      <c r="AJ46" s="14"/>
      <c r="AK46" s="14"/>
      <c r="AL46" s="13"/>
      <c r="AM46" s="13"/>
      <c r="AN46" s="13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>
      <c r="A47" s="111">
        <v>10913</v>
      </c>
      <c r="B47" s="217" t="s">
        <v>160</v>
      </c>
      <c r="C47" s="26" t="str">
        <f>Rollover!A47</f>
        <v>Subaru</v>
      </c>
      <c r="D47" s="42" t="str">
        <f>Rollover!B47</f>
        <v>Outback SW AWD</v>
      </c>
      <c r="E47" s="8" t="s">
        <v>152</v>
      </c>
      <c r="F47" s="109">
        <f>Rollover!C47</f>
        <v>2021</v>
      </c>
      <c r="G47" s="9">
        <v>28.306000000000001</v>
      </c>
      <c r="H47" s="10">
        <v>12.315</v>
      </c>
      <c r="I47" s="10">
        <v>17.428000000000001</v>
      </c>
      <c r="J47" s="10">
        <v>448.30399999999997</v>
      </c>
      <c r="K47" s="11">
        <v>1098.097</v>
      </c>
      <c r="L47" s="9">
        <v>116.06399999999999</v>
      </c>
      <c r="M47" s="10">
        <v>7.4880000000000004</v>
      </c>
      <c r="N47" s="10">
        <v>51.052</v>
      </c>
      <c r="O47" s="10">
        <v>9.1820000000000004</v>
      </c>
      <c r="P47" s="11">
        <v>2825.4050000000002</v>
      </c>
      <c r="Q47" s="22">
        <f t="shared" ref="Q47:Q51" si="75">NORMDIST(LN(G47),7.45231,0.73998,1)</f>
        <v>1.4026591142925212E-8</v>
      </c>
      <c r="R47" s="5">
        <f t="shared" ref="R47:R51" si="76">1/(1+EXP(5.3895-0.0919*H47))</f>
        <v>1.3956549841022738E-2</v>
      </c>
      <c r="S47" s="5">
        <f t="shared" ref="S47:S51" si="77">1/(1+EXP(6.04044-0.002133*J47))</f>
        <v>6.1556663809201528E-3</v>
      </c>
      <c r="T47" s="23">
        <f t="shared" ref="T47:T51" si="78">1/(1+EXP(7.5969-0.0011*K47))</f>
        <v>1.677129065411007E-3</v>
      </c>
      <c r="U47" s="22">
        <f t="shared" ref="U47:U51" si="79">NORMDIST(LN(L47),7.45231,0.73998,1)</f>
        <v>1.3303625193766548E-4</v>
      </c>
      <c r="V47" s="23">
        <f t="shared" ref="V47:V51" si="80">1/(1+EXP(6.3055-0.00094*P47))</f>
        <v>2.5342104773144802E-2</v>
      </c>
      <c r="W47" s="22">
        <f t="shared" ref="W47:W51" si="81">ROUND(1-(1-Q47)*(1-R47)*(1-S47)*(1-T47),3)</f>
        <v>2.1999999999999999E-2</v>
      </c>
      <c r="X47" s="5">
        <f t="shared" ref="X47:X51" si="82">IF(L47="N/A",L47,ROUND(1-(1-U47)*(1-V47),3))</f>
        <v>2.5000000000000001E-2</v>
      </c>
      <c r="Y47" s="23">
        <f t="shared" ref="Y47:Y51" si="83">ROUND(AVERAGE(W47:X47),3)</f>
        <v>2.4E-2</v>
      </c>
      <c r="Z47" s="24">
        <f t="shared" ref="Z47:Z51" si="84">ROUND(W47/0.15,2)</f>
        <v>0.15</v>
      </c>
      <c r="AA47" s="218">
        <f t="shared" ref="AA47:AA51" si="85">IF(L47="N/A", L47, ROUND(X47/0.15,2))</f>
        <v>0.17</v>
      </c>
      <c r="AB47" s="25">
        <f t="shared" ref="AB47:AB51" si="86">ROUND(Y47/0.15,2)</f>
        <v>0.16</v>
      </c>
      <c r="AC47" s="20">
        <f t="shared" ref="AC47:AC51" si="87">IF(Z47&lt;0.67,5,IF(Z47&lt;1,4,IF(Z47&lt;1.33,3,IF(Z47&lt;2.67,2,1))))</f>
        <v>5</v>
      </c>
      <c r="AD47" s="44">
        <f t="shared" ref="AD47:AD51" si="88">IF(L47="N/A",L47,IF(AA47&lt;0.67,5,IF(AA47&lt;1,4,IF(AA47&lt;1.33,3,IF(AA47&lt;2.67,2,1)))))</f>
        <v>5</v>
      </c>
      <c r="AE47" s="21">
        <f t="shared" ref="AE47:AE51" si="89">IF(AB47&lt;0.67,5,IF(AB47&lt;1,4,IF(AB47&lt;1.33,3,IF(AB47&lt;2.67,2,1))))</f>
        <v>5</v>
      </c>
      <c r="AF47" s="12"/>
      <c r="AG47" s="12"/>
      <c r="AH47" s="14"/>
      <c r="AI47" s="14"/>
      <c r="AJ47" s="14"/>
      <c r="AK47" s="14"/>
      <c r="AL47" s="13"/>
      <c r="AM47" s="13"/>
      <c r="AN47" s="13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3.35" customHeight="1">
      <c r="A48" s="111">
        <v>10912</v>
      </c>
      <c r="B48" s="217" t="s">
        <v>161</v>
      </c>
      <c r="C48" s="219" t="str">
        <f>Rollover!A48</f>
        <v>Subaru</v>
      </c>
      <c r="D48" s="8" t="str">
        <f>Rollover!B48</f>
        <v>Legacy 4DR AWD</v>
      </c>
      <c r="E48" s="8" t="s">
        <v>152</v>
      </c>
      <c r="F48" s="109">
        <f>Rollover!C48</f>
        <v>2021</v>
      </c>
      <c r="G48" s="9">
        <v>50.405999999999999</v>
      </c>
      <c r="H48" s="10">
        <v>19.109000000000002</v>
      </c>
      <c r="I48" s="10">
        <v>30.044</v>
      </c>
      <c r="J48" s="10">
        <v>960.92200000000003</v>
      </c>
      <c r="K48" s="11">
        <v>1487.779</v>
      </c>
      <c r="L48" s="9">
        <v>220.37899999999999</v>
      </c>
      <c r="M48" s="10">
        <v>18.289000000000001</v>
      </c>
      <c r="N48" s="10">
        <v>62.070999999999998</v>
      </c>
      <c r="O48" s="10">
        <v>17.741</v>
      </c>
      <c r="P48" s="11">
        <v>2584.3000000000002</v>
      </c>
      <c r="Q48" s="22">
        <f t="shared" si="75"/>
        <v>9.0583371576187033E-7</v>
      </c>
      <c r="R48" s="5">
        <f t="shared" si="76"/>
        <v>2.5746247689558976E-2</v>
      </c>
      <c r="S48" s="5">
        <f t="shared" si="77"/>
        <v>1.8149547585362569E-2</v>
      </c>
      <c r="T48" s="23">
        <f t="shared" si="78"/>
        <v>2.5723926859840185E-3</v>
      </c>
      <c r="U48" s="22">
        <f t="shared" si="79"/>
        <v>2.7200176585358768E-3</v>
      </c>
      <c r="V48" s="23">
        <f t="shared" si="80"/>
        <v>2.0307310419881684E-2</v>
      </c>
      <c r="W48" s="22">
        <f t="shared" si="81"/>
        <v>4.5999999999999999E-2</v>
      </c>
      <c r="X48" s="5">
        <f t="shared" si="82"/>
        <v>2.3E-2</v>
      </c>
      <c r="Y48" s="23">
        <f t="shared" si="83"/>
        <v>3.5000000000000003E-2</v>
      </c>
      <c r="Z48" s="24">
        <f t="shared" si="84"/>
        <v>0.31</v>
      </c>
      <c r="AA48" s="218">
        <f t="shared" si="85"/>
        <v>0.15</v>
      </c>
      <c r="AB48" s="25">
        <f t="shared" si="86"/>
        <v>0.23</v>
      </c>
      <c r="AC48" s="20">
        <f t="shared" si="87"/>
        <v>5</v>
      </c>
      <c r="AD48" s="44">
        <f t="shared" si="88"/>
        <v>5</v>
      </c>
      <c r="AE48" s="21">
        <f t="shared" si="89"/>
        <v>5</v>
      </c>
      <c r="AF48" s="12"/>
      <c r="AG48" s="12"/>
      <c r="AH48" s="14"/>
      <c r="AI48" s="14"/>
      <c r="AJ48" s="14"/>
      <c r="AK48" s="14"/>
      <c r="AL48" s="13"/>
      <c r="AM48" s="13"/>
      <c r="AN48" s="13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>
      <c r="A49" s="111">
        <v>11289</v>
      </c>
      <c r="B49" s="217" t="s">
        <v>175</v>
      </c>
      <c r="C49" s="26" t="str">
        <f>Rollover!A49</f>
        <v>Toyota</v>
      </c>
      <c r="D49" s="42" t="str">
        <f>Rollover!B49</f>
        <v>Corolla 4DR FWD</v>
      </c>
      <c r="E49" s="8" t="s">
        <v>92</v>
      </c>
      <c r="F49" s="109">
        <f>Rollover!C49</f>
        <v>2021</v>
      </c>
      <c r="G49" s="9">
        <v>91.650999999999996</v>
      </c>
      <c r="H49" s="10">
        <v>23.234999999999999</v>
      </c>
      <c r="I49" s="10">
        <v>26.536999999999999</v>
      </c>
      <c r="J49" s="10">
        <v>576.39200000000005</v>
      </c>
      <c r="K49" s="11">
        <v>1468.913</v>
      </c>
      <c r="L49" s="9">
        <v>137.24600000000001</v>
      </c>
      <c r="M49" s="10">
        <v>29.167000000000002</v>
      </c>
      <c r="N49" s="10">
        <v>42.531999999999996</v>
      </c>
      <c r="O49" s="10">
        <v>15.147</v>
      </c>
      <c r="P49" s="11">
        <v>1633.365</v>
      </c>
      <c r="Q49" s="22">
        <f t="shared" si="75"/>
        <v>3.6635357850424766E-5</v>
      </c>
      <c r="R49" s="5">
        <f t="shared" si="76"/>
        <v>3.7176133909351469E-2</v>
      </c>
      <c r="S49" s="5">
        <f t="shared" si="77"/>
        <v>8.0740290023368078E-3</v>
      </c>
      <c r="T49" s="23">
        <f t="shared" si="78"/>
        <v>2.5196920889331599E-3</v>
      </c>
      <c r="U49" s="22">
        <f t="shared" si="79"/>
        <v>3.1341151458402674E-4</v>
      </c>
      <c r="V49" s="23">
        <f t="shared" si="80"/>
        <v>8.4079266218954202E-3</v>
      </c>
      <c r="W49" s="22">
        <f t="shared" si="81"/>
        <v>4.7E-2</v>
      </c>
      <c r="X49" s="5">
        <f t="shared" si="82"/>
        <v>8.9999999999999993E-3</v>
      </c>
      <c r="Y49" s="23">
        <f t="shared" si="83"/>
        <v>2.8000000000000001E-2</v>
      </c>
      <c r="Z49" s="24">
        <f t="shared" si="84"/>
        <v>0.31</v>
      </c>
      <c r="AA49" s="218">
        <f t="shared" si="85"/>
        <v>0.06</v>
      </c>
      <c r="AB49" s="25">
        <f t="shared" si="86"/>
        <v>0.19</v>
      </c>
      <c r="AC49" s="20">
        <f t="shared" si="87"/>
        <v>5</v>
      </c>
      <c r="AD49" s="44">
        <f t="shared" si="88"/>
        <v>5</v>
      </c>
      <c r="AE49" s="21">
        <f t="shared" si="89"/>
        <v>5</v>
      </c>
      <c r="AF49" s="12"/>
      <c r="AG49" s="12"/>
      <c r="AH49" s="14"/>
      <c r="AI49" s="14"/>
      <c r="AJ49" s="14"/>
      <c r="AK49" s="14"/>
      <c r="AL49" s="13"/>
      <c r="AM49" s="13"/>
      <c r="AN49" s="13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>
      <c r="A50" s="111">
        <v>11289</v>
      </c>
      <c r="B50" s="217" t="s">
        <v>175</v>
      </c>
      <c r="C50" s="219" t="str">
        <f>Rollover!A50</f>
        <v>Toyota</v>
      </c>
      <c r="D50" s="8" t="str">
        <f>Rollover!B50</f>
        <v>Corolla Hybrid 4DR FWD</v>
      </c>
      <c r="E50" s="8" t="s">
        <v>92</v>
      </c>
      <c r="F50" s="109">
        <f>Rollover!C50</f>
        <v>2021</v>
      </c>
      <c r="G50" s="9">
        <v>91.650999999999996</v>
      </c>
      <c r="H50" s="10">
        <v>23.234999999999999</v>
      </c>
      <c r="I50" s="10">
        <v>26.536999999999999</v>
      </c>
      <c r="J50" s="10">
        <v>576.39200000000005</v>
      </c>
      <c r="K50" s="11">
        <v>1468.913</v>
      </c>
      <c r="L50" s="9">
        <v>137.24600000000001</v>
      </c>
      <c r="M50" s="10">
        <v>29.167000000000002</v>
      </c>
      <c r="N50" s="10">
        <v>42.531999999999996</v>
      </c>
      <c r="O50" s="10">
        <v>15.147</v>
      </c>
      <c r="P50" s="11">
        <v>1633.365</v>
      </c>
      <c r="Q50" s="22">
        <f t="shared" si="75"/>
        <v>3.6635357850424766E-5</v>
      </c>
      <c r="R50" s="5">
        <f t="shared" si="76"/>
        <v>3.7176133909351469E-2</v>
      </c>
      <c r="S50" s="5">
        <f t="shared" si="77"/>
        <v>8.0740290023368078E-3</v>
      </c>
      <c r="T50" s="23">
        <f t="shared" si="78"/>
        <v>2.5196920889331599E-3</v>
      </c>
      <c r="U50" s="22">
        <f t="shared" si="79"/>
        <v>3.1341151458402674E-4</v>
      </c>
      <c r="V50" s="23">
        <f t="shared" si="80"/>
        <v>8.4079266218954202E-3</v>
      </c>
      <c r="W50" s="22">
        <f t="shared" si="81"/>
        <v>4.7E-2</v>
      </c>
      <c r="X50" s="5">
        <f t="shared" si="82"/>
        <v>8.9999999999999993E-3</v>
      </c>
      <c r="Y50" s="23">
        <f t="shared" si="83"/>
        <v>2.8000000000000001E-2</v>
      </c>
      <c r="Z50" s="24">
        <f t="shared" si="84"/>
        <v>0.31</v>
      </c>
      <c r="AA50" s="218">
        <f t="shared" si="85"/>
        <v>0.06</v>
      </c>
      <c r="AB50" s="25">
        <f t="shared" si="86"/>
        <v>0.19</v>
      </c>
      <c r="AC50" s="20">
        <f t="shared" si="87"/>
        <v>5</v>
      </c>
      <c r="AD50" s="44">
        <f t="shared" si="88"/>
        <v>5</v>
      </c>
      <c r="AE50" s="21">
        <f t="shared" si="89"/>
        <v>5</v>
      </c>
      <c r="AF50" s="12"/>
      <c r="AG50" s="12"/>
      <c r="AH50" s="14"/>
      <c r="AI50" s="14"/>
      <c r="AJ50" s="14"/>
      <c r="AK50" s="14"/>
      <c r="AL50" s="13"/>
      <c r="AM50" s="13"/>
      <c r="AN50" s="13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>
      <c r="A51" s="111">
        <v>11289</v>
      </c>
      <c r="B51" s="220" t="s">
        <v>175</v>
      </c>
      <c r="C51" s="219" t="str">
        <f>Rollover!A51</f>
        <v>Toyota</v>
      </c>
      <c r="D51" s="8" t="str">
        <f>Rollover!B51</f>
        <v>Corolla Hatchback 5HB FWD</v>
      </c>
      <c r="E51" s="8" t="s">
        <v>92</v>
      </c>
      <c r="F51" s="109">
        <f>Rollover!C51</f>
        <v>2021</v>
      </c>
      <c r="G51" s="9">
        <v>91.650999999999996</v>
      </c>
      <c r="H51" s="10">
        <v>23.234999999999999</v>
      </c>
      <c r="I51" s="10">
        <v>26.536999999999999</v>
      </c>
      <c r="J51" s="10">
        <v>576.39200000000005</v>
      </c>
      <c r="K51" s="11">
        <v>1468.913</v>
      </c>
      <c r="L51" s="9">
        <v>137.24600000000001</v>
      </c>
      <c r="M51" s="10">
        <v>29.167000000000002</v>
      </c>
      <c r="N51" s="10">
        <v>42.531999999999996</v>
      </c>
      <c r="O51" s="10">
        <v>15.147</v>
      </c>
      <c r="P51" s="11">
        <v>1633.365</v>
      </c>
      <c r="Q51" s="22">
        <f t="shared" si="75"/>
        <v>3.6635357850424766E-5</v>
      </c>
      <c r="R51" s="5">
        <f t="shared" si="76"/>
        <v>3.7176133909351469E-2</v>
      </c>
      <c r="S51" s="5">
        <f t="shared" si="77"/>
        <v>8.0740290023368078E-3</v>
      </c>
      <c r="T51" s="23">
        <f t="shared" si="78"/>
        <v>2.5196920889331599E-3</v>
      </c>
      <c r="U51" s="22">
        <f t="shared" si="79"/>
        <v>3.1341151458402674E-4</v>
      </c>
      <c r="V51" s="23">
        <f t="shared" si="80"/>
        <v>8.4079266218954202E-3</v>
      </c>
      <c r="W51" s="22">
        <f t="shared" si="81"/>
        <v>4.7E-2</v>
      </c>
      <c r="X51" s="5">
        <f t="shared" si="82"/>
        <v>8.9999999999999993E-3</v>
      </c>
      <c r="Y51" s="23">
        <f t="shared" si="83"/>
        <v>2.8000000000000001E-2</v>
      </c>
      <c r="Z51" s="24">
        <f t="shared" si="84"/>
        <v>0.31</v>
      </c>
      <c r="AA51" s="218">
        <f t="shared" si="85"/>
        <v>0.06</v>
      </c>
      <c r="AB51" s="25">
        <f t="shared" si="86"/>
        <v>0.19</v>
      </c>
      <c r="AC51" s="20">
        <f t="shared" si="87"/>
        <v>5</v>
      </c>
      <c r="AD51" s="44">
        <f t="shared" si="88"/>
        <v>5</v>
      </c>
      <c r="AE51" s="21">
        <f t="shared" si="89"/>
        <v>5</v>
      </c>
      <c r="AF51" s="12"/>
      <c r="AG51" s="12"/>
      <c r="AH51" s="14"/>
      <c r="AI51" s="14"/>
      <c r="AJ51" s="14"/>
      <c r="AK51" s="14"/>
      <c r="AL51" s="13"/>
      <c r="AM51" s="13"/>
      <c r="AN51" s="13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>
      <c r="AE52" s="2"/>
    </row>
    <row r="53" spans="1:51">
      <c r="AE53" s="2"/>
    </row>
    <row r="54" spans="1:51">
      <c r="AE54" s="2"/>
    </row>
    <row r="55" spans="1:51">
      <c r="AE55" s="2"/>
    </row>
    <row r="56" spans="1:51">
      <c r="AE56" s="2"/>
    </row>
    <row r="57" spans="1:51">
      <c r="AE57" s="2"/>
    </row>
    <row r="58" spans="1:51">
      <c r="AE58" s="2"/>
    </row>
    <row r="59" spans="1:51">
      <c r="AE59" s="2"/>
    </row>
    <row r="60" spans="1:51">
      <c r="AE60" s="2"/>
    </row>
    <row r="61" spans="1:51">
      <c r="AE61" s="2"/>
    </row>
    <row r="62" spans="1:51">
      <c r="AE62" s="2"/>
    </row>
    <row r="63" spans="1:51">
      <c r="AE63" s="2"/>
    </row>
    <row r="64" spans="1:5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1"/>
  <sheetViews>
    <sheetView zoomScaleNormal="100" workbookViewId="0">
      <pane xSplit="6" ySplit="2" topLeftCell="G15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3" sqref="A23:XFD24"/>
    </sheetView>
  </sheetViews>
  <sheetFormatPr defaultColWidth="9.42578125" defaultRowHeight="14.1" customHeight="1"/>
  <cols>
    <col min="1" max="1" width="8.5703125" style="196" bestFit="1" customWidth="1"/>
    <col min="2" max="2" width="9" style="196" bestFit="1" customWidth="1"/>
    <col min="3" max="3" width="13.5703125" style="197" bestFit="1" customWidth="1"/>
    <col min="4" max="4" width="36.42578125" style="197" bestFit="1" customWidth="1"/>
    <col min="5" max="5" width="6.5703125" style="198" customWidth="1"/>
    <col min="6" max="6" width="7.42578125" style="199" bestFit="1" customWidth="1"/>
    <col min="7" max="10" width="8.5703125" style="193" customWidth="1"/>
    <col min="11" max="11" width="9.5703125" style="193" customWidth="1"/>
    <col min="12" max="12" width="7" style="193" customWidth="1"/>
    <col min="13" max="13" width="7.42578125" style="193" customWidth="1"/>
    <col min="14" max="14" width="7.5703125" style="200" customWidth="1"/>
    <col min="15" max="15" width="8.5703125" style="200" bestFit="1" customWidth="1"/>
    <col min="16" max="16" width="8.42578125" style="201" customWidth="1"/>
    <col min="17" max="17" width="9.42578125" style="200" customWidth="1"/>
    <col min="18" max="18" width="10.42578125" style="193" customWidth="1"/>
    <col min="19" max="19" width="6" style="196" customWidth="1"/>
    <col min="20" max="20" width="10.42578125" style="196" bestFit="1" customWidth="1"/>
    <col min="21" max="21" width="10.42578125" style="196" customWidth="1"/>
    <col min="22" max="22" width="10.42578125" style="196" bestFit="1" customWidth="1"/>
    <col min="23" max="16384" width="9.42578125" style="193"/>
  </cols>
  <sheetData>
    <row r="1" spans="1:38" s="183" customFormat="1" ht="14.1" customHeight="1" thickBot="1">
      <c r="A1" s="175"/>
      <c r="B1" s="176"/>
      <c r="C1" s="177"/>
      <c r="D1" s="177"/>
      <c r="E1" s="178"/>
      <c r="F1" s="179"/>
      <c r="G1" s="180" t="s">
        <v>46</v>
      </c>
      <c r="H1" s="181"/>
      <c r="I1" s="181"/>
      <c r="J1" s="181"/>
      <c r="K1" s="182"/>
      <c r="L1" s="180" t="s">
        <v>46</v>
      </c>
      <c r="M1" s="182"/>
      <c r="N1" s="52" t="s">
        <v>13</v>
      </c>
      <c r="O1" s="54" t="s">
        <v>13</v>
      </c>
      <c r="P1" s="39" t="s">
        <v>45</v>
      </c>
      <c r="Q1" s="52" t="s">
        <v>13</v>
      </c>
      <c r="R1" s="51" t="s">
        <v>13</v>
      </c>
      <c r="S1" s="39" t="s">
        <v>13</v>
      </c>
      <c r="T1" s="37" t="s">
        <v>59</v>
      </c>
      <c r="U1" s="38" t="s">
        <v>75</v>
      </c>
      <c r="V1" s="39" t="s">
        <v>59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s="188" customFormat="1" ht="45.75" thickBot="1">
      <c r="A2" s="37" t="s">
        <v>26</v>
      </c>
      <c r="B2" s="38" t="s">
        <v>82</v>
      </c>
      <c r="C2" s="184" t="s">
        <v>18</v>
      </c>
      <c r="D2" s="184" t="s">
        <v>19</v>
      </c>
      <c r="E2" s="185" t="s">
        <v>74</v>
      </c>
      <c r="F2" s="186" t="s">
        <v>20</v>
      </c>
      <c r="G2" s="55" t="s">
        <v>58</v>
      </c>
      <c r="H2" s="51" t="s">
        <v>71</v>
      </c>
      <c r="I2" s="51" t="s">
        <v>72</v>
      </c>
      <c r="J2" s="51" t="s">
        <v>70</v>
      </c>
      <c r="K2" s="187" t="s">
        <v>39</v>
      </c>
      <c r="L2" s="52" t="s">
        <v>1</v>
      </c>
      <c r="M2" s="53" t="s">
        <v>15</v>
      </c>
      <c r="N2" s="52" t="s">
        <v>17</v>
      </c>
      <c r="O2" s="54" t="s">
        <v>65</v>
      </c>
      <c r="P2" s="39" t="s">
        <v>44</v>
      </c>
      <c r="Q2" s="55" t="s">
        <v>78</v>
      </c>
      <c r="R2" s="51" t="s">
        <v>79</v>
      </c>
      <c r="S2" s="56" t="s">
        <v>80</v>
      </c>
      <c r="T2" s="55" t="s">
        <v>77</v>
      </c>
      <c r="U2" s="51" t="s">
        <v>76</v>
      </c>
      <c r="V2" s="56" t="s">
        <v>81</v>
      </c>
      <c r="W2" s="4"/>
      <c r="X2" s="4"/>
      <c r="Y2" s="40"/>
      <c r="Z2" s="40"/>
      <c r="AA2" s="40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14.1" customHeight="1">
      <c r="A3" s="189">
        <v>11353</v>
      </c>
      <c r="B3" s="190" t="s">
        <v>192</v>
      </c>
      <c r="C3" s="191" t="str">
        <f>Rollover!A3</f>
        <v>Acura</v>
      </c>
      <c r="D3" s="191" t="str">
        <f>Rollover!B3</f>
        <v>TLX 4DR FWD</v>
      </c>
      <c r="E3" s="105" t="s">
        <v>92</v>
      </c>
      <c r="F3" s="192">
        <f>Rollover!C3</f>
        <v>2021</v>
      </c>
      <c r="G3" s="57">
        <v>464.25599999999997</v>
      </c>
      <c r="H3" s="10">
        <v>17.504999999999999</v>
      </c>
      <c r="I3" s="10">
        <v>32.673000000000002</v>
      </c>
      <c r="J3" s="58">
        <v>19.827000000000002</v>
      </c>
      <c r="K3" s="11">
        <v>2154.674</v>
      </c>
      <c r="L3" s="22">
        <f t="shared" ref="L3" si="0">NORMDIST(LN(G3),7.45231,0.73998,1)</f>
        <v>3.8126745573523975E-2</v>
      </c>
      <c r="M3" s="23">
        <f t="shared" ref="M3:M21" si="1">1/(1+EXP(6.3055-0.00094*K3))</f>
        <v>1.3652225718880162E-2</v>
      </c>
      <c r="N3" s="22">
        <f t="shared" ref="N3:N21" si="2">ROUND(1-(1-L3)*(1-M3),3)</f>
        <v>5.0999999999999997E-2</v>
      </c>
      <c r="O3" s="5">
        <f t="shared" ref="O3:O21" si="3">ROUND(N3/0.15,2)</f>
        <v>0.34</v>
      </c>
      <c r="P3" s="21">
        <f t="shared" ref="P3:P21" si="4">IF(O3&lt;0.67,5,IF(O3&lt;1,4,IF(O3&lt;1.33,3,IF(O3&lt;2.67,2,1))))</f>
        <v>5</v>
      </c>
      <c r="Q3" s="59">
        <f>ROUND((0.8*'Side MDB'!W3+0.2*'Side Pole'!N3),3)</f>
        <v>4.4999999999999998E-2</v>
      </c>
      <c r="R3" s="60">
        <f t="shared" ref="R3:R21" si="5">ROUND((Q3)/0.15,2)</f>
        <v>0.3</v>
      </c>
      <c r="S3" s="21">
        <f t="shared" ref="S3:S21" si="6">IF(R3&lt;0.67,5,IF(R3&lt;1,4,IF(R3&lt;1.33,3,IF(R3&lt;2.67,2,1))))</f>
        <v>5</v>
      </c>
      <c r="T3" s="59">
        <f>ROUND(((0.8*'Side MDB'!W3+0.2*'Side Pole'!N3)+(IF('Side MDB'!X3="N/A",(0.8*'Side MDB'!W3+0.2*'Side Pole'!N3),'Side MDB'!X3)))/2,3)</f>
        <v>3.1E-2</v>
      </c>
      <c r="U3" s="60">
        <f t="shared" ref="U3:U21" si="7">ROUND((T3)/0.15,2)</f>
        <v>0.21</v>
      </c>
      <c r="V3" s="21">
        <f t="shared" ref="V3:V21" si="8">IF(U3&lt;0.67,5,IF(U3&lt;1,4,IF(U3&lt;1.33,3,IF(U3&lt;2.67,2,1))))</f>
        <v>5</v>
      </c>
      <c r="W3" s="14"/>
      <c r="X3" s="14"/>
      <c r="Y3" s="61"/>
      <c r="Z3" s="61"/>
      <c r="AA3" s="61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38" ht="14.1" customHeight="1">
      <c r="A4" s="189">
        <v>11353</v>
      </c>
      <c r="B4" s="190" t="s">
        <v>192</v>
      </c>
      <c r="C4" s="63" t="str">
        <f>Rollover!A4</f>
        <v>Acura</v>
      </c>
      <c r="D4" s="63" t="str">
        <f>Rollover!B4</f>
        <v>TLX 4DR AWD</v>
      </c>
      <c r="E4" s="105" t="s">
        <v>92</v>
      </c>
      <c r="F4" s="192">
        <f>Rollover!C4</f>
        <v>2021</v>
      </c>
      <c r="G4" s="57">
        <v>464.25599999999997</v>
      </c>
      <c r="H4" s="10">
        <v>17.504999999999999</v>
      </c>
      <c r="I4" s="10">
        <v>32.673000000000002</v>
      </c>
      <c r="J4" s="58">
        <v>19.827000000000002</v>
      </c>
      <c r="K4" s="11">
        <v>2154.674</v>
      </c>
      <c r="L4" s="22">
        <f t="shared" ref="L4" si="9">NORMDIST(LN(G4),7.45231,0.73998,1)</f>
        <v>3.8126745573523975E-2</v>
      </c>
      <c r="M4" s="23">
        <f t="shared" si="1"/>
        <v>1.3652225718880162E-2</v>
      </c>
      <c r="N4" s="22">
        <f t="shared" si="2"/>
        <v>5.0999999999999997E-2</v>
      </c>
      <c r="O4" s="5">
        <f t="shared" si="3"/>
        <v>0.34</v>
      </c>
      <c r="P4" s="21">
        <f t="shared" si="4"/>
        <v>5</v>
      </c>
      <c r="Q4" s="59">
        <f>ROUND((0.8*'Side MDB'!W4+0.2*'Side Pole'!N4),3)</f>
        <v>4.4999999999999998E-2</v>
      </c>
      <c r="R4" s="60">
        <f t="shared" si="5"/>
        <v>0.3</v>
      </c>
      <c r="S4" s="21">
        <f t="shared" si="6"/>
        <v>5</v>
      </c>
      <c r="T4" s="59">
        <f>ROUND(((0.8*'Side MDB'!W4+0.2*'Side Pole'!N4)+(IF('Side MDB'!X4="N/A",(0.8*'Side MDB'!W4+0.2*'Side Pole'!N4),'Side MDB'!X4)))/2,3)</f>
        <v>3.1E-2</v>
      </c>
      <c r="U4" s="60">
        <f t="shared" si="7"/>
        <v>0.21</v>
      </c>
      <c r="V4" s="21">
        <f t="shared" si="8"/>
        <v>5</v>
      </c>
      <c r="W4" s="14"/>
      <c r="X4" s="14"/>
      <c r="Y4" s="61"/>
      <c r="Z4" s="61"/>
      <c r="AA4" s="61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38" ht="14.1" customHeight="1">
      <c r="A5" s="189">
        <v>11358</v>
      </c>
      <c r="B5" s="190" t="s">
        <v>199</v>
      </c>
      <c r="C5" s="191" t="str">
        <f>Rollover!A5</f>
        <v>Cadillac</v>
      </c>
      <c r="D5" s="191" t="str">
        <f>Rollover!B5</f>
        <v>XT6 SUV FWD</v>
      </c>
      <c r="E5" s="105" t="s">
        <v>149</v>
      </c>
      <c r="F5" s="192">
        <f>Rollover!C5</f>
        <v>2021</v>
      </c>
      <c r="G5" s="57">
        <v>282.87299999999999</v>
      </c>
      <c r="H5" s="10">
        <v>35.893000000000001</v>
      </c>
      <c r="I5" s="10">
        <v>43.072000000000003</v>
      </c>
      <c r="J5" s="58">
        <v>40.024000000000001</v>
      </c>
      <c r="K5" s="11">
        <v>2782.8380000000002</v>
      </c>
      <c r="L5" s="22">
        <f t="shared" ref="L5:L21" si="10">NORMDIST(LN(G5),7.45231,0.73998,1)</f>
        <v>7.295400267543709E-3</v>
      </c>
      <c r="M5" s="23">
        <f t="shared" si="1"/>
        <v>2.4372336552130919E-2</v>
      </c>
      <c r="N5" s="22">
        <f t="shared" si="2"/>
        <v>3.1E-2</v>
      </c>
      <c r="O5" s="5">
        <f t="shared" si="3"/>
        <v>0.21</v>
      </c>
      <c r="P5" s="21">
        <f t="shared" si="4"/>
        <v>5</v>
      </c>
      <c r="Q5" s="59">
        <f>ROUND((0.8*'Side MDB'!W5+0.2*'Side Pole'!N5),3)</f>
        <v>3.2000000000000001E-2</v>
      </c>
      <c r="R5" s="60">
        <f t="shared" si="5"/>
        <v>0.21</v>
      </c>
      <c r="S5" s="21">
        <f t="shared" si="6"/>
        <v>5</v>
      </c>
      <c r="T5" s="59">
        <f>ROUND(((0.8*'Side MDB'!W5+0.2*'Side Pole'!N5)+(IF('Side MDB'!X5="N/A",(0.8*'Side MDB'!W5+0.2*'Side Pole'!N5),'Side MDB'!X5)))/2,3)</f>
        <v>2.1000000000000001E-2</v>
      </c>
      <c r="U5" s="60">
        <f t="shared" si="7"/>
        <v>0.14000000000000001</v>
      </c>
      <c r="V5" s="21">
        <f t="shared" si="8"/>
        <v>5</v>
      </c>
      <c r="W5" s="14"/>
      <c r="X5" s="14"/>
      <c r="Y5" s="61"/>
      <c r="Z5" s="61"/>
      <c r="AA5" s="61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ht="14.1" customHeight="1">
      <c r="A6" s="189">
        <v>11358</v>
      </c>
      <c r="B6" s="190" t="s">
        <v>199</v>
      </c>
      <c r="C6" s="63" t="str">
        <f>Rollover!A6</f>
        <v>Cadillac</v>
      </c>
      <c r="D6" s="63" t="str">
        <f>Rollover!B6</f>
        <v>XT6 SUV AWD</v>
      </c>
      <c r="E6" s="105" t="s">
        <v>149</v>
      </c>
      <c r="F6" s="192">
        <f>Rollover!C6</f>
        <v>2021</v>
      </c>
      <c r="G6" s="57">
        <v>282.87299999999999</v>
      </c>
      <c r="H6" s="10">
        <v>35.893000000000001</v>
      </c>
      <c r="I6" s="10">
        <v>43.072000000000003</v>
      </c>
      <c r="J6" s="58">
        <v>40.024000000000001</v>
      </c>
      <c r="K6" s="11">
        <v>2782.8380000000002</v>
      </c>
      <c r="L6" s="22">
        <f t="shared" si="10"/>
        <v>7.295400267543709E-3</v>
      </c>
      <c r="M6" s="23">
        <f t="shared" si="1"/>
        <v>2.4372336552130919E-2</v>
      </c>
      <c r="N6" s="22">
        <f t="shared" si="2"/>
        <v>3.1E-2</v>
      </c>
      <c r="O6" s="5">
        <f t="shared" si="3"/>
        <v>0.21</v>
      </c>
      <c r="P6" s="21">
        <f t="shared" si="4"/>
        <v>5</v>
      </c>
      <c r="Q6" s="59">
        <f>ROUND((0.8*'Side MDB'!W6+0.2*'Side Pole'!N6),3)</f>
        <v>3.2000000000000001E-2</v>
      </c>
      <c r="R6" s="60">
        <f t="shared" si="5"/>
        <v>0.21</v>
      </c>
      <c r="S6" s="21">
        <f t="shared" si="6"/>
        <v>5</v>
      </c>
      <c r="T6" s="59">
        <f>ROUND(((0.8*'Side MDB'!W6+0.2*'Side Pole'!N6)+(IF('Side MDB'!X6="N/A",(0.8*'Side MDB'!W6+0.2*'Side Pole'!N6),'Side MDB'!X6)))/2,3)</f>
        <v>2.1000000000000001E-2</v>
      </c>
      <c r="U6" s="60">
        <f t="shared" si="7"/>
        <v>0.14000000000000001</v>
      </c>
      <c r="V6" s="21">
        <f t="shared" si="8"/>
        <v>5</v>
      </c>
      <c r="W6" s="14"/>
      <c r="X6" s="14"/>
      <c r="Y6" s="61"/>
      <c r="Z6" s="61"/>
      <c r="AA6" s="61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ht="14.1" customHeight="1">
      <c r="A7" s="189">
        <v>11349</v>
      </c>
      <c r="B7" s="190" t="s">
        <v>196</v>
      </c>
      <c r="C7" s="191" t="str">
        <f>Rollover!A7</f>
        <v>Chevrolet</v>
      </c>
      <c r="D7" s="191" t="str">
        <f>Rollover!B7</f>
        <v>Tahoe SUV 2WD</v>
      </c>
      <c r="E7" s="105" t="s">
        <v>147</v>
      </c>
      <c r="F7" s="192">
        <f>Rollover!C7</f>
        <v>2021</v>
      </c>
      <c r="G7" s="57">
        <v>239.029</v>
      </c>
      <c r="H7" s="10">
        <v>17.385999999999999</v>
      </c>
      <c r="I7" s="10">
        <v>38.186999999999998</v>
      </c>
      <c r="J7" s="58">
        <v>17.359000000000002</v>
      </c>
      <c r="K7" s="11">
        <v>3396.3969999999999</v>
      </c>
      <c r="L7" s="22">
        <f t="shared" si="10"/>
        <v>3.7928902848494211E-3</v>
      </c>
      <c r="M7" s="23">
        <f t="shared" si="1"/>
        <v>4.2578805022149134E-2</v>
      </c>
      <c r="N7" s="22">
        <f t="shared" si="2"/>
        <v>4.5999999999999999E-2</v>
      </c>
      <c r="O7" s="5">
        <f t="shared" si="3"/>
        <v>0.31</v>
      </c>
      <c r="P7" s="21">
        <f t="shared" si="4"/>
        <v>5</v>
      </c>
      <c r="Q7" s="59">
        <f>ROUND((0.8*'Side MDB'!W7+0.2*'Side Pole'!N7),3)</f>
        <v>3.3000000000000002E-2</v>
      </c>
      <c r="R7" s="60">
        <f t="shared" si="5"/>
        <v>0.22</v>
      </c>
      <c r="S7" s="21">
        <f t="shared" si="6"/>
        <v>5</v>
      </c>
      <c r="T7" s="59">
        <f>ROUND(((0.8*'Side MDB'!W7+0.2*'Side Pole'!N7)+(IF('Side MDB'!X7="N/A",(0.8*'Side MDB'!W7+0.2*'Side Pole'!N7),'Side MDB'!X7)))/2,3)</f>
        <v>1.9E-2</v>
      </c>
      <c r="U7" s="60">
        <f t="shared" si="7"/>
        <v>0.13</v>
      </c>
      <c r="V7" s="21">
        <f t="shared" si="8"/>
        <v>5</v>
      </c>
      <c r="W7" s="14"/>
      <c r="X7" s="14"/>
      <c r="Y7" s="61"/>
      <c r="Z7" s="61"/>
      <c r="AA7" s="61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1:38" ht="14.1" customHeight="1">
      <c r="A8" s="189">
        <v>11349</v>
      </c>
      <c r="B8" s="190" t="s">
        <v>196</v>
      </c>
      <c r="C8" s="63" t="str">
        <f>Rollover!A8</f>
        <v>Chevrolet</v>
      </c>
      <c r="D8" s="63" t="str">
        <f>Rollover!B8</f>
        <v>Tahoe SUV 4WD</v>
      </c>
      <c r="E8" s="105" t="s">
        <v>147</v>
      </c>
      <c r="F8" s="192">
        <f>Rollover!C8</f>
        <v>2021</v>
      </c>
      <c r="G8" s="57">
        <v>239.029</v>
      </c>
      <c r="H8" s="10">
        <v>17.385999999999999</v>
      </c>
      <c r="I8" s="10">
        <v>38.186999999999998</v>
      </c>
      <c r="J8" s="58">
        <v>17.359000000000002</v>
      </c>
      <c r="K8" s="11">
        <v>3396.3969999999999</v>
      </c>
      <c r="L8" s="22">
        <f t="shared" si="10"/>
        <v>3.7928902848494211E-3</v>
      </c>
      <c r="M8" s="23">
        <f t="shared" si="1"/>
        <v>4.2578805022149134E-2</v>
      </c>
      <c r="N8" s="22">
        <f t="shared" si="2"/>
        <v>4.5999999999999999E-2</v>
      </c>
      <c r="O8" s="5">
        <f t="shared" si="3"/>
        <v>0.31</v>
      </c>
      <c r="P8" s="21">
        <f t="shared" si="4"/>
        <v>5</v>
      </c>
      <c r="Q8" s="59">
        <f>ROUND((0.8*'Side MDB'!W8+0.2*'Side Pole'!N8),3)</f>
        <v>3.3000000000000002E-2</v>
      </c>
      <c r="R8" s="60">
        <f t="shared" si="5"/>
        <v>0.22</v>
      </c>
      <c r="S8" s="21">
        <f t="shared" si="6"/>
        <v>5</v>
      </c>
      <c r="T8" s="59">
        <f>ROUND(((0.8*'Side MDB'!W8+0.2*'Side Pole'!N8)+(IF('Side MDB'!X8="N/A",(0.8*'Side MDB'!W8+0.2*'Side Pole'!N8),'Side MDB'!X8)))/2,3)</f>
        <v>1.9E-2</v>
      </c>
      <c r="U8" s="60">
        <f t="shared" si="7"/>
        <v>0.13</v>
      </c>
      <c r="V8" s="21">
        <f t="shared" si="8"/>
        <v>5</v>
      </c>
      <c r="W8" s="14"/>
      <c r="X8" s="14"/>
      <c r="Y8" s="61"/>
      <c r="Z8" s="61"/>
      <c r="AA8" s="61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ht="13.35" customHeight="1">
      <c r="A9" s="189">
        <v>11349</v>
      </c>
      <c r="B9" s="190" t="s">
        <v>196</v>
      </c>
      <c r="C9" s="63" t="str">
        <f>Rollover!A9</f>
        <v xml:space="preserve">GMC </v>
      </c>
      <c r="D9" s="63" t="str">
        <f>Rollover!B9</f>
        <v>Yukon SUV 2WD</v>
      </c>
      <c r="E9" s="105" t="s">
        <v>147</v>
      </c>
      <c r="F9" s="192">
        <f>Rollover!C9</f>
        <v>2021</v>
      </c>
      <c r="G9" s="57">
        <v>239.029</v>
      </c>
      <c r="H9" s="10">
        <v>17.385999999999999</v>
      </c>
      <c r="I9" s="10">
        <v>38.186999999999998</v>
      </c>
      <c r="J9" s="58">
        <v>17.359000000000002</v>
      </c>
      <c r="K9" s="11">
        <v>3396.3969999999999</v>
      </c>
      <c r="L9" s="22">
        <f t="shared" si="10"/>
        <v>3.7928902848494211E-3</v>
      </c>
      <c r="M9" s="23">
        <f t="shared" si="1"/>
        <v>4.2578805022149134E-2</v>
      </c>
      <c r="N9" s="22">
        <f t="shared" si="2"/>
        <v>4.5999999999999999E-2</v>
      </c>
      <c r="O9" s="5">
        <f t="shared" si="3"/>
        <v>0.31</v>
      </c>
      <c r="P9" s="21">
        <f t="shared" si="4"/>
        <v>5</v>
      </c>
      <c r="Q9" s="59">
        <f>ROUND((0.8*'Side MDB'!W9+0.2*'Side Pole'!N9),3)</f>
        <v>3.3000000000000002E-2</v>
      </c>
      <c r="R9" s="60">
        <f t="shared" si="5"/>
        <v>0.22</v>
      </c>
      <c r="S9" s="21">
        <f t="shared" si="6"/>
        <v>5</v>
      </c>
      <c r="T9" s="59">
        <f>ROUND(((0.8*'Side MDB'!W9+0.2*'Side Pole'!N9)+(IF('Side MDB'!X9="N/A",(0.8*'Side MDB'!W9+0.2*'Side Pole'!N9),'Side MDB'!X9)))/2,3)</f>
        <v>1.9E-2</v>
      </c>
      <c r="U9" s="60">
        <f t="shared" si="7"/>
        <v>0.13</v>
      </c>
      <c r="V9" s="21">
        <f t="shared" si="8"/>
        <v>5</v>
      </c>
      <c r="W9" s="14"/>
      <c r="X9" s="14"/>
      <c r="Y9" s="61"/>
      <c r="Z9" s="61"/>
      <c r="AA9" s="61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1:38" ht="14.1" customHeight="1">
      <c r="A10" s="189">
        <v>11349</v>
      </c>
      <c r="B10" s="190" t="s">
        <v>196</v>
      </c>
      <c r="C10" s="63" t="str">
        <f>Rollover!A10</f>
        <v xml:space="preserve">GMC </v>
      </c>
      <c r="D10" s="63" t="str">
        <f>Rollover!B10</f>
        <v>Yukon SUV 4WD</v>
      </c>
      <c r="E10" s="105" t="s">
        <v>147</v>
      </c>
      <c r="F10" s="192">
        <f>Rollover!C10</f>
        <v>2021</v>
      </c>
      <c r="G10" s="57">
        <v>239.029</v>
      </c>
      <c r="H10" s="10">
        <v>17.385999999999999</v>
      </c>
      <c r="I10" s="10">
        <v>38.186999999999998</v>
      </c>
      <c r="J10" s="58">
        <v>17.359000000000002</v>
      </c>
      <c r="K10" s="11">
        <v>3396.3969999999999</v>
      </c>
      <c r="L10" s="22">
        <f t="shared" si="10"/>
        <v>3.7928902848494211E-3</v>
      </c>
      <c r="M10" s="23">
        <f t="shared" si="1"/>
        <v>4.2578805022149134E-2</v>
      </c>
      <c r="N10" s="22">
        <f t="shared" si="2"/>
        <v>4.5999999999999999E-2</v>
      </c>
      <c r="O10" s="5">
        <f t="shared" si="3"/>
        <v>0.31</v>
      </c>
      <c r="P10" s="21">
        <f t="shared" si="4"/>
        <v>5</v>
      </c>
      <c r="Q10" s="59">
        <f>ROUND((0.8*'Side MDB'!W10+0.2*'Side Pole'!N10),3)</f>
        <v>3.3000000000000002E-2</v>
      </c>
      <c r="R10" s="60">
        <f t="shared" si="5"/>
        <v>0.22</v>
      </c>
      <c r="S10" s="21">
        <f t="shared" si="6"/>
        <v>5</v>
      </c>
      <c r="T10" s="59">
        <f>ROUND(((0.8*'Side MDB'!W10+0.2*'Side Pole'!N10)+(IF('Side MDB'!X10="N/A",(0.8*'Side MDB'!W10+0.2*'Side Pole'!N10),'Side MDB'!X10)))/2,3)</f>
        <v>1.9E-2</v>
      </c>
      <c r="U10" s="60">
        <f t="shared" si="7"/>
        <v>0.13</v>
      </c>
      <c r="V10" s="21">
        <f t="shared" si="8"/>
        <v>5</v>
      </c>
      <c r="W10" s="14"/>
      <c r="X10" s="14"/>
      <c r="Y10" s="61"/>
      <c r="Z10" s="61"/>
      <c r="AA10" s="61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1:38" ht="14.1" customHeight="1">
      <c r="A11" s="189">
        <v>11349</v>
      </c>
      <c r="B11" s="190" t="s">
        <v>196</v>
      </c>
      <c r="C11" s="63" t="str">
        <f>Rollover!A11</f>
        <v>Cadillac</v>
      </c>
      <c r="D11" s="63" t="str">
        <f>Rollover!B11</f>
        <v>Escalade SUV 2WD</v>
      </c>
      <c r="E11" s="105" t="s">
        <v>147</v>
      </c>
      <c r="F11" s="192">
        <f>Rollover!C11</f>
        <v>2021</v>
      </c>
      <c r="G11" s="57">
        <v>239.029</v>
      </c>
      <c r="H11" s="10">
        <v>17.385999999999999</v>
      </c>
      <c r="I11" s="10">
        <v>38.186999999999998</v>
      </c>
      <c r="J11" s="58">
        <v>17.359000000000002</v>
      </c>
      <c r="K11" s="11">
        <v>3396.3969999999999</v>
      </c>
      <c r="L11" s="22">
        <f t="shared" si="10"/>
        <v>3.7928902848494211E-3</v>
      </c>
      <c r="M11" s="23">
        <f t="shared" si="1"/>
        <v>4.2578805022149134E-2</v>
      </c>
      <c r="N11" s="22">
        <f t="shared" si="2"/>
        <v>4.5999999999999999E-2</v>
      </c>
      <c r="O11" s="5">
        <f t="shared" si="3"/>
        <v>0.31</v>
      </c>
      <c r="P11" s="21">
        <f t="shared" si="4"/>
        <v>5</v>
      </c>
      <c r="Q11" s="59">
        <f>ROUND((0.8*'Side MDB'!W11+0.2*'Side Pole'!N11),3)</f>
        <v>3.3000000000000002E-2</v>
      </c>
      <c r="R11" s="60">
        <f t="shared" si="5"/>
        <v>0.22</v>
      </c>
      <c r="S11" s="21">
        <f t="shared" si="6"/>
        <v>5</v>
      </c>
      <c r="T11" s="59">
        <f>ROUND(((0.8*'Side MDB'!W11+0.2*'Side Pole'!N11)+(IF('Side MDB'!X11="N/A",(0.8*'Side MDB'!W11+0.2*'Side Pole'!N11),'Side MDB'!X11)))/2,3)</f>
        <v>1.9E-2</v>
      </c>
      <c r="U11" s="60">
        <f t="shared" si="7"/>
        <v>0.13</v>
      </c>
      <c r="V11" s="21">
        <f t="shared" si="8"/>
        <v>5</v>
      </c>
      <c r="W11" s="14"/>
      <c r="X11" s="14"/>
      <c r="Y11" s="61"/>
      <c r="Z11" s="61"/>
      <c r="AA11" s="61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:38" ht="14.1" customHeight="1">
      <c r="A12" s="189">
        <v>11349</v>
      </c>
      <c r="B12" s="190" t="s">
        <v>196</v>
      </c>
      <c r="C12" s="63" t="str">
        <f>Rollover!A12</f>
        <v>Cadillac</v>
      </c>
      <c r="D12" s="63" t="str">
        <f>Rollover!B12</f>
        <v>Escalade SUV 4WD</v>
      </c>
      <c r="E12" s="105" t="s">
        <v>147</v>
      </c>
      <c r="F12" s="192">
        <f>Rollover!C12</f>
        <v>2021</v>
      </c>
      <c r="G12" s="57">
        <v>239.029</v>
      </c>
      <c r="H12" s="10">
        <v>17.385999999999999</v>
      </c>
      <c r="I12" s="10">
        <v>38.186999999999998</v>
      </c>
      <c r="J12" s="58">
        <v>17.359000000000002</v>
      </c>
      <c r="K12" s="11">
        <v>3396.3969999999999</v>
      </c>
      <c r="L12" s="22">
        <f t="shared" si="10"/>
        <v>3.7928902848494211E-3</v>
      </c>
      <c r="M12" s="23">
        <f t="shared" si="1"/>
        <v>4.2578805022149134E-2</v>
      </c>
      <c r="N12" s="22">
        <f t="shared" si="2"/>
        <v>4.5999999999999999E-2</v>
      </c>
      <c r="O12" s="5">
        <f t="shared" si="3"/>
        <v>0.31</v>
      </c>
      <c r="P12" s="21">
        <f t="shared" si="4"/>
        <v>5</v>
      </c>
      <c r="Q12" s="59">
        <f>ROUND((0.8*'Side MDB'!W12+0.2*'Side Pole'!N12),3)</f>
        <v>3.3000000000000002E-2</v>
      </c>
      <c r="R12" s="60">
        <f t="shared" si="5"/>
        <v>0.22</v>
      </c>
      <c r="S12" s="21">
        <f t="shared" si="6"/>
        <v>5</v>
      </c>
      <c r="T12" s="59">
        <f>ROUND(((0.8*'Side MDB'!W12+0.2*'Side Pole'!N12)+(IF('Side MDB'!X12="N/A",(0.8*'Side MDB'!W12+0.2*'Side Pole'!N12),'Side MDB'!X12)))/2,3)</f>
        <v>1.9E-2</v>
      </c>
      <c r="U12" s="60">
        <f t="shared" si="7"/>
        <v>0.13</v>
      </c>
      <c r="V12" s="21">
        <f t="shared" si="8"/>
        <v>5</v>
      </c>
      <c r="W12" s="14"/>
      <c r="X12" s="14"/>
      <c r="Y12" s="61"/>
      <c r="Z12" s="61"/>
      <c r="AA12" s="61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38" ht="14.1" customHeight="1">
      <c r="A13" s="189">
        <v>11349</v>
      </c>
      <c r="B13" s="190" t="s">
        <v>196</v>
      </c>
      <c r="C13" s="63" t="str">
        <f>Rollover!A13</f>
        <v>Chevrolet</v>
      </c>
      <c r="D13" s="63" t="str">
        <f>Rollover!B13</f>
        <v>Suburban SUV 2WD</v>
      </c>
      <c r="E13" s="105" t="s">
        <v>147</v>
      </c>
      <c r="F13" s="192">
        <f>Rollover!C13</f>
        <v>2021</v>
      </c>
      <c r="G13" s="57">
        <v>239.029</v>
      </c>
      <c r="H13" s="10">
        <v>17.385999999999999</v>
      </c>
      <c r="I13" s="10">
        <v>38.186999999999998</v>
      </c>
      <c r="J13" s="58">
        <v>17.359000000000002</v>
      </c>
      <c r="K13" s="11">
        <v>3396.3969999999999</v>
      </c>
      <c r="L13" s="22">
        <f t="shared" si="10"/>
        <v>3.7928902848494211E-3</v>
      </c>
      <c r="M13" s="23">
        <f t="shared" si="1"/>
        <v>4.2578805022149134E-2</v>
      </c>
      <c r="N13" s="22">
        <f t="shared" si="2"/>
        <v>4.5999999999999999E-2</v>
      </c>
      <c r="O13" s="5">
        <f t="shared" si="3"/>
        <v>0.31</v>
      </c>
      <c r="P13" s="21">
        <f t="shared" si="4"/>
        <v>5</v>
      </c>
      <c r="Q13" s="59">
        <f>ROUND((0.8*'Side MDB'!W13+0.2*'Side Pole'!N13),3)</f>
        <v>3.3000000000000002E-2</v>
      </c>
      <c r="R13" s="60">
        <f t="shared" si="5"/>
        <v>0.22</v>
      </c>
      <c r="S13" s="21">
        <f t="shared" si="6"/>
        <v>5</v>
      </c>
      <c r="T13" s="59">
        <f>ROUND(((0.8*'Side MDB'!W13+0.2*'Side Pole'!N13)+(IF('Side MDB'!X13="N/A",(0.8*'Side MDB'!W13+0.2*'Side Pole'!N13),'Side MDB'!X13)))/2,3)</f>
        <v>1.9E-2</v>
      </c>
      <c r="U13" s="60">
        <f t="shared" si="7"/>
        <v>0.13</v>
      </c>
      <c r="V13" s="21">
        <f t="shared" si="8"/>
        <v>5</v>
      </c>
      <c r="W13" s="14"/>
      <c r="X13" s="14"/>
      <c r="Y13" s="61"/>
      <c r="Z13" s="61"/>
      <c r="AA13" s="61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</row>
    <row r="14" spans="1:38" ht="14.1" customHeight="1">
      <c r="A14" s="189">
        <v>11349</v>
      </c>
      <c r="B14" s="190" t="s">
        <v>196</v>
      </c>
      <c r="C14" s="63" t="str">
        <f>Rollover!A14</f>
        <v>Chevrolet</v>
      </c>
      <c r="D14" s="63" t="str">
        <f>Rollover!B14</f>
        <v>Suburban SUV 4WD</v>
      </c>
      <c r="E14" s="105" t="s">
        <v>147</v>
      </c>
      <c r="F14" s="192">
        <f>Rollover!C14</f>
        <v>2021</v>
      </c>
      <c r="G14" s="57">
        <v>239.029</v>
      </c>
      <c r="H14" s="10">
        <v>17.385999999999999</v>
      </c>
      <c r="I14" s="10">
        <v>38.186999999999998</v>
      </c>
      <c r="J14" s="58">
        <v>17.359000000000002</v>
      </c>
      <c r="K14" s="11">
        <v>3396.3969999999999</v>
      </c>
      <c r="L14" s="22">
        <f t="shared" si="10"/>
        <v>3.7928902848494211E-3</v>
      </c>
      <c r="M14" s="23">
        <f t="shared" si="1"/>
        <v>4.2578805022149134E-2</v>
      </c>
      <c r="N14" s="22">
        <f t="shared" si="2"/>
        <v>4.5999999999999999E-2</v>
      </c>
      <c r="O14" s="5">
        <f t="shared" si="3"/>
        <v>0.31</v>
      </c>
      <c r="P14" s="21">
        <f t="shared" si="4"/>
        <v>5</v>
      </c>
      <c r="Q14" s="59">
        <f>ROUND((0.8*'Side MDB'!W14+0.2*'Side Pole'!N14),3)</f>
        <v>3.3000000000000002E-2</v>
      </c>
      <c r="R14" s="60">
        <f t="shared" si="5"/>
        <v>0.22</v>
      </c>
      <c r="S14" s="21">
        <f t="shared" si="6"/>
        <v>5</v>
      </c>
      <c r="T14" s="59">
        <f>ROUND(((0.8*'Side MDB'!W14+0.2*'Side Pole'!N14)+(IF('Side MDB'!X14="N/A",(0.8*'Side MDB'!W14+0.2*'Side Pole'!N14),'Side MDB'!X14)))/2,3)</f>
        <v>1.9E-2</v>
      </c>
      <c r="U14" s="60">
        <f t="shared" si="7"/>
        <v>0.13</v>
      </c>
      <c r="V14" s="21">
        <f t="shared" si="8"/>
        <v>5</v>
      </c>
      <c r="W14" s="14"/>
      <c r="X14" s="14"/>
      <c r="Y14" s="61"/>
      <c r="Z14" s="61"/>
      <c r="AA14" s="61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</row>
    <row r="15" spans="1:38" ht="14.1" customHeight="1">
      <c r="A15" s="189">
        <v>11349</v>
      </c>
      <c r="B15" s="190" t="s">
        <v>196</v>
      </c>
      <c r="C15" s="63" t="str">
        <f>Rollover!A15</f>
        <v xml:space="preserve">GMC </v>
      </c>
      <c r="D15" s="63" t="str">
        <f>Rollover!B15</f>
        <v>Yukon XL SUV 2WD</v>
      </c>
      <c r="E15" s="105" t="s">
        <v>147</v>
      </c>
      <c r="F15" s="192">
        <f>Rollover!C15</f>
        <v>2021</v>
      </c>
      <c r="G15" s="57">
        <v>239.029</v>
      </c>
      <c r="H15" s="10">
        <v>17.385999999999999</v>
      </c>
      <c r="I15" s="10">
        <v>38.186999999999998</v>
      </c>
      <c r="J15" s="58">
        <v>17.359000000000002</v>
      </c>
      <c r="K15" s="11">
        <v>3396.3969999999999</v>
      </c>
      <c r="L15" s="22">
        <f t="shared" si="10"/>
        <v>3.7928902848494211E-3</v>
      </c>
      <c r="M15" s="23">
        <f t="shared" si="1"/>
        <v>4.2578805022149134E-2</v>
      </c>
      <c r="N15" s="22">
        <f t="shared" si="2"/>
        <v>4.5999999999999999E-2</v>
      </c>
      <c r="O15" s="5">
        <f t="shared" si="3"/>
        <v>0.31</v>
      </c>
      <c r="P15" s="21">
        <f t="shared" si="4"/>
        <v>5</v>
      </c>
      <c r="Q15" s="59">
        <f>ROUND((0.8*'Side MDB'!W15+0.2*'Side Pole'!N15),3)</f>
        <v>3.3000000000000002E-2</v>
      </c>
      <c r="R15" s="60">
        <f t="shared" si="5"/>
        <v>0.22</v>
      </c>
      <c r="S15" s="21">
        <f t="shared" si="6"/>
        <v>5</v>
      </c>
      <c r="T15" s="59">
        <f>ROUND(((0.8*'Side MDB'!W15+0.2*'Side Pole'!N15)+(IF('Side MDB'!X15="N/A",(0.8*'Side MDB'!W15+0.2*'Side Pole'!N15),'Side MDB'!X15)))/2,3)</f>
        <v>1.9E-2</v>
      </c>
      <c r="U15" s="60">
        <f t="shared" si="7"/>
        <v>0.13</v>
      </c>
      <c r="V15" s="21">
        <f t="shared" si="8"/>
        <v>5</v>
      </c>
      <c r="W15" s="14"/>
      <c r="X15" s="14"/>
      <c r="Y15" s="61"/>
      <c r="Z15" s="61"/>
      <c r="AA15" s="61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</row>
    <row r="16" spans="1:38" ht="14.1" customHeight="1">
      <c r="A16" s="189">
        <v>11349</v>
      </c>
      <c r="B16" s="190" t="s">
        <v>196</v>
      </c>
      <c r="C16" s="63" t="str">
        <f>Rollover!A16</f>
        <v xml:space="preserve">GMC </v>
      </c>
      <c r="D16" s="63" t="str">
        <f>Rollover!B16</f>
        <v>Yukon XL SUV 4WD</v>
      </c>
      <c r="E16" s="105" t="s">
        <v>147</v>
      </c>
      <c r="F16" s="192">
        <f>Rollover!C16</f>
        <v>2021</v>
      </c>
      <c r="G16" s="57">
        <v>239.029</v>
      </c>
      <c r="H16" s="10">
        <v>17.385999999999999</v>
      </c>
      <c r="I16" s="10">
        <v>38.186999999999998</v>
      </c>
      <c r="J16" s="58">
        <v>17.359000000000002</v>
      </c>
      <c r="K16" s="11">
        <v>3396.3969999999999</v>
      </c>
      <c r="L16" s="22">
        <f t="shared" si="10"/>
        <v>3.7928902848494211E-3</v>
      </c>
      <c r="M16" s="23">
        <f t="shared" si="1"/>
        <v>4.2578805022149134E-2</v>
      </c>
      <c r="N16" s="22">
        <f t="shared" si="2"/>
        <v>4.5999999999999999E-2</v>
      </c>
      <c r="O16" s="5">
        <f t="shared" si="3"/>
        <v>0.31</v>
      </c>
      <c r="P16" s="21">
        <f t="shared" si="4"/>
        <v>5</v>
      </c>
      <c r="Q16" s="59">
        <f>ROUND((0.8*'Side MDB'!W16+0.2*'Side Pole'!N16),3)</f>
        <v>3.3000000000000002E-2</v>
      </c>
      <c r="R16" s="60">
        <f t="shared" si="5"/>
        <v>0.22</v>
      </c>
      <c r="S16" s="21">
        <f t="shared" si="6"/>
        <v>5</v>
      </c>
      <c r="T16" s="59">
        <f>ROUND(((0.8*'Side MDB'!W16+0.2*'Side Pole'!N16)+(IF('Side MDB'!X16="N/A",(0.8*'Side MDB'!W16+0.2*'Side Pole'!N16),'Side MDB'!X16)))/2,3)</f>
        <v>1.9E-2</v>
      </c>
      <c r="U16" s="60">
        <f t="shared" si="7"/>
        <v>0.13</v>
      </c>
      <c r="V16" s="21">
        <f t="shared" si="8"/>
        <v>5</v>
      </c>
      <c r="W16" s="14"/>
      <c r="X16" s="14"/>
      <c r="Y16" s="61"/>
      <c r="Z16" s="61"/>
      <c r="AA16" s="61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38" ht="14.1" customHeight="1">
      <c r="A17" s="189">
        <v>11349</v>
      </c>
      <c r="B17" s="190" t="s">
        <v>196</v>
      </c>
      <c r="C17" s="63" t="str">
        <f>Rollover!A17</f>
        <v>Cadillac</v>
      </c>
      <c r="D17" s="63" t="str">
        <f>Rollover!B17</f>
        <v>Escalade ESV SUV 2WD</v>
      </c>
      <c r="E17" s="105" t="s">
        <v>147</v>
      </c>
      <c r="F17" s="192">
        <f>Rollover!C17</f>
        <v>2021</v>
      </c>
      <c r="G17" s="57">
        <v>239.029</v>
      </c>
      <c r="H17" s="10">
        <v>17.385999999999999</v>
      </c>
      <c r="I17" s="10">
        <v>38.186999999999998</v>
      </c>
      <c r="J17" s="58">
        <v>17.359000000000002</v>
      </c>
      <c r="K17" s="11">
        <v>3396.3969999999999</v>
      </c>
      <c r="L17" s="22">
        <f t="shared" si="10"/>
        <v>3.7928902848494211E-3</v>
      </c>
      <c r="M17" s="23">
        <f t="shared" si="1"/>
        <v>4.2578805022149134E-2</v>
      </c>
      <c r="N17" s="22">
        <f t="shared" si="2"/>
        <v>4.5999999999999999E-2</v>
      </c>
      <c r="O17" s="5">
        <f t="shared" si="3"/>
        <v>0.31</v>
      </c>
      <c r="P17" s="21">
        <f t="shared" si="4"/>
        <v>5</v>
      </c>
      <c r="Q17" s="59">
        <f>ROUND((0.8*'Side MDB'!W17+0.2*'Side Pole'!N17),3)</f>
        <v>3.3000000000000002E-2</v>
      </c>
      <c r="R17" s="60">
        <f t="shared" si="5"/>
        <v>0.22</v>
      </c>
      <c r="S17" s="21">
        <f t="shared" si="6"/>
        <v>5</v>
      </c>
      <c r="T17" s="59">
        <f>ROUND(((0.8*'Side MDB'!W17+0.2*'Side Pole'!N17)+(IF('Side MDB'!X17="N/A",(0.8*'Side MDB'!W17+0.2*'Side Pole'!N17),'Side MDB'!X17)))/2,3)</f>
        <v>1.9E-2</v>
      </c>
      <c r="U17" s="60">
        <f t="shared" si="7"/>
        <v>0.13</v>
      </c>
      <c r="V17" s="21">
        <f t="shared" si="8"/>
        <v>5</v>
      </c>
      <c r="W17" s="14"/>
      <c r="X17" s="14"/>
      <c r="Y17" s="61"/>
      <c r="Z17" s="61"/>
      <c r="AA17" s="61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</row>
    <row r="18" spans="1:38" ht="14.1" customHeight="1">
      <c r="A18" s="189">
        <v>11349</v>
      </c>
      <c r="B18" s="190" t="s">
        <v>196</v>
      </c>
      <c r="C18" s="63" t="str">
        <f>Rollover!A18</f>
        <v>Cadillac</v>
      </c>
      <c r="D18" s="63" t="str">
        <f>Rollover!B18</f>
        <v>Escalade ESV SUV 4WD</v>
      </c>
      <c r="E18" s="105" t="s">
        <v>147</v>
      </c>
      <c r="F18" s="192">
        <f>Rollover!C18</f>
        <v>2021</v>
      </c>
      <c r="G18" s="57">
        <v>239.029</v>
      </c>
      <c r="H18" s="10">
        <v>17.385999999999999</v>
      </c>
      <c r="I18" s="10">
        <v>38.186999999999998</v>
      </c>
      <c r="J18" s="58">
        <v>17.359000000000002</v>
      </c>
      <c r="K18" s="11">
        <v>3396.3969999999999</v>
      </c>
      <c r="L18" s="22">
        <f t="shared" si="10"/>
        <v>3.7928902848494211E-3</v>
      </c>
      <c r="M18" s="23">
        <f t="shared" si="1"/>
        <v>4.2578805022149134E-2</v>
      </c>
      <c r="N18" s="22">
        <f t="shared" si="2"/>
        <v>4.5999999999999999E-2</v>
      </c>
      <c r="O18" s="5">
        <f t="shared" si="3"/>
        <v>0.31</v>
      </c>
      <c r="P18" s="21">
        <f t="shared" si="4"/>
        <v>5</v>
      </c>
      <c r="Q18" s="59">
        <f>ROUND((0.8*'Side MDB'!W18+0.2*'Side Pole'!N18),3)</f>
        <v>3.3000000000000002E-2</v>
      </c>
      <c r="R18" s="60">
        <f t="shared" si="5"/>
        <v>0.22</v>
      </c>
      <c r="S18" s="21">
        <f t="shared" si="6"/>
        <v>5</v>
      </c>
      <c r="T18" s="59">
        <f>ROUND(((0.8*'Side MDB'!W18+0.2*'Side Pole'!N18)+(IF('Side MDB'!X18="N/A",(0.8*'Side MDB'!W18+0.2*'Side Pole'!N18),'Side MDB'!X18)))/2,3)</f>
        <v>1.9E-2</v>
      </c>
      <c r="U18" s="60">
        <f t="shared" si="7"/>
        <v>0.13</v>
      </c>
      <c r="V18" s="21">
        <f t="shared" si="8"/>
        <v>5</v>
      </c>
      <c r="W18" s="14"/>
      <c r="X18" s="14"/>
      <c r="Y18" s="61"/>
      <c r="Z18" s="61"/>
      <c r="AA18" s="61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spans="1:38" ht="14.1" customHeight="1">
      <c r="A19" s="189">
        <v>11054</v>
      </c>
      <c r="B19" s="190" t="s">
        <v>148</v>
      </c>
      <c r="C19" s="191" t="str">
        <f>Rollover!A19</f>
        <v>Chevrolet</v>
      </c>
      <c r="D19" s="191" t="str">
        <f>Rollover!B19</f>
        <v>Trailblazer SUV FWD (Later Release)</v>
      </c>
      <c r="E19" s="105" t="s">
        <v>149</v>
      </c>
      <c r="F19" s="192">
        <f>Rollover!C19</f>
        <v>2021</v>
      </c>
      <c r="G19" s="57">
        <v>336.51400000000001</v>
      </c>
      <c r="H19" s="10">
        <v>16.571999999999999</v>
      </c>
      <c r="I19" s="10">
        <v>37.764000000000003</v>
      </c>
      <c r="J19" s="58">
        <v>18.177</v>
      </c>
      <c r="K19" s="11">
        <v>2630.681</v>
      </c>
      <c r="L19" s="22">
        <f t="shared" si="10"/>
        <v>1.3631823406957523E-2</v>
      </c>
      <c r="M19" s="23">
        <f t="shared" si="1"/>
        <v>2.1193076434665531E-2</v>
      </c>
      <c r="N19" s="22">
        <f t="shared" si="2"/>
        <v>3.5000000000000003E-2</v>
      </c>
      <c r="O19" s="5">
        <f t="shared" si="3"/>
        <v>0.23</v>
      </c>
      <c r="P19" s="21">
        <f t="shared" si="4"/>
        <v>5</v>
      </c>
      <c r="Q19" s="59">
        <f>ROUND((0.8*'Side MDB'!W19+0.2*'Side Pole'!N19),3)</f>
        <v>6.8000000000000005E-2</v>
      </c>
      <c r="R19" s="60">
        <f t="shared" si="5"/>
        <v>0.45</v>
      </c>
      <c r="S19" s="21">
        <f t="shared" si="6"/>
        <v>5</v>
      </c>
      <c r="T19" s="59">
        <f>ROUND(((0.8*'Side MDB'!W19+0.2*'Side Pole'!N19)+(IF('Side MDB'!X19="N/A",(0.8*'Side MDB'!W19+0.2*'Side Pole'!N19),'Side MDB'!X19)))/2,3)</f>
        <v>4.2000000000000003E-2</v>
      </c>
      <c r="U19" s="60">
        <f t="shared" si="7"/>
        <v>0.28000000000000003</v>
      </c>
      <c r="V19" s="21">
        <f t="shared" si="8"/>
        <v>5</v>
      </c>
      <c r="W19" s="14"/>
      <c r="X19" s="14"/>
      <c r="Y19" s="61"/>
      <c r="Z19" s="61"/>
      <c r="AA19" s="61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</row>
    <row r="20" spans="1:38" ht="14.1" customHeight="1">
      <c r="A20" s="189">
        <v>11054</v>
      </c>
      <c r="B20" s="190" t="s">
        <v>148</v>
      </c>
      <c r="C20" s="191" t="str">
        <f>Rollover!A20</f>
        <v>Chevrolet</v>
      </c>
      <c r="D20" s="191" t="str">
        <f>Rollover!B20</f>
        <v>Trailblazer SUV AWD (Later Release)</v>
      </c>
      <c r="E20" s="105" t="s">
        <v>149</v>
      </c>
      <c r="F20" s="192">
        <f>Rollover!C20</f>
        <v>2021</v>
      </c>
      <c r="G20" s="57">
        <v>336.51400000000001</v>
      </c>
      <c r="H20" s="10">
        <v>16.571999999999999</v>
      </c>
      <c r="I20" s="10">
        <v>37.764000000000003</v>
      </c>
      <c r="J20" s="58">
        <v>18.177</v>
      </c>
      <c r="K20" s="11">
        <v>2630.681</v>
      </c>
      <c r="L20" s="22">
        <f t="shared" si="10"/>
        <v>1.3631823406957523E-2</v>
      </c>
      <c r="M20" s="23">
        <f t="shared" si="1"/>
        <v>2.1193076434665531E-2</v>
      </c>
      <c r="N20" s="22">
        <f t="shared" si="2"/>
        <v>3.5000000000000003E-2</v>
      </c>
      <c r="O20" s="5">
        <f t="shared" si="3"/>
        <v>0.23</v>
      </c>
      <c r="P20" s="21">
        <f t="shared" si="4"/>
        <v>5</v>
      </c>
      <c r="Q20" s="59">
        <f>ROUND((0.8*'Side MDB'!W20+0.2*'Side Pole'!N20),3)</f>
        <v>6.8000000000000005E-2</v>
      </c>
      <c r="R20" s="60">
        <f t="shared" si="5"/>
        <v>0.45</v>
      </c>
      <c r="S20" s="21">
        <f t="shared" si="6"/>
        <v>5</v>
      </c>
      <c r="T20" s="59">
        <f>ROUND(((0.8*'Side MDB'!W20+0.2*'Side Pole'!N20)+(IF('Side MDB'!X20="N/A",(0.8*'Side MDB'!W20+0.2*'Side Pole'!N20),'Side MDB'!X20)))/2,3)</f>
        <v>4.2000000000000003E-2</v>
      </c>
      <c r="U20" s="60">
        <f t="shared" si="7"/>
        <v>0.28000000000000003</v>
      </c>
      <c r="V20" s="21">
        <f t="shared" si="8"/>
        <v>5</v>
      </c>
      <c r="W20" s="14"/>
      <c r="X20" s="14"/>
      <c r="Y20" s="61"/>
      <c r="Z20" s="61"/>
      <c r="AA20" s="61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</row>
    <row r="21" spans="1:38" ht="14.1" customHeight="1">
      <c r="A21" s="189">
        <v>11054</v>
      </c>
      <c r="B21" s="190" t="s">
        <v>148</v>
      </c>
      <c r="C21" s="63" t="str">
        <f>Rollover!A21</f>
        <v>Buick</v>
      </c>
      <c r="D21" s="63" t="str">
        <f>Rollover!B21</f>
        <v>Encore GX SUV FWD</v>
      </c>
      <c r="E21" s="105" t="s">
        <v>149</v>
      </c>
      <c r="F21" s="192">
        <f>Rollover!C21</f>
        <v>2021</v>
      </c>
      <c r="G21" s="57">
        <v>336.51400000000001</v>
      </c>
      <c r="H21" s="10">
        <v>16.571999999999999</v>
      </c>
      <c r="I21" s="10">
        <v>37.764000000000003</v>
      </c>
      <c r="J21" s="58">
        <v>18.177</v>
      </c>
      <c r="K21" s="11">
        <v>2630.681</v>
      </c>
      <c r="L21" s="22">
        <f t="shared" si="10"/>
        <v>1.3631823406957523E-2</v>
      </c>
      <c r="M21" s="23">
        <f t="shared" si="1"/>
        <v>2.1193076434665531E-2</v>
      </c>
      <c r="N21" s="22">
        <f t="shared" si="2"/>
        <v>3.5000000000000003E-2</v>
      </c>
      <c r="O21" s="5">
        <f t="shared" si="3"/>
        <v>0.23</v>
      </c>
      <c r="P21" s="21">
        <f t="shared" si="4"/>
        <v>5</v>
      </c>
      <c r="Q21" s="59">
        <f>ROUND((0.8*'Side MDB'!W21+0.2*'Side Pole'!N21),3)</f>
        <v>6.8000000000000005E-2</v>
      </c>
      <c r="R21" s="60">
        <f t="shared" si="5"/>
        <v>0.45</v>
      </c>
      <c r="S21" s="21">
        <f t="shared" si="6"/>
        <v>5</v>
      </c>
      <c r="T21" s="59">
        <f>ROUND(((0.8*'Side MDB'!W21+0.2*'Side Pole'!N21)+(IF('Side MDB'!X21="N/A",(0.8*'Side MDB'!W21+0.2*'Side Pole'!N21),'Side MDB'!X21)))/2,3)</f>
        <v>4.2000000000000003E-2</v>
      </c>
      <c r="U21" s="60">
        <f t="shared" si="7"/>
        <v>0.28000000000000003</v>
      </c>
      <c r="V21" s="21">
        <f t="shared" si="8"/>
        <v>5</v>
      </c>
      <c r="W21" s="14"/>
      <c r="X21" s="14"/>
      <c r="Y21" s="61"/>
      <c r="Z21" s="61"/>
      <c r="AA21" s="61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</row>
    <row r="22" spans="1:38" ht="14.1" customHeight="1">
      <c r="A22" s="189">
        <v>11054</v>
      </c>
      <c r="B22" s="190" t="s">
        <v>148</v>
      </c>
      <c r="C22" s="63" t="str">
        <f>Rollover!A22</f>
        <v>Buick</v>
      </c>
      <c r="D22" s="63" t="str">
        <f>Rollover!B22</f>
        <v>Encore GX SUV AWD</v>
      </c>
      <c r="E22" s="105" t="s">
        <v>149</v>
      </c>
      <c r="F22" s="192">
        <f>Rollover!C22</f>
        <v>2021</v>
      </c>
      <c r="G22" s="57">
        <v>336.51400000000001</v>
      </c>
      <c r="H22" s="10">
        <v>16.571999999999999</v>
      </c>
      <c r="I22" s="10">
        <v>37.764000000000003</v>
      </c>
      <c r="J22" s="58">
        <v>18.177</v>
      </c>
      <c r="K22" s="11">
        <v>2630.681</v>
      </c>
      <c r="L22" s="22">
        <f t="shared" ref="L22:L43" si="11">NORMDIST(LN(G22),7.45231,0.73998,1)</f>
        <v>1.3631823406957523E-2</v>
      </c>
      <c r="M22" s="23">
        <f t="shared" ref="M22:M43" si="12">1/(1+EXP(6.3055-0.00094*K22))</f>
        <v>2.1193076434665531E-2</v>
      </c>
      <c r="N22" s="22">
        <f t="shared" ref="N22:N43" si="13">ROUND(1-(1-L22)*(1-M22),3)</f>
        <v>3.5000000000000003E-2</v>
      </c>
      <c r="O22" s="5">
        <f t="shared" ref="O22:O43" si="14">ROUND(N22/0.15,2)</f>
        <v>0.23</v>
      </c>
      <c r="P22" s="21">
        <f t="shared" ref="P22:P43" si="15">IF(O22&lt;0.67,5,IF(O22&lt;1,4,IF(O22&lt;1.33,3,IF(O22&lt;2.67,2,1))))</f>
        <v>5</v>
      </c>
      <c r="Q22" s="59">
        <f>ROUND((0.8*'Side MDB'!W22+0.2*'Side Pole'!N22),3)</f>
        <v>6.8000000000000005E-2</v>
      </c>
      <c r="R22" s="60">
        <f t="shared" ref="R22:R43" si="16">ROUND((Q22)/0.15,2)</f>
        <v>0.45</v>
      </c>
      <c r="S22" s="21">
        <f t="shared" ref="S22:S43" si="17">IF(R22&lt;0.67,5,IF(R22&lt;1,4,IF(R22&lt;1.33,3,IF(R22&lt;2.67,2,1))))</f>
        <v>5</v>
      </c>
      <c r="T22" s="59">
        <f>ROUND(((0.8*'Side MDB'!W22+0.2*'Side Pole'!N22)+(IF('Side MDB'!X22="N/A",(0.8*'Side MDB'!W22+0.2*'Side Pole'!N22),'Side MDB'!X22)))/2,3)</f>
        <v>4.2000000000000003E-2</v>
      </c>
      <c r="U22" s="60">
        <f t="shared" ref="U22:U43" si="18">ROUND((T22)/0.15,2)</f>
        <v>0.28000000000000003</v>
      </c>
      <c r="V22" s="21">
        <f t="shared" ref="V22:V43" si="19">IF(U22&lt;0.67,5,IF(U22&lt;1,4,IF(U22&lt;1.33,3,IF(U22&lt;2.67,2,1))))</f>
        <v>5</v>
      </c>
      <c r="W22" s="14"/>
      <c r="X22" s="14"/>
      <c r="Y22" s="61"/>
      <c r="Z22" s="61"/>
      <c r="AA22" s="61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</row>
    <row r="23" spans="1:38" ht="14.1" customHeight="1">
      <c r="A23" s="194">
        <v>10568</v>
      </c>
      <c r="B23" s="190" t="s">
        <v>151</v>
      </c>
      <c r="C23" s="191" t="str">
        <f>Rollover!A23</f>
        <v>Dodge</v>
      </c>
      <c r="D23" s="191" t="str">
        <f>Rollover!B23</f>
        <v>Durango SUV RWD</v>
      </c>
      <c r="E23" s="105" t="s">
        <v>92</v>
      </c>
      <c r="F23" s="192">
        <f>Rollover!C23</f>
        <v>2021</v>
      </c>
      <c r="G23" s="57">
        <v>193.77</v>
      </c>
      <c r="H23" s="10">
        <v>22.082999999999998</v>
      </c>
      <c r="I23" s="10">
        <v>43.29</v>
      </c>
      <c r="J23" s="58">
        <v>21.141999999999999</v>
      </c>
      <c r="K23" s="11">
        <v>3176.9670000000001</v>
      </c>
      <c r="L23" s="22">
        <f t="shared" si="11"/>
        <v>1.5702259781252075E-3</v>
      </c>
      <c r="M23" s="23">
        <f t="shared" si="12"/>
        <v>3.4920008374121417E-2</v>
      </c>
      <c r="N23" s="22">
        <f t="shared" si="13"/>
        <v>3.5999999999999997E-2</v>
      </c>
      <c r="O23" s="5">
        <f t="shared" si="14"/>
        <v>0.24</v>
      </c>
      <c r="P23" s="21">
        <f t="shared" si="15"/>
        <v>5</v>
      </c>
      <c r="Q23" s="59">
        <f>ROUND((0.8*'Side MDB'!W23+0.2*'Side Pole'!N23),3)</f>
        <v>0.06</v>
      </c>
      <c r="R23" s="60">
        <f t="shared" si="16"/>
        <v>0.4</v>
      </c>
      <c r="S23" s="21">
        <f t="shared" si="17"/>
        <v>5</v>
      </c>
      <c r="T23" s="59">
        <f>ROUND(((0.8*'Side MDB'!W23+0.2*'Side Pole'!N23)+(IF('Side MDB'!X23="N/A",(0.8*'Side MDB'!W23+0.2*'Side Pole'!N23),'Side MDB'!X23)))/2,3)</f>
        <v>3.5999999999999997E-2</v>
      </c>
      <c r="U23" s="60">
        <f t="shared" si="18"/>
        <v>0.24</v>
      </c>
      <c r="V23" s="21">
        <f t="shared" si="19"/>
        <v>5</v>
      </c>
      <c r="W23" s="14"/>
      <c r="X23" s="14"/>
      <c r="Y23" s="61"/>
      <c r="Z23" s="61"/>
      <c r="AA23" s="61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</row>
    <row r="24" spans="1:38" ht="14.1" customHeight="1">
      <c r="A24" s="189">
        <v>10568</v>
      </c>
      <c r="B24" s="190" t="s">
        <v>151</v>
      </c>
      <c r="C24" s="191" t="str">
        <f>Rollover!A24</f>
        <v>Dodge</v>
      </c>
      <c r="D24" s="191" t="str">
        <f>Rollover!B24</f>
        <v>Durango SUV 4WD</v>
      </c>
      <c r="E24" s="105" t="s">
        <v>92</v>
      </c>
      <c r="F24" s="192">
        <f>Rollover!C24</f>
        <v>2021</v>
      </c>
      <c r="G24" s="57">
        <v>193.77</v>
      </c>
      <c r="H24" s="10">
        <v>22.082999999999998</v>
      </c>
      <c r="I24" s="10">
        <v>43.29</v>
      </c>
      <c r="J24" s="58">
        <v>21.141999999999999</v>
      </c>
      <c r="K24" s="11">
        <v>3176.9670000000001</v>
      </c>
      <c r="L24" s="22">
        <f t="shared" si="11"/>
        <v>1.5702259781252075E-3</v>
      </c>
      <c r="M24" s="23">
        <f t="shared" si="12"/>
        <v>3.4920008374121417E-2</v>
      </c>
      <c r="N24" s="22">
        <f t="shared" si="13"/>
        <v>3.5999999999999997E-2</v>
      </c>
      <c r="O24" s="5">
        <f t="shared" si="14"/>
        <v>0.24</v>
      </c>
      <c r="P24" s="21">
        <f t="shared" si="15"/>
        <v>5</v>
      </c>
      <c r="Q24" s="59">
        <f>ROUND((0.8*'Side MDB'!W24+0.2*'Side Pole'!N24),3)</f>
        <v>0.06</v>
      </c>
      <c r="R24" s="60">
        <f t="shared" si="16"/>
        <v>0.4</v>
      </c>
      <c r="S24" s="21">
        <f t="shared" si="17"/>
        <v>5</v>
      </c>
      <c r="T24" s="59">
        <f>ROUND(((0.8*'Side MDB'!W24+0.2*'Side Pole'!N24)+(IF('Side MDB'!X24="N/A",(0.8*'Side MDB'!W24+0.2*'Side Pole'!N24),'Side MDB'!X24)))/2,3)</f>
        <v>3.5999999999999997E-2</v>
      </c>
      <c r="U24" s="60">
        <f t="shared" si="18"/>
        <v>0.24</v>
      </c>
      <c r="V24" s="21">
        <f t="shared" si="19"/>
        <v>5</v>
      </c>
      <c r="W24" s="14"/>
      <c r="X24" s="14"/>
      <c r="Y24" s="61"/>
      <c r="Z24" s="61"/>
      <c r="AA24" s="61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</row>
    <row r="25" spans="1:38" ht="14.1" customHeight="1">
      <c r="A25" s="194">
        <v>11290</v>
      </c>
      <c r="B25" s="190" t="s">
        <v>179</v>
      </c>
      <c r="C25" s="191" t="str">
        <f>Rollover!A25</f>
        <v xml:space="preserve">Ford </v>
      </c>
      <c r="D25" s="191" t="str">
        <f>Rollover!B25</f>
        <v>Transit Connect Wagon FWD</v>
      </c>
      <c r="E25" s="105" t="s">
        <v>92</v>
      </c>
      <c r="F25" s="192">
        <f>Rollover!C25</f>
        <v>2021</v>
      </c>
      <c r="G25" s="57">
        <v>182.506</v>
      </c>
      <c r="H25" s="10">
        <v>21.222000000000001</v>
      </c>
      <c r="I25" s="10">
        <v>36.950000000000003</v>
      </c>
      <c r="J25" s="58">
        <v>22.695</v>
      </c>
      <c r="K25" s="11">
        <v>3228.5889999999999</v>
      </c>
      <c r="L25" s="22">
        <f t="shared" ref="L25:L26" si="20">NORMDIST(LN(G25),7.45231,0.73998,1)</f>
        <v>1.2043627234715223E-3</v>
      </c>
      <c r="M25" s="23">
        <f t="shared" ref="M25:M26" si="21">1/(1+EXP(6.3055-0.00094*K25))</f>
        <v>3.6592741054187881E-2</v>
      </c>
      <c r="N25" s="22">
        <f t="shared" ref="N25:N26" si="22">ROUND(1-(1-L25)*(1-M25),3)</f>
        <v>3.7999999999999999E-2</v>
      </c>
      <c r="O25" s="5">
        <f t="shared" ref="O25:O26" si="23">ROUND(N25/0.15,2)</f>
        <v>0.25</v>
      </c>
      <c r="P25" s="21">
        <f t="shared" ref="P25:P26" si="24">IF(O25&lt;0.67,5,IF(O25&lt;1,4,IF(O25&lt;1.33,3,IF(O25&lt;2.67,2,1))))</f>
        <v>5</v>
      </c>
      <c r="Q25" s="59">
        <f>ROUND((0.8*'Side MDB'!W25+0.2*'Side Pole'!N25),3)</f>
        <v>6.2E-2</v>
      </c>
      <c r="R25" s="60">
        <f t="shared" ref="R25:R26" si="25">ROUND((Q25)/0.15,2)</f>
        <v>0.41</v>
      </c>
      <c r="S25" s="21">
        <f t="shared" ref="S25:S26" si="26">IF(R25&lt;0.67,5,IF(R25&lt;1,4,IF(R25&lt;1.33,3,IF(R25&lt;2.67,2,1))))</f>
        <v>5</v>
      </c>
      <c r="T25" s="59">
        <f>ROUND(((0.8*'Side MDB'!W25+0.2*'Side Pole'!N25)+(IF('Side MDB'!X25="N/A",(0.8*'Side MDB'!W25+0.2*'Side Pole'!N25),'Side MDB'!X25)))/2,3)</f>
        <v>5.7000000000000002E-2</v>
      </c>
      <c r="U25" s="60">
        <f t="shared" ref="U25:U26" si="27">ROUND((T25)/0.15,2)</f>
        <v>0.38</v>
      </c>
      <c r="V25" s="21">
        <f t="shared" ref="V25:V26" si="28">IF(U25&lt;0.67,5,IF(U25&lt;1,4,IF(U25&lt;1.33,3,IF(U25&lt;2.67,2,1))))</f>
        <v>5</v>
      </c>
      <c r="W25" s="14"/>
      <c r="X25" s="14"/>
      <c r="Y25" s="61"/>
      <c r="Z25" s="61"/>
      <c r="AA25" s="61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</row>
    <row r="26" spans="1:38" ht="14.1" customHeight="1">
      <c r="A26" s="189">
        <v>11290</v>
      </c>
      <c r="B26" s="190" t="s">
        <v>179</v>
      </c>
      <c r="C26" s="63" t="str">
        <f>Rollover!A26</f>
        <v xml:space="preserve">Ford </v>
      </c>
      <c r="D26" s="63" t="str">
        <f>Rollover!B26</f>
        <v>Transit Connect Van FWD</v>
      </c>
      <c r="E26" s="105" t="s">
        <v>92</v>
      </c>
      <c r="F26" s="192">
        <f>Rollover!C26</f>
        <v>2021</v>
      </c>
      <c r="G26" s="57">
        <v>182.506</v>
      </c>
      <c r="H26" s="10">
        <v>21.222000000000001</v>
      </c>
      <c r="I26" s="10">
        <v>36.950000000000003</v>
      </c>
      <c r="J26" s="58">
        <v>22.695</v>
      </c>
      <c r="K26" s="11">
        <v>3228.5889999999999</v>
      </c>
      <c r="L26" s="22">
        <f t="shared" si="20"/>
        <v>1.2043627234715223E-3</v>
      </c>
      <c r="M26" s="23">
        <f t="shared" si="21"/>
        <v>3.6592741054187881E-2</v>
      </c>
      <c r="N26" s="22">
        <f t="shared" si="22"/>
        <v>3.7999999999999999E-2</v>
      </c>
      <c r="O26" s="5">
        <f t="shared" si="23"/>
        <v>0.25</v>
      </c>
      <c r="P26" s="21">
        <f t="shared" si="24"/>
        <v>5</v>
      </c>
      <c r="Q26" s="59">
        <f>ROUND((0.8*'Side MDB'!W26+0.2*'Side Pole'!N26),3)</f>
        <v>6.2E-2</v>
      </c>
      <c r="R26" s="60">
        <f t="shared" si="25"/>
        <v>0.41</v>
      </c>
      <c r="S26" s="21">
        <f t="shared" si="26"/>
        <v>5</v>
      </c>
      <c r="T26" s="59">
        <f>ROUND(((0.8*'Side MDB'!W26+0.2*'Side Pole'!N26)+(IF('Side MDB'!X26="N/A",(0.8*'Side MDB'!W26+0.2*'Side Pole'!N26),'Side MDB'!X26)))/2,3)</f>
        <v>6.2E-2</v>
      </c>
      <c r="U26" s="60">
        <f t="shared" si="27"/>
        <v>0.41</v>
      </c>
      <c r="V26" s="21">
        <f t="shared" si="28"/>
        <v>5</v>
      </c>
      <c r="W26" s="14"/>
      <c r="X26" s="14"/>
      <c r="Y26" s="61"/>
      <c r="Z26" s="61"/>
      <c r="AA26" s="61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</row>
    <row r="27" spans="1:38" ht="14.1" customHeight="1">
      <c r="A27" s="189">
        <v>11269</v>
      </c>
      <c r="B27" s="190" t="s">
        <v>170</v>
      </c>
      <c r="C27" s="191" t="str">
        <f>Rollover!A27</f>
        <v>Kia</v>
      </c>
      <c r="D27" s="191" t="str">
        <f>Rollover!B27</f>
        <v>K5 4DR FWD</v>
      </c>
      <c r="E27" s="105" t="s">
        <v>92</v>
      </c>
      <c r="F27" s="192">
        <f>Rollover!C27</f>
        <v>2021</v>
      </c>
      <c r="G27" s="57">
        <v>296.85399999999998</v>
      </c>
      <c r="H27" s="10">
        <v>23.672999999999998</v>
      </c>
      <c r="I27" s="10">
        <v>31.783999999999999</v>
      </c>
      <c r="J27" s="58">
        <v>15.914</v>
      </c>
      <c r="K27" s="58">
        <v>2621.0100000000002</v>
      </c>
      <c r="L27" s="22">
        <f t="shared" si="11"/>
        <v>8.7226614174344165E-3</v>
      </c>
      <c r="M27" s="23">
        <f t="shared" si="12"/>
        <v>2.1005317314864116E-2</v>
      </c>
      <c r="N27" s="22">
        <f t="shared" si="13"/>
        <v>0.03</v>
      </c>
      <c r="O27" s="5">
        <f t="shared" si="14"/>
        <v>0.2</v>
      </c>
      <c r="P27" s="21">
        <f t="shared" si="15"/>
        <v>5</v>
      </c>
      <c r="Q27" s="59">
        <f>ROUND((0.8*'Side MDB'!W27+0.2*'Side Pole'!N27),3)</f>
        <v>5.6000000000000001E-2</v>
      </c>
      <c r="R27" s="60">
        <f t="shared" si="16"/>
        <v>0.37</v>
      </c>
      <c r="S27" s="21">
        <f t="shared" si="17"/>
        <v>5</v>
      </c>
      <c r="T27" s="59">
        <f>ROUND(((0.8*'Side MDB'!W27+0.2*'Side Pole'!N27)+(IF('Side MDB'!X27="N/A",(0.8*'Side MDB'!W27+0.2*'Side Pole'!N27),'Side MDB'!X27)))/2,3)</f>
        <v>4.3999999999999997E-2</v>
      </c>
      <c r="U27" s="60">
        <f t="shared" si="18"/>
        <v>0.28999999999999998</v>
      </c>
      <c r="V27" s="21">
        <f t="shared" si="19"/>
        <v>5</v>
      </c>
      <c r="W27" s="14"/>
      <c r="X27" s="14"/>
      <c r="Y27" s="61"/>
      <c r="Z27" s="61"/>
      <c r="AA27" s="61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spans="1:38" ht="14.1" customHeight="1">
      <c r="A28" s="194">
        <v>11078</v>
      </c>
      <c r="B28" s="190" t="s">
        <v>91</v>
      </c>
      <c r="C28" s="191" t="str">
        <f>Rollover!A28</f>
        <v>Kia</v>
      </c>
      <c r="D28" s="191" t="str">
        <f>Rollover!B28</f>
        <v>Seltos SUV FWD</v>
      </c>
      <c r="E28" s="105" t="s">
        <v>92</v>
      </c>
      <c r="F28" s="192">
        <f>Rollover!C28</f>
        <v>2021</v>
      </c>
      <c r="G28" s="57">
        <v>225.005</v>
      </c>
      <c r="H28" s="10">
        <v>21.611000000000001</v>
      </c>
      <c r="I28" s="10">
        <v>32.741999999999997</v>
      </c>
      <c r="J28" s="58">
        <v>13.589</v>
      </c>
      <c r="K28" s="11">
        <v>1927.626</v>
      </c>
      <c r="L28" s="22">
        <f t="shared" si="11"/>
        <v>2.964530963824544E-3</v>
      </c>
      <c r="M28" s="23">
        <f t="shared" si="12"/>
        <v>1.1057452974636553E-2</v>
      </c>
      <c r="N28" s="22">
        <f t="shared" si="13"/>
        <v>1.4E-2</v>
      </c>
      <c r="O28" s="5">
        <f t="shared" si="14"/>
        <v>0.09</v>
      </c>
      <c r="P28" s="21">
        <f t="shared" si="15"/>
        <v>5</v>
      </c>
      <c r="Q28" s="59">
        <f>ROUND((0.8*'Side MDB'!W28+0.2*'Side Pole'!N28),3)</f>
        <v>6.8000000000000005E-2</v>
      </c>
      <c r="R28" s="60">
        <f t="shared" si="16"/>
        <v>0.45</v>
      </c>
      <c r="S28" s="21">
        <f t="shared" si="17"/>
        <v>5</v>
      </c>
      <c r="T28" s="59">
        <f>ROUND(((0.8*'Side MDB'!W28+0.2*'Side Pole'!N28)+(IF('Side MDB'!X28="N/A",(0.8*'Side MDB'!W28+0.2*'Side Pole'!N28),'Side MDB'!X28)))/2,3)</f>
        <v>5.6000000000000001E-2</v>
      </c>
      <c r="U28" s="60">
        <f t="shared" si="18"/>
        <v>0.37</v>
      </c>
      <c r="V28" s="21">
        <f t="shared" si="19"/>
        <v>5</v>
      </c>
      <c r="W28" s="14"/>
      <c r="X28" s="14"/>
      <c r="Y28" s="61"/>
      <c r="Z28" s="61"/>
      <c r="AA28" s="61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</row>
    <row r="29" spans="1:38" ht="14.1" customHeight="1">
      <c r="A29" s="189">
        <v>11078</v>
      </c>
      <c r="B29" s="190" t="s">
        <v>91</v>
      </c>
      <c r="C29" s="191" t="str">
        <f>Rollover!A29</f>
        <v>Kia</v>
      </c>
      <c r="D29" s="191" t="str">
        <f>Rollover!B29</f>
        <v>Seltos SUV AWD</v>
      </c>
      <c r="E29" s="105" t="s">
        <v>92</v>
      </c>
      <c r="F29" s="192">
        <f>Rollover!C29</f>
        <v>2021</v>
      </c>
      <c r="G29" s="57">
        <v>225.005</v>
      </c>
      <c r="H29" s="10">
        <v>21.611000000000001</v>
      </c>
      <c r="I29" s="10">
        <v>32.741999999999997</v>
      </c>
      <c r="J29" s="58">
        <v>13.589</v>
      </c>
      <c r="K29" s="11">
        <v>1927.626</v>
      </c>
      <c r="L29" s="22">
        <f t="shared" si="11"/>
        <v>2.964530963824544E-3</v>
      </c>
      <c r="M29" s="23">
        <f t="shared" si="12"/>
        <v>1.1057452974636553E-2</v>
      </c>
      <c r="N29" s="22">
        <f t="shared" si="13"/>
        <v>1.4E-2</v>
      </c>
      <c r="O29" s="5">
        <f t="shared" si="14"/>
        <v>0.09</v>
      </c>
      <c r="P29" s="21">
        <f t="shared" si="15"/>
        <v>5</v>
      </c>
      <c r="Q29" s="59">
        <f>ROUND((0.8*'Side MDB'!W29+0.2*'Side Pole'!N29),3)</f>
        <v>6.8000000000000005E-2</v>
      </c>
      <c r="R29" s="60">
        <f t="shared" si="16"/>
        <v>0.45</v>
      </c>
      <c r="S29" s="21">
        <f t="shared" si="17"/>
        <v>5</v>
      </c>
      <c r="T29" s="59">
        <f>ROUND(((0.8*'Side MDB'!W29+0.2*'Side Pole'!N29)+(IF('Side MDB'!X29="N/A",(0.8*'Side MDB'!W29+0.2*'Side Pole'!N29),'Side MDB'!X29)))/2,3)</f>
        <v>5.6000000000000001E-2</v>
      </c>
      <c r="U29" s="60">
        <f t="shared" si="18"/>
        <v>0.37</v>
      </c>
      <c r="V29" s="21">
        <f t="shared" si="19"/>
        <v>5</v>
      </c>
      <c r="W29" s="14"/>
      <c r="X29" s="14"/>
      <c r="Y29" s="61"/>
      <c r="Z29" s="61"/>
      <c r="AA29" s="61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</row>
    <row r="30" spans="1:38" ht="14.1" customHeight="1">
      <c r="A30" s="190">
        <v>9584</v>
      </c>
      <c r="B30" s="190" t="s">
        <v>154</v>
      </c>
      <c r="C30" s="191" t="str">
        <f>Rollover!A30</f>
        <v>Lexus</v>
      </c>
      <c r="D30" s="191" t="str">
        <f>Rollover!B30</f>
        <v>RX 350 SUV FWD</v>
      </c>
      <c r="E30" s="105" t="s">
        <v>92</v>
      </c>
      <c r="F30" s="192">
        <f>Rollover!C30</f>
        <v>2021</v>
      </c>
      <c r="G30" s="57">
        <v>274.66899999999998</v>
      </c>
      <c r="H30" s="10">
        <v>17.404</v>
      </c>
      <c r="I30" s="10">
        <v>44.133000000000003</v>
      </c>
      <c r="J30" s="58">
        <v>23.085000000000001</v>
      </c>
      <c r="K30" s="58">
        <v>3046.7280000000001</v>
      </c>
      <c r="L30" s="22">
        <f t="shared" si="11"/>
        <v>6.5295672439673645E-3</v>
      </c>
      <c r="M30" s="23">
        <f t="shared" si="12"/>
        <v>3.1021086128331075E-2</v>
      </c>
      <c r="N30" s="22">
        <f t="shared" si="13"/>
        <v>3.6999999999999998E-2</v>
      </c>
      <c r="O30" s="5">
        <f t="shared" si="14"/>
        <v>0.25</v>
      </c>
      <c r="P30" s="21">
        <f t="shared" si="15"/>
        <v>5</v>
      </c>
      <c r="Q30" s="59">
        <f>ROUND((0.8*'Side MDB'!W30+0.2*'Side Pole'!N30),3)</f>
        <v>3.2000000000000001E-2</v>
      </c>
      <c r="R30" s="60">
        <f t="shared" si="16"/>
        <v>0.21</v>
      </c>
      <c r="S30" s="21">
        <f t="shared" si="17"/>
        <v>5</v>
      </c>
      <c r="T30" s="59">
        <f>ROUND(((0.8*'Side MDB'!W30+0.2*'Side Pole'!N30)+(IF('Side MDB'!X30="N/A",(0.8*'Side MDB'!W30+0.2*'Side Pole'!N30),'Side MDB'!X30)))/2,3)</f>
        <v>2.7E-2</v>
      </c>
      <c r="U30" s="60">
        <f t="shared" si="18"/>
        <v>0.18</v>
      </c>
      <c r="V30" s="21">
        <f t="shared" si="19"/>
        <v>5</v>
      </c>
      <c r="W30" s="14"/>
      <c r="X30" s="14"/>
      <c r="Y30" s="61"/>
      <c r="Z30" s="61"/>
      <c r="AA30" s="61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</row>
    <row r="31" spans="1:38" ht="14.1" customHeight="1">
      <c r="A31" s="190">
        <v>9584</v>
      </c>
      <c r="B31" s="190" t="s">
        <v>154</v>
      </c>
      <c r="C31" s="191" t="str">
        <f>Rollover!A31</f>
        <v>Lexus</v>
      </c>
      <c r="D31" s="191" t="str">
        <f>Rollover!B31</f>
        <v>RX 350 SUV AWD</v>
      </c>
      <c r="E31" s="105" t="s">
        <v>92</v>
      </c>
      <c r="F31" s="192">
        <f>Rollover!C31</f>
        <v>2021</v>
      </c>
      <c r="G31" s="57">
        <v>274.66899999999998</v>
      </c>
      <c r="H31" s="10">
        <v>17.404</v>
      </c>
      <c r="I31" s="10">
        <v>44.133000000000003</v>
      </c>
      <c r="J31" s="58">
        <v>23.085000000000001</v>
      </c>
      <c r="K31" s="58">
        <v>3046.7280000000001</v>
      </c>
      <c r="L31" s="22">
        <f t="shared" si="11"/>
        <v>6.5295672439673645E-3</v>
      </c>
      <c r="M31" s="23">
        <f t="shared" si="12"/>
        <v>3.1021086128331075E-2</v>
      </c>
      <c r="N31" s="22">
        <f t="shared" si="13"/>
        <v>3.6999999999999998E-2</v>
      </c>
      <c r="O31" s="5">
        <f t="shared" si="14"/>
        <v>0.25</v>
      </c>
      <c r="P31" s="21">
        <f t="shared" si="15"/>
        <v>5</v>
      </c>
      <c r="Q31" s="59">
        <f>ROUND((0.8*'Side MDB'!W31+0.2*'Side Pole'!N31),3)</f>
        <v>3.2000000000000001E-2</v>
      </c>
      <c r="R31" s="60">
        <f t="shared" si="16"/>
        <v>0.21</v>
      </c>
      <c r="S31" s="21">
        <f t="shared" si="17"/>
        <v>5</v>
      </c>
      <c r="T31" s="59">
        <f>ROUND(((0.8*'Side MDB'!W31+0.2*'Side Pole'!N31)+(IF('Side MDB'!X31="N/A",(0.8*'Side MDB'!W31+0.2*'Side Pole'!N31),'Side MDB'!X31)))/2,3)</f>
        <v>2.7E-2</v>
      </c>
      <c r="U31" s="60">
        <f t="shared" si="18"/>
        <v>0.18</v>
      </c>
      <c r="V31" s="21">
        <f t="shared" si="19"/>
        <v>5</v>
      </c>
      <c r="W31" s="14"/>
      <c r="X31" s="14"/>
      <c r="Y31" s="61"/>
      <c r="Z31" s="61"/>
      <c r="AA31" s="61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</row>
    <row r="32" spans="1:38" ht="14.1" customHeight="1">
      <c r="A32" s="190">
        <v>9584</v>
      </c>
      <c r="B32" s="190" t="s">
        <v>154</v>
      </c>
      <c r="C32" s="63" t="str">
        <f>Rollover!A32</f>
        <v>Lexus</v>
      </c>
      <c r="D32" s="63" t="str">
        <f>Rollover!B32</f>
        <v>RX 350L SUV FWD</v>
      </c>
      <c r="E32" s="105" t="s">
        <v>92</v>
      </c>
      <c r="F32" s="192">
        <f>Rollover!C32</f>
        <v>2021</v>
      </c>
      <c r="G32" s="57">
        <v>274.66899999999998</v>
      </c>
      <c r="H32" s="10">
        <v>17.404</v>
      </c>
      <c r="I32" s="10">
        <v>44.133000000000003</v>
      </c>
      <c r="J32" s="58">
        <v>23.085000000000001</v>
      </c>
      <c r="K32" s="58">
        <v>3046.7280000000001</v>
      </c>
      <c r="L32" s="22">
        <f t="shared" si="11"/>
        <v>6.5295672439673645E-3</v>
      </c>
      <c r="M32" s="23">
        <f t="shared" si="12"/>
        <v>3.1021086128331075E-2</v>
      </c>
      <c r="N32" s="22">
        <f t="shared" si="13"/>
        <v>3.6999999999999998E-2</v>
      </c>
      <c r="O32" s="5">
        <f t="shared" si="14"/>
        <v>0.25</v>
      </c>
      <c r="P32" s="21">
        <f t="shared" si="15"/>
        <v>5</v>
      </c>
      <c r="Q32" s="59">
        <f>ROUND((0.8*'Side MDB'!W32+0.2*'Side Pole'!N32),3)</f>
        <v>3.2000000000000001E-2</v>
      </c>
      <c r="R32" s="60">
        <f t="shared" si="16"/>
        <v>0.21</v>
      </c>
      <c r="S32" s="21">
        <f t="shared" si="17"/>
        <v>5</v>
      </c>
      <c r="T32" s="59">
        <f>ROUND(((0.8*'Side MDB'!W32+0.2*'Side Pole'!N32)+(IF('Side MDB'!X32="N/A",(0.8*'Side MDB'!W32+0.2*'Side Pole'!N32),'Side MDB'!X32)))/2,3)</f>
        <v>2.7E-2</v>
      </c>
      <c r="U32" s="60">
        <f t="shared" si="18"/>
        <v>0.18</v>
      </c>
      <c r="V32" s="21">
        <f t="shared" si="19"/>
        <v>5</v>
      </c>
      <c r="W32" s="14"/>
      <c r="X32" s="14"/>
      <c r="Y32" s="61"/>
      <c r="Z32" s="61"/>
      <c r="AA32" s="61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spans="1:38" ht="12" customHeight="1">
      <c r="A33" s="190">
        <v>9584</v>
      </c>
      <c r="B33" s="190" t="s">
        <v>154</v>
      </c>
      <c r="C33" s="63" t="str">
        <f>Rollover!A33</f>
        <v>Lexus</v>
      </c>
      <c r="D33" s="63" t="str">
        <f>Rollover!B33</f>
        <v>RX 350L SUV AWD</v>
      </c>
      <c r="E33" s="105" t="s">
        <v>92</v>
      </c>
      <c r="F33" s="192">
        <f>Rollover!C33</f>
        <v>2021</v>
      </c>
      <c r="G33" s="57">
        <v>274.66899999999998</v>
      </c>
      <c r="H33" s="10">
        <v>17.404</v>
      </c>
      <c r="I33" s="10">
        <v>44.133000000000003</v>
      </c>
      <c r="J33" s="58">
        <v>23.085000000000001</v>
      </c>
      <c r="K33" s="58">
        <v>3046.7280000000001</v>
      </c>
      <c r="L33" s="22">
        <f t="shared" si="11"/>
        <v>6.5295672439673645E-3</v>
      </c>
      <c r="M33" s="23">
        <f t="shared" si="12"/>
        <v>3.1021086128331075E-2</v>
      </c>
      <c r="N33" s="22">
        <f t="shared" si="13"/>
        <v>3.6999999999999998E-2</v>
      </c>
      <c r="O33" s="5">
        <f t="shared" si="14"/>
        <v>0.25</v>
      </c>
      <c r="P33" s="21">
        <f t="shared" si="15"/>
        <v>5</v>
      </c>
      <c r="Q33" s="59">
        <f>ROUND((0.8*'Side MDB'!W33+0.2*'Side Pole'!N33),3)</f>
        <v>3.2000000000000001E-2</v>
      </c>
      <c r="R33" s="60">
        <f t="shared" si="16"/>
        <v>0.21</v>
      </c>
      <c r="S33" s="21">
        <f t="shared" si="17"/>
        <v>5</v>
      </c>
      <c r="T33" s="59">
        <f>ROUND(((0.8*'Side MDB'!W33+0.2*'Side Pole'!N33)+(IF('Side MDB'!X33="N/A",(0.8*'Side MDB'!W33+0.2*'Side Pole'!N33),'Side MDB'!X33)))/2,3)</f>
        <v>2.7E-2</v>
      </c>
      <c r="U33" s="60">
        <f t="shared" si="18"/>
        <v>0.18</v>
      </c>
      <c r="V33" s="21">
        <f t="shared" si="19"/>
        <v>5</v>
      </c>
      <c r="W33" s="14"/>
      <c r="X33" s="14"/>
      <c r="Y33" s="61"/>
      <c r="Z33" s="61"/>
      <c r="AA33" s="61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</row>
    <row r="34" spans="1:38" ht="14.1" customHeight="1">
      <c r="A34" s="190">
        <v>9584</v>
      </c>
      <c r="B34" s="190" t="s">
        <v>154</v>
      </c>
      <c r="C34" s="63" t="str">
        <f>Rollover!A34</f>
        <v>Lexus</v>
      </c>
      <c r="D34" s="63" t="str">
        <f>Rollover!B34</f>
        <v>RX 450h SUV AWD</v>
      </c>
      <c r="E34" s="105" t="s">
        <v>92</v>
      </c>
      <c r="F34" s="192">
        <f>Rollover!C34</f>
        <v>2021</v>
      </c>
      <c r="G34" s="57">
        <v>274.66899999999998</v>
      </c>
      <c r="H34" s="10">
        <v>17.404</v>
      </c>
      <c r="I34" s="10">
        <v>44.133000000000003</v>
      </c>
      <c r="J34" s="58">
        <v>23.085000000000001</v>
      </c>
      <c r="K34" s="58">
        <v>3046.7280000000001</v>
      </c>
      <c r="L34" s="22">
        <f t="shared" si="11"/>
        <v>6.5295672439673645E-3</v>
      </c>
      <c r="M34" s="23">
        <f t="shared" si="12"/>
        <v>3.1021086128331075E-2</v>
      </c>
      <c r="N34" s="22">
        <f t="shared" si="13"/>
        <v>3.6999999999999998E-2</v>
      </c>
      <c r="O34" s="5">
        <f t="shared" si="14"/>
        <v>0.25</v>
      </c>
      <c r="P34" s="21">
        <f t="shared" si="15"/>
        <v>5</v>
      </c>
      <c r="Q34" s="59">
        <f>ROUND((0.8*'Side MDB'!W34+0.2*'Side Pole'!N34),3)</f>
        <v>3.2000000000000001E-2</v>
      </c>
      <c r="R34" s="60">
        <f t="shared" si="16"/>
        <v>0.21</v>
      </c>
      <c r="S34" s="21">
        <f t="shared" si="17"/>
        <v>5</v>
      </c>
      <c r="T34" s="59">
        <f>ROUND(((0.8*'Side MDB'!W34+0.2*'Side Pole'!N34)+(IF('Side MDB'!X34="N/A",(0.8*'Side MDB'!W34+0.2*'Side Pole'!N34),'Side MDB'!X34)))/2,3)</f>
        <v>2.7E-2</v>
      </c>
      <c r="U34" s="60">
        <f t="shared" si="18"/>
        <v>0.18</v>
      </c>
      <c r="V34" s="21">
        <f t="shared" si="19"/>
        <v>5</v>
      </c>
      <c r="W34" s="14"/>
      <c r="X34" s="14"/>
      <c r="Y34" s="61"/>
      <c r="Z34" s="61"/>
      <c r="AA34" s="61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</row>
    <row r="35" spans="1:38" ht="14.1" customHeight="1">
      <c r="A35" s="190">
        <v>9584</v>
      </c>
      <c r="B35" s="190" t="s">
        <v>154</v>
      </c>
      <c r="C35" s="63" t="str">
        <f>Rollover!A35</f>
        <v>Lexus</v>
      </c>
      <c r="D35" s="63" t="str">
        <f>Rollover!B35</f>
        <v>RX 450hL SUV AWD</v>
      </c>
      <c r="E35" s="105" t="s">
        <v>92</v>
      </c>
      <c r="F35" s="192">
        <f>Rollover!C35</f>
        <v>2021</v>
      </c>
      <c r="G35" s="57">
        <v>274.66899999999998</v>
      </c>
      <c r="H35" s="10">
        <v>17.404</v>
      </c>
      <c r="I35" s="10">
        <v>44.133000000000003</v>
      </c>
      <c r="J35" s="58">
        <v>23.085000000000001</v>
      </c>
      <c r="K35" s="58">
        <v>3046.7280000000001</v>
      </c>
      <c r="L35" s="22">
        <f t="shared" si="11"/>
        <v>6.5295672439673645E-3</v>
      </c>
      <c r="M35" s="23">
        <f t="shared" si="12"/>
        <v>3.1021086128331075E-2</v>
      </c>
      <c r="N35" s="22">
        <f t="shared" si="13"/>
        <v>3.6999999999999998E-2</v>
      </c>
      <c r="O35" s="5">
        <f t="shared" si="14"/>
        <v>0.25</v>
      </c>
      <c r="P35" s="21">
        <f t="shared" si="15"/>
        <v>5</v>
      </c>
      <c r="Q35" s="59">
        <f>ROUND((0.8*'Side MDB'!W35+0.2*'Side Pole'!N35),3)</f>
        <v>3.2000000000000001E-2</v>
      </c>
      <c r="R35" s="60">
        <f t="shared" si="16"/>
        <v>0.21</v>
      </c>
      <c r="S35" s="21">
        <f t="shared" si="17"/>
        <v>5</v>
      </c>
      <c r="T35" s="59">
        <f>ROUND(((0.8*'Side MDB'!W35+0.2*'Side Pole'!N35)+(IF('Side MDB'!X35="N/A",(0.8*'Side MDB'!W35+0.2*'Side Pole'!N35),'Side MDB'!X35)))/2,3)</f>
        <v>2.7E-2</v>
      </c>
      <c r="U35" s="60">
        <f t="shared" si="18"/>
        <v>0.18</v>
      </c>
      <c r="V35" s="21">
        <f t="shared" si="19"/>
        <v>5</v>
      </c>
      <c r="W35" s="14"/>
      <c r="X35" s="14"/>
      <c r="Y35" s="61"/>
      <c r="Z35" s="61"/>
      <c r="AA35" s="61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</row>
    <row r="36" spans="1:38" ht="14.1" customHeight="1">
      <c r="A36" s="190">
        <v>9994</v>
      </c>
      <c r="B36" s="190" t="s">
        <v>156</v>
      </c>
      <c r="C36" s="191" t="str">
        <f>Rollover!A36</f>
        <v>Mercedes-Benz</v>
      </c>
      <c r="D36" s="191" t="str">
        <f>Rollover!B36</f>
        <v>E-Class 4DR RWD</v>
      </c>
      <c r="E36" s="105" t="s">
        <v>147</v>
      </c>
      <c r="F36" s="192">
        <f>Rollover!C36</f>
        <v>2021</v>
      </c>
      <c r="G36" s="57">
        <v>326.46600000000001</v>
      </c>
      <c r="H36" s="10">
        <v>18.033000000000001</v>
      </c>
      <c r="I36" s="10">
        <v>42.878999999999998</v>
      </c>
      <c r="J36" s="58">
        <v>21.378</v>
      </c>
      <c r="K36" s="58">
        <v>3719.7150000000001</v>
      </c>
      <c r="L36" s="22">
        <f t="shared" si="11"/>
        <v>1.2266174645319287E-2</v>
      </c>
      <c r="M36" s="23">
        <f t="shared" si="12"/>
        <v>5.6841486938133429E-2</v>
      </c>
      <c r="N36" s="22">
        <f t="shared" si="13"/>
        <v>6.8000000000000005E-2</v>
      </c>
      <c r="O36" s="5">
        <f t="shared" si="14"/>
        <v>0.45</v>
      </c>
      <c r="P36" s="21">
        <f t="shared" si="15"/>
        <v>5</v>
      </c>
      <c r="Q36" s="59">
        <f>ROUND((0.8*'Side MDB'!W36+0.2*'Side Pole'!N36),3)</f>
        <v>6.5000000000000002E-2</v>
      </c>
      <c r="R36" s="60">
        <f t="shared" si="16"/>
        <v>0.43</v>
      </c>
      <c r="S36" s="21">
        <f t="shared" si="17"/>
        <v>5</v>
      </c>
      <c r="T36" s="59">
        <f>ROUND(((0.8*'Side MDB'!W36+0.2*'Side Pole'!N36)+(IF('Side MDB'!X36="N/A",(0.8*'Side MDB'!W36+0.2*'Side Pole'!N36),'Side MDB'!X36)))/2,3)</f>
        <v>4.3999999999999997E-2</v>
      </c>
      <c r="U36" s="60">
        <f t="shared" si="18"/>
        <v>0.28999999999999998</v>
      </c>
      <c r="V36" s="21">
        <f t="shared" si="19"/>
        <v>5</v>
      </c>
      <c r="W36" s="14"/>
      <c r="X36" s="14"/>
      <c r="Y36" s="61"/>
      <c r="Z36" s="61"/>
      <c r="AA36" s="61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</row>
    <row r="37" spans="1:38" ht="14.1" customHeight="1">
      <c r="A37" s="190">
        <v>9994</v>
      </c>
      <c r="B37" s="190" t="s">
        <v>156</v>
      </c>
      <c r="C37" s="191" t="str">
        <f>Rollover!A37</f>
        <v>Mercedes-Benz</v>
      </c>
      <c r="D37" s="191" t="str">
        <f>Rollover!B37</f>
        <v>E-Class 4DR 4WD</v>
      </c>
      <c r="E37" s="105" t="s">
        <v>147</v>
      </c>
      <c r="F37" s="192">
        <f>Rollover!C37</f>
        <v>2021</v>
      </c>
      <c r="G37" s="57">
        <v>326.46600000000001</v>
      </c>
      <c r="H37" s="10">
        <v>18.033000000000001</v>
      </c>
      <c r="I37" s="10">
        <v>42.878999999999998</v>
      </c>
      <c r="J37" s="58">
        <v>21.378</v>
      </c>
      <c r="K37" s="58">
        <v>3719.7150000000001</v>
      </c>
      <c r="L37" s="22">
        <f t="shared" si="11"/>
        <v>1.2266174645319287E-2</v>
      </c>
      <c r="M37" s="23">
        <f t="shared" si="12"/>
        <v>5.6841486938133429E-2</v>
      </c>
      <c r="N37" s="22">
        <f t="shared" si="13"/>
        <v>6.8000000000000005E-2</v>
      </c>
      <c r="O37" s="5">
        <f t="shared" si="14"/>
        <v>0.45</v>
      </c>
      <c r="P37" s="21">
        <f t="shared" si="15"/>
        <v>5</v>
      </c>
      <c r="Q37" s="59">
        <f>ROUND((0.8*'Side MDB'!W37+0.2*'Side Pole'!N37),3)</f>
        <v>6.5000000000000002E-2</v>
      </c>
      <c r="R37" s="60">
        <f t="shared" si="16"/>
        <v>0.43</v>
      </c>
      <c r="S37" s="21">
        <f t="shared" si="17"/>
        <v>5</v>
      </c>
      <c r="T37" s="59">
        <f>ROUND(((0.8*'Side MDB'!W37+0.2*'Side Pole'!N37)+(IF('Side MDB'!X37="N/A",(0.8*'Side MDB'!W37+0.2*'Side Pole'!N37),'Side MDB'!X37)))/2,3)</f>
        <v>4.3999999999999997E-2</v>
      </c>
      <c r="U37" s="60">
        <f t="shared" si="18"/>
        <v>0.28999999999999998</v>
      </c>
      <c r="V37" s="21">
        <f t="shared" si="19"/>
        <v>5</v>
      </c>
      <c r="W37" s="14"/>
      <c r="X37" s="14"/>
      <c r="Y37" s="61"/>
      <c r="Z37" s="61"/>
      <c r="AA37" s="61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</row>
    <row r="38" spans="1:38" ht="14.1" customHeight="1">
      <c r="A38" s="190">
        <v>9994</v>
      </c>
      <c r="B38" s="190" t="s">
        <v>156</v>
      </c>
      <c r="C38" s="63" t="str">
        <f>Rollover!A38</f>
        <v>Mercedes-Benz</v>
      </c>
      <c r="D38" s="63" t="str">
        <f>Rollover!B38</f>
        <v>E-Class SW RWD</v>
      </c>
      <c r="E38" s="105" t="s">
        <v>147</v>
      </c>
      <c r="F38" s="192">
        <f>Rollover!C38</f>
        <v>2021</v>
      </c>
      <c r="G38" s="57">
        <v>326.46600000000001</v>
      </c>
      <c r="H38" s="10">
        <v>18.033000000000001</v>
      </c>
      <c r="I38" s="10">
        <v>42.878999999999998</v>
      </c>
      <c r="J38" s="58">
        <v>21.378</v>
      </c>
      <c r="K38" s="58">
        <v>3719.7150000000001</v>
      </c>
      <c r="L38" s="22">
        <f t="shared" si="11"/>
        <v>1.2266174645319287E-2</v>
      </c>
      <c r="M38" s="23">
        <f t="shared" si="12"/>
        <v>5.6841486938133429E-2</v>
      </c>
      <c r="N38" s="22">
        <f t="shared" si="13"/>
        <v>6.8000000000000005E-2</v>
      </c>
      <c r="O38" s="5">
        <f t="shared" si="14"/>
        <v>0.45</v>
      </c>
      <c r="P38" s="21">
        <f t="shared" si="15"/>
        <v>5</v>
      </c>
      <c r="Q38" s="59">
        <f>ROUND((0.8*'Side MDB'!W38+0.2*'Side Pole'!N38),3)</f>
        <v>6.5000000000000002E-2</v>
      </c>
      <c r="R38" s="60">
        <f t="shared" si="16"/>
        <v>0.43</v>
      </c>
      <c r="S38" s="21">
        <f t="shared" si="17"/>
        <v>5</v>
      </c>
      <c r="T38" s="59">
        <f>ROUND(((0.8*'Side MDB'!W38+0.2*'Side Pole'!N38)+(IF('Side MDB'!X38="N/A",(0.8*'Side MDB'!W38+0.2*'Side Pole'!N38),'Side MDB'!X38)))/2,3)</f>
        <v>4.3999999999999997E-2</v>
      </c>
      <c r="U38" s="60">
        <f t="shared" si="18"/>
        <v>0.28999999999999998</v>
      </c>
      <c r="V38" s="21">
        <f t="shared" si="19"/>
        <v>5</v>
      </c>
      <c r="W38" s="14"/>
      <c r="X38" s="14"/>
      <c r="Y38" s="61"/>
      <c r="Z38" s="61"/>
      <c r="AA38" s="61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1:38" ht="14.1" customHeight="1">
      <c r="A39" s="190">
        <v>9994</v>
      </c>
      <c r="B39" s="190" t="s">
        <v>156</v>
      </c>
      <c r="C39" s="63" t="str">
        <f>Rollover!A39</f>
        <v>Mercedes-Benz</v>
      </c>
      <c r="D39" s="63" t="str">
        <f>Rollover!B39</f>
        <v>E-Class SW 4WD</v>
      </c>
      <c r="E39" s="105" t="s">
        <v>147</v>
      </c>
      <c r="F39" s="192">
        <f>Rollover!C39</f>
        <v>2021</v>
      </c>
      <c r="G39" s="57">
        <v>326.46600000000001</v>
      </c>
      <c r="H39" s="10">
        <v>18.033000000000001</v>
      </c>
      <c r="I39" s="10">
        <v>42.878999999999998</v>
      </c>
      <c r="J39" s="58">
        <v>21.378</v>
      </c>
      <c r="K39" s="58">
        <v>3719.7150000000001</v>
      </c>
      <c r="L39" s="22">
        <f t="shared" si="11"/>
        <v>1.2266174645319287E-2</v>
      </c>
      <c r="M39" s="23">
        <f t="shared" si="12"/>
        <v>5.6841486938133429E-2</v>
      </c>
      <c r="N39" s="22">
        <f t="shared" si="13"/>
        <v>6.8000000000000005E-2</v>
      </c>
      <c r="O39" s="5">
        <f t="shared" si="14"/>
        <v>0.45</v>
      </c>
      <c r="P39" s="21">
        <f t="shared" si="15"/>
        <v>5</v>
      </c>
      <c r="Q39" s="59">
        <f>ROUND((0.8*'Side MDB'!W39+0.2*'Side Pole'!N39),3)</f>
        <v>6.5000000000000002E-2</v>
      </c>
      <c r="R39" s="60">
        <f t="shared" si="16"/>
        <v>0.43</v>
      </c>
      <c r="S39" s="21">
        <f t="shared" si="17"/>
        <v>5</v>
      </c>
      <c r="T39" s="59">
        <f>ROUND(((0.8*'Side MDB'!W39+0.2*'Side Pole'!N39)+(IF('Side MDB'!X39="N/A",(0.8*'Side MDB'!W39+0.2*'Side Pole'!N39),'Side MDB'!X39)))/2,3)</f>
        <v>4.3999999999999997E-2</v>
      </c>
      <c r="U39" s="60">
        <f t="shared" si="18"/>
        <v>0.28999999999999998</v>
      </c>
      <c r="V39" s="21">
        <f t="shared" si="19"/>
        <v>5</v>
      </c>
      <c r="W39" s="14"/>
      <c r="X39" s="14"/>
      <c r="Y39" s="61"/>
      <c r="Z39" s="61"/>
      <c r="AA39" s="61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1:38" ht="14.1" customHeight="1">
      <c r="A40" s="190">
        <v>10194</v>
      </c>
      <c r="B40" s="190" t="s">
        <v>158</v>
      </c>
      <c r="C40" s="191" t="str">
        <f>Rollover!A40</f>
        <v>Mercedes-Benz</v>
      </c>
      <c r="D40" s="191" t="str">
        <f>Rollover!B40</f>
        <v>GLC Class SUV RWD</v>
      </c>
      <c r="E40" s="105" t="s">
        <v>152</v>
      </c>
      <c r="F40" s="192">
        <f>Rollover!C40</f>
        <v>2021</v>
      </c>
      <c r="G40" s="57">
        <v>205.548</v>
      </c>
      <c r="H40" s="10">
        <v>29.670999999999999</v>
      </c>
      <c r="I40" s="10">
        <v>39.713999999999999</v>
      </c>
      <c r="J40" s="58">
        <v>24.49</v>
      </c>
      <c r="K40" s="58">
        <v>3501.1680000000001</v>
      </c>
      <c r="L40" s="22">
        <f t="shared" si="11"/>
        <v>2.0271701273248412E-3</v>
      </c>
      <c r="M40" s="23">
        <f t="shared" si="12"/>
        <v>4.6779459811198632E-2</v>
      </c>
      <c r="N40" s="22">
        <f t="shared" si="13"/>
        <v>4.9000000000000002E-2</v>
      </c>
      <c r="O40" s="5">
        <f t="shared" si="14"/>
        <v>0.33</v>
      </c>
      <c r="P40" s="21">
        <f t="shared" si="15"/>
        <v>5</v>
      </c>
      <c r="Q40" s="59">
        <f>ROUND((0.8*'Side MDB'!W40+0.2*'Side Pole'!N40),3)</f>
        <v>5.0999999999999997E-2</v>
      </c>
      <c r="R40" s="60">
        <f t="shared" si="16"/>
        <v>0.34</v>
      </c>
      <c r="S40" s="21">
        <f t="shared" si="17"/>
        <v>5</v>
      </c>
      <c r="T40" s="59">
        <f>ROUND(((0.8*'Side MDB'!W40+0.2*'Side Pole'!N40)+(IF('Side MDB'!X40="N/A",(0.8*'Side MDB'!W40+0.2*'Side Pole'!N40),'Side MDB'!X40)))/2,3)</f>
        <v>4.8000000000000001E-2</v>
      </c>
      <c r="U40" s="60">
        <f t="shared" si="18"/>
        <v>0.32</v>
      </c>
      <c r="V40" s="21">
        <f t="shared" si="19"/>
        <v>5</v>
      </c>
      <c r="W40" s="14"/>
      <c r="X40" s="14"/>
      <c r="Y40" s="61"/>
      <c r="Z40" s="61"/>
      <c r="AA40" s="61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1:38" ht="14.1" customHeight="1">
      <c r="A41" s="190">
        <v>10194</v>
      </c>
      <c r="B41" s="190" t="s">
        <v>158</v>
      </c>
      <c r="C41" s="191" t="str">
        <f>Rollover!A41</f>
        <v>Mercedes-Benz</v>
      </c>
      <c r="D41" s="191" t="str">
        <f>Rollover!B41</f>
        <v>GLC Class SUV 4WD</v>
      </c>
      <c r="E41" s="105" t="s">
        <v>152</v>
      </c>
      <c r="F41" s="192">
        <f>Rollover!C41</f>
        <v>2021</v>
      </c>
      <c r="G41" s="57">
        <v>205.548</v>
      </c>
      <c r="H41" s="10">
        <v>29.670999999999999</v>
      </c>
      <c r="I41" s="10">
        <v>39.713999999999999</v>
      </c>
      <c r="J41" s="58">
        <v>24.49</v>
      </c>
      <c r="K41" s="58">
        <v>3501.1680000000001</v>
      </c>
      <c r="L41" s="22">
        <f>NORMDIST(LN(G41),7.45231,0.73998,1)</f>
        <v>2.0271701273248412E-3</v>
      </c>
      <c r="M41" s="23">
        <f>1/(1+EXP(6.3055-0.00094*K41))</f>
        <v>4.6779459811198632E-2</v>
      </c>
      <c r="N41" s="22">
        <f>ROUND(1-(1-L41)*(1-M41),3)</f>
        <v>4.9000000000000002E-2</v>
      </c>
      <c r="O41" s="5">
        <f t="shared" si="14"/>
        <v>0.33</v>
      </c>
      <c r="P41" s="21">
        <f t="shared" si="15"/>
        <v>5</v>
      </c>
      <c r="Q41" s="59">
        <f>ROUND((0.8*'Side MDB'!W41+0.2*'Side Pole'!N41),3)</f>
        <v>5.0999999999999997E-2</v>
      </c>
      <c r="R41" s="60">
        <f t="shared" si="16"/>
        <v>0.34</v>
      </c>
      <c r="S41" s="21">
        <f t="shared" si="17"/>
        <v>5</v>
      </c>
      <c r="T41" s="59">
        <f>ROUND(((0.8*'Side MDB'!W41+0.2*'Side Pole'!N41)+(IF('Side MDB'!X41="N/A",(0.8*'Side MDB'!W41+0.2*'Side Pole'!N41),'Side MDB'!X41)))/2,3)</f>
        <v>4.8000000000000001E-2</v>
      </c>
      <c r="U41" s="60">
        <f t="shared" si="18"/>
        <v>0.32</v>
      </c>
      <c r="V41" s="21">
        <f t="shared" si="19"/>
        <v>5</v>
      </c>
      <c r="W41" s="14"/>
      <c r="X41" s="14"/>
      <c r="Y41" s="61"/>
      <c r="Z41" s="61"/>
      <c r="AA41" s="61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1:38" ht="14.1" customHeight="1">
      <c r="A42" s="189">
        <v>11359</v>
      </c>
      <c r="B42" s="190" t="s">
        <v>201</v>
      </c>
      <c r="C42" s="191" t="str">
        <f>Rollover!A42</f>
        <v>Nissan</v>
      </c>
      <c r="D42" s="191" t="str">
        <f>Rollover!B42</f>
        <v>Maxima 4DR FWD</v>
      </c>
      <c r="E42" s="105" t="s">
        <v>149</v>
      </c>
      <c r="F42" s="192">
        <f>Rollover!C42</f>
        <v>2021</v>
      </c>
      <c r="G42" s="64">
        <v>275.28100000000001</v>
      </c>
      <c r="H42" s="18">
        <v>22.193999999999999</v>
      </c>
      <c r="I42" s="18">
        <v>41.439</v>
      </c>
      <c r="J42" s="65">
        <v>20.413</v>
      </c>
      <c r="K42" s="65">
        <v>2136.7399999999998</v>
      </c>
      <c r="L42" s="22">
        <f t="shared" si="11"/>
        <v>6.5848905518476079E-3</v>
      </c>
      <c r="M42" s="23">
        <f t="shared" si="12"/>
        <v>1.342707042794393E-2</v>
      </c>
      <c r="N42" s="22">
        <f t="shared" si="13"/>
        <v>0.02</v>
      </c>
      <c r="O42" s="5">
        <f t="shared" si="14"/>
        <v>0.13</v>
      </c>
      <c r="P42" s="21">
        <f t="shared" si="15"/>
        <v>5</v>
      </c>
      <c r="Q42" s="59">
        <f>ROUND((0.8*'Side MDB'!W42+0.2*'Side Pole'!N42),3)</f>
        <v>5.1999999999999998E-2</v>
      </c>
      <c r="R42" s="60">
        <f t="shared" si="16"/>
        <v>0.35</v>
      </c>
      <c r="S42" s="21">
        <f t="shared" si="17"/>
        <v>5</v>
      </c>
      <c r="T42" s="59">
        <f>ROUND(((0.8*'Side MDB'!W42+0.2*'Side Pole'!N42)+(IF('Side MDB'!X42="N/A",(0.8*'Side MDB'!W42+0.2*'Side Pole'!N42),'Side MDB'!X42)))/2,3)</f>
        <v>3.2000000000000001E-2</v>
      </c>
      <c r="U42" s="60">
        <f t="shared" si="18"/>
        <v>0.21</v>
      </c>
      <c r="V42" s="21">
        <f t="shared" si="19"/>
        <v>5</v>
      </c>
      <c r="W42" s="14"/>
      <c r="X42" s="14"/>
      <c r="Y42" s="61"/>
      <c r="Z42" s="61"/>
      <c r="AA42" s="61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1:38" ht="14.1" customHeight="1">
      <c r="A43" s="194">
        <v>11344</v>
      </c>
      <c r="B43" s="195" t="s">
        <v>188</v>
      </c>
      <c r="C43" s="191" t="str">
        <f>Rollover!A43</f>
        <v>Nissan</v>
      </c>
      <c r="D43" s="191" t="str">
        <f>Rollover!B43</f>
        <v>Rogue SUV FWD (early release)</v>
      </c>
      <c r="E43" s="105" t="s">
        <v>149</v>
      </c>
      <c r="F43" s="192">
        <f>Rollover!C43</f>
        <v>2021</v>
      </c>
      <c r="G43" s="57">
        <v>161.607</v>
      </c>
      <c r="H43" s="10">
        <v>17.387</v>
      </c>
      <c r="I43" s="10" t="s">
        <v>189</v>
      </c>
      <c r="J43" s="58">
        <v>18.036999999999999</v>
      </c>
      <c r="K43" s="11">
        <v>1770.261</v>
      </c>
      <c r="L43" s="22">
        <f t="shared" si="11"/>
        <v>6.8969872624144272E-4</v>
      </c>
      <c r="M43" s="23">
        <f t="shared" si="12"/>
        <v>9.5515473073525935E-3</v>
      </c>
      <c r="N43" s="22">
        <f t="shared" si="13"/>
        <v>0.01</v>
      </c>
      <c r="O43" s="5">
        <f t="shared" si="14"/>
        <v>7.0000000000000007E-2</v>
      </c>
      <c r="P43" s="21">
        <f t="shared" si="15"/>
        <v>5</v>
      </c>
      <c r="Q43" s="59">
        <f>ROUND((0.8*'Side MDB'!W43+0.2*'Side Pole'!N43),3)</f>
        <v>1.7000000000000001E-2</v>
      </c>
      <c r="R43" s="60">
        <f t="shared" si="16"/>
        <v>0.11</v>
      </c>
      <c r="S43" s="21">
        <f t="shared" si="17"/>
        <v>5</v>
      </c>
      <c r="T43" s="59">
        <f>ROUND(((0.8*'Side MDB'!W43+0.2*'Side Pole'!N43)+(IF('Side MDB'!X43="N/A",(0.8*'Side MDB'!W43+0.2*'Side Pole'!N43),'Side MDB'!X43)))/2,3)</f>
        <v>1.7000000000000001E-2</v>
      </c>
      <c r="U43" s="60">
        <f t="shared" si="18"/>
        <v>0.11</v>
      </c>
      <c r="V43" s="21">
        <f t="shared" si="19"/>
        <v>5</v>
      </c>
      <c r="W43" s="14"/>
      <c r="X43" s="14"/>
      <c r="Y43" s="61"/>
      <c r="Z43" s="61"/>
      <c r="AA43" s="61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1:38" ht="14.1" customHeight="1">
      <c r="A44" s="194">
        <v>11344</v>
      </c>
      <c r="B44" s="195" t="s">
        <v>188</v>
      </c>
      <c r="C44" s="191" t="str">
        <f>Rollover!A44</f>
        <v>Nissan</v>
      </c>
      <c r="D44" s="191" t="str">
        <f>Rollover!B44</f>
        <v>Rogue SUV AWD (early release)</v>
      </c>
      <c r="E44" s="105" t="s">
        <v>149</v>
      </c>
      <c r="F44" s="192">
        <f>Rollover!C44</f>
        <v>2021</v>
      </c>
      <c r="G44" s="57">
        <v>161.607</v>
      </c>
      <c r="H44" s="10">
        <v>17.387</v>
      </c>
      <c r="I44" s="10" t="s">
        <v>189</v>
      </c>
      <c r="J44" s="58">
        <v>18.036999999999999</v>
      </c>
      <c r="K44" s="11">
        <v>1770.261</v>
      </c>
      <c r="L44" s="22">
        <f t="shared" ref="L44:L46" si="29">NORMDIST(LN(G44),7.45231,0.73998,1)</f>
        <v>6.8969872624144272E-4</v>
      </c>
      <c r="M44" s="23">
        <f t="shared" ref="M44:M46" si="30">1/(1+EXP(6.3055-0.00094*K44))</f>
        <v>9.5515473073525935E-3</v>
      </c>
      <c r="N44" s="22">
        <f t="shared" ref="N44:N46" si="31">ROUND(1-(1-L44)*(1-M44),3)</f>
        <v>0.01</v>
      </c>
      <c r="O44" s="5">
        <f t="shared" ref="O44:O46" si="32">ROUND(N44/0.15,2)</f>
        <v>7.0000000000000007E-2</v>
      </c>
      <c r="P44" s="21">
        <f t="shared" ref="P44:P46" si="33">IF(O44&lt;0.67,5,IF(O44&lt;1,4,IF(O44&lt;1.33,3,IF(O44&lt;2.67,2,1))))</f>
        <v>5</v>
      </c>
      <c r="Q44" s="59">
        <f>ROUND((0.8*'Side MDB'!W44+0.2*'Side Pole'!N44),3)</f>
        <v>1.7000000000000001E-2</v>
      </c>
      <c r="R44" s="60">
        <f t="shared" ref="R44:R46" si="34">ROUND((Q44)/0.15,2)</f>
        <v>0.11</v>
      </c>
      <c r="S44" s="21">
        <f t="shared" ref="S44:S46" si="35">IF(R44&lt;0.67,5,IF(R44&lt;1,4,IF(R44&lt;1.33,3,IF(R44&lt;2.67,2,1))))</f>
        <v>5</v>
      </c>
      <c r="T44" s="59">
        <f>ROUND(((0.8*'Side MDB'!W44+0.2*'Side Pole'!N44)+(IF('Side MDB'!X44="N/A",(0.8*'Side MDB'!W44+0.2*'Side Pole'!N44),'Side MDB'!X44)))/2,3)</f>
        <v>1.7000000000000001E-2</v>
      </c>
      <c r="U44" s="60">
        <f t="shared" ref="U44:U46" si="36">ROUND((T44)/0.15,2)</f>
        <v>0.11</v>
      </c>
      <c r="V44" s="21">
        <f t="shared" ref="V44:V46" si="37">IF(U44&lt;0.67,5,IF(U44&lt;1,4,IF(U44&lt;1.33,3,IF(U44&lt;2.67,2,1))))</f>
        <v>5</v>
      </c>
      <c r="W44" s="14"/>
      <c r="X44" s="14"/>
      <c r="Y44" s="61"/>
      <c r="Z44" s="61"/>
      <c r="AA44" s="61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1:38" ht="14.1" customHeight="1">
      <c r="A45" s="194">
        <v>11344</v>
      </c>
      <c r="B45" s="195" t="s">
        <v>188</v>
      </c>
      <c r="C45" s="191" t="str">
        <f>Rollover!A45</f>
        <v>Nissan</v>
      </c>
      <c r="D45" s="191" t="str">
        <f>Rollover!B45</f>
        <v>Rogue SUV FWD (later release)</v>
      </c>
      <c r="E45" s="105" t="s">
        <v>149</v>
      </c>
      <c r="F45" s="192">
        <f>Rollover!C45</f>
        <v>2021</v>
      </c>
      <c r="G45" s="57">
        <v>161.607</v>
      </c>
      <c r="H45" s="10">
        <v>17.387</v>
      </c>
      <c r="I45" s="10" t="s">
        <v>189</v>
      </c>
      <c r="J45" s="58">
        <v>18.036999999999999</v>
      </c>
      <c r="K45" s="11">
        <v>1770.261</v>
      </c>
      <c r="L45" s="22">
        <f t="shared" si="29"/>
        <v>6.8969872624144272E-4</v>
      </c>
      <c r="M45" s="23">
        <f t="shared" si="30"/>
        <v>9.5515473073525935E-3</v>
      </c>
      <c r="N45" s="22">
        <f t="shared" si="31"/>
        <v>0.01</v>
      </c>
      <c r="O45" s="5">
        <f t="shared" si="32"/>
        <v>7.0000000000000007E-2</v>
      </c>
      <c r="P45" s="21">
        <f t="shared" si="33"/>
        <v>5</v>
      </c>
      <c r="Q45" s="59">
        <f>ROUND((0.8*'Side MDB'!W45+0.2*'Side Pole'!N45),3)</f>
        <v>1.7000000000000001E-2</v>
      </c>
      <c r="R45" s="60">
        <f t="shared" si="34"/>
        <v>0.11</v>
      </c>
      <c r="S45" s="21">
        <f t="shared" si="35"/>
        <v>5</v>
      </c>
      <c r="T45" s="59">
        <f>ROUND(((0.8*'Side MDB'!W45+0.2*'Side Pole'!N45)+(IF('Side MDB'!X45="N/A",(0.8*'Side MDB'!W45+0.2*'Side Pole'!N45),'Side MDB'!X45)))/2,3)</f>
        <v>1.7000000000000001E-2</v>
      </c>
      <c r="U45" s="60">
        <f t="shared" si="36"/>
        <v>0.11</v>
      </c>
      <c r="V45" s="21">
        <f t="shared" si="37"/>
        <v>5</v>
      </c>
      <c r="W45" s="14"/>
      <c r="X45" s="14"/>
      <c r="Y45" s="61"/>
      <c r="Z45" s="61"/>
      <c r="AA45" s="61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1:38" ht="14.1" customHeight="1">
      <c r="A46" s="194">
        <v>11344</v>
      </c>
      <c r="B46" s="195" t="s">
        <v>188</v>
      </c>
      <c r="C46" s="191" t="str">
        <f>Rollover!A46</f>
        <v>Nissan</v>
      </c>
      <c r="D46" s="191" t="str">
        <f>Rollover!B46</f>
        <v>Rogue SUV AWD (later release)</v>
      </c>
      <c r="E46" s="105" t="s">
        <v>149</v>
      </c>
      <c r="F46" s="192">
        <f>Rollover!C46</f>
        <v>2021</v>
      </c>
      <c r="G46" s="57">
        <v>161.607</v>
      </c>
      <c r="H46" s="10">
        <v>17.387</v>
      </c>
      <c r="I46" s="10" t="s">
        <v>189</v>
      </c>
      <c r="J46" s="58">
        <v>18.036999999999999</v>
      </c>
      <c r="K46" s="11">
        <v>1770.261</v>
      </c>
      <c r="L46" s="22">
        <f t="shared" si="29"/>
        <v>6.8969872624144272E-4</v>
      </c>
      <c r="M46" s="23">
        <f t="shared" si="30"/>
        <v>9.5515473073525935E-3</v>
      </c>
      <c r="N46" s="22">
        <f t="shared" si="31"/>
        <v>0.01</v>
      </c>
      <c r="O46" s="5">
        <f t="shared" si="32"/>
        <v>7.0000000000000007E-2</v>
      </c>
      <c r="P46" s="21">
        <f t="shared" si="33"/>
        <v>5</v>
      </c>
      <c r="Q46" s="59">
        <f>ROUND((0.8*'Side MDB'!W46+0.2*'Side Pole'!N46),3)</f>
        <v>1.7000000000000001E-2</v>
      </c>
      <c r="R46" s="60">
        <f t="shared" si="34"/>
        <v>0.11</v>
      </c>
      <c r="S46" s="21">
        <f t="shared" si="35"/>
        <v>5</v>
      </c>
      <c r="T46" s="59">
        <f>ROUND(((0.8*'Side MDB'!W46+0.2*'Side Pole'!N46)+(IF('Side MDB'!X46="N/A",(0.8*'Side MDB'!W46+0.2*'Side Pole'!N46),'Side MDB'!X46)))/2,3)</f>
        <v>1.7000000000000001E-2</v>
      </c>
      <c r="U46" s="60">
        <f t="shared" si="36"/>
        <v>0.11</v>
      </c>
      <c r="V46" s="21">
        <f t="shared" si="37"/>
        <v>5</v>
      </c>
      <c r="W46" s="14"/>
      <c r="X46" s="14"/>
      <c r="Y46" s="61"/>
      <c r="Z46" s="61"/>
      <c r="AA46" s="61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spans="1:38" ht="14.1" customHeight="1">
      <c r="A47" s="189">
        <v>10911</v>
      </c>
      <c r="B47" s="190" t="s">
        <v>162</v>
      </c>
      <c r="C47" s="191" t="str">
        <f>Rollover!A47</f>
        <v>Subaru</v>
      </c>
      <c r="D47" s="191" t="str">
        <f>Rollover!B47</f>
        <v>Outback SW AWD</v>
      </c>
      <c r="E47" s="105" t="s">
        <v>152</v>
      </c>
      <c r="F47" s="192">
        <f>Rollover!C47</f>
        <v>2021</v>
      </c>
      <c r="G47" s="57">
        <v>145.62</v>
      </c>
      <c r="H47" s="10">
        <v>18.956</v>
      </c>
      <c r="I47" s="10">
        <v>43.360999999999997</v>
      </c>
      <c r="J47" s="58">
        <v>21.535</v>
      </c>
      <c r="K47" s="58">
        <v>2999.2440000000001</v>
      </c>
      <c r="L47" s="22">
        <f t="shared" ref="L47:L51" si="38">NORMDIST(LN(G47),7.45231,0.73998,1)</f>
        <v>4.1934813984900748E-4</v>
      </c>
      <c r="M47" s="23">
        <f t="shared" ref="M47:M51" si="39">1/(1+EXP(6.3055-0.00094*K47))</f>
        <v>2.9707136613067439E-2</v>
      </c>
      <c r="N47" s="22">
        <f t="shared" ref="N47:N51" si="40">ROUND(1-(1-L47)*(1-M47),3)</f>
        <v>0.03</v>
      </c>
      <c r="O47" s="5">
        <f t="shared" ref="O47:O51" si="41">ROUND(N47/0.15,2)</f>
        <v>0.2</v>
      </c>
      <c r="P47" s="21">
        <f t="shared" ref="P47:P51" si="42">IF(O47&lt;0.67,5,IF(O47&lt;1,4,IF(O47&lt;1.33,3,IF(O47&lt;2.67,2,1))))</f>
        <v>5</v>
      </c>
      <c r="Q47" s="59">
        <f>ROUND((0.8*'Side MDB'!W47+0.2*'Side Pole'!N47),3)</f>
        <v>2.4E-2</v>
      </c>
      <c r="R47" s="60">
        <f t="shared" ref="R47:R51" si="43">ROUND((Q47)/0.15,2)</f>
        <v>0.16</v>
      </c>
      <c r="S47" s="21">
        <f t="shared" ref="S47:S51" si="44">IF(R47&lt;0.67,5,IF(R47&lt;1,4,IF(R47&lt;1.33,3,IF(R47&lt;2.67,2,1))))</f>
        <v>5</v>
      </c>
      <c r="T47" s="59">
        <f>ROUND(((0.8*'Side MDB'!W47+0.2*'Side Pole'!N47)+(IF('Side MDB'!X47="N/A",(0.8*'Side MDB'!W47+0.2*'Side Pole'!N47),'Side MDB'!X47)))/2,3)</f>
        <v>2.4E-2</v>
      </c>
      <c r="U47" s="60">
        <f t="shared" ref="U47:U51" si="45">ROUND((T47)/0.15,2)</f>
        <v>0.16</v>
      </c>
      <c r="V47" s="21">
        <f t="shared" ref="V47:V51" si="46">IF(U47&lt;0.67,5,IF(U47&lt;1,4,IF(U47&lt;1.33,3,IF(U47&lt;2.67,2,1))))</f>
        <v>5</v>
      </c>
      <c r="W47" s="14"/>
      <c r="X47" s="14"/>
      <c r="Y47" s="61"/>
      <c r="Z47" s="61"/>
      <c r="AA47" s="61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  <row r="48" spans="1:38" ht="12" customHeight="1">
      <c r="A48" s="189">
        <v>10846</v>
      </c>
      <c r="B48" s="190" t="s">
        <v>163</v>
      </c>
      <c r="C48" s="63" t="str">
        <f>Rollover!A48</f>
        <v>Subaru</v>
      </c>
      <c r="D48" s="63" t="str">
        <f>Rollover!B48</f>
        <v>Legacy 4DR AWD</v>
      </c>
      <c r="E48" s="105" t="s">
        <v>152</v>
      </c>
      <c r="F48" s="192">
        <f>Rollover!C48</f>
        <v>2021</v>
      </c>
      <c r="G48" s="57">
        <v>103.797</v>
      </c>
      <c r="H48" s="10">
        <v>19.646999999999998</v>
      </c>
      <c r="I48" s="10">
        <v>38.470999999999997</v>
      </c>
      <c r="J48" s="58">
        <v>14.347</v>
      </c>
      <c r="K48" s="11">
        <v>3028.7040000000002</v>
      </c>
      <c r="L48" s="22">
        <f t="shared" si="38"/>
        <v>7.316153487279784E-5</v>
      </c>
      <c r="M48" s="23">
        <f t="shared" si="39"/>
        <v>3.0515840093706635E-2</v>
      </c>
      <c r="N48" s="22">
        <f t="shared" si="40"/>
        <v>3.1E-2</v>
      </c>
      <c r="O48" s="5">
        <f t="shared" si="41"/>
        <v>0.21</v>
      </c>
      <c r="P48" s="21">
        <f t="shared" si="42"/>
        <v>5</v>
      </c>
      <c r="Q48" s="59">
        <f>ROUND((0.8*'Side MDB'!W48+0.2*'Side Pole'!N48),3)</f>
        <v>4.2999999999999997E-2</v>
      </c>
      <c r="R48" s="60">
        <f t="shared" si="43"/>
        <v>0.28999999999999998</v>
      </c>
      <c r="S48" s="21">
        <f t="shared" si="44"/>
        <v>5</v>
      </c>
      <c r="T48" s="59">
        <f>ROUND(((0.8*'Side MDB'!W48+0.2*'Side Pole'!N48)+(IF('Side MDB'!X48="N/A",(0.8*'Side MDB'!W48+0.2*'Side Pole'!N48),'Side MDB'!X48)))/2,3)</f>
        <v>3.3000000000000002E-2</v>
      </c>
      <c r="U48" s="60">
        <f t="shared" si="45"/>
        <v>0.22</v>
      </c>
      <c r="V48" s="21">
        <f t="shared" si="46"/>
        <v>5</v>
      </c>
      <c r="W48" s="14"/>
      <c r="X48" s="14"/>
      <c r="Y48" s="61"/>
      <c r="Z48" s="61"/>
      <c r="AA48" s="61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</row>
    <row r="49" spans="1:38" ht="14.1" customHeight="1">
      <c r="A49" s="190">
        <v>10650</v>
      </c>
      <c r="B49" s="190" t="s">
        <v>165</v>
      </c>
      <c r="C49" s="191" t="str">
        <f>Rollover!A49</f>
        <v>Toyota</v>
      </c>
      <c r="D49" s="191" t="str">
        <f>Rollover!B49</f>
        <v>Corolla 4DR FWD</v>
      </c>
      <c r="E49" s="105" t="s">
        <v>92</v>
      </c>
      <c r="F49" s="192">
        <f>Rollover!C49</f>
        <v>2021</v>
      </c>
      <c r="G49" s="57">
        <v>239.12200000000001</v>
      </c>
      <c r="H49" s="10">
        <v>14.971</v>
      </c>
      <c r="I49" s="10">
        <v>31.571999999999999</v>
      </c>
      <c r="J49" s="58">
        <v>21.445</v>
      </c>
      <c r="K49" s="11">
        <v>2769.5720000000001</v>
      </c>
      <c r="L49" s="22">
        <f t="shared" si="38"/>
        <v>3.7988325969970905E-3</v>
      </c>
      <c r="M49" s="23">
        <f t="shared" si="39"/>
        <v>2.4077571975424518E-2</v>
      </c>
      <c r="N49" s="22">
        <f t="shared" si="40"/>
        <v>2.8000000000000001E-2</v>
      </c>
      <c r="O49" s="5">
        <f t="shared" si="41"/>
        <v>0.19</v>
      </c>
      <c r="P49" s="21">
        <f t="shared" si="42"/>
        <v>5</v>
      </c>
      <c r="Q49" s="59">
        <f>ROUND((0.8*'Side MDB'!W49+0.2*'Side Pole'!N49),3)</f>
        <v>4.2999999999999997E-2</v>
      </c>
      <c r="R49" s="60">
        <f t="shared" si="43"/>
        <v>0.28999999999999998</v>
      </c>
      <c r="S49" s="21">
        <f t="shared" si="44"/>
        <v>5</v>
      </c>
      <c r="T49" s="59">
        <f>ROUND(((0.8*'Side MDB'!W49+0.2*'Side Pole'!N49)+(IF('Side MDB'!X49="N/A",(0.8*'Side MDB'!W49+0.2*'Side Pole'!N49),'Side MDB'!X49)))/2,3)</f>
        <v>2.5999999999999999E-2</v>
      </c>
      <c r="U49" s="60">
        <f t="shared" si="45"/>
        <v>0.17</v>
      </c>
      <c r="V49" s="21">
        <f t="shared" si="46"/>
        <v>5</v>
      </c>
      <c r="W49" s="14"/>
      <c r="X49" s="14"/>
      <c r="Y49" s="61"/>
      <c r="Z49" s="61"/>
      <c r="AA49" s="61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</row>
    <row r="50" spans="1:38" ht="14.1" customHeight="1">
      <c r="A50" s="190">
        <v>10650</v>
      </c>
      <c r="B50" s="190" t="s">
        <v>165</v>
      </c>
      <c r="C50" s="63" t="str">
        <f>Rollover!A50</f>
        <v>Toyota</v>
      </c>
      <c r="D50" s="63" t="str">
        <f>Rollover!B50</f>
        <v>Corolla Hybrid 4DR FWD</v>
      </c>
      <c r="E50" s="105" t="s">
        <v>92</v>
      </c>
      <c r="F50" s="192">
        <f>Rollover!C50</f>
        <v>2021</v>
      </c>
      <c r="G50" s="57">
        <v>239.12200000000001</v>
      </c>
      <c r="H50" s="10">
        <v>14.971</v>
      </c>
      <c r="I50" s="10">
        <v>31.571999999999999</v>
      </c>
      <c r="J50" s="58">
        <v>21.445</v>
      </c>
      <c r="K50" s="11">
        <v>2769.5720000000001</v>
      </c>
      <c r="L50" s="22">
        <f t="shared" si="38"/>
        <v>3.7988325969970905E-3</v>
      </c>
      <c r="M50" s="23">
        <f t="shared" si="39"/>
        <v>2.4077571975424518E-2</v>
      </c>
      <c r="N50" s="22">
        <f t="shared" si="40"/>
        <v>2.8000000000000001E-2</v>
      </c>
      <c r="O50" s="5">
        <f t="shared" si="41"/>
        <v>0.19</v>
      </c>
      <c r="P50" s="21">
        <f t="shared" si="42"/>
        <v>5</v>
      </c>
      <c r="Q50" s="59">
        <f>ROUND((0.8*'Side MDB'!W50+0.2*'Side Pole'!N50),3)</f>
        <v>4.2999999999999997E-2</v>
      </c>
      <c r="R50" s="60">
        <f t="shared" si="43"/>
        <v>0.28999999999999998</v>
      </c>
      <c r="S50" s="21">
        <f t="shared" si="44"/>
        <v>5</v>
      </c>
      <c r="T50" s="59">
        <f>ROUND(((0.8*'Side MDB'!W50+0.2*'Side Pole'!N50)+(IF('Side MDB'!X50="N/A",(0.8*'Side MDB'!W50+0.2*'Side Pole'!N50),'Side MDB'!X50)))/2,3)</f>
        <v>2.5999999999999999E-2</v>
      </c>
      <c r="U50" s="60">
        <f t="shared" si="45"/>
        <v>0.17</v>
      </c>
      <c r="V50" s="21">
        <f t="shared" si="46"/>
        <v>5</v>
      </c>
      <c r="W50" s="14"/>
      <c r="X50" s="14"/>
      <c r="Y50" s="61"/>
      <c r="Z50" s="61"/>
      <c r="AA50" s="61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  <row r="51" spans="1:38" ht="14.1" customHeight="1">
      <c r="A51" s="190">
        <v>10650</v>
      </c>
      <c r="B51" s="190" t="s">
        <v>165</v>
      </c>
      <c r="C51" s="63" t="str">
        <f>Rollover!A51</f>
        <v>Toyota</v>
      </c>
      <c r="D51" s="63" t="str">
        <f>Rollover!B51</f>
        <v>Corolla Hatchback 5HB FWD</v>
      </c>
      <c r="E51" s="105" t="s">
        <v>92</v>
      </c>
      <c r="F51" s="192">
        <f>Rollover!C51</f>
        <v>2021</v>
      </c>
      <c r="G51" s="57">
        <v>239.12200000000001</v>
      </c>
      <c r="H51" s="10">
        <v>14.971</v>
      </c>
      <c r="I51" s="10">
        <v>31.571999999999999</v>
      </c>
      <c r="J51" s="58">
        <v>21.445</v>
      </c>
      <c r="K51" s="11">
        <v>2769.5720000000001</v>
      </c>
      <c r="L51" s="22">
        <f t="shared" si="38"/>
        <v>3.7988325969970905E-3</v>
      </c>
      <c r="M51" s="23">
        <f t="shared" si="39"/>
        <v>2.4077571975424518E-2</v>
      </c>
      <c r="N51" s="22">
        <f t="shared" si="40"/>
        <v>2.8000000000000001E-2</v>
      </c>
      <c r="O51" s="5">
        <f t="shared" si="41"/>
        <v>0.19</v>
      </c>
      <c r="P51" s="21">
        <f t="shared" si="42"/>
        <v>5</v>
      </c>
      <c r="Q51" s="59">
        <f>ROUND((0.8*'Side MDB'!W51+0.2*'Side Pole'!N51),3)</f>
        <v>4.2999999999999997E-2</v>
      </c>
      <c r="R51" s="60">
        <f t="shared" si="43"/>
        <v>0.28999999999999998</v>
      </c>
      <c r="S51" s="21">
        <f t="shared" si="44"/>
        <v>5</v>
      </c>
      <c r="T51" s="59">
        <f>ROUND(((0.8*'Side MDB'!W51+0.2*'Side Pole'!N51)+(IF('Side MDB'!X51="N/A",(0.8*'Side MDB'!W51+0.2*'Side Pole'!N51),'Side MDB'!X51)))/2,3)</f>
        <v>2.5999999999999999E-2</v>
      </c>
      <c r="U51" s="60">
        <f t="shared" si="45"/>
        <v>0.17</v>
      </c>
      <c r="V51" s="21">
        <f t="shared" si="46"/>
        <v>5</v>
      </c>
      <c r="W51" s="14"/>
      <c r="X51" s="14"/>
      <c r="Y51" s="61"/>
      <c r="Z51" s="61"/>
      <c r="AA51" s="61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</row>
    <row r="52" spans="1:38" ht="14.1" customHeight="1">
      <c r="N52" s="193"/>
      <c r="O52" s="193"/>
      <c r="P52" s="196"/>
      <c r="Q52" s="193"/>
    </row>
    <row r="53" spans="1:38" ht="14.1" customHeight="1">
      <c r="N53" s="193"/>
      <c r="O53" s="193"/>
      <c r="P53" s="196"/>
      <c r="Q53" s="193"/>
    </row>
    <row r="54" spans="1:38" ht="14.1" customHeight="1">
      <c r="N54" s="193"/>
      <c r="O54" s="193"/>
      <c r="P54" s="196"/>
      <c r="Q54" s="193"/>
    </row>
    <row r="55" spans="1:38" ht="14.1" customHeight="1">
      <c r="N55" s="193"/>
      <c r="O55" s="193"/>
      <c r="P55" s="196"/>
      <c r="Q55" s="193"/>
    </row>
    <row r="56" spans="1:38" ht="14.1" customHeight="1">
      <c r="N56" s="193"/>
      <c r="O56" s="193"/>
      <c r="P56" s="196"/>
      <c r="Q56" s="193"/>
    </row>
    <row r="57" spans="1:38" ht="14.1" customHeight="1">
      <c r="N57" s="193"/>
      <c r="O57" s="193"/>
      <c r="P57" s="196"/>
      <c r="Q57" s="193"/>
    </row>
    <row r="58" spans="1:38" ht="14.1" customHeight="1">
      <c r="N58" s="193"/>
      <c r="O58" s="193"/>
      <c r="P58" s="196"/>
      <c r="Q58" s="193"/>
    </row>
    <row r="59" spans="1:38" ht="14.1" customHeight="1">
      <c r="N59" s="193"/>
      <c r="O59" s="193"/>
      <c r="P59" s="196"/>
      <c r="Q59" s="193"/>
    </row>
    <row r="60" spans="1:38" ht="14.1" customHeight="1">
      <c r="N60" s="193"/>
      <c r="O60" s="193"/>
      <c r="P60" s="196"/>
      <c r="Q60" s="193"/>
    </row>
    <row r="61" spans="1:38" ht="14.1" customHeight="1">
      <c r="N61" s="193"/>
      <c r="O61" s="193"/>
      <c r="P61" s="196"/>
      <c r="Q61" s="193"/>
    </row>
    <row r="62" spans="1:38" ht="14.1" customHeight="1">
      <c r="N62" s="193"/>
      <c r="O62" s="193"/>
      <c r="P62" s="196"/>
      <c r="Q62" s="193"/>
    </row>
    <row r="63" spans="1:38" ht="14.1" customHeight="1">
      <c r="N63" s="193"/>
      <c r="O63" s="193"/>
      <c r="P63" s="196"/>
      <c r="Q63" s="193"/>
    </row>
    <row r="64" spans="1:38" ht="14.1" customHeight="1">
      <c r="N64" s="193"/>
      <c r="O64" s="193"/>
      <c r="P64" s="196"/>
      <c r="Q64" s="193"/>
    </row>
    <row r="65" spans="14:17" ht="14.1" customHeight="1">
      <c r="N65" s="193"/>
      <c r="O65" s="193"/>
      <c r="P65" s="196"/>
      <c r="Q65" s="193"/>
    </row>
    <row r="66" spans="14:17" ht="14.1" customHeight="1">
      <c r="N66" s="193"/>
      <c r="O66" s="193"/>
      <c r="P66" s="196"/>
      <c r="Q66" s="193"/>
    </row>
    <row r="67" spans="14:17" ht="14.1" customHeight="1">
      <c r="N67" s="193"/>
      <c r="O67" s="193"/>
      <c r="P67" s="196"/>
      <c r="Q67" s="193"/>
    </row>
    <row r="68" spans="14:17" ht="14.1" customHeight="1">
      <c r="N68" s="193"/>
      <c r="O68" s="193"/>
      <c r="P68" s="196"/>
      <c r="Q68" s="193"/>
    </row>
    <row r="69" spans="14:17" ht="14.1" customHeight="1">
      <c r="N69" s="193"/>
      <c r="O69" s="193"/>
      <c r="P69" s="196"/>
      <c r="Q69" s="193"/>
    </row>
    <row r="70" spans="14:17" ht="14.1" customHeight="1">
      <c r="N70" s="193"/>
      <c r="O70" s="193"/>
      <c r="P70" s="196"/>
      <c r="Q70" s="193"/>
    </row>
    <row r="71" spans="14:17" ht="14.1" customHeight="1">
      <c r="N71" s="193"/>
      <c r="O71" s="193"/>
      <c r="P71" s="196"/>
      <c r="Q71" s="193"/>
    </row>
    <row r="72" spans="14:17" ht="14.1" customHeight="1">
      <c r="N72" s="193"/>
      <c r="O72" s="193"/>
      <c r="P72" s="196"/>
      <c r="Q72" s="193"/>
    </row>
    <row r="73" spans="14:17" ht="14.1" customHeight="1">
      <c r="N73" s="193"/>
      <c r="O73" s="193"/>
      <c r="P73" s="196"/>
      <c r="Q73" s="193"/>
    </row>
    <row r="74" spans="14:17" ht="14.1" customHeight="1">
      <c r="N74" s="193"/>
      <c r="O74" s="193"/>
      <c r="P74" s="196"/>
      <c r="Q74" s="193"/>
    </row>
    <row r="75" spans="14:17" ht="14.1" customHeight="1">
      <c r="N75" s="193"/>
      <c r="O75" s="193"/>
      <c r="P75" s="196"/>
      <c r="Q75" s="193"/>
    </row>
    <row r="76" spans="14:17" ht="14.1" customHeight="1">
      <c r="N76" s="193"/>
      <c r="O76" s="193"/>
      <c r="P76" s="196"/>
      <c r="Q76" s="193"/>
    </row>
    <row r="77" spans="14:17" ht="14.1" customHeight="1">
      <c r="N77" s="193"/>
      <c r="O77" s="193"/>
      <c r="P77" s="196"/>
      <c r="Q77" s="193"/>
    </row>
    <row r="78" spans="14:17" ht="14.1" customHeight="1">
      <c r="N78" s="193"/>
      <c r="O78" s="193"/>
      <c r="P78" s="196"/>
      <c r="Q78" s="193"/>
    </row>
    <row r="79" spans="14:17" ht="14.1" customHeight="1">
      <c r="N79" s="193"/>
      <c r="O79" s="193"/>
      <c r="P79" s="196"/>
      <c r="Q79" s="193"/>
    </row>
    <row r="80" spans="14:17" ht="14.1" customHeight="1">
      <c r="N80" s="193"/>
      <c r="O80" s="193"/>
      <c r="P80" s="196"/>
      <c r="Q80" s="193"/>
    </row>
    <row r="81" spans="14:17" ht="14.1" customHeight="1">
      <c r="N81" s="193"/>
      <c r="O81" s="193"/>
      <c r="P81" s="196"/>
      <c r="Q81" s="193"/>
    </row>
    <row r="82" spans="14:17" ht="14.1" customHeight="1">
      <c r="N82" s="193"/>
      <c r="O82" s="193"/>
      <c r="P82" s="196"/>
      <c r="Q82" s="193"/>
    </row>
    <row r="83" spans="14:17" ht="14.1" customHeight="1">
      <c r="N83" s="193"/>
      <c r="O83" s="193"/>
      <c r="P83" s="196"/>
      <c r="Q83" s="193"/>
    </row>
    <row r="84" spans="14:17" ht="14.1" customHeight="1">
      <c r="N84" s="193"/>
      <c r="O84" s="193"/>
      <c r="P84" s="196"/>
      <c r="Q84" s="193"/>
    </row>
    <row r="85" spans="14:17" ht="14.1" customHeight="1">
      <c r="N85" s="193"/>
      <c r="O85" s="193"/>
      <c r="P85" s="196"/>
      <c r="Q85" s="193"/>
    </row>
    <row r="86" spans="14:17" ht="14.1" customHeight="1">
      <c r="N86" s="193"/>
      <c r="O86" s="193"/>
      <c r="P86" s="196"/>
      <c r="Q86" s="193"/>
    </row>
    <row r="87" spans="14:17" ht="14.1" customHeight="1">
      <c r="N87" s="193"/>
      <c r="O87" s="193"/>
      <c r="P87" s="196"/>
      <c r="Q87" s="193"/>
    </row>
    <row r="88" spans="14:17" ht="14.1" customHeight="1">
      <c r="N88" s="193"/>
      <c r="O88" s="193"/>
      <c r="P88" s="196"/>
      <c r="Q88" s="193"/>
    </row>
    <row r="89" spans="14:17" ht="14.1" customHeight="1">
      <c r="N89" s="193"/>
      <c r="O89" s="193"/>
      <c r="P89" s="196"/>
      <c r="Q89" s="193"/>
    </row>
    <row r="90" spans="14:17" ht="14.1" customHeight="1">
      <c r="N90" s="193"/>
      <c r="O90" s="193"/>
      <c r="P90" s="196"/>
      <c r="Q90" s="193"/>
    </row>
    <row r="91" spans="14:17" ht="14.1" customHeight="1">
      <c r="N91" s="193"/>
      <c r="O91" s="193"/>
      <c r="P91" s="196"/>
      <c r="Q91" s="193"/>
    </row>
    <row r="92" spans="14:17" ht="14.1" customHeight="1">
      <c r="N92" s="193"/>
      <c r="O92" s="193"/>
      <c r="P92" s="196"/>
      <c r="Q92" s="193"/>
    </row>
    <row r="93" spans="14:17" ht="14.1" customHeight="1">
      <c r="N93" s="193"/>
      <c r="O93" s="193"/>
      <c r="P93" s="196"/>
      <c r="Q93" s="193"/>
    </row>
    <row r="94" spans="14:17" ht="14.1" customHeight="1">
      <c r="N94" s="193"/>
      <c r="O94" s="193"/>
      <c r="P94" s="196"/>
      <c r="Q94" s="193"/>
    </row>
    <row r="95" spans="14:17" ht="14.1" customHeight="1">
      <c r="N95" s="193"/>
      <c r="O95" s="193"/>
      <c r="P95" s="196"/>
      <c r="Q95" s="193"/>
    </row>
    <row r="96" spans="14:17" ht="14.1" customHeight="1">
      <c r="N96" s="193"/>
      <c r="O96" s="193"/>
      <c r="P96" s="196"/>
      <c r="Q96" s="193"/>
    </row>
    <row r="97" spans="14:17" ht="14.1" customHeight="1">
      <c r="N97" s="193"/>
      <c r="O97" s="193"/>
      <c r="P97" s="196"/>
      <c r="Q97" s="193"/>
    </row>
    <row r="98" spans="14:17" ht="14.1" customHeight="1">
      <c r="N98" s="193"/>
      <c r="O98" s="193"/>
      <c r="P98" s="196"/>
      <c r="Q98" s="193"/>
    </row>
    <row r="99" spans="14:17" ht="14.1" customHeight="1">
      <c r="N99" s="193"/>
      <c r="O99" s="193"/>
      <c r="P99" s="196"/>
      <c r="Q99" s="193"/>
    </row>
    <row r="100" spans="14:17" ht="14.1" customHeight="1">
      <c r="N100" s="193"/>
      <c r="O100" s="193"/>
      <c r="P100" s="196"/>
      <c r="Q100" s="193"/>
    </row>
    <row r="101" spans="14:17" ht="14.1" customHeight="1">
      <c r="N101" s="193"/>
      <c r="O101" s="193"/>
      <c r="P101" s="196"/>
      <c r="Q101" s="193"/>
    </row>
    <row r="102" spans="14:17" ht="14.1" customHeight="1">
      <c r="N102" s="193"/>
      <c r="O102" s="193"/>
      <c r="P102" s="196"/>
      <c r="Q102" s="193"/>
    </row>
    <row r="103" spans="14:17" ht="14.1" customHeight="1">
      <c r="N103" s="193"/>
      <c r="O103" s="193"/>
      <c r="P103" s="196"/>
      <c r="Q103" s="193"/>
    </row>
    <row r="104" spans="14:17" ht="14.1" customHeight="1">
      <c r="N104" s="193"/>
      <c r="O104" s="193"/>
      <c r="P104" s="196"/>
      <c r="Q104" s="193"/>
    </row>
    <row r="105" spans="14:17" ht="14.1" customHeight="1">
      <c r="N105" s="193"/>
      <c r="O105" s="193"/>
      <c r="P105" s="196"/>
      <c r="Q105" s="193"/>
    </row>
    <row r="106" spans="14:17" ht="14.1" customHeight="1">
      <c r="N106" s="193"/>
      <c r="O106" s="193"/>
      <c r="P106" s="196"/>
      <c r="Q106" s="193"/>
    </row>
    <row r="107" spans="14:17" ht="14.1" customHeight="1">
      <c r="N107" s="193"/>
      <c r="O107" s="193"/>
      <c r="P107" s="196"/>
      <c r="Q107" s="193"/>
    </row>
    <row r="108" spans="14:17" ht="14.1" customHeight="1">
      <c r="N108" s="193"/>
      <c r="O108" s="193"/>
      <c r="P108" s="196"/>
      <c r="Q108" s="193"/>
    </row>
    <row r="109" spans="14:17" ht="14.1" customHeight="1">
      <c r="N109" s="193"/>
      <c r="O109" s="193"/>
      <c r="P109" s="196"/>
      <c r="Q109" s="193"/>
    </row>
    <row r="110" spans="14:17" ht="14.1" customHeight="1">
      <c r="N110" s="193"/>
      <c r="O110" s="193"/>
      <c r="P110" s="196"/>
      <c r="Q110" s="193"/>
    </row>
    <row r="111" spans="14:17" ht="14.1" customHeight="1">
      <c r="N111" s="193"/>
      <c r="O111" s="193"/>
      <c r="P111" s="196"/>
      <c r="Q111" s="193"/>
    </row>
    <row r="112" spans="14:17" ht="14.1" customHeight="1">
      <c r="N112" s="193"/>
      <c r="O112" s="193"/>
      <c r="P112" s="196"/>
      <c r="Q112" s="193"/>
    </row>
    <row r="113" spans="14:17" ht="14.1" customHeight="1">
      <c r="N113" s="193"/>
      <c r="O113" s="193"/>
      <c r="P113" s="196"/>
      <c r="Q113" s="193"/>
    </row>
    <row r="114" spans="14:17" ht="14.1" customHeight="1">
      <c r="N114" s="193"/>
      <c r="O114" s="193"/>
      <c r="P114" s="196"/>
      <c r="Q114" s="193"/>
    </row>
    <row r="115" spans="14:17" ht="14.1" customHeight="1">
      <c r="N115" s="193"/>
      <c r="O115" s="193"/>
      <c r="P115" s="196"/>
      <c r="Q115" s="193"/>
    </row>
    <row r="116" spans="14:17" ht="14.1" customHeight="1">
      <c r="N116" s="193"/>
      <c r="O116" s="193"/>
      <c r="P116" s="196"/>
      <c r="Q116" s="193"/>
    </row>
    <row r="117" spans="14:17" ht="14.1" customHeight="1">
      <c r="N117" s="193"/>
      <c r="O117" s="193"/>
      <c r="P117" s="196"/>
      <c r="Q117" s="193"/>
    </row>
    <row r="118" spans="14:17" ht="14.1" customHeight="1">
      <c r="N118" s="193"/>
      <c r="O118" s="193"/>
      <c r="P118" s="196"/>
      <c r="Q118" s="193"/>
    </row>
    <row r="119" spans="14:17" ht="14.1" customHeight="1">
      <c r="N119" s="193"/>
      <c r="O119" s="193"/>
      <c r="P119" s="196"/>
      <c r="Q119" s="193"/>
    </row>
    <row r="120" spans="14:17" ht="14.1" customHeight="1">
      <c r="N120" s="193"/>
      <c r="O120" s="193"/>
      <c r="P120" s="196"/>
      <c r="Q120" s="193"/>
    </row>
    <row r="121" spans="14:17" ht="14.1" customHeight="1">
      <c r="N121" s="193"/>
      <c r="O121" s="193"/>
      <c r="P121" s="196"/>
      <c r="Q121" s="193"/>
    </row>
    <row r="122" spans="14:17" ht="14.1" customHeight="1">
      <c r="N122" s="193"/>
      <c r="O122" s="193"/>
      <c r="P122" s="196"/>
      <c r="Q122" s="193"/>
    </row>
    <row r="123" spans="14:17" ht="14.1" customHeight="1">
      <c r="N123" s="193"/>
      <c r="O123" s="193"/>
      <c r="P123" s="196"/>
      <c r="Q123" s="193"/>
    </row>
    <row r="124" spans="14:17" ht="14.1" customHeight="1">
      <c r="N124" s="193"/>
      <c r="O124" s="193"/>
      <c r="P124" s="196"/>
      <c r="Q124" s="193"/>
    </row>
    <row r="125" spans="14:17" ht="14.1" customHeight="1">
      <c r="N125" s="193"/>
      <c r="O125" s="193"/>
      <c r="P125" s="196"/>
      <c r="Q125" s="193"/>
    </row>
    <row r="126" spans="14:17" ht="14.1" customHeight="1">
      <c r="N126" s="193"/>
      <c r="O126" s="193"/>
      <c r="P126" s="196"/>
      <c r="Q126" s="193"/>
    </row>
    <row r="127" spans="14:17" ht="14.1" customHeight="1">
      <c r="N127" s="193"/>
      <c r="O127" s="193"/>
      <c r="P127" s="196"/>
      <c r="Q127" s="193"/>
    </row>
    <row r="128" spans="14:17" ht="14.1" customHeight="1">
      <c r="N128" s="193"/>
      <c r="O128" s="193"/>
      <c r="P128" s="196"/>
      <c r="Q128" s="193"/>
    </row>
    <row r="129" spans="14:17" ht="14.1" customHeight="1">
      <c r="N129" s="193"/>
      <c r="O129" s="193"/>
      <c r="P129" s="196"/>
      <c r="Q129" s="193"/>
    </row>
    <row r="130" spans="14:17" ht="14.1" customHeight="1">
      <c r="N130" s="193"/>
      <c r="O130" s="193"/>
      <c r="P130" s="196"/>
      <c r="Q130" s="193"/>
    </row>
    <row r="131" spans="14:17" ht="14.1" customHeight="1">
      <c r="N131" s="193"/>
      <c r="O131" s="193"/>
      <c r="P131" s="196"/>
      <c r="Q131" s="193"/>
    </row>
    <row r="132" spans="14:17" ht="14.1" customHeight="1">
      <c r="N132" s="193"/>
      <c r="O132" s="193"/>
      <c r="P132" s="196"/>
      <c r="Q132" s="193"/>
    </row>
    <row r="133" spans="14:17" ht="14.1" customHeight="1">
      <c r="N133" s="193"/>
      <c r="O133" s="193"/>
      <c r="P133" s="196"/>
      <c r="Q133" s="193"/>
    </row>
    <row r="134" spans="14:17" ht="14.1" customHeight="1">
      <c r="N134" s="193"/>
      <c r="O134" s="193"/>
      <c r="P134" s="196"/>
      <c r="Q134" s="193"/>
    </row>
    <row r="135" spans="14:17" ht="14.1" customHeight="1">
      <c r="N135" s="193"/>
      <c r="O135" s="193"/>
      <c r="P135" s="196"/>
      <c r="Q135" s="193"/>
    </row>
    <row r="136" spans="14:17" ht="14.1" customHeight="1">
      <c r="N136" s="193"/>
      <c r="O136" s="193"/>
      <c r="P136" s="196"/>
      <c r="Q136" s="193"/>
    </row>
    <row r="137" spans="14:17" ht="14.1" customHeight="1">
      <c r="N137" s="193"/>
      <c r="O137" s="193"/>
      <c r="P137" s="196"/>
      <c r="Q137" s="193"/>
    </row>
    <row r="138" spans="14:17" ht="14.1" customHeight="1">
      <c r="N138" s="193"/>
      <c r="O138" s="193"/>
      <c r="P138" s="196"/>
      <c r="Q138" s="193"/>
    </row>
    <row r="139" spans="14:17" ht="14.1" customHeight="1">
      <c r="N139" s="193"/>
      <c r="O139" s="193"/>
      <c r="P139" s="196"/>
      <c r="Q139" s="193"/>
    </row>
    <row r="140" spans="14:17" ht="14.1" customHeight="1">
      <c r="N140" s="193"/>
      <c r="O140" s="193"/>
      <c r="P140" s="196"/>
      <c r="Q140" s="193"/>
    </row>
    <row r="141" spans="14:17" ht="14.1" customHeight="1">
      <c r="N141" s="193"/>
      <c r="O141" s="193"/>
      <c r="P141" s="196"/>
      <c r="Q141" s="193"/>
    </row>
    <row r="142" spans="14:17" ht="14.1" customHeight="1">
      <c r="N142" s="193"/>
      <c r="O142" s="193"/>
      <c r="P142" s="196"/>
      <c r="Q142" s="193"/>
    </row>
    <row r="143" spans="14:17" ht="14.1" customHeight="1">
      <c r="N143" s="193"/>
      <c r="O143" s="193"/>
      <c r="P143" s="196"/>
      <c r="Q143" s="193"/>
    </row>
    <row r="144" spans="14:17" ht="14.1" customHeight="1">
      <c r="N144" s="193"/>
      <c r="O144" s="193"/>
      <c r="P144" s="196"/>
      <c r="Q144" s="193"/>
    </row>
    <row r="145" spans="14:17" ht="14.1" customHeight="1">
      <c r="N145" s="193"/>
      <c r="O145" s="193"/>
      <c r="P145" s="196"/>
      <c r="Q145" s="193"/>
    </row>
    <row r="146" spans="14:17" ht="14.1" customHeight="1">
      <c r="N146" s="193"/>
      <c r="O146" s="193"/>
      <c r="P146" s="196"/>
      <c r="Q146" s="193"/>
    </row>
    <row r="147" spans="14:17" ht="14.1" customHeight="1">
      <c r="N147" s="193"/>
      <c r="O147" s="193"/>
      <c r="P147" s="196"/>
      <c r="Q147" s="193"/>
    </row>
    <row r="148" spans="14:17" ht="14.1" customHeight="1">
      <c r="N148" s="193"/>
      <c r="O148" s="193"/>
      <c r="P148" s="196"/>
      <c r="Q148" s="193"/>
    </row>
    <row r="149" spans="14:17" ht="14.1" customHeight="1">
      <c r="N149" s="193"/>
      <c r="O149" s="193"/>
      <c r="P149" s="196"/>
      <c r="Q149" s="193"/>
    </row>
    <row r="150" spans="14:17" ht="14.1" customHeight="1">
      <c r="N150" s="193"/>
      <c r="O150" s="193"/>
      <c r="P150" s="196"/>
      <c r="Q150" s="193"/>
    </row>
    <row r="151" spans="14:17" ht="14.1" customHeight="1">
      <c r="N151" s="193"/>
      <c r="O151" s="193"/>
      <c r="P151" s="196"/>
      <c r="Q151" s="193"/>
    </row>
    <row r="152" spans="14:17" ht="14.1" customHeight="1">
      <c r="N152" s="193"/>
      <c r="O152" s="193"/>
      <c r="P152" s="196"/>
      <c r="Q152" s="193"/>
    </row>
    <row r="153" spans="14:17" ht="14.1" customHeight="1">
      <c r="N153" s="193"/>
      <c r="O153" s="193"/>
      <c r="P153" s="196"/>
      <c r="Q153" s="193"/>
    </row>
    <row r="154" spans="14:17" ht="14.1" customHeight="1">
      <c r="N154" s="193"/>
      <c r="O154" s="193"/>
      <c r="P154" s="196"/>
      <c r="Q154" s="193"/>
    </row>
    <row r="155" spans="14:17" ht="14.1" customHeight="1">
      <c r="N155" s="193"/>
      <c r="O155" s="193"/>
      <c r="P155" s="196"/>
      <c r="Q155" s="193"/>
    </row>
    <row r="156" spans="14:17" ht="14.1" customHeight="1">
      <c r="N156" s="193"/>
      <c r="O156" s="193"/>
      <c r="P156" s="196"/>
      <c r="Q156" s="193"/>
    </row>
    <row r="157" spans="14:17" ht="14.1" customHeight="1">
      <c r="N157" s="193"/>
      <c r="O157" s="193"/>
      <c r="P157" s="196"/>
      <c r="Q157" s="193"/>
    </row>
    <row r="158" spans="14:17" ht="14.1" customHeight="1">
      <c r="N158" s="193"/>
      <c r="O158" s="193"/>
      <c r="P158" s="196"/>
      <c r="Q158" s="193"/>
    </row>
    <row r="159" spans="14:17" ht="14.1" customHeight="1">
      <c r="N159" s="193"/>
      <c r="O159" s="193"/>
      <c r="P159" s="196"/>
      <c r="Q159" s="193"/>
    </row>
    <row r="160" spans="14:17" ht="14.1" customHeight="1">
      <c r="N160" s="193"/>
      <c r="O160" s="193"/>
      <c r="P160" s="196"/>
      <c r="Q160" s="193"/>
    </row>
    <row r="161" spans="14:17" ht="14.1" customHeight="1">
      <c r="N161" s="193"/>
      <c r="O161" s="193"/>
      <c r="P161" s="196"/>
      <c r="Q161" s="193"/>
    </row>
    <row r="162" spans="14:17" ht="14.1" customHeight="1">
      <c r="N162" s="193"/>
      <c r="O162" s="193"/>
      <c r="P162" s="196"/>
      <c r="Q162" s="193"/>
    </row>
    <row r="163" spans="14:17" ht="14.1" customHeight="1">
      <c r="N163" s="193"/>
      <c r="O163" s="193"/>
      <c r="P163" s="196"/>
      <c r="Q163" s="193"/>
    </row>
    <row r="164" spans="14:17" ht="14.1" customHeight="1">
      <c r="N164" s="193"/>
      <c r="O164" s="193"/>
      <c r="P164" s="196"/>
      <c r="Q164" s="193"/>
    </row>
    <row r="165" spans="14:17" ht="14.1" customHeight="1">
      <c r="N165" s="193"/>
      <c r="O165" s="193"/>
      <c r="P165" s="196"/>
      <c r="Q165" s="193"/>
    </row>
    <row r="166" spans="14:17" ht="14.1" customHeight="1">
      <c r="N166" s="193"/>
      <c r="O166" s="193"/>
      <c r="P166" s="196"/>
      <c r="Q166" s="193"/>
    </row>
    <row r="167" spans="14:17" ht="14.1" customHeight="1">
      <c r="N167" s="193"/>
      <c r="O167" s="193"/>
      <c r="P167" s="196"/>
      <c r="Q167" s="193"/>
    </row>
    <row r="168" spans="14:17" ht="14.1" customHeight="1">
      <c r="N168" s="193"/>
      <c r="O168" s="193"/>
      <c r="P168" s="196"/>
      <c r="Q168" s="193"/>
    </row>
    <row r="169" spans="14:17" ht="14.1" customHeight="1">
      <c r="N169" s="193"/>
      <c r="O169" s="193"/>
      <c r="P169" s="196"/>
      <c r="Q169" s="193"/>
    </row>
    <row r="170" spans="14:17" ht="14.1" customHeight="1">
      <c r="N170" s="193"/>
      <c r="O170" s="193"/>
      <c r="P170" s="196"/>
      <c r="Q170" s="193"/>
    </row>
    <row r="171" spans="14:17" ht="14.1" customHeight="1">
      <c r="N171" s="193"/>
      <c r="O171" s="193"/>
      <c r="P171" s="196"/>
      <c r="Q171" s="193"/>
    </row>
    <row r="172" spans="14:17" ht="14.1" customHeight="1">
      <c r="N172" s="193"/>
      <c r="O172" s="193"/>
      <c r="P172" s="196"/>
      <c r="Q172" s="193"/>
    </row>
    <row r="173" spans="14:17" ht="14.1" customHeight="1">
      <c r="N173" s="193"/>
      <c r="O173" s="193"/>
      <c r="P173" s="196"/>
      <c r="Q173" s="193"/>
    </row>
    <row r="174" spans="14:17" ht="14.1" customHeight="1">
      <c r="N174" s="193"/>
      <c r="O174" s="193"/>
      <c r="P174" s="196"/>
      <c r="Q174" s="193"/>
    </row>
    <row r="175" spans="14:17" ht="14.1" customHeight="1">
      <c r="N175" s="193"/>
      <c r="O175" s="193"/>
      <c r="P175" s="196"/>
      <c r="Q175" s="193"/>
    </row>
    <row r="176" spans="14:17" ht="14.1" customHeight="1">
      <c r="N176" s="193"/>
      <c r="O176" s="193"/>
      <c r="P176" s="196"/>
      <c r="Q176" s="193"/>
    </row>
    <row r="177" spans="14:17" ht="14.1" customHeight="1">
      <c r="N177" s="193"/>
      <c r="O177" s="193"/>
      <c r="P177" s="196"/>
      <c r="Q177" s="193"/>
    </row>
    <row r="178" spans="14:17" ht="14.1" customHeight="1">
      <c r="N178" s="193"/>
      <c r="O178" s="193"/>
      <c r="P178" s="196"/>
      <c r="Q178" s="193"/>
    </row>
    <row r="179" spans="14:17" ht="14.1" customHeight="1">
      <c r="N179" s="193"/>
      <c r="O179" s="193"/>
      <c r="P179" s="196"/>
      <c r="Q179" s="193"/>
    </row>
    <row r="180" spans="14:17" ht="14.1" customHeight="1">
      <c r="N180" s="193"/>
      <c r="O180" s="193"/>
      <c r="P180" s="196"/>
      <c r="Q180" s="193"/>
    </row>
    <row r="181" spans="14:17" ht="14.1" customHeight="1">
      <c r="N181" s="193"/>
      <c r="O181" s="193"/>
      <c r="P181" s="196"/>
      <c r="Q181" s="193"/>
    </row>
  </sheetData>
  <mergeCells count="2">
    <mergeCell ref="G1:K1"/>
    <mergeCell ref="L1:M1"/>
  </mergeCells>
  <phoneticPr fontId="3" type="noConversion"/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="96" zoomScaleNormal="96" workbookViewId="0">
      <pane xSplit="4" ySplit="2" topLeftCell="E15" activePane="bottomRight" state="frozen"/>
      <selection activeCell="A22" sqref="A1:XFD1048576"/>
      <selection pane="topRight" activeCell="A22" sqref="A1:XFD1048576"/>
      <selection pane="bottomLeft" activeCell="A22" sqref="A1:XFD1048576"/>
      <selection pane="bottomRight" activeCell="A23" sqref="A23:XFD24"/>
    </sheetView>
  </sheetViews>
  <sheetFormatPr defaultColWidth="9.42578125" defaultRowHeight="14.85" customHeight="1"/>
  <cols>
    <col min="1" max="1" width="9.42578125" style="161" customWidth="1"/>
    <col min="2" max="2" width="12.5703125" style="161" customWidth="1"/>
    <col min="3" max="3" width="38.5703125" style="161" customWidth="1"/>
    <col min="4" max="4" width="5.5703125" style="161" customWidth="1"/>
    <col min="5" max="5" width="6.42578125" style="166" customWidth="1"/>
    <col min="6" max="6" width="5.42578125" style="167" customWidth="1"/>
    <col min="7" max="8" width="6.42578125" style="167" customWidth="1"/>
    <col min="9" max="9" width="5.5703125" style="167" bestFit="1" customWidth="1"/>
    <col min="10" max="10" width="7.42578125" style="167" customWidth="1"/>
    <col min="11" max="11" width="9.42578125" style="167" customWidth="1"/>
    <col min="12" max="12" width="11" style="167" customWidth="1"/>
    <col min="13" max="13" width="10" style="167" customWidth="1"/>
    <col min="14" max="14" width="7.42578125" style="166" customWidth="1"/>
    <col min="15" max="15" width="9" style="169" customWidth="1"/>
    <col min="16" max="16" width="9.5703125" style="161" customWidth="1"/>
    <col min="17" max="16384" width="9.42578125" style="161"/>
  </cols>
  <sheetData>
    <row r="1" spans="1:16" s="134" customFormat="1" ht="33.75">
      <c r="A1" s="124" t="s">
        <v>73</v>
      </c>
      <c r="B1" s="125" t="s">
        <v>18</v>
      </c>
      <c r="C1" s="125" t="s">
        <v>19</v>
      </c>
      <c r="D1" s="126" t="s">
        <v>20</v>
      </c>
      <c r="E1" s="127" t="s">
        <v>49</v>
      </c>
      <c r="F1" s="128"/>
      <c r="G1" s="129"/>
      <c r="H1" s="127" t="s">
        <v>51</v>
      </c>
      <c r="I1" s="128"/>
      <c r="J1" s="128"/>
      <c r="K1" s="130" t="s">
        <v>54</v>
      </c>
      <c r="L1" s="130" t="s">
        <v>84</v>
      </c>
      <c r="M1" s="130" t="s">
        <v>83</v>
      </c>
      <c r="N1" s="131" t="s">
        <v>55</v>
      </c>
      <c r="O1" s="132" t="s">
        <v>48</v>
      </c>
      <c r="P1" s="133" t="s">
        <v>48</v>
      </c>
    </row>
    <row r="2" spans="1:16" s="148" customFormat="1" ht="12" thickBot="1">
      <c r="A2" s="135"/>
      <c r="B2" s="136"/>
      <c r="C2" s="136"/>
      <c r="D2" s="137"/>
      <c r="E2" s="138" t="s">
        <v>13</v>
      </c>
      <c r="F2" s="139" t="s">
        <v>52</v>
      </c>
      <c r="G2" s="140" t="s">
        <v>53</v>
      </c>
      <c r="H2" s="141" t="s">
        <v>13</v>
      </c>
      <c r="I2" s="142" t="s">
        <v>52</v>
      </c>
      <c r="J2" s="143" t="s">
        <v>53</v>
      </c>
      <c r="K2" s="144" t="s">
        <v>13</v>
      </c>
      <c r="L2" s="144" t="s">
        <v>13</v>
      </c>
      <c r="M2" s="144" t="s">
        <v>48</v>
      </c>
      <c r="N2" s="145"/>
      <c r="O2" s="146" t="s">
        <v>56</v>
      </c>
      <c r="P2" s="147" t="s">
        <v>57</v>
      </c>
    </row>
    <row r="3" spans="1:16" ht="14.85" customHeight="1" thickBot="1">
      <c r="A3" s="149">
        <v>44245</v>
      </c>
      <c r="B3" s="150" t="str">
        <f>Rollover!A3</f>
        <v>Acura</v>
      </c>
      <c r="C3" s="150" t="str">
        <f>Rollover!B3</f>
        <v>TLX 4DR FWD</v>
      </c>
      <c r="D3" s="151">
        <f>Rollover!C3</f>
        <v>2021</v>
      </c>
      <c r="E3" s="152">
        <f>Front!AW3</f>
        <v>5</v>
      </c>
      <c r="F3" s="150">
        <f>Front!AX3</f>
        <v>4</v>
      </c>
      <c r="G3" s="153">
        <f>Front!AY3</f>
        <v>5</v>
      </c>
      <c r="H3" s="152">
        <f>'Side MDB'!AC3</f>
        <v>5</v>
      </c>
      <c r="I3" s="154">
        <f>'Side MDB'!AD3</f>
        <v>5</v>
      </c>
      <c r="J3" s="155">
        <f>'Side MDB'!AE3</f>
        <v>5</v>
      </c>
      <c r="K3" s="156">
        <f>'Side Pole'!P3</f>
        <v>5</v>
      </c>
      <c r="L3" s="157">
        <f>'Side Pole'!S3</f>
        <v>5</v>
      </c>
      <c r="M3" s="158">
        <f>'Side Pole'!V3</f>
        <v>5</v>
      </c>
      <c r="N3" s="159">
        <f>Rollover!J3</f>
        <v>5</v>
      </c>
      <c r="O3" s="160">
        <f>ROUND(5/12*Front!AV3+4/12*'Side Pole'!U3+3/12*Rollover!I3,2)</f>
        <v>0.49</v>
      </c>
      <c r="P3" s="45">
        <f t="shared" ref="P3:P21" si="0">IF(O3&lt;0.67,5,IF(O3&lt;1,4,IF(O3&lt;1.33,3,IF(O3&lt;2.67,2,1))))</f>
        <v>5</v>
      </c>
    </row>
    <row r="4" spans="1:16" ht="14.85" customHeight="1">
      <c r="A4" s="149">
        <v>44245</v>
      </c>
      <c r="B4" s="42" t="str">
        <f>Rollover!A4</f>
        <v>Acura</v>
      </c>
      <c r="C4" s="42" t="str">
        <f>Rollover!B4</f>
        <v>TLX 4DR AWD</v>
      </c>
      <c r="D4" s="109">
        <f>Rollover!C4</f>
        <v>2021</v>
      </c>
      <c r="E4" s="20">
        <f>Front!AW4</f>
        <v>5</v>
      </c>
      <c r="F4" s="42">
        <f>Front!AX4</f>
        <v>4</v>
      </c>
      <c r="G4" s="45">
        <f>Front!AY4</f>
        <v>5</v>
      </c>
      <c r="H4" s="20">
        <f>'Side MDB'!AC4</f>
        <v>5</v>
      </c>
      <c r="I4" s="44">
        <f>'Side MDB'!AD4</f>
        <v>5</v>
      </c>
      <c r="J4" s="21">
        <f>'Side MDB'!AE4</f>
        <v>5</v>
      </c>
      <c r="K4" s="162">
        <f>'Side Pole'!P4</f>
        <v>5</v>
      </c>
      <c r="L4" s="162">
        <f>'Side Pole'!S4</f>
        <v>5</v>
      </c>
      <c r="M4" s="163">
        <f>'Side Pole'!V4</f>
        <v>5</v>
      </c>
      <c r="N4" s="159">
        <f>Rollover!J4</f>
        <v>5</v>
      </c>
      <c r="O4" s="160">
        <f>ROUND(5/12*Front!AV4+4/12*'Side Pole'!U4+3/12*Rollover!I4,2)</f>
        <v>0.49</v>
      </c>
      <c r="P4" s="45">
        <f t="shared" si="0"/>
        <v>5</v>
      </c>
    </row>
    <row r="5" spans="1:16" ht="14.85" customHeight="1">
      <c r="A5" s="164">
        <v>44250</v>
      </c>
      <c r="B5" s="42" t="str">
        <f>Rollover!A5</f>
        <v>Cadillac</v>
      </c>
      <c r="C5" s="42" t="str">
        <f>Rollover!B5</f>
        <v>XT6 SUV FWD</v>
      </c>
      <c r="D5" s="109">
        <f>Rollover!C5</f>
        <v>2021</v>
      </c>
      <c r="E5" s="20">
        <f>Front!AW5</f>
        <v>5</v>
      </c>
      <c r="F5" s="42">
        <f>Front!AX5</f>
        <v>5</v>
      </c>
      <c r="G5" s="45">
        <f>Front!AY5</f>
        <v>5</v>
      </c>
      <c r="H5" s="20">
        <f>'Side MDB'!AC5</f>
        <v>5</v>
      </c>
      <c r="I5" s="44">
        <f>'Side MDB'!AD5</f>
        <v>5</v>
      </c>
      <c r="J5" s="21">
        <f>'Side MDB'!AE5</f>
        <v>5</v>
      </c>
      <c r="K5" s="162">
        <f>'Side Pole'!P5</f>
        <v>5</v>
      </c>
      <c r="L5" s="162">
        <f>'Side Pole'!S5</f>
        <v>5</v>
      </c>
      <c r="M5" s="163">
        <f>'Side Pole'!V5</f>
        <v>5</v>
      </c>
      <c r="N5" s="159">
        <f>Rollover!J5</f>
        <v>4</v>
      </c>
      <c r="O5" s="160">
        <f>ROUND(5/12*Front!AV5+4/12*'Side Pole'!U5+3/12*Rollover!I5,2)</f>
        <v>0.56000000000000005</v>
      </c>
      <c r="P5" s="45">
        <f t="shared" si="0"/>
        <v>5</v>
      </c>
    </row>
    <row r="6" spans="1:16" ht="14.85" customHeight="1">
      <c r="A6" s="164">
        <v>44250</v>
      </c>
      <c r="B6" s="42" t="str">
        <f>Rollover!A6</f>
        <v>Cadillac</v>
      </c>
      <c r="C6" s="42" t="str">
        <f>Rollover!B6</f>
        <v>XT6 SUV AWD</v>
      </c>
      <c r="D6" s="109">
        <f>Rollover!C6</f>
        <v>2021</v>
      </c>
      <c r="E6" s="20">
        <f>Front!AW6</f>
        <v>5</v>
      </c>
      <c r="F6" s="42">
        <f>Front!AX6</f>
        <v>5</v>
      </c>
      <c r="G6" s="45">
        <f>Front!AY6</f>
        <v>5</v>
      </c>
      <c r="H6" s="20">
        <f>'Side MDB'!AC6</f>
        <v>5</v>
      </c>
      <c r="I6" s="44">
        <f>'Side MDB'!AD6</f>
        <v>5</v>
      </c>
      <c r="J6" s="21">
        <f>'Side MDB'!AE6</f>
        <v>5</v>
      </c>
      <c r="K6" s="162">
        <f>'Side Pole'!P6</f>
        <v>5</v>
      </c>
      <c r="L6" s="162">
        <f>'Side Pole'!S6</f>
        <v>5</v>
      </c>
      <c r="M6" s="163">
        <f>'Side Pole'!V6</f>
        <v>5</v>
      </c>
      <c r="N6" s="159">
        <f>Rollover!J6</f>
        <v>4</v>
      </c>
      <c r="O6" s="160">
        <f>ROUND(5/12*Front!AV6+4/12*'Side Pole'!U6+3/12*Rollover!I6,2)</f>
        <v>0.54</v>
      </c>
      <c r="P6" s="45">
        <f t="shared" si="0"/>
        <v>5</v>
      </c>
    </row>
    <row r="7" spans="1:16" ht="14.85" customHeight="1">
      <c r="A7" s="164">
        <v>44253</v>
      </c>
      <c r="B7" s="42" t="str">
        <f>Rollover!A7</f>
        <v>Chevrolet</v>
      </c>
      <c r="C7" s="42" t="str">
        <f>Rollover!B7</f>
        <v>Tahoe SUV 2WD</v>
      </c>
      <c r="D7" s="109">
        <f>Rollover!C7</f>
        <v>2021</v>
      </c>
      <c r="E7" s="20">
        <f>Front!AW7</f>
        <v>5</v>
      </c>
      <c r="F7" s="42">
        <f>Front!AX7</f>
        <v>4</v>
      </c>
      <c r="G7" s="45">
        <f>Front!AY7</f>
        <v>4</v>
      </c>
      <c r="H7" s="20">
        <f>'Side MDB'!AC7</f>
        <v>5</v>
      </c>
      <c r="I7" s="44">
        <f>'Side MDB'!AD7</f>
        <v>5</v>
      </c>
      <c r="J7" s="21">
        <f>'Side MDB'!AE7</f>
        <v>5</v>
      </c>
      <c r="K7" s="162">
        <f>'Side Pole'!P7</f>
        <v>5</v>
      </c>
      <c r="L7" s="162">
        <f>'Side Pole'!S7</f>
        <v>5</v>
      </c>
      <c r="M7" s="163">
        <f>'Side Pole'!V7</f>
        <v>5</v>
      </c>
      <c r="N7" s="159">
        <f>Rollover!J7</f>
        <v>3</v>
      </c>
      <c r="O7" s="160">
        <f>ROUND(5/12*Front!AV7+4/12*'Side Pole'!U7+3/12*Rollover!I7,2)</f>
        <v>0.71</v>
      </c>
      <c r="P7" s="45">
        <f t="shared" si="0"/>
        <v>4</v>
      </c>
    </row>
    <row r="8" spans="1:16" ht="14.85" customHeight="1">
      <c r="A8" s="164">
        <v>44253</v>
      </c>
      <c r="B8" s="42" t="str">
        <f>Rollover!A8</f>
        <v>Chevrolet</v>
      </c>
      <c r="C8" s="42" t="str">
        <f>Rollover!B8</f>
        <v>Tahoe SUV 4WD</v>
      </c>
      <c r="D8" s="109">
        <f>Rollover!C8</f>
        <v>2021</v>
      </c>
      <c r="E8" s="20">
        <f>Front!AW8</f>
        <v>5</v>
      </c>
      <c r="F8" s="42">
        <f>Front!AX8</f>
        <v>4</v>
      </c>
      <c r="G8" s="45">
        <f>Front!AY8</f>
        <v>4</v>
      </c>
      <c r="H8" s="20">
        <f>'Side MDB'!AC8</f>
        <v>5</v>
      </c>
      <c r="I8" s="44">
        <f>'Side MDB'!AD8</f>
        <v>5</v>
      </c>
      <c r="J8" s="21">
        <f>'Side MDB'!AE8</f>
        <v>5</v>
      </c>
      <c r="K8" s="162">
        <f>'Side Pole'!P8</f>
        <v>5</v>
      </c>
      <c r="L8" s="162">
        <f>'Side Pole'!S8</f>
        <v>5</v>
      </c>
      <c r="M8" s="163">
        <f>'Side Pole'!V8</f>
        <v>5</v>
      </c>
      <c r="N8" s="159">
        <f>Rollover!J8</f>
        <v>3</v>
      </c>
      <c r="O8" s="160">
        <f>ROUND(5/12*Front!AV8+4/12*'Side Pole'!U8+3/12*Rollover!I8,2)</f>
        <v>0.73</v>
      </c>
      <c r="P8" s="45">
        <f t="shared" si="0"/>
        <v>4</v>
      </c>
    </row>
    <row r="9" spans="1:16" ht="14.85" customHeight="1">
      <c r="A9" s="164">
        <v>44253</v>
      </c>
      <c r="B9" s="8" t="str">
        <f>Rollover!A9</f>
        <v xml:space="preserve">GMC </v>
      </c>
      <c r="C9" s="8" t="str">
        <f>Rollover!B9</f>
        <v>Yukon SUV 2WD</v>
      </c>
      <c r="D9" s="109">
        <f>Rollover!C9</f>
        <v>2021</v>
      </c>
      <c r="E9" s="20">
        <f>Front!AW9</f>
        <v>5</v>
      </c>
      <c r="F9" s="42">
        <f>Front!AX9</f>
        <v>4</v>
      </c>
      <c r="G9" s="45">
        <f>Front!AY9</f>
        <v>4</v>
      </c>
      <c r="H9" s="20">
        <f>'Side MDB'!AC9</f>
        <v>5</v>
      </c>
      <c r="I9" s="44">
        <f>'Side MDB'!AD9</f>
        <v>5</v>
      </c>
      <c r="J9" s="21">
        <f>'Side MDB'!AE9</f>
        <v>5</v>
      </c>
      <c r="K9" s="162">
        <f>'Side Pole'!P9</f>
        <v>5</v>
      </c>
      <c r="L9" s="162">
        <f>'Side Pole'!S9</f>
        <v>5</v>
      </c>
      <c r="M9" s="163">
        <f>'Side Pole'!V9</f>
        <v>5</v>
      </c>
      <c r="N9" s="159">
        <f>Rollover!J9</f>
        <v>3</v>
      </c>
      <c r="O9" s="160">
        <f>ROUND(5/12*Front!AV9+4/12*'Side Pole'!U9+3/12*Rollover!I9,2)</f>
        <v>0.71</v>
      </c>
      <c r="P9" s="45">
        <f t="shared" si="0"/>
        <v>4</v>
      </c>
    </row>
    <row r="10" spans="1:16" ht="14.85" customHeight="1">
      <c r="A10" s="164">
        <v>44253</v>
      </c>
      <c r="B10" s="8" t="str">
        <f>Rollover!A10</f>
        <v xml:space="preserve">GMC </v>
      </c>
      <c r="C10" s="8" t="str">
        <f>Rollover!B10</f>
        <v>Yukon SUV 4WD</v>
      </c>
      <c r="D10" s="109">
        <f>Rollover!C10</f>
        <v>2021</v>
      </c>
      <c r="E10" s="20">
        <f>Front!AW10</f>
        <v>5</v>
      </c>
      <c r="F10" s="42">
        <f>Front!AX10</f>
        <v>4</v>
      </c>
      <c r="G10" s="45">
        <f>Front!AY10</f>
        <v>4</v>
      </c>
      <c r="H10" s="20">
        <f>'Side MDB'!AC10</f>
        <v>5</v>
      </c>
      <c r="I10" s="44">
        <f>'Side MDB'!AD10</f>
        <v>5</v>
      </c>
      <c r="J10" s="21">
        <f>'Side MDB'!AE10</f>
        <v>5</v>
      </c>
      <c r="K10" s="162">
        <f>'Side Pole'!P10</f>
        <v>5</v>
      </c>
      <c r="L10" s="162">
        <f>'Side Pole'!S10</f>
        <v>5</v>
      </c>
      <c r="M10" s="163">
        <f>'Side Pole'!V10</f>
        <v>5</v>
      </c>
      <c r="N10" s="159">
        <f>Rollover!J10</f>
        <v>3</v>
      </c>
      <c r="O10" s="160">
        <f>ROUND(5/12*Front!AV10+4/12*'Side Pole'!U10+3/12*Rollover!I10,2)</f>
        <v>0.73</v>
      </c>
      <c r="P10" s="45">
        <f t="shared" si="0"/>
        <v>4</v>
      </c>
    </row>
    <row r="11" spans="1:16" ht="14.85" customHeight="1">
      <c r="A11" s="164">
        <v>44253</v>
      </c>
      <c r="B11" s="8" t="str">
        <f>Rollover!A11</f>
        <v>Cadillac</v>
      </c>
      <c r="C11" s="8" t="str">
        <f>Rollover!B11</f>
        <v>Escalade SUV 2WD</v>
      </c>
      <c r="D11" s="109">
        <f>Rollover!C11</f>
        <v>2021</v>
      </c>
      <c r="E11" s="20">
        <f>Front!AW11</f>
        <v>5</v>
      </c>
      <c r="F11" s="42">
        <f>Front!AX11</f>
        <v>4</v>
      </c>
      <c r="G11" s="45">
        <f>Front!AY11</f>
        <v>4</v>
      </c>
      <c r="H11" s="20">
        <f>'Side MDB'!AC11</f>
        <v>5</v>
      </c>
      <c r="I11" s="44">
        <f>'Side MDB'!AD11</f>
        <v>5</v>
      </c>
      <c r="J11" s="21">
        <f>'Side MDB'!AE11</f>
        <v>5</v>
      </c>
      <c r="K11" s="162">
        <f>'Side Pole'!P11</f>
        <v>5</v>
      </c>
      <c r="L11" s="162">
        <f>'Side Pole'!S11</f>
        <v>5</v>
      </c>
      <c r="M11" s="163">
        <f>'Side Pole'!V11</f>
        <v>5</v>
      </c>
      <c r="N11" s="159">
        <f>Rollover!J11</f>
        <v>3</v>
      </c>
      <c r="O11" s="160">
        <f>ROUND(5/12*Front!AV11+4/12*'Side Pole'!U11+3/12*Rollover!I11,2)</f>
        <v>0.71</v>
      </c>
      <c r="P11" s="45">
        <f t="shared" si="0"/>
        <v>4</v>
      </c>
    </row>
    <row r="12" spans="1:16" ht="14.85" customHeight="1">
      <c r="A12" s="164">
        <v>44253</v>
      </c>
      <c r="B12" s="8" t="str">
        <f>Rollover!A12</f>
        <v>Cadillac</v>
      </c>
      <c r="C12" s="8" t="str">
        <f>Rollover!B12</f>
        <v>Escalade SUV 4WD</v>
      </c>
      <c r="D12" s="109">
        <f>Rollover!C12</f>
        <v>2021</v>
      </c>
      <c r="E12" s="20">
        <f>Front!AW12</f>
        <v>5</v>
      </c>
      <c r="F12" s="42">
        <f>Front!AX12</f>
        <v>4</v>
      </c>
      <c r="G12" s="45">
        <f>Front!AY12</f>
        <v>4</v>
      </c>
      <c r="H12" s="20">
        <f>'Side MDB'!AC12</f>
        <v>5</v>
      </c>
      <c r="I12" s="44">
        <f>'Side MDB'!AD12</f>
        <v>5</v>
      </c>
      <c r="J12" s="21">
        <f>'Side MDB'!AE12</f>
        <v>5</v>
      </c>
      <c r="K12" s="162">
        <f>'Side Pole'!P12</f>
        <v>5</v>
      </c>
      <c r="L12" s="162">
        <f>'Side Pole'!S12</f>
        <v>5</v>
      </c>
      <c r="M12" s="163">
        <f>'Side Pole'!V12</f>
        <v>5</v>
      </c>
      <c r="N12" s="159">
        <f>Rollover!J12</f>
        <v>3</v>
      </c>
      <c r="O12" s="160">
        <f>ROUND(5/12*Front!AV12+4/12*'Side Pole'!U12+3/12*Rollover!I12,2)</f>
        <v>0.73</v>
      </c>
      <c r="P12" s="45">
        <f t="shared" si="0"/>
        <v>4</v>
      </c>
    </row>
    <row r="13" spans="1:16" ht="14.85" customHeight="1">
      <c r="A13" s="164">
        <v>44253</v>
      </c>
      <c r="B13" s="8" t="str">
        <f>Rollover!A13</f>
        <v>Chevrolet</v>
      </c>
      <c r="C13" s="8" t="str">
        <f>Rollover!B13</f>
        <v>Suburban SUV 2WD</v>
      </c>
      <c r="D13" s="109">
        <f>Rollover!C13</f>
        <v>2021</v>
      </c>
      <c r="E13" s="20">
        <f>Front!AW13</f>
        <v>5</v>
      </c>
      <c r="F13" s="42">
        <f>Front!AX13</f>
        <v>4</v>
      </c>
      <c r="G13" s="45">
        <f>Front!AY13</f>
        <v>4</v>
      </c>
      <c r="H13" s="20">
        <f>'Side MDB'!AC13</f>
        <v>5</v>
      </c>
      <c r="I13" s="44">
        <f>'Side MDB'!AD13</f>
        <v>5</v>
      </c>
      <c r="J13" s="21">
        <f>'Side MDB'!AE13</f>
        <v>5</v>
      </c>
      <c r="K13" s="162">
        <f>'Side Pole'!P13</f>
        <v>5</v>
      </c>
      <c r="L13" s="162">
        <f>'Side Pole'!S13</f>
        <v>5</v>
      </c>
      <c r="M13" s="163">
        <f>'Side Pole'!V13</f>
        <v>5</v>
      </c>
      <c r="N13" s="159">
        <f>Rollover!J13</f>
        <v>3</v>
      </c>
      <c r="O13" s="160">
        <f>ROUND(5/12*Front!AV13+4/12*'Side Pole'!U13+3/12*Rollover!I13,2)</f>
        <v>0.71</v>
      </c>
      <c r="P13" s="45">
        <f t="shared" si="0"/>
        <v>4</v>
      </c>
    </row>
    <row r="14" spans="1:16" ht="14.85" customHeight="1">
      <c r="A14" s="164">
        <v>44253</v>
      </c>
      <c r="B14" s="8" t="str">
        <f>Rollover!A14</f>
        <v>Chevrolet</v>
      </c>
      <c r="C14" s="8" t="str">
        <f>Rollover!B14</f>
        <v>Suburban SUV 4WD</v>
      </c>
      <c r="D14" s="109">
        <f>Rollover!C14</f>
        <v>2021</v>
      </c>
      <c r="E14" s="20">
        <f>Front!AW14</f>
        <v>5</v>
      </c>
      <c r="F14" s="42">
        <f>Front!AX14</f>
        <v>4</v>
      </c>
      <c r="G14" s="45">
        <f>Front!AY14</f>
        <v>4</v>
      </c>
      <c r="H14" s="20">
        <f>'Side MDB'!AC14</f>
        <v>5</v>
      </c>
      <c r="I14" s="44">
        <f>'Side MDB'!AD14</f>
        <v>5</v>
      </c>
      <c r="J14" s="21">
        <f>'Side MDB'!AE14</f>
        <v>5</v>
      </c>
      <c r="K14" s="162">
        <f>'Side Pole'!P14</f>
        <v>5</v>
      </c>
      <c r="L14" s="162">
        <f>'Side Pole'!S14</f>
        <v>5</v>
      </c>
      <c r="M14" s="163">
        <f>'Side Pole'!V14</f>
        <v>5</v>
      </c>
      <c r="N14" s="159">
        <f>Rollover!J14</f>
        <v>3</v>
      </c>
      <c r="O14" s="160">
        <f>ROUND(5/12*Front!AV14+4/12*'Side Pole'!U14+3/12*Rollover!I14,2)</f>
        <v>0.73</v>
      </c>
      <c r="P14" s="45">
        <f t="shared" si="0"/>
        <v>4</v>
      </c>
    </row>
    <row r="15" spans="1:16" ht="14.85" customHeight="1">
      <c r="A15" s="164">
        <v>44253</v>
      </c>
      <c r="B15" s="8" t="str">
        <f>Rollover!A15</f>
        <v xml:space="preserve">GMC </v>
      </c>
      <c r="C15" s="8" t="str">
        <f>Rollover!B15</f>
        <v>Yukon XL SUV 2WD</v>
      </c>
      <c r="D15" s="109">
        <f>Rollover!C15</f>
        <v>2021</v>
      </c>
      <c r="E15" s="20">
        <f>Front!AW15</f>
        <v>5</v>
      </c>
      <c r="F15" s="42">
        <f>Front!AX15</f>
        <v>4</v>
      </c>
      <c r="G15" s="45">
        <f>Front!AY15</f>
        <v>4</v>
      </c>
      <c r="H15" s="20">
        <f>'Side MDB'!AC15</f>
        <v>5</v>
      </c>
      <c r="I15" s="44">
        <f>'Side MDB'!AD15</f>
        <v>5</v>
      </c>
      <c r="J15" s="21">
        <f>'Side MDB'!AE15</f>
        <v>5</v>
      </c>
      <c r="K15" s="162">
        <f>'Side Pole'!P15</f>
        <v>5</v>
      </c>
      <c r="L15" s="162">
        <f>'Side Pole'!S15</f>
        <v>5</v>
      </c>
      <c r="M15" s="163">
        <f>'Side Pole'!V15</f>
        <v>5</v>
      </c>
      <c r="N15" s="159">
        <f>Rollover!J15</f>
        <v>3</v>
      </c>
      <c r="O15" s="160">
        <f>ROUND(5/12*Front!AV15+4/12*'Side Pole'!U15+3/12*Rollover!I15,2)</f>
        <v>0.71</v>
      </c>
      <c r="P15" s="45">
        <f t="shared" si="0"/>
        <v>4</v>
      </c>
    </row>
    <row r="16" spans="1:16" ht="14.85" customHeight="1">
      <c r="A16" s="164">
        <v>44253</v>
      </c>
      <c r="B16" s="8" t="str">
        <f>Rollover!A16</f>
        <v xml:space="preserve">GMC </v>
      </c>
      <c r="C16" s="8" t="str">
        <f>Rollover!B16</f>
        <v>Yukon XL SUV 4WD</v>
      </c>
      <c r="D16" s="109">
        <f>Rollover!C16</f>
        <v>2021</v>
      </c>
      <c r="E16" s="20">
        <f>Front!AW16</f>
        <v>5</v>
      </c>
      <c r="F16" s="42">
        <f>Front!AX16</f>
        <v>4</v>
      </c>
      <c r="G16" s="45">
        <f>Front!AY16</f>
        <v>4</v>
      </c>
      <c r="H16" s="20">
        <f>'Side MDB'!AC16</f>
        <v>5</v>
      </c>
      <c r="I16" s="44">
        <f>'Side MDB'!AD16</f>
        <v>5</v>
      </c>
      <c r="J16" s="21">
        <f>'Side MDB'!AE16</f>
        <v>5</v>
      </c>
      <c r="K16" s="162">
        <f>'Side Pole'!P16</f>
        <v>5</v>
      </c>
      <c r="L16" s="162">
        <f>'Side Pole'!S16</f>
        <v>5</v>
      </c>
      <c r="M16" s="163">
        <f>'Side Pole'!V16</f>
        <v>5</v>
      </c>
      <c r="N16" s="159">
        <f>Rollover!J16</f>
        <v>3</v>
      </c>
      <c r="O16" s="160">
        <f>ROUND(5/12*Front!AV16+4/12*'Side Pole'!U16+3/12*Rollover!I16,2)</f>
        <v>0.73</v>
      </c>
      <c r="P16" s="45">
        <f t="shared" si="0"/>
        <v>4</v>
      </c>
    </row>
    <row r="17" spans="1:16" ht="14.85" customHeight="1">
      <c r="A17" s="164">
        <v>44253</v>
      </c>
      <c r="B17" s="8" t="str">
        <f>Rollover!A17</f>
        <v>Cadillac</v>
      </c>
      <c r="C17" s="8" t="str">
        <f>Rollover!B17</f>
        <v>Escalade ESV SUV 2WD</v>
      </c>
      <c r="D17" s="109">
        <f>Rollover!C17</f>
        <v>2021</v>
      </c>
      <c r="E17" s="20">
        <f>Front!AW17</f>
        <v>5</v>
      </c>
      <c r="F17" s="42">
        <f>Front!AX17</f>
        <v>4</v>
      </c>
      <c r="G17" s="45">
        <f>Front!AY17</f>
        <v>4</v>
      </c>
      <c r="H17" s="20">
        <f>'Side MDB'!AC17</f>
        <v>5</v>
      </c>
      <c r="I17" s="44">
        <f>'Side MDB'!AD17</f>
        <v>5</v>
      </c>
      <c r="J17" s="21">
        <f>'Side MDB'!AE17</f>
        <v>5</v>
      </c>
      <c r="K17" s="162">
        <f>'Side Pole'!P17</f>
        <v>5</v>
      </c>
      <c r="L17" s="162">
        <f>'Side Pole'!S17</f>
        <v>5</v>
      </c>
      <c r="M17" s="163">
        <f>'Side Pole'!V17</f>
        <v>5</v>
      </c>
      <c r="N17" s="159">
        <f>Rollover!J17</f>
        <v>3</v>
      </c>
      <c r="O17" s="160">
        <f>ROUND(5/12*Front!AV17+4/12*'Side Pole'!U17+3/12*Rollover!I17,2)</f>
        <v>0.71</v>
      </c>
      <c r="P17" s="45">
        <f t="shared" si="0"/>
        <v>4</v>
      </c>
    </row>
    <row r="18" spans="1:16" ht="14.85" customHeight="1">
      <c r="A18" s="164">
        <v>44253</v>
      </c>
      <c r="B18" s="8" t="str">
        <f>Rollover!A18</f>
        <v>Cadillac</v>
      </c>
      <c r="C18" s="8" t="str">
        <f>Rollover!B18</f>
        <v>Escalade ESV SUV 4WD</v>
      </c>
      <c r="D18" s="109">
        <f>Rollover!C18</f>
        <v>2021</v>
      </c>
      <c r="E18" s="20">
        <f>Front!AW18</f>
        <v>5</v>
      </c>
      <c r="F18" s="42">
        <f>Front!AX18</f>
        <v>4</v>
      </c>
      <c r="G18" s="45">
        <f>Front!AY18</f>
        <v>4</v>
      </c>
      <c r="H18" s="20">
        <f>'Side MDB'!AC18</f>
        <v>5</v>
      </c>
      <c r="I18" s="44">
        <f>'Side MDB'!AD18</f>
        <v>5</v>
      </c>
      <c r="J18" s="21">
        <f>'Side MDB'!AE18</f>
        <v>5</v>
      </c>
      <c r="K18" s="162">
        <f>'Side Pole'!P18</f>
        <v>5</v>
      </c>
      <c r="L18" s="162">
        <f>'Side Pole'!S18</f>
        <v>5</v>
      </c>
      <c r="M18" s="163">
        <f>'Side Pole'!V18</f>
        <v>5</v>
      </c>
      <c r="N18" s="159">
        <f>Rollover!J18</f>
        <v>3</v>
      </c>
      <c r="O18" s="160">
        <f>ROUND(5/12*Front!AV18+4/12*'Side Pole'!U18+3/12*Rollover!I18,2)</f>
        <v>0.73</v>
      </c>
      <c r="P18" s="45">
        <f t="shared" si="0"/>
        <v>4</v>
      </c>
    </row>
    <row r="19" spans="1:16" ht="14.85" customHeight="1">
      <c r="A19" s="46">
        <v>44159</v>
      </c>
      <c r="B19" s="42" t="str">
        <f>Rollover!A19</f>
        <v>Chevrolet</v>
      </c>
      <c r="C19" s="42" t="str">
        <f>Rollover!B19</f>
        <v>Trailblazer SUV FWD (Later Release)</v>
      </c>
      <c r="D19" s="109">
        <f>Rollover!C19</f>
        <v>2021</v>
      </c>
      <c r="E19" s="20">
        <f>Front!AW19</f>
        <v>5</v>
      </c>
      <c r="F19" s="42">
        <f>Front!AX19</f>
        <v>4</v>
      </c>
      <c r="G19" s="45">
        <f>Front!AY19</f>
        <v>5</v>
      </c>
      <c r="H19" s="20">
        <f>'Side MDB'!AC19</f>
        <v>5</v>
      </c>
      <c r="I19" s="44">
        <f>'Side MDB'!AD19</f>
        <v>5</v>
      </c>
      <c r="J19" s="21">
        <f>'Side MDB'!AE19</f>
        <v>5</v>
      </c>
      <c r="K19" s="162">
        <f>'Side Pole'!P19</f>
        <v>5</v>
      </c>
      <c r="L19" s="162">
        <f>'Side Pole'!S19</f>
        <v>5</v>
      </c>
      <c r="M19" s="163">
        <f>'Side Pole'!V19</f>
        <v>5</v>
      </c>
      <c r="N19" s="159">
        <f>Rollover!J19</f>
        <v>4</v>
      </c>
      <c r="O19" s="160">
        <f>ROUND(5/12*Front!AV19+4/12*'Side Pole'!U19+3/12*Rollover!I19,2)</f>
        <v>0.66</v>
      </c>
      <c r="P19" s="45">
        <f t="shared" si="0"/>
        <v>5</v>
      </c>
    </row>
    <row r="20" spans="1:16" ht="14.85" customHeight="1">
      <c r="A20" s="46">
        <v>44159</v>
      </c>
      <c r="B20" s="42" t="str">
        <f>Rollover!A20</f>
        <v>Chevrolet</v>
      </c>
      <c r="C20" s="42" t="str">
        <f>Rollover!B20</f>
        <v>Trailblazer SUV AWD (Later Release)</v>
      </c>
      <c r="D20" s="109">
        <f>Rollover!C20</f>
        <v>2021</v>
      </c>
      <c r="E20" s="20">
        <f>Front!AW20</f>
        <v>5</v>
      </c>
      <c r="F20" s="42">
        <f>Front!AX20</f>
        <v>4</v>
      </c>
      <c r="G20" s="45">
        <f>Front!AY20</f>
        <v>5</v>
      </c>
      <c r="H20" s="20">
        <f>'Side MDB'!AC20</f>
        <v>5</v>
      </c>
      <c r="I20" s="44">
        <f>'Side MDB'!AD20</f>
        <v>5</v>
      </c>
      <c r="J20" s="21">
        <f>'Side MDB'!AE20</f>
        <v>5</v>
      </c>
      <c r="K20" s="162">
        <f>'Side Pole'!P20</f>
        <v>5</v>
      </c>
      <c r="L20" s="162">
        <f>'Side Pole'!S20</f>
        <v>5</v>
      </c>
      <c r="M20" s="163">
        <f>'Side Pole'!V20</f>
        <v>5</v>
      </c>
      <c r="N20" s="159">
        <f>Rollover!J20</f>
        <v>4</v>
      </c>
      <c r="O20" s="160">
        <f>ROUND(5/12*Front!AV20+4/12*'Side Pole'!U20+3/12*Rollover!I20,2)</f>
        <v>0.65</v>
      </c>
      <c r="P20" s="45">
        <f t="shared" si="0"/>
        <v>5</v>
      </c>
    </row>
    <row r="21" spans="1:16" ht="14.85" customHeight="1">
      <c r="A21" s="46">
        <v>44159</v>
      </c>
      <c r="B21" s="8" t="str">
        <f>Rollover!A21</f>
        <v>Buick</v>
      </c>
      <c r="C21" s="8" t="str">
        <f>Rollover!B21</f>
        <v>Encore GX SUV FWD</v>
      </c>
      <c r="D21" s="109">
        <f>Rollover!C21</f>
        <v>2021</v>
      </c>
      <c r="E21" s="20">
        <f>Front!AW21</f>
        <v>5</v>
      </c>
      <c r="F21" s="42">
        <f>Front!AX21</f>
        <v>4</v>
      </c>
      <c r="G21" s="45">
        <f>Front!AY21</f>
        <v>5</v>
      </c>
      <c r="H21" s="20">
        <f>'Side MDB'!AC21</f>
        <v>5</v>
      </c>
      <c r="I21" s="44">
        <f>'Side MDB'!AD21</f>
        <v>5</v>
      </c>
      <c r="J21" s="21">
        <f>'Side MDB'!AE21</f>
        <v>5</v>
      </c>
      <c r="K21" s="162">
        <f>'Side Pole'!P21</f>
        <v>5</v>
      </c>
      <c r="L21" s="162">
        <f>'Side Pole'!S21</f>
        <v>5</v>
      </c>
      <c r="M21" s="163">
        <f>'Side Pole'!V21</f>
        <v>5</v>
      </c>
      <c r="N21" s="159">
        <f>Rollover!J21</f>
        <v>4</v>
      </c>
      <c r="O21" s="160">
        <f>ROUND(5/12*Front!AV21+4/12*'Side Pole'!U21+3/12*Rollover!I21,2)</f>
        <v>0.66</v>
      </c>
      <c r="P21" s="45">
        <f t="shared" si="0"/>
        <v>5</v>
      </c>
    </row>
    <row r="22" spans="1:16" ht="14.85" customHeight="1">
      <c r="A22" s="46">
        <v>44159</v>
      </c>
      <c r="B22" s="8" t="str">
        <f>Rollover!A22</f>
        <v>Buick</v>
      </c>
      <c r="C22" s="8" t="str">
        <f>Rollover!B22</f>
        <v>Encore GX SUV AWD</v>
      </c>
      <c r="D22" s="109">
        <f>Rollover!C22</f>
        <v>2021</v>
      </c>
      <c r="E22" s="20">
        <f>Front!AW22</f>
        <v>5</v>
      </c>
      <c r="F22" s="42">
        <f>Front!AX22</f>
        <v>4</v>
      </c>
      <c r="G22" s="45">
        <f>Front!AY22</f>
        <v>5</v>
      </c>
      <c r="H22" s="20">
        <f>'Side MDB'!AC22</f>
        <v>5</v>
      </c>
      <c r="I22" s="44">
        <f>'Side MDB'!AD22</f>
        <v>5</v>
      </c>
      <c r="J22" s="21">
        <f>'Side MDB'!AE22</f>
        <v>5</v>
      </c>
      <c r="K22" s="162">
        <f>'Side Pole'!P22</f>
        <v>5</v>
      </c>
      <c r="L22" s="162">
        <f>'Side Pole'!S22</f>
        <v>5</v>
      </c>
      <c r="M22" s="163">
        <f>'Side Pole'!V22</f>
        <v>5</v>
      </c>
      <c r="N22" s="159">
        <f>Rollover!J22</f>
        <v>4</v>
      </c>
      <c r="O22" s="160">
        <f>ROUND(5/12*Front!AV22+4/12*'Side Pole'!U22+3/12*Rollover!I22,2)</f>
        <v>0.65</v>
      </c>
      <c r="P22" s="45">
        <f t="shared" ref="P22" si="1">IF(O22&lt;0.67,5,IF(O22&lt;1,4,IF(O22&lt;1.33,3,IF(O22&lt;2.67,2,1))))</f>
        <v>5</v>
      </c>
    </row>
    <row r="23" spans="1:16" ht="14.85" customHeight="1">
      <c r="A23" s="164">
        <v>44259</v>
      </c>
      <c r="B23" s="42" t="str">
        <f>Rollover!A23</f>
        <v>Dodge</v>
      </c>
      <c r="C23" s="42" t="str">
        <f>Rollover!B23</f>
        <v>Durango SUV RWD</v>
      </c>
      <c r="D23" s="109">
        <f>Rollover!C23</f>
        <v>2021</v>
      </c>
      <c r="E23" s="20">
        <f>Front!AW23</f>
        <v>4</v>
      </c>
      <c r="F23" s="42">
        <f>Front!AX23</f>
        <v>4</v>
      </c>
      <c r="G23" s="45">
        <f>Front!AY23</f>
        <v>4</v>
      </c>
      <c r="H23" s="20">
        <f>'Side MDB'!AC23</f>
        <v>5</v>
      </c>
      <c r="I23" s="44">
        <f>'Side MDB'!AD23</f>
        <v>5</v>
      </c>
      <c r="J23" s="21">
        <f>'Side MDB'!AE23</f>
        <v>5</v>
      </c>
      <c r="K23" s="162">
        <f>'Side Pole'!P23</f>
        <v>5</v>
      </c>
      <c r="L23" s="162">
        <f>'Side Pole'!S23</f>
        <v>5</v>
      </c>
      <c r="M23" s="163">
        <f>'Side Pole'!V23</f>
        <v>5</v>
      </c>
      <c r="N23" s="159">
        <f>Rollover!J23</f>
        <v>4</v>
      </c>
      <c r="O23" s="160">
        <f>ROUND(5/12*Front!AV23+4/12*'Side Pole'!U23+3/12*Rollover!I23,2)</f>
        <v>0.8</v>
      </c>
      <c r="P23" s="45">
        <f t="shared" ref="P23:P51" si="2">IF(O23&lt;0.67,5,IF(O23&lt;1,4,IF(O23&lt;1.33,3,IF(O23&lt;2.67,2,1))))</f>
        <v>4</v>
      </c>
    </row>
    <row r="24" spans="1:16" ht="14.85" customHeight="1">
      <c r="A24" s="164">
        <v>44259</v>
      </c>
      <c r="B24" s="42" t="str">
        <f>Rollover!A24</f>
        <v>Dodge</v>
      </c>
      <c r="C24" s="42" t="str">
        <f>Rollover!B24</f>
        <v>Durango SUV 4WD</v>
      </c>
      <c r="D24" s="109">
        <f>Rollover!C24</f>
        <v>2021</v>
      </c>
      <c r="E24" s="20">
        <f>Front!AW24</f>
        <v>4</v>
      </c>
      <c r="F24" s="42">
        <f>Front!AX24</f>
        <v>4</v>
      </c>
      <c r="G24" s="45">
        <f>Front!AY24</f>
        <v>4</v>
      </c>
      <c r="H24" s="20">
        <f>'Side MDB'!AC24</f>
        <v>5</v>
      </c>
      <c r="I24" s="44">
        <f>'Side MDB'!AD24</f>
        <v>5</v>
      </c>
      <c r="J24" s="21">
        <f>'Side MDB'!AE24</f>
        <v>5</v>
      </c>
      <c r="K24" s="162">
        <f>'Side Pole'!P24</f>
        <v>5</v>
      </c>
      <c r="L24" s="162">
        <f>'Side Pole'!S24</f>
        <v>5</v>
      </c>
      <c r="M24" s="163">
        <f>'Side Pole'!V24</f>
        <v>5</v>
      </c>
      <c r="N24" s="159">
        <f>Rollover!J24</f>
        <v>3</v>
      </c>
      <c r="O24" s="160">
        <f>ROUND(5/12*Front!AV24+4/12*'Side Pole'!U24+3/12*Rollover!I24,2)</f>
        <v>0.82</v>
      </c>
      <c r="P24" s="45">
        <f t="shared" si="2"/>
        <v>4</v>
      </c>
    </row>
    <row r="25" spans="1:16" ht="14.85" customHeight="1">
      <c r="A25" s="164">
        <v>44187</v>
      </c>
      <c r="B25" s="42" t="str">
        <f>Rollover!A25</f>
        <v xml:space="preserve">Ford </v>
      </c>
      <c r="C25" s="42" t="str">
        <f>Rollover!B25</f>
        <v>Transit Connect Wagon FWD</v>
      </c>
      <c r="D25" s="109">
        <f>Rollover!C25</f>
        <v>2021</v>
      </c>
      <c r="E25" s="20">
        <f>Front!AW25</f>
        <v>5</v>
      </c>
      <c r="F25" s="42">
        <f>Front!AX25</f>
        <v>4</v>
      </c>
      <c r="G25" s="45">
        <f>Front!AY25</f>
        <v>4</v>
      </c>
      <c r="H25" s="20">
        <f>'Side MDB'!AC25</f>
        <v>5</v>
      </c>
      <c r="I25" s="44">
        <f>'Side MDB'!AD25</f>
        <v>5</v>
      </c>
      <c r="J25" s="21">
        <f>'Side MDB'!AE25</f>
        <v>5</v>
      </c>
      <c r="K25" s="162">
        <f>'Side Pole'!P25</f>
        <v>5</v>
      </c>
      <c r="L25" s="162">
        <f>'Side Pole'!S25</f>
        <v>5</v>
      </c>
      <c r="M25" s="163">
        <f>'Side Pole'!V25</f>
        <v>5</v>
      </c>
      <c r="N25" s="159">
        <f>Rollover!J25</f>
        <v>4</v>
      </c>
      <c r="O25" s="160">
        <f>ROUND(5/12*Front!AV25+4/12*'Side Pole'!U25+3/12*Rollover!I25,2)</f>
        <v>0.72</v>
      </c>
      <c r="P25" s="45">
        <f t="shared" ref="P25:P26" si="3">IF(O25&lt;0.67,5,IF(O25&lt;1,4,IF(O25&lt;1.33,3,IF(O25&lt;2.67,2,1))))</f>
        <v>4</v>
      </c>
    </row>
    <row r="26" spans="1:16" ht="14.85" customHeight="1">
      <c r="A26" s="164">
        <v>44187</v>
      </c>
      <c r="B26" s="8" t="str">
        <f>Rollover!A26</f>
        <v xml:space="preserve">Ford </v>
      </c>
      <c r="C26" s="8" t="str">
        <f>Rollover!B26</f>
        <v>Transit Connect Van FWD</v>
      </c>
      <c r="D26" s="109">
        <f>Rollover!C26</f>
        <v>2021</v>
      </c>
      <c r="E26" s="20">
        <f>Front!AW26</f>
        <v>5</v>
      </c>
      <c r="F26" s="42">
        <f>Front!AX26</f>
        <v>4</v>
      </c>
      <c r="G26" s="45">
        <f>Front!AY26</f>
        <v>4</v>
      </c>
      <c r="H26" s="20">
        <f>'Side MDB'!AC26</f>
        <v>5</v>
      </c>
      <c r="I26" s="44" t="str">
        <f>'Side MDB'!AD26</f>
        <v>N/A</v>
      </c>
      <c r="J26" s="21">
        <f>'Side MDB'!AE26</f>
        <v>5</v>
      </c>
      <c r="K26" s="162">
        <f>'Side Pole'!P26</f>
        <v>5</v>
      </c>
      <c r="L26" s="162">
        <f>'Side Pole'!S26</f>
        <v>5</v>
      </c>
      <c r="M26" s="163">
        <f>'Side Pole'!V26</f>
        <v>5</v>
      </c>
      <c r="N26" s="159" t="e">
        <f>Rollover!J26</f>
        <v>#NUM!</v>
      </c>
      <c r="O26" s="160" t="e">
        <f>ROUND(5/12*Front!AV26+4/12*'Side Pole'!U26+3/12*Rollover!I26,2)</f>
        <v>#NUM!</v>
      </c>
      <c r="P26" s="45" t="e">
        <f t="shared" si="3"/>
        <v>#NUM!</v>
      </c>
    </row>
    <row r="27" spans="1:16" ht="14.85" customHeight="1">
      <c r="A27" s="46">
        <v>44131</v>
      </c>
      <c r="B27" s="42" t="str">
        <f>Rollover!A27</f>
        <v>Kia</v>
      </c>
      <c r="C27" s="42" t="str">
        <f>Rollover!B27</f>
        <v>K5 4DR FWD</v>
      </c>
      <c r="D27" s="109">
        <f>Rollover!C27</f>
        <v>2021</v>
      </c>
      <c r="E27" s="20">
        <f>Front!AW27</f>
        <v>5</v>
      </c>
      <c r="F27" s="42">
        <f>Front!AX27</f>
        <v>4</v>
      </c>
      <c r="G27" s="45">
        <f>Front!AY27</f>
        <v>4</v>
      </c>
      <c r="H27" s="20">
        <f>'Side MDB'!AC27</f>
        <v>5</v>
      </c>
      <c r="I27" s="44">
        <f>'Side MDB'!AD27</f>
        <v>5</v>
      </c>
      <c r="J27" s="21">
        <f>'Side MDB'!AE27</f>
        <v>5</v>
      </c>
      <c r="K27" s="162">
        <f>'Side Pole'!P27</f>
        <v>5</v>
      </c>
      <c r="L27" s="162">
        <f>'Side Pole'!S27</f>
        <v>5</v>
      </c>
      <c r="M27" s="163">
        <f>'Side Pole'!V27</f>
        <v>5</v>
      </c>
      <c r="N27" s="159">
        <f>Rollover!J27</f>
        <v>4</v>
      </c>
      <c r="O27" s="160">
        <f>ROUND(5/12*Front!AV27+4/12*'Side Pole'!U27+3/12*Rollover!I27,2)</f>
        <v>0.56999999999999995</v>
      </c>
      <c r="P27" s="45">
        <f t="shared" si="2"/>
        <v>5</v>
      </c>
    </row>
    <row r="28" spans="1:16" ht="14.85" customHeight="1">
      <c r="A28" s="46">
        <v>44048</v>
      </c>
      <c r="B28" s="42" t="str">
        <f>Rollover!A28</f>
        <v>Kia</v>
      </c>
      <c r="C28" s="42" t="str">
        <f>Rollover!B28</f>
        <v>Seltos SUV FWD</v>
      </c>
      <c r="D28" s="109">
        <f>Rollover!C28</f>
        <v>2021</v>
      </c>
      <c r="E28" s="20">
        <f>Front!AW28</f>
        <v>5</v>
      </c>
      <c r="F28" s="42">
        <f>Front!AX28</f>
        <v>4</v>
      </c>
      <c r="G28" s="45">
        <f>Front!AY28</f>
        <v>4</v>
      </c>
      <c r="H28" s="20">
        <f>'Side MDB'!AC28</f>
        <v>5</v>
      </c>
      <c r="I28" s="44">
        <f>'Side MDB'!AD28</f>
        <v>5</v>
      </c>
      <c r="J28" s="21">
        <f>'Side MDB'!AE28</f>
        <v>5</v>
      </c>
      <c r="K28" s="162">
        <f>'Side Pole'!P28</f>
        <v>5</v>
      </c>
      <c r="L28" s="162">
        <f>'Side Pole'!S28</f>
        <v>5</v>
      </c>
      <c r="M28" s="163">
        <f>'Side Pole'!V28</f>
        <v>5</v>
      </c>
      <c r="N28" s="159">
        <f>Rollover!J28</f>
        <v>4</v>
      </c>
      <c r="O28" s="160">
        <f>ROUND(5/12*Front!AV28+4/12*'Side Pole'!U28+3/12*Rollover!I28,2)</f>
        <v>0.7</v>
      </c>
      <c r="P28" s="45">
        <f t="shared" si="2"/>
        <v>4</v>
      </c>
    </row>
    <row r="29" spans="1:16" ht="14.85" customHeight="1">
      <c r="A29" s="46">
        <v>44048</v>
      </c>
      <c r="B29" s="42" t="str">
        <f>Rollover!A29</f>
        <v>Kia</v>
      </c>
      <c r="C29" s="42" t="str">
        <f>Rollover!B29</f>
        <v>Seltos SUV AWD</v>
      </c>
      <c r="D29" s="109">
        <f>Rollover!C29</f>
        <v>2021</v>
      </c>
      <c r="E29" s="20">
        <f>Front!AW29</f>
        <v>5</v>
      </c>
      <c r="F29" s="42">
        <f>Front!AX29</f>
        <v>4</v>
      </c>
      <c r="G29" s="45">
        <f>Front!AY29</f>
        <v>4</v>
      </c>
      <c r="H29" s="20">
        <f>'Side MDB'!AC29</f>
        <v>5</v>
      </c>
      <c r="I29" s="44">
        <f>'Side MDB'!AD29</f>
        <v>5</v>
      </c>
      <c r="J29" s="21">
        <f>'Side MDB'!AE29</f>
        <v>5</v>
      </c>
      <c r="K29" s="162">
        <f>'Side Pole'!P29</f>
        <v>5</v>
      </c>
      <c r="L29" s="162">
        <f>'Side Pole'!S29</f>
        <v>5</v>
      </c>
      <c r="M29" s="163">
        <f>'Side Pole'!V29</f>
        <v>5</v>
      </c>
      <c r="N29" s="159">
        <f>Rollover!J29</f>
        <v>4</v>
      </c>
      <c r="O29" s="160">
        <f>ROUND(5/12*Front!AV29+4/12*'Side Pole'!U29+3/12*Rollover!I29,2)</f>
        <v>0.67</v>
      </c>
      <c r="P29" s="45">
        <f t="shared" si="2"/>
        <v>4</v>
      </c>
    </row>
    <row r="30" spans="1:16" ht="14.85" customHeight="1">
      <c r="A30" s="46">
        <v>44239</v>
      </c>
      <c r="B30" s="42" t="str">
        <f>Rollover!A30</f>
        <v>Lexus</v>
      </c>
      <c r="C30" s="42" t="str">
        <f>Rollover!B30</f>
        <v>RX 350 SUV FWD</v>
      </c>
      <c r="D30" s="109">
        <f>Rollover!C30</f>
        <v>2021</v>
      </c>
      <c r="E30" s="20">
        <f>Front!AW30</f>
        <v>3</v>
      </c>
      <c r="F30" s="42">
        <f>Front!AX30</f>
        <v>4</v>
      </c>
      <c r="G30" s="45">
        <f>Front!AY30</f>
        <v>4</v>
      </c>
      <c r="H30" s="20">
        <f>'Side MDB'!AC30</f>
        <v>5</v>
      </c>
      <c r="I30" s="44">
        <f>'Side MDB'!AD30</f>
        <v>5</v>
      </c>
      <c r="J30" s="21">
        <f>'Side MDB'!AE30</f>
        <v>5</v>
      </c>
      <c r="K30" s="162">
        <f>'Side Pole'!P30</f>
        <v>5</v>
      </c>
      <c r="L30" s="162">
        <f>'Side Pole'!S30</f>
        <v>5</v>
      </c>
      <c r="M30" s="163">
        <f>'Side Pole'!V30</f>
        <v>5</v>
      </c>
      <c r="N30" s="159">
        <f>Rollover!J30</f>
        <v>4</v>
      </c>
      <c r="O30" s="160">
        <f>ROUND(5/12*Front!AV30+4/12*'Side Pole'!U30+3/12*Rollover!I30,2)</f>
        <v>0.74</v>
      </c>
      <c r="P30" s="45">
        <f t="shared" si="2"/>
        <v>4</v>
      </c>
    </row>
    <row r="31" spans="1:16" ht="14.85" customHeight="1">
      <c r="A31" s="46">
        <v>44239</v>
      </c>
      <c r="B31" s="42" t="str">
        <f>Rollover!A31</f>
        <v>Lexus</v>
      </c>
      <c r="C31" s="42" t="str">
        <f>Rollover!B31</f>
        <v>RX 350 SUV AWD</v>
      </c>
      <c r="D31" s="109">
        <f>Rollover!C31</f>
        <v>2021</v>
      </c>
      <c r="E31" s="20">
        <f>Front!AW31</f>
        <v>3</v>
      </c>
      <c r="F31" s="42">
        <f>Front!AX31</f>
        <v>4</v>
      </c>
      <c r="G31" s="45">
        <f>Front!AY31</f>
        <v>4</v>
      </c>
      <c r="H31" s="20">
        <f>'Side MDB'!AC31</f>
        <v>5</v>
      </c>
      <c r="I31" s="44">
        <f>'Side MDB'!AD31</f>
        <v>5</v>
      </c>
      <c r="J31" s="21">
        <f>'Side MDB'!AE31</f>
        <v>5</v>
      </c>
      <c r="K31" s="162">
        <f>'Side Pole'!P31</f>
        <v>5</v>
      </c>
      <c r="L31" s="162">
        <f>'Side Pole'!S31</f>
        <v>5</v>
      </c>
      <c r="M31" s="163">
        <f>'Side Pole'!V31</f>
        <v>5</v>
      </c>
      <c r="N31" s="159">
        <f>Rollover!J31</f>
        <v>4</v>
      </c>
      <c r="O31" s="160">
        <f>ROUND(5/12*Front!AV31+4/12*'Side Pole'!U31+3/12*Rollover!I31,2)</f>
        <v>0.71</v>
      </c>
      <c r="P31" s="45">
        <f t="shared" si="2"/>
        <v>4</v>
      </c>
    </row>
    <row r="32" spans="1:16" ht="14.85" customHeight="1">
      <c r="A32" s="46">
        <v>44239</v>
      </c>
      <c r="B32" s="8" t="str">
        <f>Rollover!A32</f>
        <v>Lexus</v>
      </c>
      <c r="C32" s="8" t="str">
        <f>Rollover!B32</f>
        <v>RX 350L SUV FWD</v>
      </c>
      <c r="D32" s="109">
        <f>Rollover!C32</f>
        <v>2021</v>
      </c>
      <c r="E32" s="20">
        <f>Front!AW32</f>
        <v>3</v>
      </c>
      <c r="F32" s="42">
        <f>Front!AX32</f>
        <v>4</v>
      </c>
      <c r="G32" s="45">
        <f>Front!AY32</f>
        <v>4</v>
      </c>
      <c r="H32" s="20">
        <f>'Side MDB'!AC32</f>
        <v>5</v>
      </c>
      <c r="I32" s="44">
        <f>'Side MDB'!AD32</f>
        <v>5</v>
      </c>
      <c r="J32" s="21">
        <f>'Side MDB'!AE32</f>
        <v>5</v>
      </c>
      <c r="K32" s="162">
        <f>'Side Pole'!P32</f>
        <v>5</v>
      </c>
      <c r="L32" s="162">
        <f>'Side Pole'!S32</f>
        <v>5</v>
      </c>
      <c r="M32" s="163">
        <f>'Side Pole'!V32</f>
        <v>5</v>
      </c>
      <c r="N32" s="159">
        <f>Rollover!J32</f>
        <v>4</v>
      </c>
      <c r="O32" s="160">
        <f>ROUND(5/12*Front!AV32+4/12*'Side Pole'!U32+3/12*Rollover!I32,2)</f>
        <v>0.74</v>
      </c>
      <c r="P32" s="45">
        <f t="shared" si="2"/>
        <v>4</v>
      </c>
    </row>
    <row r="33" spans="1:16" ht="14.85" customHeight="1">
      <c r="A33" s="46">
        <v>44239</v>
      </c>
      <c r="B33" s="8" t="str">
        <f>Rollover!A33</f>
        <v>Lexus</v>
      </c>
      <c r="C33" s="8" t="str">
        <f>Rollover!B33</f>
        <v>RX 350L SUV AWD</v>
      </c>
      <c r="D33" s="109">
        <f>Rollover!C33</f>
        <v>2021</v>
      </c>
      <c r="E33" s="20">
        <f>Front!AW33</f>
        <v>3</v>
      </c>
      <c r="F33" s="42">
        <f>Front!AX33</f>
        <v>4</v>
      </c>
      <c r="G33" s="45">
        <f>Front!AY33</f>
        <v>4</v>
      </c>
      <c r="H33" s="20">
        <f>'Side MDB'!AC33</f>
        <v>5</v>
      </c>
      <c r="I33" s="44">
        <f>'Side MDB'!AD33</f>
        <v>5</v>
      </c>
      <c r="J33" s="21">
        <f>'Side MDB'!AE33</f>
        <v>5</v>
      </c>
      <c r="K33" s="162">
        <f>'Side Pole'!P33</f>
        <v>5</v>
      </c>
      <c r="L33" s="162">
        <f>'Side Pole'!S33</f>
        <v>5</v>
      </c>
      <c r="M33" s="163">
        <f>'Side Pole'!V33</f>
        <v>5</v>
      </c>
      <c r="N33" s="159">
        <f>Rollover!J33</f>
        <v>4</v>
      </c>
      <c r="O33" s="160">
        <f>ROUND(5/12*Front!AV33+4/12*'Side Pole'!U33+3/12*Rollover!I33,2)</f>
        <v>0.72</v>
      </c>
      <c r="P33" s="45">
        <f t="shared" si="2"/>
        <v>4</v>
      </c>
    </row>
    <row r="34" spans="1:16" ht="14.85" customHeight="1">
      <c r="A34" s="46">
        <v>44239</v>
      </c>
      <c r="B34" s="8" t="str">
        <f>Rollover!A34</f>
        <v>Lexus</v>
      </c>
      <c r="C34" s="8" t="str">
        <f>Rollover!B34</f>
        <v>RX 450h SUV AWD</v>
      </c>
      <c r="D34" s="109">
        <f>Rollover!C34</f>
        <v>2021</v>
      </c>
      <c r="E34" s="20">
        <f>Front!AW34</f>
        <v>3</v>
      </c>
      <c r="F34" s="42">
        <f>Front!AX34</f>
        <v>4</v>
      </c>
      <c r="G34" s="45">
        <f>Front!AY34</f>
        <v>4</v>
      </c>
      <c r="H34" s="20">
        <f>'Side MDB'!AC34</f>
        <v>5</v>
      </c>
      <c r="I34" s="44">
        <f>'Side MDB'!AD34</f>
        <v>5</v>
      </c>
      <c r="J34" s="21">
        <f>'Side MDB'!AE34</f>
        <v>5</v>
      </c>
      <c r="K34" s="162">
        <f>'Side Pole'!P34</f>
        <v>5</v>
      </c>
      <c r="L34" s="162">
        <f>'Side Pole'!S34</f>
        <v>5</v>
      </c>
      <c r="M34" s="163">
        <f>'Side Pole'!V34</f>
        <v>5</v>
      </c>
      <c r="N34" s="159">
        <f>Rollover!J34</f>
        <v>4</v>
      </c>
      <c r="O34" s="160">
        <f>ROUND(5/12*Front!AV34+4/12*'Side Pole'!U34+3/12*Rollover!I34,2)</f>
        <v>0.71</v>
      </c>
      <c r="P34" s="45">
        <f t="shared" si="2"/>
        <v>4</v>
      </c>
    </row>
    <row r="35" spans="1:16" ht="14.85" customHeight="1">
      <c r="A35" s="46">
        <v>44239</v>
      </c>
      <c r="B35" s="8" t="str">
        <f>Rollover!A35</f>
        <v>Lexus</v>
      </c>
      <c r="C35" s="8" t="str">
        <f>Rollover!B35</f>
        <v>RX 450hL SUV AWD</v>
      </c>
      <c r="D35" s="109">
        <f>Rollover!C35</f>
        <v>2021</v>
      </c>
      <c r="E35" s="20">
        <f>Front!AW35</f>
        <v>3</v>
      </c>
      <c r="F35" s="42">
        <f>Front!AX35</f>
        <v>4</v>
      </c>
      <c r="G35" s="45">
        <f>Front!AY35</f>
        <v>4</v>
      </c>
      <c r="H35" s="20">
        <f>'Side MDB'!AC35</f>
        <v>5</v>
      </c>
      <c r="I35" s="44">
        <f>'Side MDB'!AD35</f>
        <v>5</v>
      </c>
      <c r="J35" s="21">
        <f>'Side MDB'!AE35</f>
        <v>5</v>
      </c>
      <c r="K35" s="162">
        <f>'Side Pole'!P35</f>
        <v>5</v>
      </c>
      <c r="L35" s="162">
        <f>'Side Pole'!S35</f>
        <v>5</v>
      </c>
      <c r="M35" s="163">
        <f>'Side Pole'!V35</f>
        <v>5</v>
      </c>
      <c r="N35" s="159">
        <f>Rollover!J35</f>
        <v>4</v>
      </c>
      <c r="O35" s="160">
        <f>ROUND(5/12*Front!AV35+4/12*'Side Pole'!U35+3/12*Rollover!I35,2)</f>
        <v>0.72</v>
      </c>
      <c r="P35" s="45">
        <f t="shared" si="2"/>
        <v>4</v>
      </c>
    </row>
    <row r="36" spans="1:16" ht="14.85" customHeight="1">
      <c r="A36" s="164">
        <v>43842</v>
      </c>
      <c r="B36" s="42" t="str">
        <f>Rollover!A36</f>
        <v>Mercedes-Benz</v>
      </c>
      <c r="C36" s="42" t="str">
        <f>Rollover!B36</f>
        <v>E-Class 4DR RWD</v>
      </c>
      <c r="D36" s="109">
        <f>Rollover!C36</f>
        <v>2021</v>
      </c>
      <c r="E36" s="20">
        <f>Front!AW36</f>
        <v>4</v>
      </c>
      <c r="F36" s="42">
        <f>Front!AX36</f>
        <v>5</v>
      </c>
      <c r="G36" s="45">
        <f>Front!AY36</f>
        <v>5</v>
      </c>
      <c r="H36" s="20">
        <f>'Side MDB'!AC36</f>
        <v>5</v>
      </c>
      <c r="I36" s="44">
        <f>'Side MDB'!AD36</f>
        <v>5</v>
      </c>
      <c r="J36" s="21">
        <f>'Side MDB'!AE36</f>
        <v>5</v>
      </c>
      <c r="K36" s="162">
        <f>'Side Pole'!P36</f>
        <v>5</v>
      </c>
      <c r="L36" s="162">
        <f>'Side Pole'!S36</f>
        <v>5</v>
      </c>
      <c r="M36" s="163">
        <f>'Side Pole'!V36</f>
        <v>5</v>
      </c>
      <c r="N36" s="159">
        <f>Rollover!J36</f>
        <v>5</v>
      </c>
      <c r="O36" s="160">
        <f>ROUND(5/12*Front!AV36+4/12*'Side Pole'!U36+3/12*Rollover!I36,2)</f>
        <v>0.51</v>
      </c>
      <c r="P36" s="45">
        <f t="shared" si="2"/>
        <v>5</v>
      </c>
    </row>
    <row r="37" spans="1:16" ht="14.85" customHeight="1">
      <c r="A37" s="164">
        <v>43842</v>
      </c>
      <c r="B37" s="42" t="str">
        <f>Rollover!A37</f>
        <v>Mercedes-Benz</v>
      </c>
      <c r="C37" s="42" t="str">
        <f>Rollover!B37</f>
        <v>E-Class 4DR 4WD</v>
      </c>
      <c r="D37" s="109">
        <f>Rollover!C37</f>
        <v>2021</v>
      </c>
      <c r="E37" s="20">
        <f>Front!AW37</f>
        <v>4</v>
      </c>
      <c r="F37" s="42">
        <f>Front!AX37</f>
        <v>5</v>
      </c>
      <c r="G37" s="45">
        <f>Front!AY37</f>
        <v>5</v>
      </c>
      <c r="H37" s="20">
        <f>'Side MDB'!AC37</f>
        <v>5</v>
      </c>
      <c r="I37" s="44">
        <f>'Side MDB'!AD37</f>
        <v>5</v>
      </c>
      <c r="J37" s="21">
        <f>'Side MDB'!AE37</f>
        <v>5</v>
      </c>
      <c r="K37" s="162">
        <f>'Side Pole'!P37</f>
        <v>5</v>
      </c>
      <c r="L37" s="162">
        <f>'Side Pole'!S37</f>
        <v>5</v>
      </c>
      <c r="M37" s="163">
        <f>'Side Pole'!V37</f>
        <v>5</v>
      </c>
      <c r="N37" s="159">
        <f>Rollover!J37</f>
        <v>5</v>
      </c>
      <c r="O37" s="160">
        <f>ROUND(5/12*Front!AV37+4/12*'Side Pole'!U37+3/12*Rollover!I37,2)</f>
        <v>0.51</v>
      </c>
      <c r="P37" s="45">
        <f t="shared" ref="P37:P39" si="4">IF(O37&lt;0.67,5,IF(O37&lt;1,4,IF(O37&lt;1.33,3,IF(O37&lt;2.67,2,1))))</f>
        <v>5</v>
      </c>
    </row>
    <row r="38" spans="1:16" ht="14.85" customHeight="1">
      <c r="A38" s="164">
        <v>43842</v>
      </c>
      <c r="B38" s="8" t="str">
        <f>Rollover!A38</f>
        <v>Mercedes-Benz</v>
      </c>
      <c r="C38" s="8" t="str">
        <f>Rollover!B38</f>
        <v>E-Class SW RWD</v>
      </c>
      <c r="D38" s="109">
        <f>Rollover!C38</f>
        <v>2021</v>
      </c>
      <c r="E38" s="20">
        <f>Front!AW38</f>
        <v>4</v>
      </c>
      <c r="F38" s="42">
        <f>Front!AX38</f>
        <v>5</v>
      </c>
      <c r="G38" s="45">
        <f>Front!AY38</f>
        <v>5</v>
      </c>
      <c r="H38" s="20">
        <f>'Side MDB'!AC38</f>
        <v>5</v>
      </c>
      <c r="I38" s="44">
        <f>'Side MDB'!AD38</f>
        <v>5</v>
      </c>
      <c r="J38" s="21">
        <f>'Side MDB'!AE38</f>
        <v>5</v>
      </c>
      <c r="K38" s="162">
        <f>'Side Pole'!P38</f>
        <v>5</v>
      </c>
      <c r="L38" s="162">
        <f>'Side Pole'!S38</f>
        <v>5</v>
      </c>
      <c r="M38" s="163">
        <f>'Side Pole'!V38</f>
        <v>5</v>
      </c>
      <c r="N38" s="159">
        <f>Rollover!J38</f>
        <v>5</v>
      </c>
      <c r="O38" s="160">
        <f>ROUND(5/12*Front!AV38+4/12*'Side Pole'!U38+3/12*Rollover!I38,2)</f>
        <v>0.51</v>
      </c>
      <c r="P38" s="45">
        <f t="shared" si="4"/>
        <v>5</v>
      </c>
    </row>
    <row r="39" spans="1:16" ht="14.85" customHeight="1">
      <c r="A39" s="164">
        <v>43842</v>
      </c>
      <c r="B39" s="8" t="str">
        <f>Rollover!A39</f>
        <v>Mercedes-Benz</v>
      </c>
      <c r="C39" s="8" t="str">
        <f>Rollover!B39</f>
        <v>E-Class SW 4WD</v>
      </c>
      <c r="D39" s="109">
        <f>Rollover!C39</f>
        <v>2021</v>
      </c>
      <c r="E39" s="20">
        <f>Front!AW39</f>
        <v>4</v>
      </c>
      <c r="F39" s="42">
        <f>Front!AX39</f>
        <v>5</v>
      </c>
      <c r="G39" s="45">
        <f>Front!AY39</f>
        <v>5</v>
      </c>
      <c r="H39" s="20">
        <f>'Side MDB'!AC39</f>
        <v>5</v>
      </c>
      <c r="I39" s="44">
        <f>'Side MDB'!AD39</f>
        <v>5</v>
      </c>
      <c r="J39" s="21">
        <f>'Side MDB'!AE39</f>
        <v>5</v>
      </c>
      <c r="K39" s="162">
        <f>'Side Pole'!P39</f>
        <v>5</v>
      </c>
      <c r="L39" s="162">
        <f>'Side Pole'!S39</f>
        <v>5</v>
      </c>
      <c r="M39" s="163">
        <f>'Side Pole'!V39</f>
        <v>5</v>
      </c>
      <c r="N39" s="159">
        <f>Rollover!J39</f>
        <v>5</v>
      </c>
      <c r="O39" s="160">
        <f>ROUND(5/12*Front!AV39+4/12*'Side Pole'!U39+3/12*Rollover!I39,2)</f>
        <v>0.51</v>
      </c>
      <c r="P39" s="45">
        <f t="shared" si="4"/>
        <v>5</v>
      </c>
    </row>
    <row r="40" spans="1:16" ht="14.85" customHeight="1">
      <c r="A40" s="46">
        <v>44239</v>
      </c>
      <c r="B40" s="42" t="str">
        <f>Rollover!A40</f>
        <v>Mercedes-Benz</v>
      </c>
      <c r="C40" s="42" t="str">
        <f>Rollover!B40</f>
        <v>GLC Class SUV RWD</v>
      </c>
      <c r="D40" s="109">
        <f>Rollover!C40</f>
        <v>2021</v>
      </c>
      <c r="E40" s="20">
        <f>Front!AW40</f>
        <v>5</v>
      </c>
      <c r="F40" s="42">
        <f>Front!AX40</f>
        <v>5</v>
      </c>
      <c r="G40" s="45">
        <f>Front!AY40</f>
        <v>5</v>
      </c>
      <c r="H40" s="20">
        <f>'Side MDB'!AC40</f>
        <v>5</v>
      </c>
      <c r="I40" s="44">
        <f>'Side MDB'!AD40</f>
        <v>5</v>
      </c>
      <c r="J40" s="21">
        <f>'Side MDB'!AE40</f>
        <v>5</v>
      </c>
      <c r="K40" s="162">
        <f>'Side Pole'!P40</f>
        <v>5</v>
      </c>
      <c r="L40" s="162">
        <f>'Side Pole'!S40</f>
        <v>5</v>
      </c>
      <c r="M40" s="163">
        <f>'Side Pole'!V40</f>
        <v>5</v>
      </c>
      <c r="N40" s="159">
        <f>Rollover!J40</f>
        <v>4</v>
      </c>
      <c r="O40" s="160">
        <f>ROUND(5/12*Front!AV40+4/12*'Side Pole'!U40+3/12*Rollover!I40,2)</f>
        <v>0.65</v>
      </c>
      <c r="P40" s="45">
        <f t="shared" si="2"/>
        <v>5</v>
      </c>
    </row>
    <row r="41" spans="1:16" ht="14.85" customHeight="1">
      <c r="A41" s="46">
        <v>44239</v>
      </c>
      <c r="B41" s="42" t="str">
        <f>Rollover!A41</f>
        <v>Mercedes-Benz</v>
      </c>
      <c r="C41" s="42" t="str">
        <f>Rollover!B41</f>
        <v>GLC Class SUV 4WD</v>
      </c>
      <c r="D41" s="109">
        <f>Rollover!C41</f>
        <v>2021</v>
      </c>
      <c r="E41" s="20">
        <f>Front!AW41</f>
        <v>5</v>
      </c>
      <c r="F41" s="42">
        <f>Front!AX41</f>
        <v>5</v>
      </c>
      <c r="G41" s="45">
        <f>Front!AY41</f>
        <v>5</v>
      </c>
      <c r="H41" s="20">
        <f>'Side MDB'!AC41</f>
        <v>5</v>
      </c>
      <c r="I41" s="44">
        <f>'Side MDB'!AD41</f>
        <v>5</v>
      </c>
      <c r="J41" s="21">
        <f>'Side MDB'!AE41</f>
        <v>5</v>
      </c>
      <c r="K41" s="162">
        <f>'Side Pole'!P41</f>
        <v>5</v>
      </c>
      <c r="L41" s="162">
        <f>'Side Pole'!S41</f>
        <v>5</v>
      </c>
      <c r="M41" s="163">
        <f>'Side Pole'!V41</f>
        <v>5</v>
      </c>
      <c r="N41" s="159">
        <f>Rollover!J41</f>
        <v>4</v>
      </c>
      <c r="O41" s="160">
        <f>ROUND(5/12*Front!AV41+4/12*'Side Pole'!U41+3/12*Rollover!I41,2)</f>
        <v>0.65</v>
      </c>
      <c r="P41" s="45">
        <f t="shared" si="2"/>
        <v>5</v>
      </c>
    </row>
    <row r="42" spans="1:16" ht="14.85" customHeight="1">
      <c r="A42" s="46">
        <v>44253</v>
      </c>
      <c r="B42" s="42" t="str">
        <f>Rollover!A42</f>
        <v>Nissan</v>
      </c>
      <c r="C42" s="42" t="str">
        <f>Rollover!B42</f>
        <v>Maxima 4DR FWD</v>
      </c>
      <c r="D42" s="109">
        <f>Rollover!C42</f>
        <v>2021</v>
      </c>
      <c r="E42" s="20">
        <f>Front!AW42</f>
        <v>5</v>
      </c>
      <c r="F42" s="42">
        <f>Front!AX42</f>
        <v>5</v>
      </c>
      <c r="G42" s="45">
        <f>Front!AY42</f>
        <v>5</v>
      </c>
      <c r="H42" s="20">
        <f>'Side MDB'!AC42</f>
        <v>5</v>
      </c>
      <c r="I42" s="44">
        <f>'Side MDB'!AD42</f>
        <v>5</v>
      </c>
      <c r="J42" s="21">
        <f>'Side MDB'!AE42</f>
        <v>5</v>
      </c>
      <c r="K42" s="162">
        <f>'Side Pole'!P42</f>
        <v>5</v>
      </c>
      <c r="L42" s="162">
        <f>'Side Pole'!S42</f>
        <v>5</v>
      </c>
      <c r="M42" s="163">
        <f>'Side Pole'!V42</f>
        <v>5</v>
      </c>
      <c r="N42" s="159">
        <f>Rollover!J42</f>
        <v>5</v>
      </c>
      <c r="O42" s="160">
        <f>ROUND(5/12*Front!AV42+4/12*'Side Pole'!U42+3/12*Rollover!I42,2)</f>
        <v>0.47</v>
      </c>
      <c r="P42" s="45">
        <f t="shared" si="2"/>
        <v>5</v>
      </c>
    </row>
    <row r="43" spans="1:16" ht="14.85" customHeight="1">
      <c r="A43" s="46">
        <v>44245</v>
      </c>
      <c r="B43" s="42" t="str">
        <f>Rollover!A43</f>
        <v>Nissan</v>
      </c>
      <c r="C43" s="42" t="str">
        <f>Rollover!B43</f>
        <v>Rogue SUV FWD (early release)</v>
      </c>
      <c r="D43" s="109">
        <f>Rollover!C43</f>
        <v>2021</v>
      </c>
      <c r="E43" s="20">
        <f>Front!AW43</f>
        <v>4</v>
      </c>
      <c r="F43" s="42">
        <f>Front!AX43</f>
        <v>2</v>
      </c>
      <c r="G43" s="45">
        <f>Front!AY43</f>
        <v>3</v>
      </c>
      <c r="H43" s="20">
        <f>'Side MDB'!AC43</f>
        <v>5</v>
      </c>
      <c r="I43" s="44">
        <f>'Side MDB'!AD43</f>
        <v>5</v>
      </c>
      <c r="J43" s="21">
        <f>'Side MDB'!AE43</f>
        <v>5</v>
      </c>
      <c r="K43" s="162">
        <f>'Side Pole'!P43</f>
        <v>5</v>
      </c>
      <c r="L43" s="162">
        <f>'Side Pole'!S43</f>
        <v>5</v>
      </c>
      <c r="M43" s="163">
        <f>'Side Pole'!V43</f>
        <v>5</v>
      </c>
      <c r="N43" s="159">
        <f>Rollover!J43</f>
        <v>4</v>
      </c>
      <c r="O43" s="160">
        <f>ROUND(5/12*Front!AV43+4/12*'Side Pole'!U43+3/12*Rollover!I43,2)</f>
        <v>0.76</v>
      </c>
      <c r="P43" s="45">
        <f t="shared" si="2"/>
        <v>4</v>
      </c>
    </row>
    <row r="44" spans="1:16" ht="14.85" customHeight="1">
      <c r="A44" s="46">
        <v>44245</v>
      </c>
      <c r="B44" s="42" t="str">
        <f>Rollover!A44</f>
        <v>Nissan</v>
      </c>
      <c r="C44" s="42" t="str">
        <f>Rollover!B44</f>
        <v>Rogue SUV AWD (early release)</v>
      </c>
      <c r="D44" s="109">
        <f>Rollover!C44</f>
        <v>2021</v>
      </c>
      <c r="E44" s="20">
        <f>Front!AW44</f>
        <v>4</v>
      </c>
      <c r="F44" s="42">
        <f>Front!AX44</f>
        <v>2</v>
      </c>
      <c r="G44" s="45">
        <f>Front!AY44</f>
        <v>3</v>
      </c>
      <c r="H44" s="20">
        <f>'Side MDB'!AC44</f>
        <v>5</v>
      </c>
      <c r="I44" s="44">
        <f>'Side MDB'!AD44</f>
        <v>5</v>
      </c>
      <c r="J44" s="21">
        <f>'Side MDB'!AE44</f>
        <v>5</v>
      </c>
      <c r="K44" s="162">
        <f>'Side Pole'!P44</f>
        <v>5</v>
      </c>
      <c r="L44" s="162">
        <f>'Side Pole'!S44</f>
        <v>5</v>
      </c>
      <c r="M44" s="163">
        <f>'Side Pole'!V44</f>
        <v>5</v>
      </c>
      <c r="N44" s="159">
        <f>Rollover!J44</f>
        <v>4</v>
      </c>
      <c r="O44" s="160">
        <f>ROUND(5/12*Front!AV44+4/12*'Side Pole'!U44+3/12*Rollover!I44,2)</f>
        <v>0.76</v>
      </c>
      <c r="P44" s="45">
        <f t="shared" si="2"/>
        <v>4</v>
      </c>
    </row>
    <row r="45" spans="1:16" ht="14.85" customHeight="1">
      <c r="A45" s="46">
        <v>44245</v>
      </c>
      <c r="B45" s="42" t="str">
        <f>Rollover!A45</f>
        <v>Nissan</v>
      </c>
      <c r="C45" s="42" t="str">
        <f>Rollover!B45</f>
        <v>Rogue SUV FWD (later release)</v>
      </c>
      <c r="D45" s="109">
        <f>Rollover!C45</f>
        <v>2021</v>
      </c>
      <c r="E45" s="20" t="e">
        <f>Front!AW45</f>
        <v>#NUM!</v>
      </c>
      <c r="F45" s="42" t="e">
        <f>Front!AX45</f>
        <v>#NUM!</v>
      </c>
      <c r="G45" s="45" t="e">
        <f>Front!AY45</f>
        <v>#NUM!</v>
      </c>
      <c r="H45" s="20">
        <f>'Side MDB'!AC45</f>
        <v>5</v>
      </c>
      <c r="I45" s="44">
        <f>'Side MDB'!AD45</f>
        <v>5</v>
      </c>
      <c r="J45" s="21">
        <f>'Side MDB'!AE45</f>
        <v>5</v>
      </c>
      <c r="K45" s="162">
        <f>'Side Pole'!P45</f>
        <v>5</v>
      </c>
      <c r="L45" s="162">
        <f>'Side Pole'!S45</f>
        <v>5</v>
      </c>
      <c r="M45" s="163">
        <f>'Side Pole'!V45</f>
        <v>5</v>
      </c>
      <c r="N45" s="159">
        <f>Rollover!J45</f>
        <v>4</v>
      </c>
      <c r="O45" s="160" t="e">
        <f>ROUND(5/12*Front!AV45+4/12*'Side Pole'!U45+3/12*Rollover!I45,2)</f>
        <v>#NUM!</v>
      </c>
      <c r="P45" s="45" t="e">
        <f t="shared" ref="P45:P46" si="5">IF(O45&lt;0.67,5,IF(O45&lt;1,4,IF(O45&lt;1.33,3,IF(O45&lt;2.67,2,1))))</f>
        <v>#NUM!</v>
      </c>
    </row>
    <row r="46" spans="1:16" ht="14.85" customHeight="1">
      <c r="A46" s="46">
        <v>44245</v>
      </c>
      <c r="B46" s="42" t="str">
        <f>Rollover!A46</f>
        <v>Nissan</v>
      </c>
      <c r="C46" s="42" t="str">
        <f>Rollover!B46</f>
        <v>Rogue SUV AWD (later release)</v>
      </c>
      <c r="D46" s="109">
        <f>Rollover!C46</f>
        <v>2021</v>
      </c>
      <c r="E46" s="20" t="e">
        <f>Front!AW46</f>
        <v>#NUM!</v>
      </c>
      <c r="F46" s="42" t="e">
        <f>Front!AX46</f>
        <v>#NUM!</v>
      </c>
      <c r="G46" s="45" t="e">
        <f>Front!AY46</f>
        <v>#NUM!</v>
      </c>
      <c r="H46" s="20">
        <f>'Side MDB'!AC46</f>
        <v>5</v>
      </c>
      <c r="I46" s="44">
        <f>'Side MDB'!AD46</f>
        <v>5</v>
      </c>
      <c r="J46" s="21">
        <f>'Side MDB'!AE46</f>
        <v>5</v>
      </c>
      <c r="K46" s="162">
        <f>'Side Pole'!P46</f>
        <v>5</v>
      </c>
      <c r="L46" s="162">
        <f>'Side Pole'!S46</f>
        <v>5</v>
      </c>
      <c r="M46" s="163">
        <f>'Side Pole'!V46</f>
        <v>5</v>
      </c>
      <c r="N46" s="159">
        <f>Rollover!J46</f>
        <v>4</v>
      </c>
      <c r="O46" s="160" t="e">
        <f>ROUND(5/12*Front!AV46+4/12*'Side Pole'!U46+3/12*Rollover!I46,2)</f>
        <v>#NUM!</v>
      </c>
      <c r="P46" s="45" t="e">
        <f t="shared" si="5"/>
        <v>#NUM!</v>
      </c>
    </row>
    <row r="47" spans="1:16" ht="14.85" customHeight="1">
      <c r="A47" s="164">
        <v>44187</v>
      </c>
      <c r="B47" s="42" t="str">
        <f>Rollover!A47</f>
        <v>Subaru</v>
      </c>
      <c r="C47" s="42" t="str">
        <f>Rollover!B47</f>
        <v>Outback SW AWD</v>
      </c>
      <c r="D47" s="109">
        <f>Rollover!C47</f>
        <v>2021</v>
      </c>
      <c r="E47" s="20">
        <f>Front!AW47</f>
        <v>5</v>
      </c>
      <c r="F47" s="42">
        <f>Front!AX47</f>
        <v>4</v>
      </c>
      <c r="G47" s="45">
        <f>Front!AY47</f>
        <v>5</v>
      </c>
      <c r="H47" s="20">
        <f>'Side MDB'!AC47</f>
        <v>5</v>
      </c>
      <c r="I47" s="44">
        <f>'Side MDB'!AD47</f>
        <v>5</v>
      </c>
      <c r="J47" s="21">
        <f>'Side MDB'!AE47</f>
        <v>5</v>
      </c>
      <c r="K47" s="162">
        <f>'Side Pole'!P47</f>
        <v>5</v>
      </c>
      <c r="L47" s="162">
        <f>'Side Pole'!S47</f>
        <v>5</v>
      </c>
      <c r="M47" s="163">
        <f>'Side Pole'!V47</f>
        <v>5</v>
      </c>
      <c r="N47" s="159">
        <f>Rollover!J47</f>
        <v>4</v>
      </c>
      <c r="O47" s="160">
        <f>ROUND(5/12*Front!AV47+4/12*'Side Pole'!U47+3/12*Rollover!I47,2)</f>
        <v>0.61</v>
      </c>
      <c r="P47" s="45">
        <f t="shared" si="2"/>
        <v>5</v>
      </c>
    </row>
    <row r="48" spans="1:16" ht="14.85" customHeight="1">
      <c r="A48" s="164">
        <v>44187</v>
      </c>
      <c r="B48" s="8" t="str">
        <f>Rollover!A48</f>
        <v>Subaru</v>
      </c>
      <c r="C48" s="8" t="str">
        <f>Rollover!B48</f>
        <v>Legacy 4DR AWD</v>
      </c>
      <c r="D48" s="109">
        <f>Rollover!C48</f>
        <v>2021</v>
      </c>
      <c r="E48" s="20">
        <f>Front!AW48</f>
        <v>5</v>
      </c>
      <c r="F48" s="42">
        <f>Front!AX48</f>
        <v>4</v>
      </c>
      <c r="G48" s="45">
        <f>Front!AY48</f>
        <v>5</v>
      </c>
      <c r="H48" s="20">
        <f>'Side MDB'!AC48</f>
        <v>5</v>
      </c>
      <c r="I48" s="44">
        <f>'Side MDB'!AD48</f>
        <v>5</v>
      </c>
      <c r="J48" s="21">
        <f>'Side MDB'!AE48</f>
        <v>5</v>
      </c>
      <c r="K48" s="162">
        <f>'Side Pole'!P48</f>
        <v>5</v>
      </c>
      <c r="L48" s="162">
        <f>'Side Pole'!S48</f>
        <v>5</v>
      </c>
      <c r="M48" s="163">
        <f>'Side Pole'!V48</f>
        <v>5</v>
      </c>
      <c r="N48" s="159">
        <f>Rollover!J48</f>
        <v>5</v>
      </c>
      <c r="O48" s="160">
        <f>ROUND(5/12*Front!AV48+4/12*'Side Pole'!U48+3/12*Rollover!I48,2)</f>
        <v>0.49</v>
      </c>
      <c r="P48" s="45">
        <f t="shared" si="2"/>
        <v>5</v>
      </c>
    </row>
    <row r="49" spans="1:16" ht="14.85" customHeight="1">
      <c r="A49" s="164">
        <v>44180</v>
      </c>
      <c r="B49" s="42" t="str">
        <f>Rollover!A49</f>
        <v>Toyota</v>
      </c>
      <c r="C49" s="42" t="str">
        <f>Rollover!B49</f>
        <v>Corolla 4DR FWD</v>
      </c>
      <c r="D49" s="109">
        <f>Rollover!C49</f>
        <v>2021</v>
      </c>
      <c r="E49" s="20">
        <f>Front!AW49</f>
        <v>5</v>
      </c>
      <c r="F49" s="42">
        <f>Front!AX49</f>
        <v>5</v>
      </c>
      <c r="G49" s="45">
        <f>Front!AY49</f>
        <v>5</v>
      </c>
      <c r="H49" s="20">
        <f>'Side MDB'!AC49</f>
        <v>5</v>
      </c>
      <c r="I49" s="44">
        <f>'Side MDB'!AD49</f>
        <v>5</v>
      </c>
      <c r="J49" s="21">
        <f>'Side MDB'!AE49</f>
        <v>5</v>
      </c>
      <c r="K49" s="162">
        <f>'Side Pole'!P49</f>
        <v>5</v>
      </c>
      <c r="L49" s="162">
        <f>'Side Pole'!S49</f>
        <v>5</v>
      </c>
      <c r="M49" s="163">
        <f>'Side Pole'!V49</f>
        <v>5</v>
      </c>
      <c r="N49" s="159">
        <f>Rollover!J49</f>
        <v>4</v>
      </c>
      <c r="O49" s="160">
        <f>ROUND(5/12*Front!AV49+4/12*'Side Pole'!U49+3/12*Rollover!I49,2)</f>
        <v>0.49</v>
      </c>
      <c r="P49" s="45">
        <f t="shared" ref="P49:P50" si="6">IF(O49&lt;0.67,5,IF(O49&lt;1,4,IF(O49&lt;1.33,3,IF(O49&lt;2.67,2,1))))</f>
        <v>5</v>
      </c>
    </row>
    <row r="50" spans="1:16" ht="14.85" customHeight="1">
      <c r="A50" s="164">
        <v>44180</v>
      </c>
      <c r="B50" s="8" t="str">
        <f>Rollover!A50</f>
        <v>Toyota</v>
      </c>
      <c r="C50" s="8" t="str">
        <f>Rollover!B50</f>
        <v>Corolla Hybrid 4DR FWD</v>
      </c>
      <c r="D50" s="109">
        <f>Rollover!C50</f>
        <v>2021</v>
      </c>
      <c r="E50" s="20">
        <f>Front!AW50</f>
        <v>5</v>
      </c>
      <c r="F50" s="42">
        <f>Front!AX50</f>
        <v>5</v>
      </c>
      <c r="G50" s="45">
        <f>Front!AY50</f>
        <v>5</v>
      </c>
      <c r="H50" s="20">
        <f>'Side MDB'!AC50</f>
        <v>5</v>
      </c>
      <c r="I50" s="44">
        <f>'Side MDB'!AD50</f>
        <v>5</v>
      </c>
      <c r="J50" s="21">
        <f>'Side MDB'!AE50</f>
        <v>5</v>
      </c>
      <c r="K50" s="162">
        <f>'Side Pole'!P50</f>
        <v>5</v>
      </c>
      <c r="L50" s="162">
        <f>'Side Pole'!S50</f>
        <v>5</v>
      </c>
      <c r="M50" s="163">
        <f>'Side Pole'!V50</f>
        <v>5</v>
      </c>
      <c r="N50" s="159">
        <f>Rollover!J50</f>
        <v>4</v>
      </c>
      <c r="O50" s="160">
        <f>ROUND(5/12*Front!AV50+4/12*'Side Pole'!U50+3/12*Rollover!I50,2)</f>
        <v>0.49</v>
      </c>
      <c r="P50" s="45">
        <f t="shared" si="6"/>
        <v>5</v>
      </c>
    </row>
    <row r="51" spans="1:16" ht="14.85" customHeight="1">
      <c r="A51" s="164">
        <v>44180</v>
      </c>
      <c r="B51" s="8" t="str">
        <f>Rollover!A51</f>
        <v>Toyota</v>
      </c>
      <c r="C51" s="8" t="str">
        <f>Rollover!B51</f>
        <v>Corolla Hatchback 5HB FWD</v>
      </c>
      <c r="D51" s="109">
        <f>Rollover!C51</f>
        <v>2021</v>
      </c>
      <c r="E51" s="20">
        <f>Front!AW51</f>
        <v>5</v>
      </c>
      <c r="F51" s="42">
        <f>Front!AX51</f>
        <v>5</v>
      </c>
      <c r="G51" s="45">
        <f>Front!AY51</f>
        <v>5</v>
      </c>
      <c r="H51" s="20">
        <f>'Side MDB'!AC51</f>
        <v>5</v>
      </c>
      <c r="I51" s="44">
        <f>'Side MDB'!AD51</f>
        <v>5</v>
      </c>
      <c r="J51" s="21">
        <f>'Side MDB'!AE51</f>
        <v>5</v>
      </c>
      <c r="K51" s="162">
        <f>'Side Pole'!P51</f>
        <v>5</v>
      </c>
      <c r="L51" s="162">
        <f>'Side Pole'!S51</f>
        <v>5</v>
      </c>
      <c r="M51" s="163">
        <f>'Side Pole'!V51</f>
        <v>5</v>
      </c>
      <c r="N51" s="159">
        <f>Rollover!J51</f>
        <v>4</v>
      </c>
      <c r="O51" s="160">
        <f>ROUND(5/12*Front!AV51+4/12*'Side Pole'!U51+3/12*Rollover!I51,2)</f>
        <v>0.49</v>
      </c>
      <c r="P51" s="45">
        <f t="shared" si="2"/>
        <v>5</v>
      </c>
    </row>
    <row r="52" spans="1:16" ht="14.85" customHeight="1">
      <c r="B52" s="165"/>
      <c r="K52" s="168"/>
      <c r="L52" s="168"/>
      <c r="M52" s="168"/>
    </row>
    <row r="53" spans="1:16" ht="14.85" customHeight="1">
      <c r="B53" s="165"/>
    </row>
    <row r="54" spans="1:16" ht="14.85" customHeight="1">
      <c r="B54" s="165"/>
    </row>
    <row r="55" spans="1:16" ht="14.85" customHeight="1">
      <c r="B55" s="165"/>
    </row>
    <row r="56" spans="1:16" ht="14.85" customHeight="1">
      <c r="B56" s="165"/>
      <c r="C56" s="165"/>
      <c r="D56" s="165"/>
    </row>
    <row r="57" spans="1:16" ht="14.85" customHeight="1">
      <c r="B57" s="165"/>
      <c r="C57" s="165"/>
      <c r="D57" s="165"/>
    </row>
    <row r="58" spans="1:16" ht="14.85" customHeight="1">
      <c r="B58" s="165"/>
      <c r="C58" s="165"/>
      <c r="D58" s="165"/>
    </row>
    <row r="59" spans="1:16" ht="14.85" customHeight="1">
      <c r="B59" s="165"/>
      <c r="C59" s="165"/>
      <c r="D59" s="165"/>
    </row>
    <row r="60" spans="1:16" ht="14.85" customHeight="1">
      <c r="B60" s="165"/>
      <c r="C60" s="165"/>
      <c r="D60" s="165"/>
    </row>
    <row r="61" spans="1:16" ht="14.85" customHeight="1">
      <c r="B61" s="165"/>
      <c r="C61" s="165"/>
      <c r="D61" s="165"/>
    </row>
    <row r="62" spans="1:16" ht="14.85" customHeight="1">
      <c r="B62" s="165"/>
      <c r="C62" s="165"/>
      <c r="D62" s="165"/>
    </row>
    <row r="65" spans="2:10" ht="14.85" customHeight="1">
      <c r="B65" s="170"/>
      <c r="C65" s="170"/>
      <c r="D65" s="170"/>
      <c r="E65" s="171"/>
      <c r="F65" s="165"/>
    </row>
    <row r="66" spans="2:10" ht="14.85" customHeight="1">
      <c r="B66" s="170"/>
      <c r="C66" s="170"/>
      <c r="D66" s="170"/>
      <c r="E66" s="171"/>
      <c r="F66" s="165"/>
    </row>
    <row r="67" spans="2:10" ht="14.85" customHeight="1">
      <c r="B67" s="170"/>
      <c r="C67" s="170"/>
      <c r="D67" s="170"/>
      <c r="E67" s="171"/>
      <c r="F67" s="165"/>
    </row>
    <row r="68" spans="2:10" ht="14.85" customHeight="1">
      <c r="B68" s="170"/>
      <c r="C68" s="170"/>
      <c r="D68" s="170"/>
      <c r="E68" s="171"/>
      <c r="F68" s="165"/>
    </row>
    <row r="69" spans="2:10" ht="14.85" customHeight="1">
      <c r="B69" s="170"/>
      <c r="C69" s="170"/>
      <c r="D69" s="170"/>
      <c r="E69" s="171"/>
      <c r="F69" s="165"/>
    </row>
    <row r="70" spans="2:10" ht="14.85" customHeight="1">
      <c r="B70" s="170"/>
      <c r="C70" s="170"/>
      <c r="D70" s="170"/>
      <c r="E70" s="171"/>
      <c r="F70" s="165"/>
    </row>
    <row r="71" spans="2:10" ht="14.85" customHeight="1">
      <c r="B71" s="170"/>
      <c r="C71" s="170"/>
      <c r="D71" s="170"/>
      <c r="E71" s="171"/>
      <c r="F71" s="165"/>
    </row>
    <row r="72" spans="2:10" ht="14.85" customHeight="1">
      <c r="B72" s="170"/>
      <c r="C72" s="170"/>
      <c r="D72" s="170"/>
      <c r="E72" s="171"/>
      <c r="F72" s="165"/>
    </row>
    <row r="73" spans="2:10" ht="14.85" customHeight="1">
      <c r="B73" s="170"/>
      <c r="C73" s="170"/>
      <c r="D73" s="170"/>
      <c r="E73" s="171"/>
      <c r="F73" s="165"/>
    </row>
    <row r="74" spans="2:10" ht="14.85" customHeight="1">
      <c r="B74" s="170"/>
      <c r="C74" s="170"/>
      <c r="D74" s="170"/>
      <c r="E74" s="171"/>
      <c r="F74" s="165"/>
    </row>
    <row r="75" spans="2:10" ht="14.85" customHeight="1">
      <c r="E75" s="171"/>
      <c r="F75" s="165"/>
    </row>
    <row r="76" spans="2:10" ht="14.85" customHeight="1">
      <c r="E76" s="171"/>
      <c r="F76" s="165"/>
    </row>
    <row r="77" spans="2:10" ht="14.85" customHeight="1">
      <c r="B77" s="170"/>
      <c r="C77" s="170"/>
      <c r="D77" s="170"/>
      <c r="E77" s="171"/>
      <c r="F77" s="165"/>
    </row>
    <row r="78" spans="2:10" ht="14.85" customHeight="1">
      <c r="B78" s="170"/>
      <c r="C78" s="170"/>
      <c r="D78" s="170"/>
      <c r="E78" s="171"/>
      <c r="F78" s="165"/>
    </row>
    <row r="79" spans="2:10" ht="14.85" customHeight="1">
      <c r="B79" s="170"/>
      <c r="C79" s="170"/>
      <c r="D79" s="170"/>
      <c r="E79" s="171"/>
      <c r="F79" s="165"/>
    </row>
    <row r="80" spans="2:10" ht="14.85" customHeight="1">
      <c r="B80" s="170"/>
      <c r="C80" s="170"/>
      <c r="D80" s="170"/>
      <c r="E80" s="171"/>
      <c r="F80" s="165"/>
      <c r="H80" s="172"/>
      <c r="I80" s="172"/>
      <c r="J80" s="172"/>
    </row>
    <row r="81" spans="2:10" ht="14.85" customHeight="1">
      <c r="B81" s="170"/>
      <c r="C81" s="170"/>
      <c r="D81" s="170"/>
      <c r="H81" s="172"/>
      <c r="I81" s="172"/>
      <c r="J81" s="172"/>
    </row>
    <row r="82" spans="2:10" ht="14.85" customHeight="1">
      <c r="B82" s="170"/>
      <c r="C82" s="170"/>
      <c r="D82" s="170"/>
      <c r="H82" s="172"/>
      <c r="I82" s="172"/>
      <c r="J82" s="172"/>
    </row>
    <row r="83" spans="2:10" ht="14.85" customHeight="1">
      <c r="B83" s="173"/>
      <c r="C83" s="173"/>
      <c r="D83" s="173"/>
      <c r="E83" s="174"/>
      <c r="H83" s="172"/>
      <c r="I83" s="172"/>
      <c r="J83" s="172"/>
    </row>
    <row r="84" spans="2:10" ht="14.85" customHeight="1">
      <c r="B84" s="165"/>
      <c r="C84" s="165"/>
      <c r="D84" s="165"/>
      <c r="H84" s="172"/>
      <c r="I84" s="172"/>
      <c r="J84" s="172"/>
    </row>
    <row r="85" spans="2:10" ht="14.85" customHeight="1">
      <c r="B85" s="170"/>
      <c r="C85" s="170"/>
      <c r="D85" s="170"/>
      <c r="H85" s="172"/>
      <c r="I85" s="172"/>
      <c r="J85" s="172"/>
    </row>
    <row r="86" spans="2:10" ht="14.85" customHeight="1">
      <c r="B86" s="170"/>
      <c r="C86" s="170"/>
      <c r="D86" s="170"/>
      <c r="H86" s="172"/>
      <c r="I86" s="172"/>
      <c r="J86" s="172"/>
    </row>
    <row r="87" spans="2:10" ht="14.85" customHeight="1">
      <c r="B87" s="170"/>
      <c r="C87" s="170"/>
      <c r="D87" s="170"/>
      <c r="H87" s="172"/>
      <c r="I87" s="172"/>
      <c r="J87" s="172"/>
    </row>
    <row r="88" spans="2:10" ht="14.85" customHeight="1">
      <c r="B88" s="170"/>
      <c r="C88" s="170"/>
      <c r="D88" s="170"/>
      <c r="H88" s="172"/>
      <c r="I88" s="172"/>
      <c r="J88" s="172"/>
    </row>
    <row r="89" spans="2:10" ht="14.85" customHeight="1">
      <c r="B89" s="165"/>
      <c r="C89" s="165"/>
      <c r="D89" s="165"/>
      <c r="H89" s="172"/>
      <c r="I89" s="172"/>
      <c r="J89" s="172"/>
    </row>
    <row r="90" spans="2:10" ht="14.85" customHeight="1">
      <c r="H90" s="172"/>
      <c r="I90" s="172"/>
      <c r="J90" s="172"/>
    </row>
    <row r="91" spans="2:10" ht="14.85" customHeight="1">
      <c r="H91" s="172"/>
      <c r="I91" s="172"/>
      <c r="J91" s="172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2021-03-03T19:18:13Z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