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Rulemaking\NCAPDATA\Web Database and media files\2021 web and docket data\"/>
    </mc:Choice>
  </mc:AlternateContent>
  <bookViews>
    <workbookView xWindow="8985" yWindow="765" windowWidth="11565" windowHeight="6945" tabRatio="516" activeTab="4"/>
  </bookViews>
  <sheets>
    <sheet name="Rollover" sheetId="24" r:id="rId1"/>
    <sheet name="Front" sheetId="21" r:id="rId2"/>
    <sheet name="Side MDB" sheetId="22" r:id="rId3"/>
    <sheet name="Side Pole" sheetId="29" r:id="rId4"/>
    <sheet name="Comb VSS+Overall Ratings" sheetId="31" r:id="rId5"/>
  </sheets>
  <externalReferences>
    <externalReference r:id="rId6"/>
  </externalReferences>
  <definedNames>
    <definedName name="BodyType">'[1]Source Sheet'!$C$2:$C$14</definedName>
    <definedName name="_xlnm.Print_Area" localSheetId="4">'Comb VSS+Overall Ratings'!$B$1:$P$2</definedName>
    <definedName name="_xlnm.Print_Area" localSheetId="1">Front!$A$2:$V$2</definedName>
    <definedName name="_xlnm.Print_Area" localSheetId="2">'Side MDB'!$A$2:$P$2</definedName>
    <definedName name="_xlnm.Print_Area" localSheetId="3">'Side Pole'!$A$2:$K$2</definedName>
    <definedName name="_xlnm.Print_Titles" localSheetId="4">'Comb VSS+Overall Ratings'!$B:$C,'Comb VSS+Overall Ratings'!$1:$2</definedName>
    <definedName name="_xlnm.Print_Titles" localSheetId="1">Front!$A:$D,Front!$2:$2</definedName>
    <definedName name="_xlnm.Print_Titles" localSheetId="0">Rollover!$2:$2</definedName>
    <definedName name="_xlnm.Print_Titles" localSheetId="2">'Side MDB'!$A:$D,'Side MDB'!$2:$2</definedName>
    <definedName name="_xlnm.Print_Titles" localSheetId="3">'Side Pole'!$A:$D,'Side Pole'!$2:$2</definedName>
  </definedNames>
  <calcPr calcId="171027"/>
</workbook>
</file>

<file path=xl/calcChain.xml><?xml version="1.0" encoding="utf-8"?>
<calcChain xmlns="http://schemas.openxmlformats.org/spreadsheetml/2006/main">
  <c r="B12" i="31" l="1"/>
  <c r="C12" i="31"/>
  <c r="D12" i="31"/>
  <c r="B13" i="31"/>
  <c r="C13" i="31"/>
  <c r="D13" i="31"/>
  <c r="B14" i="31"/>
  <c r="C14" i="31"/>
  <c r="D14" i="31"/>
  <c r="B15" i="31"/>
  <c r="C15" i="31"/>
  <c r="D15" i="31"/>
  <c r="F11" i="21" l="1"/>
  <c r="F10" i="21"/>
  <c r="D21" i="31" l="1"/>
  <c r="C21" i="31"/>
  <c r="B21" i="31"/>
  <c r="D20" i="31"/>
  <c r="C20" i="31"/>
  <c r="B20" i="31"/>
  <c r="D19" i="31"/>
  <c r="C19" i="31"/>
  <c r="B19" i="31"/>
  <c r="M21" i="29"/>
  <c r="L21" i="29"/>
  <c r="F21" i="29"/>
  <c r="D21" i="29"/>
  <c r="C21" i="29"/>
  <c r="M20" i="29"/>
  <c r="L20" i="29"/>
  <c r="F20" i="29"/>
  <c r="D20" i="29"/>
  <c r="C20" i="29"/>
  <c r="M19" i="29"/>
  <c r="L19" i="29"/>
  <c r="F19" i="29"/>
  <c r="D19" i="29"/>
  <c r="C19" i="29"/>
  <c r="V21" i="22"/>
  <c r="U21" i="22"/>
  <c r="T21" i="22"/>
  <c r="S21" i="22"/>
  <c r="R21" i="22"/>
  <c r="Q21" i="22"/>
  <c r="F21" i="22"/>
  <c r="D21" i="22"/>
  <c r="C21" i="22"/>
  <c r="V20" i="22"/>
  <c r="U20" i="22"/>
  <c r="T20" i="22"/>
  <c r="S20" i="22"/>
  <c r="R20" i="22"/>
  <c r="Q20" i="22"/>
  <c r="F20" i="22"/>
  <c r="D20" i="22"/>
  <c r="C20" i="22"/>
  <c r="V19" i="22"/>
  <c r="U19" i="22"/>
  <c r="T19" i="22"/>
  <c r="S19" i="22"/>
  <c r="R19" i="22"/>
  <c r="Q19" i="22"/>
  <c r="F19" i="22"/>
  <c r="D19" i="22"/>
  <c r="C19" i="22"/>
  <c r="AO21" i="21"/>
  <c r="AN21" i="21"/>
  <c r="AL21" i="21"/>
  <c r="AM21" i="21" s="1"/>
  <c r="AJ21" i="21"/>
  <c r="AI21" i="21"/>
  <c r="AH21" i="21"/>
  <c r="AG21" i="21"/>
  <c r="AE21" i="21"/>
  <c r="AD21" i="21"/>
  <c r="AB21" i="21"/>
  <c r="AC21" i="21" s="1"/>
  <c r="Z21" i="21"/>
  <c r="Y21" i="21"/>
  <c r="X21" i="21"/>
  <c r="W21" i="21"/>
  <c r="F21" i="21"/>
  <c r="D21" i="21"/>
  <c r="C21" i="21"/>
  <c r="AO20" i="21"/>
  <c r="AN20" i="21"/>
  <c r="AL20" i="21"/>
  <c r="AM20" i="21" s="1"/>
  <c r="AJ20" i="21"/>
  <c r="AI20" i="21"/>
  <c r="AH20" i="21"/>
  <c r="AG20" i="21"/>
  <c r="AE20" i="21"/>
  <c r="AD20" i="21"/>
  <c r="AB20" i="21"/>
  <c r="AC20" i="21" s="1"/>
  <c r="Z20" i="21"/>
  <c r="Y20" i="21"/>
  <c r="X20" i="21"/>
  <c r="W20" i="21"/>
  <c r="F20" i="21"/>
  <c r="D20" i="21"/>
  <c r="C20" i="21"/>
  <c r="AO19" i="21"/>
  <c r="AN19" i="21"/>
  <c r="AL19" i="21"/>
  <c r="AM19" i="21" s="1"/>
  <c r="AJ19" i="21"/>
  <c r="AI19" i="21"/>
  <c r="AH19" i="21"/>
  <c r="AG19" i="21"/>
  <c r="AE19" i="21"/>
  <c r="AD19" i="21"/>
  <c r="AB19" i="21"/>
  <c r="AC19" i="21" s="1"/>
  <c r="Z19" i="21"/>
  <c r="Y19" i="21"/>
  <c r="X19" i="21"/>
  <c r="W19" i="21"/>
  <c r="F19" i="21"/>
  <c r="D19" i="21"/>
  <c r="C19" i="21"/>
  <c r="G21" i="24"/>
  <c r="H21" i="24" s="1"/>
  <c r="I21" i="24" s="1"/>
  <c r="J21" i="24" s="1"/>
  <c r="N21" i="31" s="1"/>
  <c r="G20" i="24"/>
  <c r="H20" i="24" s="1"/>
  <c r="I20" i="24" s="1"/>
  <c r="J20" i="24" s="1"/>
  <c r="N20" i="31" s="1"/>
  <c r="G19" i="24"/>
  <c r="H19" i="24" s="1"/>
  <c r="I19" i="24" s="1"/>
  <c r="J19" i="24" s="1"/>
  <c r="N19" i="31" s="1"/>
  <c r="X20" i="22" l="1"/>
  <c r="AA20" i="22" s="1"/>
  <c r="AD20" i="22" s="1"/>
  <c r="I20" i="31" s="1"/>
  <c r="X21" i="22"/>
  <c r="AA21" i="22" s="1"/>
  <c r="AD21" i="22" s="1"/>
  <c r="I21" i="31" s="1"/>
  <c r="N19" i="29"/>
  <c r="O19" i="29" s="1"/>
  <c r="P19" i="29" s="1"/>
  <c r="K19" i="31" s="1"/>
  <c r="AA21" i="21"/>
  <c r="AP19" i="21"/>
  <c r="AK20" i="21"/>
  <c r="N21" i="29"/>
  <c r="O21" i="29" s="1"/>
  <c r="P21" i="29" s="1"/>
  <c r="K21" i="31" s="1"/>
  <c r="W19" i="22"/>
  <c r="Z19" i="22" s="1"/>
  <c r="AC19" i="22" s="1"/>
  <c r="H19" i="31" s="1"/>
  <c r="W20" i="22"/>
  <c r="Z20" i="22" s="1"/>
  <c r="AC20" i="22" s="1"/>
  <c r="H20" i="31" s="1"/>
  <c r="N20" i="29"/>
  <c r="O20" i="29" s="1"/>
  <c r="P20" i="29" s="1"/>
  <c r="K20" i="31" s="1"/>
  <c r="AF21" i="21"/>
  <c r="X19" i="22"/>
  <c r="AA19" i="22" s="1"/>
  <c r="AD19" i="22" s="1"/>
  <c r="I19" i="31" s="1"/>
  <c r="W21" i="22"/>
  <c r="Y21" i="22" s="1"/>
  <c r="AB21" i="22" s="1"/>
  <c r="AE21" i="22" s="1"/>
  <c r="J21" i="31" s="1"/>
  <c r="AK21" i="21"/>
  <c r="AA19" i="21"/>
  <c r="AF19" i="21"/>
  <c r="AP20" i="21"/>
  <c r="AK19" i="21"/>
  <c r="AA20" i="21"/>
  <c r="AF20" i="21"/>
  <c r="AP21" i="21"/>
  <c r="C3" i="22"/>
  <c r="D3" i="22"/>
  <c r="F3" i="22"/>
  <c r="C4" i="22"/>
  <c r="D4" i="22"/>
  <c r="F4" i="22"/>
  <c r="Y20" i="22" l="1"/>
  <c r="AB20" i="22" s="1"/>
  <c r="AE20" i="22" s="1"/>
  <c r="J20" i="31" s="1"/>
  <c r="AQ21" i="21"/>
  <c r="AT21" i="21" s="1"/>
  <c r="AW21" i="21" s="1"/>
  <c r="E21" i="31" s="1"/>
  <c r="AR20" i="21"/>
  <c r="AU20" i="21" s="1"/>
  <c r="AX20" i="21" s="1"/>
  <c r="F20" i="31" s="1"/>
  <c r="T20" i="29"/>
  <c r="U20" i="29" s="1"/>
  <c r="V20" i="29" s="1"/>
  <c r="M20" i="31" s="1"/>
  <c r="Q19" i="29"/>
  <c r="R19" i="29" s="1"/>
  <c r="S19" i="29" s="1"/>
  <c r="L19" i="31" s="1"/>
  <c r="Q20" i="29"/>
  <c r="R20" i="29" s="1"/>
  <c r="S20" i="29" s="1"/>
  <c r="L20" i="31" s="1"/>
  <c r="Y19" i="22"/>
  <c r="AB19" i="22" s="1"/>
  <c r="AE19" i="22" s="1"/>
  <c r="J19" i="31" s="1"/>
  <c r="T19" i="29"/>
  <c r="U19" i="29" s="1"/>
  <c r="V19" i="29" s="1"/>
  <c r="M19" i="31" s="1"/>
  <c r="T21" i="29"/>
  <c r="U21" i="29" s="1"/>
  <c r="V21" i="29" s="1"/>
  <c r="M21" i="31" s="1"/>
  <c r="AR19" i="21"/>
  <c r="AU19" i="21" s="1"/>
  <c r="AX19" i="21" s="1"/>
  <c r="F19" i="31" s="1"/>
  <c r="Q21" i="29"/>
  <c r="R21" i="29" s="1"/>
  <c r="S21" i="29" s="1"/>
  <c r="L21" i="31" s="1"/>
  <c r="AQ20" i="21"/>
  <c r="AT20" i="21" s="1"/>
  <c r="AW20" i="21" s="1"/>
  <c r="E20" i="31" s="1"/>
  <c r="Z21" i="22"/>
  <c r="AC21" i="22" s="1"/>
  <c r="H21" i="31" s="1"/>
  <c r="AQ19" i="21"/>
  <c r="AT19" i="21" s="1"/>
  <c r="AW19" i="21" s="1"/>
  <c r="E19" i="31" s="1"/>
  <c r="AR21" i="21"/>
  <c r="D16" i="29"/>
  <c r="AS20" i="21" l="1"/>
  <c r="AV20" i="21" s="1"/>
  <c r="AY20" i="21" s="1"/>
  <c r="G20" i="31" s="1"/>
  <c r="AS19" i="21"/>
  <c r="AV19" i="21" s="1"/>
  <c r="AY19" i="21" s="1"/>
  <c r="G19" i="31" s="1"/>
  <c r="AS21" i="21"/>
  <c r="AV21" i="21" s="1"/>
  <c r="AU21" i="21"/>
  <c r="AX21" i="21" s="1"/>
  <c r="F21" i="31" s="1"/>
  <c r="G3" i="24"/>
  <c r="H3" i="24" s="1"/>
  <c r="I3" i="24" s="1"/>
  <c r="J3" i="24" s="1"/>
  <c r="N3" i="31" s="1"/>
  <c r="G4" i="24"/>
  <c r="H4" i="24" s="1"/>
  <c r="I4" i="24" s="1"/>
  <c r="J4" i="24" s="1"/>
  <c r="N4" i="31" s="1"/>
  <c r="G5" i="24"/>
  <c r="H5" i="24" s="1"/>
  <c r="I5" i="24" s="1"/>
  <c r="J5" i="24" s="1"/>
  <c r="N5" i="31" s="1"/>
  <c r="G6" i="24"/>
  <c r="H6" i="24" s="1"/>
  <c r="I6" i="24" s="1"/>
  <c r="J6" i="24" s="1"/>
  <c r="N6" i="31" s="1"/>
  <c r="B3" i="31"/>
  <c r="C3" i="31"/>
  <c r="D3" i="31"/>
  <c r="B4" i="31"/>
  <c r="C4" i="31"/>
  <c r="D4" i="31"/>
  <c r="B5" i="31"/>
  <c r="C5" i="31"/>
  <c r="D5" i="31"/>
  <c r="B6" i="31"/>
  <c r="C6" i="31"/>
  <c r="D6" i="31"/>
  <c r="C3" i="29"/>
  <c r="D3" i="29"/>
  <c r="F3" i="29"/>
  <c r="L3" i="29"/>
  <c r="M3" i="29"/>
  <c r="C4" i="29"/>
  <c r="D4" i="29"/>
  <c r="F4" i="29"/>
  <c r="L4" i="29"/>
  <c r="M4" i="29"/>
  <c r="C5" i="29"/>
  <c r="D5" i="29"/>
  <c r="F5" i="29"/>
  <c r="L5" i="29"/>
  <c r="M5" i="29"/>
  <c r="C6" i="29"/>
  <c r="D6" i="29"/>
  <c r="F6" i="29"/>
  <c r="L6" i="29"/>
  <c r="M6" i="29"/>
  <c r="Q3" i="22"/>
  <c r="R3" i="22"/>
  <c r="S3" i="22"/>
  <c r="T3" i="22"/>
  <c r="U3" i="22"/>
  <c r="V3" i="22"/>
  <c r="Q4" i="22"/>
  <c r="R4" i="22"/>
  <c r="S4" i="22"/>
  <c r="T4" i="22"/>
  <c r="U4" i="22"/>
  <c r="V4" i="22"/>
  <c r="C5" i="22"/>
  <c r="D5" i="22"/>
  <c r="F5" i="22"/>
  <c r="Q5" i="22"/>
  <c r="R5" i="22"/>
  <c r="S5" i="22"/>
  <c r="T5" i="22"/>
  <c r="U5" i="22"/>
  <c r="V5" i="22"/>
  <c r="C6" i="22"/>
  <c r="D6" i="22"/>
  <c r="F6" i="22"/>
  <c r="Q6" i="22"/>
  <c r="R6" i="22"/>
  <c r="S6" i="22"/>
  <c r="T6" i="22"/>
  <c r="U6" i="22"/>
  <c r="V6" i="22"/>
  <c r="C3" i="21"/>
  <c r="D3" i="21"/>
  <c r="F3" i="21"/>
  <c r="W3" i="21"/>
  <c r="X3" i="21"/>
  <c r="Y3" i="21"/>
  <c r="Z3" i="21"/>
  <c r="AB3" i="21"/>
  <c r="AC3" i="21" s="1"/>
  <c r="AD3" i="21"/>
  <c r="AE3" i="21"/>
  <c r="AG3" i="21"/>
  <c r="AH3" i="21"/>
  <c r="AI3" i="21"/>
  <c r="AJ3" i="21"/>
  <c r="AL3" i="21"/>
  <c r="AM3" i="21" s="1"/>
  <c r="AN3" i="21"/>
  <c r="AO3" i="21"/>
  <c r="C4" i="21"/>
  <c r="D4" i="21"/>
  <c r="F4" i="21"/>
  <c r="W4" i="21"/>
  <c r="X4" i="21"/>
  <c r="Y4" i="21"/>
  <c r="Z4" i="21"/>
  <c r="AB4" i="21"/>
  <c r="AC4" i="21" s="1"/>
  <c r="AD4" i="21"/>
  <c r="AE4" i="21"/>
  <c r="AG4" i="21"/>
  <c r="AH4" i="21"/>
  <c r="AI4" i="21"/>
  <c r="AJ4" i="21"/>
  <c r="AL4" i="21"/>
  <c r="AM4" i="21" s="1"/>
  <c r="AN4" i="21"/>
  <c r="AO4" i="21"/>
  <c r="C5" i="21"/>
  <c r="D5" i="21"/>
  <c r="F5" i="21"/>
  <c r="W5" i="21"/>
  <c r="X5" i="21"/>
  <c r="Y5" i="21"/>
  <c r="Z5" i="21"/>
  <c r="AB5" i="21"/>
  <c r="AC5" i="21" s="1"/>
  <c r="AD5" i="21"/>
  <c r="AE5" i="21"/>
  <c r="AG5" i="21"/>
  <c r="AH5" i="21"/>
  <c r="AI5" i="21"/>
  <c r="AJ5" i="21"/>
  <c r="AL5" i="21"/>
  <c r="AM5" i="21" s="1"/>
  <c r="AN5" i="21"/>
  <c r="AO5" i="21"/>
  <c r="C6" i="21"/>
  <c r="D6" i="21"/>
  <c r="F6" i="21"/>
  <c r="W6" i="21"/>
  <c r="X6" i="21"/>
  <c r="Y6" i="21"/>
  <c r="Z6" i="21"/>
  <c r="AB6" i="21"/>
  <c r="AC6" i="21" s="1"/>
  <c r="AD6" i="21"/>
  <c r="AE6" i="21"/>
  <c r="AG6" i="21"/>
  <c r="AH6" i="21"/>
  <c r="AI6" i="21"/>
  <c r="AJ6" i="21"/>
  <c r="AL6" i="21"/>
  <c r="AM6" i="21" s="1"/>
  <c r="AN6" i="21"/>
  <c r="AO6" i="21"/>
  <c r="G7" i="24"/>
  <c r="H7" i="24" s="1"/>
  <c r="I7" i="24" s="1"/>
  <c r="J7" i="24" s="1"/>
  <c r="N7" i="31" s="1"/>
  <c r="B7" i="31"/>
  <c r="C7" i="31"/>
  <c r="D7" i="31"/>
  <c r="C7" i="29"/>
  <c r="D7" i="29"/>
  <c r="F7" i="29"/>
  <c r="L7" i="29"/>
  <c r="M7" i="29"/>
  <c r="C7" i="22"/>
  <c r="D7" i="22"/>
  <c r="F7" i="22"/>
  <c r="Q7" i="22"/>
  <c r="R7" i="22"/>
  <c r="S7" i="22"/>
  <c r="T7" i="22"/>
  <c r="U7" i="22"/>
  <c r="V7" i="22"/>
  <c r="C7" i="21"/>
  <c r="D7" i="21"/>
  <c r="F7" i="21"/>
  <c r="W7" i="21"/>
  <c r="X7" i="21"/>
  <c r="Y7" i="21"/>
  <c r="Z7" i="21"/>
  <c r="AB7" i="21"/>
  <c r="AC7" i="21" s="1"/>
  <c r="AD7" i="21"/>
  <c r="AE7" i="21"/>
  <c r="AG7" i="21"/>
  <c r="AH7" i="21"/>
  <c r="AI7" i="21"/>
  <c r="AJ7" i="21"/>
  <c r="AL7" i="21"/>
  <c r="AM7" i="21" s="1"/>
  <c r="AN7" i="21"/>
  <c r="AO7" i="21"/>
  <c r="G9" i="24"/>
  <c r="H9" i="24" s="1"/>
  <c r="I9" i="24" s="1"/>
  <c r="J9" i="24" s="1"/>
  <c r="N9" i="31" s="1"/>
  <c r="B9" i="31"/>
  <c r="C9" i="31"/>
  <c r="D9" i="31"/>
  <c r="C9" i="29"/>
  <c r="D9" i="29"/>
  <c r="F9" i="29"/>
  <c r="L9" i="29"/>
  <c r="M9" i="29"/>
  <c r="C9" i="22"/>
  <c r="D9" i="22"/>
  <c r="F9" i="22"/>
  <c r="Q9" i="22"/>
  <c r="R9" i="22"/>
  <c r="S9" i="22"/>
  <c r="T9" i="22"/>
  <c r="U9" i="22"/>
  <c r="V9" i="22"/>
  <c r="C9" i="21"/>
  <c r="D9" i="21"/>
  <c r="F9" i="21"/>
  <c r="W9" i="21"/>
  <c r="X9" i="21"/>
  <c r="Y9" i="21"/>
  <c r="Z9" i="21"/>
  <c r="AB9" i="21"/>
  <c r="AC9" i="21" s="1"/>
  <c r="AD9" i="21"/>
  <c r="AE9" i="21"/>
  <c r="AG9" i="21"/>
  <c r="AH9" i="21"/>
  <c r="AI9" i="21"/>
  <c r="AJ9" i="21"/>
  <c r="AL9" i="21"/>
  <c r="AM9" i="21" s="1"/>
  <c r="AN9" i="21"/>
  <c r="AO9" i="21"/>
  <c r="G12" i="24"/>
  <c r="H12" i="24" s="1"/>
  <c r="I12" i="24" s="1"/>
  <c r="J12" i="24" s="1"/>
  <c r="N12" i="31" s="1"/>
  <c r="G13" i="24"/>
  <c r="H13" i="24" s="1"/>
  <c r="I13" i="24" s="1"/>
  <c r="J13" i="24" s="1"/>
  <c r="N13" i="31" s="1"/>
  <c r="G14" i="24"/>
  <c r="H14" i="24" s="1"/>
  <c r="I14" i="24" s="1"/>
  <c r="J14" i="24" s="1"/>
  <c r="N14" i="31" s="1"/>
  <c r="G15" i="24"/>
  <c r="H15" i="24" s="1"/>
  <c r="I15" i="24" s="1"/>
  <c r="J15" i="24" s="1"/>
  <c r="N15" i="31" s="1"/>
  <c r="G16" i="24"/>
  <c r="H16" i="24" s="1"/>
  <c r="I16" i="24" s="1"/>
  <c r="J16" i="24" s="1"/>
  <c r="N16" i="31" s="1"/>
  <c r="G17" i="24"/>
  <c r="H17" i="24" s="1"/>
  <c r="I17" i="24" s="1"/>
  <c r="J17" i="24" s="1"/>
  <c r="N17" i="31" s="1"/>
  <c r="G18" i="24"/>
  <c r="H18" i="24" s="1"/>
  <c r="I18" i="24" s="1"/>
  <c r="J18" i="24" s="1"/>
  <c r="N18" i="31" s="1"/>
  <c r="G22" i="24"/>
  <c r="H22" i="24" s="1"/>
  <c r="I22" i="24" s="1"/>
  <c r="J22" i="24" s="1"/>
  <c r="N22" i="31" s="1"/>
  <c r="G23" i="24"/>
  <c r="H23" i="24" s="1"/>
  <c r="I23" i="24" s="1"/>
  <c r="J23" i="24" s="1"/>
  <c r="N23" i="31" s="1"/>
  <c r="B16" i="31"/>
  <c r="C16" i="31"/>
  <c r="D16" i="31"/>
  <c r="B17" i="31"/>
  <c r="C17" i="31"/>
  <c r="D17" i="31"/>
  <c r="B18" i="31"/>
  <c r="C18" i="31"/>
  <c r="D18" i="31"/>
  <c r="B22" i="31"/>
  <c r="C22" i="31"/>
  <c r="D22" i="31"/>
  <c r="B23" i="31"/>
  <c r="C23" i="31"/>
  <c r="D23" i="31"/>
  <c r="C12" i="29"/>
  <c r="D12" i="29"/>
  <c r="F12" i="29"/>
  <c r="L12" i="29"/>
  <c r="M12" i="29"/>
  <c r="C13" i="29"/>
  <c r="D13" i="29"/>
  <c r="F13" i="29"/>
  <c r="L13" i="29"/>
  <c r="M13" i="29"/>
  <c r="C14" i="29"/>
  <c r="D14" i="29"/>
  <c r="F14" i="29"/>
  <c r="L14" i="29"/>
  <c r="M14" i="29"/>
  <c r="C15" i="29"/>
  <c r="D15" i="29"/>
  <c r="F15" i="29"/>
  <c r="L15" i="29"/>
  <c r="M15" i="29"/>
  <c r="C16" i="29"/>
  <c r="F16" i="29"/>
  <c r="L16" i="29"/>
  <c r="M16" i="29"/>
  <c r="C17" i="29"/>
  <c r="D17" i="29"/>
  <c r="F17" i="29"/>
  <c r="L17" i="29"/>
  <c r="M17" i="29"/>
  <c r="C18" i="29"/>
  <c r="D18" i="29"/>
  <c r="F18" i="29"/>
  <c r="L18" i="29"/>
  <c r="M18" i="29"/>
  <c r="C22" i="29"/>
  <c r="D22" i="29"/>
  <c r="F22" i="29"/>
  <c r="L22" i="29"/>
  <c r="M22" i="29"/>
  <c r="C23" i="29"/>
  <c r="D23" i="29"/>
  <c r="F23" i="29"/>
  <c r="L23" i="29"/>
  <c r="M23" i="29"/>
  <c r="C12" i="22"/>
  <c r="D12" i="22"/>
  <c r="F12" i="22"/>
  <c r="Q12" i="22"/>
  <c r="R12" i="22"/>
  <c r="S12" i="22"/>
  <c r="T12" i="22"/>
  <c r="U12" i="22"/>
  <c r="V12" i="22"/>
  <c r="C13" i="22"/>
  <c r="D13" i="22"/>
  <c r="F13" i="22"/>
  <c r="Q13" i="22"/>
  <c r="R13" i="22"/>
  <c r="S13" i="22"/>
  <c r="T13" i="22"/>
  <c r="U13" i="22"/>
  <c r="V13" i="22"/>
  <c r="C14" i="22"/>
  <c r="D14" i="22"/>
  <c r="F14" i="22"/>
  <c r="Q14" i="22"/>
  <c r="R14" i="22"/>
  <c r="S14" i="22"/>
  <c r="T14" i="22"/>
  <c r="U14" i="22"/>
  <c r="V14" i="22"/>
  <c r="C15" i="22"/>
  <c r="D15" i="22"/>
  <c r="F15" i="22"/>
  <c r="Q15" i="22"/>
  <c r="R15" i="22"/>
  <c r="S15" i="22"/>
  <c r="T15" i="22"/>
  <c r="U15" i="22"/>
  <c r="V15" i="22"/>
  <c r="C16" i="22"/>
  <c r="D16" i="22"/>
  <c r="F16" i="22"/>
  <c r="Q16" i="22"/>
  <c r="R16" i="22"/>
  <c r="S16" i="22"/>
  <c r="T16" i="22"/>
  <c r="U16" i="22"/>
  <c r="V16" i="22"/>
  <c r="C17" i="22"/>
  <c r="D17" i="22"/>
  <c r="F17" i="22"/>
  <c r="Q17" i="22"/>
  <c r="R17" i="22"/>
  <c r="S17" i="22"/>
  <c r="T17" i="22"/>
  <c r="U17" i="22"/>
  <c r="V17" i="22"/>
  <c r="C18" i="22"/>
  <c r="D18" i="22"/>
  <c r="F18" i="22"/>
  <c r="Q18" i="22"/>
  <c r="R18" i="22"/>
  <c r="S18" i="22"/>
  <c r="T18" i="22"/>
  <c r="U18" i="22"/>
  <c r="V18" i="22"/>
  <c r="C22" i="22"/>
  <c r="D22" i="22"/>
  <c r="F22" i="22"/>
  <c r="Q22" i="22"/>
  <c r="R22" i="22"/>
  <c r="S22" i="22"/>
  <c r="T22" i="22"/>
  <c r="U22" i="22"/>
  <c r="V22" i="22"/>
  <c r="C23" i="22"/>
  <c r="D23" i="22"/>
  <c r="F23" i="22"/>
  <c r="Q23" i="22"/>
  <c r="R23" i="22"/>
  <c r="S23" i="22"/>
  <c r="T23" i="22"/>
  <c r="U23" i="22"/>
  <c r="V23" i="22"/>
  <c r="C12" i="21"/>
  <c r="D12" i="21"/>
  <c r="F12" i="21"/>
  <c r="W12" i="21"/>
  <c r="X12" i="21"/>
  <c r="Y12" i="21"/>
  <c r="Z12" i="21"/>
  <c r="AB12" i="21"/>
  <c r="AC12" i="21" s="1"/>
  <c r="AD12" i="21"/>
  <c r="AE12" i="21"/>
  <c r="AG12" i="21"/>
  <c r="AH12" i="21"/>
  <c r="AI12" i="21"/>
  <c r="AJ12" i="21"/>
  <c r="AL12" i="21"/>
  <c r="AM12" i="21" s="1"/>
  <c r="AN12" i="21"/>
  <c r="AO12" i="21"/>
  <c r="C13" i="21"/>
  <c r="D13" i="21"/>
  <c r="F13" i="21"/>
  <c r="W13" i="21"/>
  <c r="X13" i="21"/>
  <c r="Y13" i="21"/>
  <c r="Z13" i="21"/>
  <c r="AB13" i="21"/>
  <c r="AC13" i="21" s="1"/>
  <c r="AD13" i="21"/>
  <c r="AE13" i="21"/>
  <c r="AG13" i="21"/>
  <c r="AH13" i="21"/>
  <c r="AI13" i="21"/>
  <c r="AJ13" i="21"/>
  <c r="AL13" i="21"/>
  <c r="AM13" i="21" s="1"/>
  <c r="AN13" i="21"/>
  <c r="AO13" i="21"/>
  <c r="C14" i="21"/>
  <c r="D14" i="21"/>
  <c r="F14" i="21"/>
  <c r="W14" i="21"/>
  <c r="X14" i="21"/>
  <c r="Y14" i="21"/>
  <c r="Z14" i="21"/>
  <c r="AB14" i="21"/>
  <c r="AC14" i="21" s="1"/>
  <c r="AD14" i="21"/>
  <c r="AE14" i="21"/>
  <c r="AG14" i="21"/>
  <c r="AH14" i="21"/>
  <c r="AI14" i="21"/>
  <c r="AJ14" i="21"/>
  <c r="AL14" i="21"/>
  <c r="AM14" i="21" s="1"/>
  <c r="AN14" i="21"/>
  <c r="AO14" i="21"/>
  <c r="C15" i="21"/>
  <c r="D15" i="21"/>
  <c r="F15" i="21"/>
  <c r="W15" i="21"/>
  <c r="X15" i="21"/>
  <c r="Y15" i="21"/>
  <c r="Z15" i="21"/>
  <c r="AB15" i="21"/>
  <c r="AC15" i="21" s="1"/>
  <c r="AD15" i="21"/>
  <c r="AE15" i="21"/>
  <c r="AG15" i="21"/>
  <c r="AH15" i="21"/>
  <c r="AI15" i="21"/>
  <c r="AJ15" i="21"/>
  <c r="AL15" i="21"/>
  <c r="AM15" i="21" s="1"/>
  <c r="AN15" i="21"/>
  <c r="AO15" i="21"/>
  <c r="C16" i="21"/>
  <c r="D16" i="21"/>
  <c r="F16" i="21"/>
  <c r="W16" i="21"/>
  <c r="X16" i="21"/>
  <c r="Y16" i="21"/>
  <c r="Z16" i="21"/>
  <c r="AB16" i="21"/>
  <c r="AC16" i="21" s="1"/>
  <c r="AD16" i="21"/>
  <c r="AE16" i="21"/>
  <c r="AG16" i="21"/>
  <c r="AH16" i="21"/>
  <c r="AI16" i="21"/>
  <c r="AJ16" i="21"/>
  <c r="AL16" i="21"/>
  <c r="AM16" i="21" s="1"/>
  <c r="AN16" i="21"/>
  <c r="AO16" i="21"/>
  <c r="C17" i="21"/>
  <c r="D17" i="21"/>
  <c r="F17" i="21"/>
  <c r="W17" i="21"/>
  <c r="X17" i="21"/>
  <c r="Y17" i="21"/>
  <c r="Z17" i="21"/>
  <c r="AB17" i="21"/>
  <c r="AC17" i="21" s="1"/>
  <c r="AD17" i="21"/>
  <c r="AE17" i="21"/>
  <c r="AG17" i="21"/>
  <c r="AH17" i="21"/>
  <c r="AI17" i="21"/>
  <c r="AJ17" i="21"/>
  <c r="AL17" i="21"/>
  <c r="AM17" i="21" s="1"/>
  <c r="AN17" i="21"/>
  <c r="AO17" i="21"/>
  <c r="C18" i="21"/>
  <c r="D18" i="21"/>
  <c r="F18" i="21"/>
  <c r="W18" i="21"/>
  <c r="X18" i="21"/>
  <c r="Y18" i="21"/>
  <c r="Z18" i="21"/>
  <c r="AB18" i="21"/>
  <c r="AC18" i="21" s="1"/>
  <c r="AD18" i="21"/>
  <c r="AE18" i="21"/>
  <c r="AG18" i="21"/>
  <c r="AH18" i="21"/>
  <c r="AI18" i="21"/>
  <c r="AJ18" i="21"/>
  <c r="AL18" i="21"/>
  <c r="AM18" i="21" s="1"/>
  <c r="AN18" i="21"/>
  <c r="AO18" i="21"/>
  <c r="C22" i="21"/>
  <c r="D22" i="21"/>
  <c r="F22" i="21"/>
  <c r="W22" i="21"/>
  <c r="X22" i="21"/>
  <c r="Y22" i="21"/>
  <c r="Z22" i="21"/>
  <c r="AB22" i="21"/>
  <c r="AC22" i="21" s="1"/>
  <c r="AD22" i="21"/>
  <c r="AE22" i="21"/>
  <c r="AG22" i="21"/>
  <c r="AH22" i="21"/>
  <c r="AI22" i="21"/>
  <c r="AJ22" i="21"/>
  <c r="AL22" i="21"/>
  <c r="AM22" i="21" s="1"/>
  <c r="AN22" i="21"/>
  <c r="AO22" i="21"/>
  <c r="C23" i="21"/>
  <c r="D23" i="21"/>
  <c r="F23" i="21"/>
  <c r="W23" i="21"/>
  <c r="X23" i="21"/>
  <c r="Y23" i="21"/>
  <c r="Z23" i="21"/>
  <c r="AB23" i="21"/>
  <c r="AC23" i="21" s="1"/>
  <c r="AD23" i="21"/>
  <c r="AE23" i="21"/>
  <c r="AG23" i="21"/>
  <c r="AH23" i="21"/>
  <c r="AI23" i="21"/>
  <c r="AJ23" i="21"/>
  <c r="AL23" i="21"/>
  <c r="AM23" i="21" s="1"/>
  <c r="AN23" i="21"/>
  <c r="AO23" i="21"/>
  <c r="G24" i="24"/>
  <c r="H24" i="24" s="1"/>
  <c r="I24" i="24" s="1"/>
  <c r="J24" i="24" s="1"/>
  <c r="N24" i="31" s="1"/>
  <c r="G25" i="24"/>
  <c r="H25" i="24" s="1"/>
  <c r="I25" i="24" s="1"/>
  <c r="J25" i="24" s="1"/>
  <c r="N25" i="31" s="1"/>
  <c r="G26" i="24"/>
  <c r="H26" i="24" s="1"/>
  <c r="I26" i="24" s="1"/>
  <c r="J26" i="24" s="1"/>
  <c r="N26" i="31" s="1"/>
  <c r="G27" i="24"/>
  <c r="H27" i="24" s="1"/>
  <c r="I27" i="24" s="1"/>
  <c r="J27" i="24" s="1"/>
  <c r="N27" i="31" s="1"/>
  <c r="G28" i="24"/>
  <c r="H28" i="24" s="1"/>
  <c r="I28" i="24" s="1"/>
  <c r="J28" i="24" s="1"/>
  <c r="N28" i="31" s="1"/>
  <c r="B24" i="31"/>
  <c r="C24" i="31"/>
  <c r="D24" i="31"/>
  <c r="B25" i="31"/>
  <c r="C25" i="31"/>
  <c r="D25" i="31"/>
  <c r="B26" i="31"/>
  <c r="C26" i="31"/>
  <c r="D26" i="31"/>
  <c r="B27" i="31"/>
  <c r="C27" i="31"/>
  <c r="D27" i="31"/>
  <c r="B28" i="31"/>
  <c r="C28" i="31"/>
  <c r="D28" i="31"/>
  <c r="C24" i="29"/>
  <c r="D24" i="29"/>
  <c r="F24" i="29"/>
  <c r="L24" i="29"/>
  <c r="M24" i="29"/>
  <c r="C25" i="29"/>
  <c r="D25" i="29"/>
  <c r="F25" i="29"/>
  <c r="L25" i="29"/>
  <c r="M25" i="29"/>
  <c r="C26" i="29"/>
  <c r="D26" i="29"/>
  <c r="F26" i="29"/>
  <c r="L26" i="29"/>
  <c r="M26" i="29"/>
  <c r="C27" i="29"/>
  <c r="D27" i="29"/>
  <c r="F27" i="29"/>
  <c r="L27" i="29"/>
  <c r="M27" i="29"/>
  <c r="C28" i="29"/>
  <c r="D28" i="29"/>
  <c r="F28" i="29"/>
  <c r="L28" i="29"/>
  <c r="M28" i="29"/>
  <c r="C24" i="22"/>
  <c r="D24" i="22"/>
  <c r="F24" i="22"/>
  <c r="Q24" i="22"/>
  <c r="R24" i="22"/>
  <c r="S24" i="22"/>
  <c r="T24" i="22"/>
  <c r="U24" i="22"/>
  <c r="V24" i="22"/>
  <c r="C25" i="22"/>
  <c r="D25" i="22"/>
  <c r="F25" i="22"/>
  <c r="Q25" i="22"/>
  <c r="R25" i="22"/>
  <c r="S25" i="22"/>
  <c r="T25" i="22"/>
  <c r="U25" i="22"/>
  <c r="V25" i="22"/>
  <c r="C26" i="22"/>
  <c r="D26" i="22"/>
  <c r="F26" i="22"/>
  <c r="Q26" i="22"/>
  <c r="R26" i="22"/>
  <c r="S26" i="22"/>
  <c r="T26" i="22"/>
  <c r="U26" i="22"/>
  <c r="V26" i="22"/>
  <c r="C27" i="22"/>
  <c r="D27" i="22"/>
  <c r="F27" i="22"/>
  <c r="Q27" i="22"/>
  <c r="R27" i="22"/>
  <c r="S27" i="22"/>
  <c r="T27" i="22"/>
  <c r="U27" i="22"/>
  <c r="V27" i="22"/>
  <c r="C28" i="22"/>
  <c r="D28" i="22"/>
  <c r="F28" i="22"/>
  <c r="Q28" i="22"/>
  <c r="R28" i="22"/>
  <c r="S28" i="22"/>
  <c r="T28" i="22"/>
  <c r="U28" i="22"/>
  <c r="V28" i="22"/>
  <c r="C24" i="21"/>
  <c r="D24" i="21"/>
  <c r="F24" i="21"/>
  <c r="W24" i="21"/>
  <c r="X24" i="21"/>
  <c r="Y24" i="21"/>
  <c r="Z24" i="21"/>
  <c r="AB24" i="21"/>
  <c r="AC24" i="21" s="1"/>
  <c r="AD24" i="21"/>
  <c r="AE24" i="21"/>
  <c r="AG24" i="21"/>
  <c r="AH24" i="21"/>
  <c r="AI24" i="21"/>
  <c r="AJ24" i="21"/>
  <c r="AL24" i="21"/>
  <c r="AM24" i="21" s="1"/>
  <c r="AN24" i="21"/>
  <c r="AO24" i="21"/>
  <c r="C25" i="21"/>
  <c r="D25" i="21"/>
  <c r="F25" i="21"/>
  <c r="W25" i="21"/>
  <c r="X25" i="21"/>
  <c r="Y25" i="21"/>
  <c r="Z25" i="21"/>
  <c r="AB25" i="21"/>
  <c r="AC25" i="21" s="1"/>
  <c r="AD25" i="21"/>
  <c r="AE25" i="21"/>
  <c r="AG25" i="21"/>
  <c r="AH25" i="21"/>
  <c r="AI25" i="21"/>
  <c r="AJ25" i="21"/>
  <c r="AL25" i="21"/>
  <c r="AM25" i="21" s="1"/>
  <c r="AN25" i="21"/>
  <c r="AO25" i="21"/>
  <c r="C26" i="21"/>
  <c r="D26" i="21"/>
  <c r="F26" i="21"/>
  <c r="W26" i="21"/>
  <c r="X26" i="21"/>
  <c r="Y26" i="21"/>
  <c r="Z26" i="21"/>
  <c r="AB26" i="21"/>
  <c r="AC26" i="21" s="1"/>
  <c r="AD26" i="21"/>
  <c r="AE26" i="21"/>
  <c r="AG26" i="21"/>
  <c r="AH26" i="21"/>
  <c r="AI26" i="21"/>
  <c r="AJ26" i="21"/>
  <c r="AL26" i="21"/>
  <c r="AM26" i="21" s="1"/>
  <c r="AN26" i="21"/>
  <c r="AO26" i="21"/>
  <c r="C27" i="21"/>
  <c r="D27" i="21"/>
  <c r="F27" i="21"/>
  <c r="W27" i="21"/>
  <c r="X27" i="21"/>
  <c r="Y27" i="21"/>
  <c r="Z27" i="21"/>
  <c r="AB27" i="21"/>
  <c r="AC27" i="21" s="1"/>
  <c r="AD27" i="21"/>
  <c r="AE27" i="21"/>
  <c r="AG27" i="21"/>
  <c r="AH27" i="21"/>
  <c r="AI27" i="21"/>
  <c r="AJ27" i="21"/>
  <c r="AL27" i="21"/>
  <c r="AM27" i="21" s="1"/>
  <c r="AN27" i="21"/>
  <c r="AO27" i="21"/>
  <c r="C28" i="21"/>
  <c r="D28" i="21"/>
  <c r="F28" i="21"/>
  <c r="W28" i="21"/>
  <c r="X28" i="21"/>
  <c r="Y28" i="21"/>
  <c r="Z28" i="21"/>
  <c r="AB28" i="21"/>
  <c r="AC28" i="21" s="1"/>
  <c r="AD28" i="21"/>
  <c r="AE28" i="21"/>
  <c r="AG28" i="21"/>
  <c r="AH28" i="21"/>
  <c r="AI28" i="21"/>
  <c r="AJ28" i="21"/>
  <c r="AL28" i="21"/>
  <c r="AM28" i="21" s="1"/>
  <c r="AN28" i="21"/>
  <c r="AO28" i="21"/>
  <c r="O19" i="31" l="1"/>
  <c r="P19" i="31" s="1"/>
  <c r="O20" i="31"/>
  <c r="P20" i="31" s="1"/>
  <c r="X28" i="22"/>
  <c r="AA28" i="22" s="1"/>
  <c r="AD28" i="22" s="1"/>
  <c r="I28" i="31" s="1"/>
  <c r="AY21" i="21"/>
  <c r="G21" i="31" s="1"/>
  <c r="O21" i="31"/>
  <c r="P21" i="31" s="1"/>
  <c r="AF4" i="21"/>
  <c r="AF3" i="21"/>
  <c r="N14" i="29"/>
  <c r="O14" i="29" s="1"/>
  <c r="P14" i="29" s="1"/>
  <c r="K14" i="31" s="1"/>
  <c r="AA5" i="21"/>
  <c r="AF5" i="21"/>
  <c r="AF7" i="21"/>
  <c r="X4" i="22"/>
  <c r="AA4" i="22" s="1"/>
  <c r="AD4" i="22" s="1"/>
  <c r="I4" i="31" s="1"/>
  <c r="AA6" i="21"/>
  <c r="W5" i="22"/>
  <c r="AA28" i="21"/>
  <c r="N7" i="29"/>
  <c r="O7" i="29" s="1"/>
  <c r="P7" i="29" s="1"/>
  <c r="K7" i="31" s="1"/>
  <c r="AK3" i="21"/>
  <c r="N4" i="29"/>
  <c r="O4" i="29" s="1"/>
  <c r="P4" i="29" s="1"/>
  <c r="K4" i="31" s="1"/>
  <c r="N6" i="29"/>
  <c r="O6" i="29" s="1"/>
  <c r="P6" i="29" s="1"/>
  <c r="K6" i="31" s="1"/>
  <c r="AP6" i="21"/>
  <c r="AF6" i="21"/>
  <c r="X6" i="22"/>
  <c r="AA6" i="22" s="1"/>
  <c r="AD6" i="22" s="1"/>
  <c r="I6" i="31" s="1"/>
  <c r="W6" i="22"/>
  <c r="W3" i="22"/>
  <c r="Z3" i="22" s="1"/>
  <c r="AC3" i="22" s="1"/>
  <c r="H3" i="31" s="1"/>
  <c r="N12" i="29"/>
  <c r="O12" i="29" s="1"/>
  <c r="P12" i="29" s="1"/>
  <c r="K12" i="31" s="1"/>
  <c r="X22" i="22"/>
  <c r="AA22" i="22" s="1"/>
  <c r="AD22" i="22" s="1"/>
  <c r="I22" i="31" s="1"/>
  <c r="AP7" i="21"/>
  <c r="X26" i="22"/>
  <c r="AA26" i="22" s="1"/>
  <c r="AD26" i="22" s="1"/>
  <c r="I26" i="31" s="1"/>
  <c r="AK9" i="21"/>
  <c r="W12" i="22"/>
  <c r="Z12" i="22" s="1"/>
  <c r="AC12" i="22" s="1"/>
  <c r="H12" i="31" s="1"/>
  <c r="AP4" i="21"/>
  <c r="X3" i="22"/>
  <c r="AA3" i="22" s="1"/>
  <c r="AD3" i="22" s="1"/>
  <c r="I3" i="31" s="1"/>
  <c r="N5" i="29"/>
  <c r="O5" i="29" s="1"/>
  <c r="P5" i="29" s="1"/>
  <c r="K5" i="31" s="1"/>
  <c r="AP5" i="21"/>
  <c r="AA4" i="21"/>
  <c r="X5" i="22"/>
  <c r="AA5" i="22" s="1"/>
  <c r="AD5" i="22" s="1"/>
  <c r="I5" i="31" s="1"/>
  <c r="W4" i="22"/>
  <c r="AF18" i="21"/>
  <c r="AF17" i="21"/>
  <c r="AF16" i="21"/>
  <c r="AF13" i="21"/>
  <c r="AF12" i="21"/>
  <c r="X13" i="22"/>
  <c r="AA13" i="22" s="1"/>
  <c r="AD13" i="22" s="1"/>
  <c r="I13" i="31" s="1"/>
  <c r="AF9" i="21"/>
  <c r="AK4" i="21"/>
  <c r="AP27" i="21"/>
  <c r="N25" i="29"/>
  <c r="O25" i="29" s="1"/>
  <c r="P25" i="29" s="1"/>
  <c r="K25" i="31" s="1"/>
  <c r="AF23" i="21"/>
  <c r="AF22" i="21"/>
  <c r="AF15" i="21"/>
  <c r="AF14" i="21"/>
  <c r="N22" i="29"/>
  <c r="O22" i="29" s="1"/>
  <c r="P22" i="29" s="1"/>
  <c r="K22" i="31" s="1"/>
  <c r="AK6" i="21"/>
  <c r="W22" i="22"/>
  <c r="Z22" i="22" s="1"/>
  <c r="AC22" i="22" s="1"/>
  <c r="H22" i="31" s="1"/>
  <c r="W9" i="22"/>
  <c r="Z9" i="22" s="1"/>
  <c r="AC9" i="22" s="1"/>
  <c r="H9" i="31" s="1"/>
  <c r="AK5" i="21"/>
  <c r="AA3" i="21"/>
  <c r="AP3" i="21"/>
  <c r="X7" i="22"/>
  <c r="AA7" i="22" s="1"/>
  <c r="AD7" i="22" s="1"/>
  <c r="I7" i="31" s="1"/>
  <c r="W7" i="22"/>
  <c r="Z7" i="22" s="1"/>
  <c r="AC7" i="22" s="1"/>
  <c r="H7" i="31" s="1"/>
  <c r="N3" i="29"/>
  <c r="O3" i="29" s="1"/>
  <c r="P3" i="29" s="1"/>
  <c r="K3" i="31" s="1"/>
  <c r="W14" i="22"/>
  <c r="Z14" i="22" s="1"/>
  <c r="AC14" i="22" s="1"/>
  <c r="H14" i="31" s="1"/>
  <c r="W13" i="22"/>
  <c r="AA27" i="21"/>
  <c r="X27" i="22"/>
  <c r="AA27" i="22" s="1"/>
  <c r="AD27" i="22" s="1"/>
  <c r="I27" i="31" s="1"/>
  <c r="AA18" i="21"/>
  <c r="AK17" i="21"/>
  <c r="AA16" i="21"/>
  <c r="AK15" i="21"/>
  <c r="AA14" i="21"/>
  <c r="AK13" i="21"/>
  <c r="AA12" i="21"/>
  <c r="W18" i="22"/>
  <c r="Z18" i="22" s="1"/>
  <c r="AC18" i="22" s="1"/>
  <c r="H18" i="31" s="1"/>
  <c r="X16" i="22"/>
  <c r="AA16" i="22" s="1"/>
  <c r="AD16" i="22" s="1"/>
  <c r="I16" i="31" s="1"/>
  <c r="W16" i="22"/>
  <c r="N16" i="29"/>
  <c r="O16" i="29" s="1"/>
  <c r="P16" i="29" s="1"/>
  <c r="K16" i="31" s="1"/>
  <c r="AP9" i="21"/>
  <c r="X9" i="22"/>
  <c r="AA9" i="22" s="1"/>
  <c r="AD9" i="22" s="1"/>
  <c r="I9" i="31" s="1"/>
  <c r="N9" i="29"/>
  <c r="O9" i="29" s="1"/>
  <c r="P9" i="29" s="1"/>
  <c r="K9" i="31" s="1"/>
  <c r="AK7" i="21"/>
  <c r="AA7" i="21"/>
  <c r="AP23" i="21"/>
  <c r="AK23" i="21"/>
  <c r="AA23" i="21"/>
  <c r="AK18" i="21"/>
  <c r="AA17" i="21"/>
  <c r="AK16" i="21"/>
  <c r="AA15" i="21"/>
  <c r="AK14" i="21"/>
  <c r="AA13" i="21"/>
  <c r="AK12" i="21"/>
  <c r="X18" i="22"/>
  <c r="AA18" i="22" s="1"/>
  <c r="AD18" i="22" s="1"/>
  <c r="I18" i="31" s="1"/>
  <c r="X14" i="22"/>
  <c r="AA14" i="22" s="1"/>
  <c r="AD14" i="22" s="1"/>
  <c r="I14" i="31" s="1"/>
  <c r="N15" i="29"/>
  <c r="O15" i="29" s="1"/>
  <c r="P15" i="29" s="1"/>
  <c r="K15" i="31" s="1"/>
  <c r="X15" i="22"/>
  <c r="AA15" i="22" s="1"/>
  <c r="AD15" i="22" s="1"/>
  <c r="I15" i="31" s="1"/>
  <c r="W15" i="22"/>
  <c r="X25" i="22"/>
  <c r="AA25" i="22" s="1"/>
  <c r="AD25" i="22" s="1"/>
  <c r="I25" i="31" s="1"/>
  <c r="AP26" i="21"/>
  <c r="AF26" i="21"/>
  <c r="AA26" i="21"/>
  <c r="AK25" i="21"/>
  <c r="AA25" i="21"/>
  <c r="W27" i="22"/>
  <c r="Z27" i="22" s="1"/>
  <c r="AC27" i="22" s="1"/>
  <c r="H27" i="31" s="1"/>
  <c r="N28" i="29"/>
  <c r="O28" i="29" s="1"/>
  <c r="P28" i="29" s="1"/>
  <c r="K28" i="31" s="1"/>
  <c r="AP18" i="21"/>
  <c r="AP17" i="21"/>
  <c r="AP16" i="21"/>
  <c r="AP15" i="21"/>
  <c r="AP14" i="21"/>
  <c r="AP13" i="21"/>
  <c r="AP12" i="21"/>
  <c r="X23" i="22"/>
  <c r="AA23" i="22" s="1"/>
  <c r="AD23" i="22" s="1"/>
  <c r="I23" i="31" s="1"/>
  <c r="W23" i="22"/>
  <c r="AA9" i="21"/>
  <c r="N13" i="29"/>
  <c r="O13" i="29" s="1"/>
  <c r="P13" i="29" s="1"/>
  <c r="K13" i="31" s="1"/>
  <c r="AP24" i="21"/>
  <c r="AA24" i="21"/>
  <c r="N26" i="29"/>
  <c r="O26" i="29" s="1"/>
  <c r="P26" i="29" s="1"/>
  <c r="K26" i="31" s="1"/>
  <c r="AP22" i="21"/>
  <c r="AK22" i="21"/>
  <c r="N23" i="29"/>
  <c r="O23" i="29" s="1"/>
  <c r="P23" i="29" s="1"/>
  <c r="K23" i="31" s="1"/>
  <c r="N18" i="29"/>
  <c r="O18" i="29" s="1"/>
  <c r="P18" i="29" s="1"/>
  <c r="K18" i="31" s="1"/>
  <c r="N17" i="29"/>
  <c r="AA22" i="21"/>
  <c r="AQ22" i="21" s="1"/>
  <c r="AT22" i="21" s="1"/>
  <c r="AW22" i="21" s="1"/>
  <c r="E22" i="31" s="1"/>
  <c r="X17" i="22"/>
  <c r="AA17" i="22" s="1"/>
  <c r="AD17" i="22" s="1"/>
  <c r="I17" i="31" s="1"/>
  <c r="W17" i="22"/>
  <c r="X12" i="22"/>
  <c r="AA12" i="22" s="1"/>
  <c r="AD12" i="22" s="1"/>
  <c r="I12" i="31" s="1"/>
  <c r="AK28" i="21"/>
  <c r="AP28" i="21"/>
  <c r="AP25" i="21"/>
  <c r="X24" i="22"/>
  <c r="AA24" i="22" s="1"/>
  <c r="AD24" i="22" s="1"/>
  <c r="I24" i="31" s="1"/>
  <c r="W24" i="22"/>
  <c r="AK27" i="21"/>
  <c r="AK24" i="21"/>
  <c r="N24" i="29"/>
  <c r="O24" i="29" s="1"/>
  <c r="P24" i="29" s="1"/>
  <c r="K24" i="31" s="1"/>
  <c r="N27" i="29"/>
  <c r="O27" i="29" s="1"/>
  <c r="P27" i="29" s="1"/>
  <c r="K27" i="31" s="1"/>
  <c r="AK26" i="21"/>
  <c r="W28" i="22"/>
  <c r="AF28" i="21"/>
  <c r="AF25" i="21"/>
  <c r="W25" i="22"/>
  <c r="AF27" i="21"/>
  <c r="AF24" i="21"/>
  <c r="W26" i="22"/>
  <c r="AR26" i="21" l="1"/>
  <c r="AQ3" i="21"/>
  <c r="AT3" i="21" s="1"/>
  <c r="AW3" i="21" s="1"/>
  <c r="E3" i="31" s="1"/>
  <c r="AQ14" i="21"/>
  <c r="AT14" i="21" s="1"/>
  <c r="AW14" i="21" s="1"/>
  <c r="E14" i="31" s="1"/>
  <c r="Q4" i="29"/>
  <c r="R4" i="29" s="1"/>
  <c r="S4" i="29" s="1"/>
  <c r="L4" i="31" s="1"/>
  <c r="AR6" i="21"/>
  <c r="AU6" i="21" s="1"/>
  <c r="AX6" i="21" s="1"/>
  <c r="F6" i="31" s="1"/>
  <c r="Y6" i="22"/>
  <c r="AB6" i="22" s="1"/>
  <c r="AE6" i="22" s="1"/>
  <c r="J6" i="31" s="1"/>
  <c r="AQ4" i="21"/>
  <c r="AT4" i="21" s="1"/>
  <c r="AW4" i="21" s="1"/>
  <c r="E4" i="31" s="1"/>
  <c r="Y22" i="22"/>
  <c r="AB22" i="22" s="1"/>
  <c r="AE22" i="22" s="1"/>
  <c r="J22" i="31" s="1"/>
  <c r="Y17" i="22"/>
  <c r="AB17" i="22" s="1"/>
  <c r="AE17" i="22" s="1"/>
  <c r="J17" i="31" s="1"/>
  <c r="AR13" i="21"/>
  <c r="AU13" i="21" s="1"/>
  <c r="AX13" i="21" s="1"/>
  <c r="F13" i="31" s="1"/>
  <c r="Y5" i="22"/>
  <c r="AB5" i="22" s="1"/>
  <c r="AE5" i="22" s="1"/>
  <c r="J5" i="31" s="1"/>
  <c r="Y9" i="22"/>
  <c r="AB9" i="22" s="1"/>
  <c r="AE9" i="22" s="1"/>
  <c r="J9" i="31" s="1"/>
  <c r="Y15" i="22"/>
  <c r="AB15" i="22" s="1"/>
  <c r="AE15" i="22" s="1"/>
  <c r="J15" i="31" s="1"/>
  <c r="AR7" i="21"/>
  <c r="AU7" i="21" s="1"/>
  <c r="AX7" i="21" s="1"/>
  <c r="F7" i="31" s="1"/>
  <c r="Z6" i="22"/>
  <c r="AC6" i="22" s="1"/>
  <c r="H6" i="31" s="1"/>
  <c r="AR17" i="21"/>
  <c r="AU17" i="21" s="1"/>
  <c r="AX17" i="21" s="1"/>
  <c r="F17" i="31" s="1"/>
  <c r="AQ18" i="21"/>
  <c r="AT18" i="21" s="1"/>
  <c r="AW18" i="21" s="1"/>
  <c r="E18" i="31" s="1"/>
  <c r="AR27" i="21"/>
  <c r="AR12" i="21"/>
  <c r="AU12" i="21" s="1"/>
  <c r="AX12" i="21" s="1"/>
  <c r="F12" i="31" s="1"/>
  <c r="AR24" i="21"/>
  <c r="AU24" i="21" s="1"/>
  <c r="AX24" i="21" s="1"/>
  <c r="F24" i="31" s="1"/>
  <c r="Y13" i="22"/>
  <c r="AB13" i="22" s="1"/>
  <c r="AE13" i="22" s="1"/>
  <c r="J13" i="31" s="1"/>
  <c r="T6" i="29"/>
  <c r="U6" i="29" s="1"/>
  <c r="V6" i="29" s="1"/>
  <c r="M6" i="31" s="1"/>
  <c r="Q6" i="29"/>
  <c r="R6" i="29" s="1"/>
  <c r="S6" i="29" s="1"/>
  <c r="L6" i="31" s="1"/>
  <c r="Q9" i="29"/>
  <c r="R9" i="29" s="1"/>
  <c r="S9" i="29" s="1"/>
  <c r="L9" i="31" s="1"/>
  <c r="Z5" i="22"/>
  <c r="AC5" i="22" s="1"/>
  <c r="H5" i="31" s="1"/>
  <c r="AQ5" i="21"/>
  <c r="AT5" i="21" s="1"/>
  <c r="AW5" i="21" s="1"/>
  <c r="E5" i="31" s="1"/>
  <c r="AQ9" i="21"/>
  <c r="AT9" i="21" s="1"/>
  <c r="AW9" i="21" s="1"/>
  <c r="E9" i="31" s="1"/>
  <c r="AQ17" i="21"/>
  <c r="AT17" i="21" s="1"/>
  <c r="AW17" i="21" s="1"/>
  <c r="E17" i="31" s="1"/>
  <c r="Y27" i="22"/>
  <c r="AB27" i="22" s="1"/>
  <c r="AE27" i="22" s="1"/>
  <c r="J27" i="31" s="1"/>
  <c r="AQ6" i="21"/>
  <c r="AT6" i="21" s="1"/>
  <c r="AW6" i="21" s="1"/>
  <c r="E6" i="31" s="1"/>
  <c r="T22" i="29"/>
  <c r="U22" i="29" s="1"/>
  <c r="V22" i="29" s="1"/>
  <c r="M22" i="31" s="1"/>
  <c r="AR9" i="21"/>
  <c r="T12" i="29"/>
  <c r="U12" i="29" s="1"/>
  <c r="V12" i="29" s="1"/>
  <c r="M12" i="31" s="1"/>
  <c r="AR15" i="21"/>
  <c r="AQ7" i="21"/>
  <c r="AT7" i="21" s="1"/>
  <c r="AW7" i="21" s="1"/>
  <c r="E7" i="31" s="1"/>
  <c r="AQ25" i="21"/>
  <c r="AT25" i="21" s="1"/>
  <c r="AW25" i="21" s="1"/>
  <c r="E25" i="31" s="1"/>
  <c r="AQ15" i="21"/>
  <c r="AT15" i="21" s="1"/>
  <c r="AW15" i="21" s="1"/>
  <c r="E15" i="31" s="1"/>
  <c r="AQ23" i="21"/>
  <c r="AT23" i="21" s="1"/>
  <c r="AW23" i="21" s="1"/>
  <c r="E23" i="31" s="1"/>
  <c r="AR5" i="21"/>
  <c r="AU5" i="21" s="1"/>
  <c r="AX5" i="21" s="1"/>
  <c r="F5" i="31" s="1"/>
  <c r="AQ24" i="21"/>
  <c r="AT24" i="21" s="1"/>
  <c r="AW24" i="21" s="1"/>
  <c r="E24" i="31" s="1"/>
  <c r="AR25" i="21"/>
  <c r="AU25" i="21" s="1"/>
  <c r="AX25" i="21" s="1"/>
  <c r="F25" i="31" s="1"/>
  <c r="AQ27" i="21"/>
  <c r="AT27" i="21" s="1"/>
  <c r="AW27" i="21" s="1"/>
  <c r="E27" i="31" s="1"/>
  <c r="AQ28" i="21"/>
  <c r="AT28" i="21" s="1"/>
  <c r="AW28" i="21" s="1"/>
  <c r="E28" i="31" s="1"/>
  <c r="Q12" i="29"/>
  <c r="R12" i="29" s="1"/>
  <c r="S12" i="29" s="1"/>
  <c r="L12" i="31" s="1"/>
  <c r="AQ16" i="21"/>
  <c r="AT16" i="21" s="1"/>
  <c r="AW16" i="21" s="1"/>
  <c r="E16" i="31" s="1"/>
  <c r="T9" i="29"/>
  <c r="U9" i="29" s="1"/>
  <c r="V9" i="29" s="1"/>
  <c r="M9" i="31" s="1"/>
  <c r="AR3" i="21"/>
  <c r="AS3" i="21" s="1"/>
  <c r="AV3" i="21" s="1"/>
  <c r="Q5" i="29"/>
  <c r="R5" i="29" s="1"/>
  <c r="S5" i="29" s="1"/>
  <c r="L5" i="31" s="1"/>
  <c r="Q22" i="29"/>
  <c r="R22" i="29" s="1"/>
  <c r="S22" i="29" s="1"/>
  <c r="L22" i="31" s="1"/>
  <c r="AQ26" i="21"/>
  <c r="AT26" i="21" s="1"/>
  <c r="AW26" i="21" s="1"/>
  <c r="E26" i="31" s="1"/>
  <c r="AQ13" i="21"/>
  <c r="AT13" i="21" s="1"/>
  <c r="AW13" i="21" s="1"/>
  <c r="E13" i="31" s="1"/>
  <c r="T5" i="29"/>
  <c r="U5" i="29" s="1"/>
  <c r="V5" i="29" s="1"/>
  <c r="M5" i="31" s="1"/>
  <c r="AR4" i="21"/>
  <c r="Y4" i="22"/>
  <c r="AB4" i="22" s="1"/>
  <c r="AE4" i="22" s="1"/>
  <c r="J4" i="31" s="1"/>
  <c r="Z4" i="22"/>
  <c r="AC4" i="22" s="1"/>
  <c r="H4" i="31" s="1"/>
  <c r="Y3" i="22"/>
  <c r="AB3" i="22" s="1"/>
  <c r="AE3" i="22" s="1"/>
  <c r="J3" i="31" s="1"/>
  <c r="AQ12" i="21"/>
  <c r="AT12" i="21" s="1"/>
  <c r="AW12" i="21" s="1"/>
  <c r="E12" i="31" s="1"/>
  <c r="Y12" i="22"/>
  <c r="AB12" i="22" s="1"/>
  <c r="AE12" i="22" s="1"/>
  <c r="J12" i="31" s="1"/>
  <c r="T23" i="29"/>
  <c r="U23" i="29" s="1"/>
  <c r="V23" i="29" s="1"/>
  <c r="M23" i="31" s="1"/>
  <c r="AR14" i="21"/>
  <c r="Q7" i="29"/>
  <c r="R7" i="29" s="1"/>
  <c r="S7" i="29" s="1"/>
  <c r="L7" i="31" s="1"/>
  <c r="T4" i="29"/>
  <c r="U4" i="29" s="1"/>
  <c r="V4" i="29" s="1"/>
  <c r="M4" i="31" s="1"/>
  <c r="Q23" i="29"/>
  <c r="R23" i="29" s="1"/>
  <c r="S23" i="29" s="1"/>
  <c r="L23" i="31" s="1"/>
  <c r="AR18" i="21"/>
  <c r="AU18" i="21" s="1"/>
  <c r="AX18" i="21" s="1"/>
  <c r="F18" i="31" s="1"/>
  <c r="Y7" i="22"/>
  <c r="AB7" i="22" s="1"/>
  <c r="AE7" i="22" s="1"/>
  <c r="J7" i="31" s="1"/>
  <c r="T7" i="29"/>
  <c r="U7" i="29" s="1"/>
  <c r="V7" i="29" s="1"/>
  <c r="M7" i="31" s="1"/>
  <c r="Q16" i="29"/>
  <c r="R16" i="29" s="1"/>
  <c r="S16" i="29" s="1"/>
  <c r="L16" i="31" s="1"/>
  <c r="T16" i="29"/>
  <c r="U16" i="29" s="1"/>
  <c r="V16" i="29" s="1"/>
  <c r="M16" i="31" s="1"/>
  <c r="AR16" i="21"/>
  <c r="AU16" i="21" s="1"/>
  <c r="AX16" i="21" s="1"/>
  <c r="F16" i="31" s="1"/>
  <c r="Y18" i="22"/>
  <c r="AB18" i="22" s="1"/>
  <c r="AE18" i="22" s="1"/>
  <c r="J18" i="31" s="1"/>
  <c r="Q15" i="29"/>
  <c r="R15" i="29" s="1"/>
  <c r="S15" i="29" s="1"/>
  <c r="L15" i="31" s="1"/>
  <c r="AR28" i="21"/>
  <c r="AU28" i="21" s="1"/>
  <c r="AX28" i="21" s="1"/>
  <c r="F28" i="31" s="1"/>
  <c r="AR23" i="21"/>
  <c r="AU23" i="21" s="1"/>
  <c r="AX23" i="21" s="1"/>
  <c r="F23" i="31" s="1"/>
  <c r="T3" i="29"/>
  <c r="U3" i="29" s="1"/>
  <c r="V3" i="29" s="1"/>
  <c r="M3" i="31" s="1"/>
  <c r="Z15" i="22"/>
  <c r="AC15" i="22" s="1"/>
  <c r="H15" i="31" s="1"/>
  <c r="Q3" i="29"/>
  <c r="R3" i="29" s="1"/>
  <c r="S3" i="29" s="1"/>
  <c r="L3" i="31" s="1"/>
  <c r="Q24" i="29"/>
  <c r="R24" i="29" s="1"/>
  <c r="S24" i="29" s="1"/>
  <c r="L24" i="31" s="1"/>
  <c r="O17" i="29"/>
  <c r="P17" i="29" s="1"/>
  <c r="K17" i="31" s="1"/>
  <c r="T17" i="29"/>
  <c r="U17" i="29" s="1"/>
  <c r="V17" i="29" s="1"/>
  <c r="M17" i="31" s="1"/>
  <c r="Y16" i="22"/>
  <c r="AB16" i="22" s="1"/>
  <c r="AE16" i="22" s="1"/>
  <c r="J16" i="31" s="1"/>
  <c r="Z16" i="22"/>
  <c r="AC16" i="22" s="1"/>
  <c r="H16" i="31" s="1"/>
  <c r="T13" i="29"/>
  <c r="U13" i="29" s="1"/>
  <c r="V13" i="29" s="1"/>
  <c r="M13" i="31" s="1"/>
  <c r="Z13" i="22"/>
  <c r="AC13" i="22" s="1"/>
  <c r="H13" i="31" s="1"/>
  <c r="Y14" i="22"/>
  <c r="AB14" i="22" s="1"/>
  <c r="AE14" i="22" s="1"/>
  <c r="J14" i="31" s="1"/>
  <c r="T14" i="29"/>
  <c r="U14" i="29" s="1"/>
  <c r="V14" i="29" s="1"/>
  <c r="M14" i="31" s="1"/>
  <c r="Q14" i="29"/>
  <c r="R14" i="29" s="1"/>
  <c r="S14" i="29" s="1"/>
  <c r="L14" i="31" s="1"/>
  <c r="AR22" i="21"/>
  <c r="AU22" i="21" s="1"/>
  <c r="AX22" i="21" s="1"/>
  <c r="F22" i="31" s="1"/>
  <c r="Y23" i="22"/>
  <c r="AB23" i="22" s="1"/>
  <c r="AE23" i="22" s="1"/>
  <c r="J23" i="31" s="1"/>
  <c r="T24" i="29"/>
  <c r="U24" i="29" s="1"/>
  <c r="V24" i="29" s="1"/>
  <c r="M24" i="31" s="1"/>
  <c r="Q18" i="29"/>
  <c r="R18" i="29" s="1"/>
  <c r="S18" i="29" s="1"/>
  <c r="L18" i="31" s="1"/>
  <c r="Z24" i="22"/>
  <c r="AC24" i="22" s="1"/>
  <c r="H24" i="31" s="1"/>
  <c r="Y24" i="22"/>
  <c r="AB24" i="22" s="1"/>
  <c r="AE24" i="22" s="1"/>
  <c r="J24" i="31" s="1"/>
  <c r="T27" i="29"/>
  <c r="U27" i="29" s="1"/>
  <c r="V27" i="29" s="1"/>
  <c r="M27" i="31" s="1"/>
  <c r="T18" i="29"/>
  <c r="U18" i="29" s="1"/>
  <c r="V18" i="29" s="1"/>
  <c r="M18" i="31" s="1"/>
  <c r="Z23" i="22"/>
  <c r="AC23" i="22" s="1"/>
  <c r="H23" i="31" s="1"/>
  <c r="Q13" i="29"/>
  <c r="R13" i="29" s="1"/>
  <c r="S13" i="29" s="1"/>
  <c r="L13" i="31" s="1"/>
  <c r="Z17" i="22"/>
  <c r="AC17" i="22" s="1"/>
  <c r="H17" i="31" s="1"/>
  <c r="Q17" i="29"/>
  <c r="R17" i="29" s="1"/>
  <c r="S17" i="29" s="1"/>
  <c r="L17" i="31" s="1"/>
  <c r="Q27" i="29"/>
  <c r="R27" i="29" s="1"/>
  <c r="S27" i="29" s="1"/>
  <c r="L27" i="31" s="1"/>
  <c r="T15" i="29"/>
  <c r="U15" i="29" s="1"/>
  <c r="V15" i="29" s="1"/>
  <c r="M15" i="31" s="1"/>
  <c r="AU26" i="21"/>
  <c r="AX26" i="21" s="1"/>
  <c r="F26" i="31" s="1"/>
  <c r="Z26" i="22"/>
  <c r="AC26" i="22" s="1"/>
  <c r="H26" i="31" s="1"/>
  <c r="T26" i="29"/>
  <c r="U26" i="29" s="1"/>
  <c r="V26" i="29" s="1"/>
  <c r="M26" i="31" s="1"/>
  <c r="Q26" i="29"/>
  <c r="R26" i="29" s="1"/>
  <c r="S26" i="29" s="1"/>
  <c r="L26" i="31" s="1"/>
  <c r="Y26" i="22"/>
  <c r="AB26" i="22" s="1"/>
  <c r="AE26" i="22" s="1"/>
  <c r="J26" i="31" s="1"/>
  <c r="T28" i="29"/>
  <c r="U28" i="29" s="1"/>
  <c r="V28" i="29" s="1"/>
  <c r="M28" i="31" s="1"/>
  <c r="Z28" i="22"/>
  <c r="AC28" i="22" s="1"/>
  <c r="H28" i="31" s="1"/>
  <c r="Q28" i="29"/>
  <c r="R28" i="29" s="1"/>
  <c r="S28" i="29" s="1"/>
  <c r="L28" i="31" s="1"/>
  <c r="Y28" i="22"/>
  <c r="AB28" i="22" s="1"/>
  <c r="AE28" i="22" s="1"/>
  <c r="J28" i="31" s="1"/>
  <c r="Y25" i="22"/>
  <c r="AB25" i="22" s="1"/>
  <c r="AE25" i="22" s="1"/>
  <c r="J25" i="31" s="1"/>
  <c r="T25" i="29"/>
  <c r="U25" i="29" s="1"/>
  <c r="V25" i="29" s="1"/>
  <c r="M25" i="31" s="1"/>
  <c r="Z25" i="22"/>
  <c r="AC25" i="22" s="1"/>
  <c r="H25" i="31" s="1"/>
  <c r="Q25" i="29"/>
  <c r="R25" i="29" s="1"/>
  <c r="S25" i="29" s="1"/>
  <c r="L25" i="31" s="1"/>
  <c r="AS4" i="21" l="1"/>
  <c r="AV4" i="21" s="1"/>
  <c r="AY4" i="21" s="1"/>
  <c r="G4" i="31" s="1"/>
  <c r="AS6" i="21"/>
  <c r="AV6" i="21" s="1"/>
  <c r="O6" i="31" s="1"/>
  <c r="P6" i="31" s="1"/>
  <c r="AS14" i="21"/>
  <c r="AV14" i="21" s="1"/>
  <c r="O14" i="31" s="1"/>
  <c r="P14" i="31" s="1"/>
  <c r="AU3" i="21"/>
  <c r="AX3" i="21" s="1"/>
  <c r="F3" i="31" s="1"/>
  <c r="AS5" i="21"/>
  <c r="AV5" i="21" s="1"/>
  <c r="O5" i="31" s="1"/>
  <c r="P5" i="31" s="1"/>
  <c r="AS15" i="21"/>
  <c r="AV15" i="21" s="1"/>
  <c r="AY15" i="21" s="1"/>
  <c r="G15" i="31" s="1"/>
  <c r="AS27" i="21"/>
  <c r="AV27" i="21" s="1"/>
  <c r="O27" i="31" s="1"/>
  <c r="P27" i="31" s="1"/>
  <c r="AS26" i="21"/>
  <c r="AV26" i="21" s="1"/>
  <c r="O26" i="31" s="1"/>
  <c r="P26" i="31" s="1"/>
  <c r="AS9" i="21"/>
  <c r="AV9" i="21" s="1"/>
  <c r="AY9" i="21" s="1"/>
  <c r="G9" i="31" s="1"/>
  <c r="AU15" i="21"/>
  <c r="AX15" i="21" s="1"/>
  <c r="F15" i="31" s="1"/>
  <c r="AS13" i="21"/>
  <c r="AV13" i="21" s="1"/>
  <c r="O13" i="31" s="1"/>
  <c r="P13" i="31" s="1"/>
  <c r="AU27" i="21"/>
  <c r="AX27" i="21" s="1"/>
  <c r="F27" i="31" s="1"/>
  <c r="AS7" i="21"/>
  <c r="AV7" i="21" s="1"/>
  <c r="AY7" i="21" s="1"/>
  <c r="G7" i="31" s="1"/>
  <c r="AU9" i="21"/>
  <c r="AX9" i="21" s="1"/>
  <c r="F9" i="31" s="1"/>
  <c r="AS17" i="21"/>
  <c r="AV17" i="21" s="1"/>
  <c r="O17" i="31" s="1"/>
  <c r="P17" i="31" s="1"/>
  <c r="AU14" i="21"/>
  <c r="AX14" i="21" s="1"/>
  <c r="F14" i="31" s="1"/>
  <c r="AS25" i="21"/>
  <c r="AV25" i="21" s="1"/>
  <c r="O25" i="31" s="1"/>
  <c r="P25" i="31" s="1"/>
  <c r="AS28" i="21"/>
  <c r="AV28" i="21" s="1"/>
  <c r="O28" i="31" s="1"/>
  <c r="P28" i="31" s="1"/>
  <c r="AS24" i="21"/>
  <c r="AV24" i="21" s="1"/>
  <c r="AY24" i="21" s="1"/>
  <c r="G24" i="31" s="1"/>
  <c r="AS16" i="21"/>
  <c r="AV16" i="21" s="1"/>
  <c r="AS12" i="21"/>
  <c r="AV12" i="21" s="1"/>
  <c r="AS18" i="21"/>
  <c r="AV18" i="21" s="1"/>
  <c r="O18" i="31" s="1"/>
  <c r="P18" i="31" s="1"/>
  <c r="AU4" i="21"/>
  <c r="AX4" i="21" s="1"/>
  <c r="F4" i="31" s="1"/>
  <c r="AS23" i="21"/>
  <c r="AV23" i="21" s="1"/>
  <c r="O23" i="31" s="1"/>
  <c r="P23" i="31" s="1"/>
  <c r="O4" i="31"/>
  <c r="P4" i="31" s="1"/>
  <c r="O3" i="31"/>
  <c r="P3" i="31" s="1"/>
  <c r="AY3" i="21"/>
  <c r="G3" i="31" s="1"/>
  <c r="AS22" i="21"/>
  <c r="AV22" i="21" s="1"/>
  <c r="O22" i="31" s="1"/>
  <c r="P22" i="31" s="1"/>
  <c r="AY14" i="21" l="1"/>
  <c r="G14" i="31" s="1"/>
  <c r="AY17" i="21"/>
  <c r="G17" i="31" s="1"/>
  <c r="AY25" i="21"/>
  <c r="G25" i="31" s="1"/>
  <c r="AY5" i="21"/>
  <c r="G5" i="31" s="1"/>
  <c r="AY6" i="21"/>
  <c r="G6" i="31" s="1"/>
  <c r="AY13" i="21"/>
  <c r="G13" i="31" s="1"/>
  <c r="O9" i="31"/>
  <c r="P9" i="31" s="1"/>
  <c r="AY26" i="21"/>
  <c r="G26" i="31" s="1"/>
  <c r="O15" i="31"/>
  <c r="P15" i="31" s="1"/>
  <c r="AY27" i="21"/>
  <c r="G27" i="31" s="1"/>
  <c r="O7" i="31"/>
  <c r="P7" i="31" s="1"/>
  <c r="AY28" i="21"/>
  <c r="G28" i="31" s="1"/>
  <c r="AY12" i="21"/>
  <c r="G12" i="31" s="1"/>
  <c r="O12" i="31"/>
  <c r="P12" i="31" s="1"/>
  <c r="O24" i="31"/>
  <c r="P24" i="31" s="1"/>
  <c r="AY18" i="21"/>
  <c r="G18" i="31" s="1"/>
  <c r="AY16" i="21"/>
  <c r="G16" i="31" s="1"/>
  <c r="O16" i="31"/>
  <c r="P16" i="31" s="1"/>
  <c r="AY23" i="21"/>
  <c r="G23" i="31" s="1"/>
  <c r="AY22" i="21"/>
  <c r="G22" i="31" s="1"/>
  <c r="C8" i="29" l="1"/>
  <c r="D8" i="29"/>
  <c r="F8" i="29"/>
  <c r="L8" i="29"/>
  <c r="M8" i="29"/>
  <c r="N8" i="29" l="1"/>
  <c r="O8" i="29" s="1"/>
  <c r="P8" i="29" s="1"/>
  <c r="D11" i="31" l="1"/>
  <c r="C11" i="31"/>
  <c r="B11" i="31"/>
  <c r="M11" i="29"/>
  <c r="L11" i="29"/>
  <c r="F11" i="29"/>
  <c r="D11" i="29"/>
  <c r="C11" i="29"/>
  <c r="V11" i="22"/>
  <c r="U11" i="22"/>
  <c r="T11" i="22"/>
  <c r="S11" i="22"/>
  <c r="R11" i="22"/>
  <c r="Q11" i="22"/>
  <c r="F11" i="22"/>
  <c r="D11" i="22"/>
  <c r="C11" i="22"/>
  <c r="AO11" i="21"/>
  <c r="AN11" i="21"/>
  <c r="AL11" i="21"/>
  <c r="AM11" i="21" s="1"/>
  <c r="AJ11" i="21"/>
  <c r="AI11" i="21"/>
  <c r="AH11" i="21"/>
  <c r="AG11" i="21"/>
  <c r="AE11" i="21"/>
  <c r="AD11" i="21"/>
  <c r="AB11" i="21"/>
  <c r="AC11" i="21" s="1"/>
  <c r="Z11" i="21"/>
  <c r="Y11" i="21"/>
  <c r="X11" i="21"/>
  <c r="W11" i="21"/>
  <c r="D11" i="21"/>
  <c r="C11" i="21"/>
  <c r="G11" i="24"/>
  <c r="H11" i="24" s="1"/>
  <c r="I11" i="24" s="1"/>
  <c r="J11" i="24" s="1"/>
  <c r="N11" i="31" s="1"/>
  <c r="X11" i="22" l="1"/>
  <c r="AA11" i="22" s="1"/>
  <c r="AD11" i="22" s="1"/>
  <c r="I11" i="31" s="1"/>
  <c r="N11" i="29"/>
  <c r="W11" i="22"/>
  <c r="AF11" i="21"/>
  <c r="AP11" i="21"/>
  <c r="AA11" i="21"/>
  <c r="AK11" i="21"/>
  <c r="AR11" i="21" l="1"/>
  <c r="AU11" i="21" s="1"/>
  <c r="AX11" i="21" s="1"/>
  <c r="F11" i="31" s="1"/>
  <c r="AQ11" i="21"/>
  <c r="AT11" i="21" s="1"/>
  <c r="AW11" i="21" s="1"/>
  <c r="E11" i="31" s="1"/>
  <c r="T11" i="29"/>
  <c r="U11" i="29" s="1"/>
  <c r="V11" i="29" s="1"/>
  <c r="M11" i="31" s="1"/>
  <c r="O11" i="29"/>
  <c r="P11" i="29" s="1"/>
  <c r="K11" i="31" s="1"/>
  <c r="Q11" i="29"/>
  <c r="R11" i="29" s="1"/>
  <c r="S11" i="29" s="1"/>
  <c r="L11" i="31" s="1"/>
  <c r="Y11" i="22"/>
  <c r="AB11" i="22" s="1"/>
  <c r="AE11" i="22" s="1"/>
  <c r="J11" i="31" s="1"/>
  <c r="Z11" i="22"/>
  <c r="AC11" i="22" s="1"/>
  <c r="H11" i="31" s="1"/>
  <c r="AS11" i="21" l="1"/>
  <c r="AV11" i="21" s="1"/>
  <c r="AY11" i="21" s="1"/>
  <c r="G11" i="31" s="1"/>
  <c r="O11" i="31" l="1"/>
  <c r="P11" i="31" s="1"/>
  <c r="F10" i="22" l="1"/>
  <c r="D10" i="31"/>
  <c r="C10" i="31"/>
  <c r="B10" i="31"/>
  <c r="M10" i="29"/>
  <c r="L10" i="29"/>
  <c r="F10" i="29"/>
  <c r="D10" i="29"/>
  <c r="C10" i="29"/>
  <c r="V10" i="22"/>
  <c r="U10" i="22"/>
  <c r="T10" i="22"/>
  <c r="S10" i="22"/>
  <c r="R10" i="22"/>
  <c r="Q10" i="22"/>
  <c r="D10" i="22"/>
  <c r="C10" i="22"/>
  <c r="AO10" i="21"/>
  <c r="AN10" i="21"/>
  <c r="AL10" i="21"/>
  <c r="AM10" i="21" s="1"/>
  <c r="AJ10" i="21"/>
  <c r="AI10" i="21"/>
  <c r="AH10" i="21"/>
  <c r="AG10" i="21"/>
  <c r="AE10" i="21"/>
  <c r="AD10" i="21"/>
  <c r="AB10" i="21"/>
  <c r="AC10" i="21" s="1"/>
  <c r="Z10" i="21"/>
  <c r="Y10" i="21"/>
  <c r="X10" i="21"/>
  <c r="W10" i="21"/>
  <c r="D10" i="21"/>
  <c r="C10" i="21"/>
  <c r="G10" i="24"/>
  <c r="H10" i="24" s="1"/>
  <c r="I10" i="24" s="1"/>
  <c r="J10" i="24" s="1"/>
  <c r="N10" i="31" s="1"/>
  <c r="AP10" i="21" l="1"/>
  <c r="X10" i="22"/>
  <c r="AA10" i="22" s="1"/>
  <c r="AD10" i="22" s="1"/>
  <c r="I10" i="31" s="1"/>
  <c r="N10" i="29"/>
  <c r="O10" i="29" s="1"/>
  <c r="P10" i="29" s="1"/>
  <c r="K10" i="31" s="1"/>
  <c r="W10" i="22"/>
  <c r="AA10" i="21"/>
  <c r="AF10" i="21"/>
  <c r="AK10" i="21"/>
  <c r="AR10" i="21" l="1"/>
  <c r="AU10" i="21" s="1"/>
  <c r="AX10" i="21" s="1"/>
  <c r="F10" i="31" s="1"/>
  <c r="AQ10" i="21"/>
  <c r="AT10" i="21" s="1"/>
  <c r="AW10" i="21" s="1"/>
  <c r="E10" i="31" s="1"/>
  <c r="Q10" i="29"/>
  <c r="R10" i="29" s="1"/>
  <c r="S10" i="29" s="1"/>
  <c r="L10" i="31" s="1"/>
  <c r="Z10" i="22"/>
  <c r="AC10" i="22" s="1"/>
  <c r="H10" i="31" s="1"/>
  <c r="T10" i="29"/>
  <c r="U10" i="29" s="1"/>
  <c r="V10" i="29" s="1"/>
  <c r="M10" i="31" s="1"/>
  <c r="Y10" i="22"/>
  <c r="AB10" i="22" s="1"/>
  <c r="AE10" i="22" s="1"/>
  <c r="J10" i="31" s="1"/>
  <c r="AS10" i="21" l="1"/>
  <c r="AV10" i="21" s="1"/>
  <c r="AY10" i="21" s="1"/>
  <c r="G10" i="31" s="1"/>
  <c r="O10" i="31" l="1"/>
  <c r="P10" i="31" s="1"/>
  <c r="C8" i="21" l="1"/>
  <c r="D8" i="31" l="1"/>
  <c r="C8" i="31"/>
  <c r="B8" i="31"/>
  <c r="V8" i="22"/>
  <c r="U8" i="22"/>
  <c r="T8" i="22"/>
  <c r="S8" i="22"/>
  <c r="R8" i="22"/>
  <c r="Q8" i="22"/>
  <c r="F8" i="22"/>
  <c r="D8" i="22"/>
  <c r="C8" i="22"/>
  <c r="AO8" i="21"/>
  <c r="AN8" i="21"/>
  <c r="AL8" i="21"/>
  <c r="AM8" i="21" s="1"/>
  <c r="AJ8" i="21"/>
  <c r="AI8" i="21"/>
  <c r="AH8" i="21"/>
  <c r="AG8" i="21"/>
  <c r="AE8" i="21"/>
  <c r="AD8" i="21"/>
  <c r="AB8" i="21"/>
  <c r="AC8" i="21" s="1"/>
  <c r="Z8" i="21"/>
  <c r="Y8" i="21"/>
  <c r="X8" i="21"/>
  <c r="W8" i="21"/>
  <c r="F8" i="21"/>
  <c r="D8" i="21"/>
  <c r="G8" i="24"/>
  <c r="H8" i="24" s="1"/>
  <c r="I8" i="24" s="1"/>
  <c r="J8" i="24" s="1"/>
  <c r="N8" i="31" s="1"/>
  <c r="X8" i="22" l="1"/>
  <c r="AA8" i="21"/>
  <c r="AF8" i="21"/>
  <c r="K8" i="31"/>
  <c r="AK8" i="21"/>
  <c r="AP8" i="21"/>
  <c r="W8" i="22"/>
  <c r="Z8" i="22" l="1"/>
  <c r="AC8" i="22" s="1"/>
  <c r="H8" i="31" s="1"/>
  <c r="Q8" i="29"/>
  <c r="R8" i="29" s="1"/>
  <c r="S8" i="29" s="1"/>
  <c r="L8" i="31" s="1"/>
  <c r="T8" i="29"/>
  <c r="U8" i="29" s="1"/>
  <c r="V8" i="29" s="1"/>
  <c r="M8" i="31" s="1"/>
  <c r="Y8" i="22"/>
  <c r="AB8" i="22" s="1"/>
  <c r="AE8" i="22" s="1"/>
  <c r="J8" i="31" s="1"/>
  <c r="AQ8" i="21"/>
  <c r="AT8" i="21" s="1"/>
  <c r="AW8" i="21" s="1"/>
  <c r="E8" i="31" s="1"/>
  <c r="AA8" i="22"/>
  <c r="AD8" i="22" s="1"/>
  <c r="I8" i="31" s="1"/>
  <c r="AR8" i="21"/>
  <c r="AU8" i="21" l="1"/>
  <c r="AX8" i="21" s="1"/>
  <c r="F8" i="31" s="1"/>
  <c r="AS8" i="21"/>
  <c r="AV8" i="21" s="1"/>
  <c r="AY8" i="21" l="1"/>
  <c r="G8" i="31" s="1"/>
  <c r="O8" i="31"/>
  <c r="P8" i="31" s="1"/>
</calcChain>
</file>

<file path=xl/sharedStrings.xml><?xml version="1.0" encoding="utf-8"?>
<sst xmlns="http://schemas.openxmlformats.org/spreadsheetml/2006/main" count="434" uniqueCount="156">
  <si>
    <t>Nij</t>
  </si>
  <si>
    <t>P(head)</t>
  </si>
  <si>
    <t>P(Nij)</t>
  </si>
  <si>
    <t>P(chest)</t>
  </si>
  <si>
    <t>P(femur)</t>
  </si>
  <si>
    <t>P(Ntension)</t>
  </si>
  <si>
    <t>P(Neck)</t>
  </si>
  <si>
    <t>p(AIS 3+)</t>
  </si>
  <si>
    <t>P(AIS3+)</t>
  </si>
  <si>
    <t>Average</t>
  </si>
  <si>
    <t>Lower Spine (G's)</t>
  </si>
  <si>
    <t>Abd'm Force (N)</t>
  </si>
  <si>
    <t>Pubic Force (N)</t>
  </si>
  <si>
    <t>Driver</t>
  </si>
  <si>
    <t>P(abdm)</t>
  </si>
  <si>
    <t>P(pelvs)</t>
  </si>
  <si>
    <t>Passenger</t>
  </si>
  <si>
    <t>P(AIS 3+)</t>
  </si>
  <si>
    <t>Make</t>
  </si>
  <si>
    <t>Model</t>
  </si>
  <si>
    <t>Year</t>
  </si>
  <si>
    <t>SSF</t>
  </si>
  <si>
    <t>P(Lfemur)</t>
  </si>
  <si>
    <t>P(Rfemur)</t>
  </si>
  <si>
    <t>HIC15</t>
  </si>
  <si>
    <t>P(HIC15)</t>
  </si>
  <si>
    <t>Test No.</t>
  </si>
  <si>
    <t>Driver HIII 50M</t>
  </si>
  <si>
    <t>Front Passenger HIII 5F</t>
  </si>
  <si>
    <t>Driver AIS 3+ injury to different body regions</t>
  </si>
  <si>
    <t>Front Passenger AIS 3+ injury to different body regions</t>
  </si>
  <si>
    <t>Stars</t>
  </si>
  <si>
    <t>Rib Defl
(mm)</t>
  </si>
  <si>
    <t>Neck Tension N</t>
  </si>
  <si>
    <t>Chest Deflection mm</t>
  </si>
  <si>
    <t>3 ms clip gs</t>
  </si>
  <si>
    <t>Left Femur Force N</t>
  </si>
  <si>
    <t>Right Femur Force N</t>
  </si>
  <si>
    <t>Abd'm defl (mm)</t>
  </si>
  <si>
    <t>Iliac+acet Force (N)</t>
  </si>
  <si>
    <t>Driver ES-2re</t>
  </si>
  <si>
    <t>Rear Passenger SID-IIs</t>
  </si>
  <si>
    <t>Driver Es-2re</t>
  </si>
  <si>
    <t>Side MDB</t>
  </si>
  <si>
    <t>stars</t>
  </si>
  <si>
    <t>Side pole</t>
  </si>
  <si>
    <t>Driver SID-IIs</t>
  </si>
  <si>
    <t>P(roll)</t>
  </si>
  <si>
    <t>Combined</t>
  </si>
  <si>
    <t>Front (STARS)</t>
  </si>
  <si>
    <t>comb.</t>
  </si>
  <si>
    <t>Side MDB (STARS)</t>
  </si>
  <si>
    <t>Pass</t>
  </si>
  <si>
    <t>Comb.</t>
  </si>
  <si>
    <t>Side Pole (STARS)</t>
  </si>
  <si>
    <t>Rollover (STARS)</t>
  </si>
  <si>
    <t>VSS</t>
  </si>
  <si>
    <t>STARS</t>
  </si>
  <si>
    <t>HIC36</t>
  </si>
  <si>
    <t>Overall Side</t>
  </si>
  <si>
    <t>Neck Comprsn N</t>
  </si>
  <si>
    <t>P(Ncomprsn)</t>
  </si>
  <si>
    <t>P(NComprsn)</t>
  </si>
  <si>
    <t>RRS (front)</t>
  </si>
  <si>
    <t>RRS (MDB)</t>
  </si>
  <si>
    <t>RRS(pole)</t>
  </si>
  <si>
    <t>RRS(roll)</t>
  </si>
  <si>
    <t>Passenger*</t>
  </si>
  <si>
    <t>Dynamic Test (Y or N)</t>
  </si>
  <si>
    <t>TIP UP? (Y or N)</t>
  </si>
  <si>
    <t>Max. Abd'm rib defl (mm)</t>
  </si>
  <si>
    <t>Max. Thor. rib defl
(mm)</t>
  </si>
  <si>
    <t>Lower Spine result. (G's)</t>
  </si>
  <si>
    <t>Date on Web</t>
  </si>
  <si>
    <t>Lab</t>
  </si>
  <si>
    <t xml:space="preserve">RRS </t>
  </si>
  <si>
    <t>RRS(Overall side)</t>
  </si>
  <si>
    <t>P(Overall side)</t>
  </si>
  <si>
    <t>P(Overall MDB+pole Driver)</t>
  </si>
  <si>
    <t>RRS(Overall MDB+pole Driver)</t>
  </si>
  <si>
    <t>overall Driver stars</t>
  </si>
  <si>
    <t>Overall Side stars</t>
  </si>
  <si>
    <t>NHTSA No.</t>
  </si>
  <si>
    <t>Overall Side STARS</t>
  </si>
  <si>
    <t>Overall Side Driver STARS</t>
  </si>
  <si>
    <t>Rollover</t>
  </si>
  <si>
    <t>Kia</t>
  </si>
  <si>
    <t>Seltos SUV FWD</t>
  </si>
  <si>
    <t>Seltos SUV AWD</t>
  </si>
  <si>
    <t>Y</t>
  </si>
  <si>
    <t>N</t>
  </si>
  <si>
    <t>O20214201</t>
  </si>
  <si>
    <t>MGA</t>
  </si>
  <si>
    <t>O20214202</t>
  </si>
  <si>
    <t>O20214200</t>
  </si>
  <si>
    <t>Buick</t>
  </si>
  <si>
    <t>Chevrolet</t>
  </si>
  <si>
    <t>Encore GX SUV FWD</t>
  </si>
  <si>
    <t>Encore GX SUV AWD</t>
  </si>
  <si>
    <t xml:space="preserve">Ford </t>
  </si>
  <si>
    <t>Transit Connect Wagon FWD</t>
  </si>
  <si>
    <t>Transit Connect Van FWD</t>
  </si>
  <si>
    <t>K5 4DR FWD</t>
  </si>
  <si>
    <t>Lexus</t>
  </si>
  <si>
    <t>RX 350 SUV FWD</t>
  </si>
  <si>
    <t>RX 350 SUV AWD</t>
  </si>
  <si>
    <t>RX 350L SUV FWD</t>
  </si>
  <si>
    <t>RX 350L SUV AWD</t>
  </si>
  <si>
    <t>RX 450h SUV AWD</t>
  </si>
  <si>
    <t>RX 450hL SUV AWD</t>
  </si>
  <si>
    <t>Mercedes-Benz</t>
  </si>
  <si>
    <t>E-Class 4DR RWD</t>
  </si>
  <si>
    <t>E-Class 4DR 4WD</t>
  </si>
  <si>
    <t>E-Class SW RWD</t>
  </si>
  <si>
    <t>E-Class SW 4WD</t>
  </si>
  <si>
    <t>GLC Class SUV RWD</t>
  </si>
  <si>
    <t>GLC Class SUV 4WD</t>
  </si>
  <si>
    <t>Subaru</t>
  </si>
  <si>
    <t>Outback SW AWD</t>
  </si>
  <si>
    <t>Legacy 4DR AWD</t>
  </si>
  <si>
    <t>Toyota</t>
  </si>
  <si>
    <t>Corolla 4DR FWD</t>
  </si>
  <si>
    <t>Corolla Hybrid 4DR FWD</t>
  </si>
  <si>
    <t>Corolla Hatchback 5HB FWD</t>
  </si>
  <si>
    <t>TRC</t>
  </si>
  <si>
    <t>M20200101</t>
  </si>
  <si>
    <t>Calspan</t>
  </si>
  <si>
    <t>KARCO</t>
  </si>
  <si>
    <t>M20165105</t>
  </si>
  <si>
    <t>M20165104</t>
  </si>
  <si>
    <t>M20174302</t>
  </si>
  <si>
    <t>M20174301</t>
  </si>
  <si>
    <t>M20184302</t>
  </si>
  <si>
    <t>M20184301</t>
  </si>
  <si>
    <t>O20205504</t>
  </si>
  <si>
    <t>O20205501</t>
  </si>
  <si>
    <t>O20205503</t>
  </si>
  <si>
    <t>O20205500</t>
  </si>
  <si>
    <t>O20195100</t>
  </si>
  <si>
    <t>O20195101</t>
  </si>
  <si>
    <t>O20214205</t>
  </si>
  <si>
    <t>O20214203</t>
  </si>
  <si>
    <t>O20214204</t>
  </si>
  <si>
    <t>O20210101</t>
  </si>
  <si>
    <t>O20210100</t>
  </si>
  <si>
    <t>Trailblazer SUV FWD (Later Release)</t>
  </si>
  <si>
    <t>Trailblazer SUV AWD (Later Release)</t>
  </si>
  <si>
    <t>O20215104</t>
  </si>
  <si>
    <t>M20210218</t>
  </si>
  <si>
    <t>M20210220</t>
  </si>
  <si>
    <t>N/A</t>
  </si>
  <si>
    <t>M20210219</t>
  </si>
  <si>
    <t>O20215500</t>
  </si>
  <si>
    <t>M20214302</t>
  </si>
  <si>
    <t>M20215102</t>
  </si>
  <si>
    <t>M20214306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</si>
</sst>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[$-409]d\-mmm;@"/>
    <numFmt numFmtId="167" formatCode="[$-409]mmmm\-yy;@"/>
    <numFmt numFmtId="168" formatCode="_-* #,##0_-;\-* #,##0_-;_-* &quot;-&quot;_-;_-@_-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돋움"/>
      <family val="3"/>
      <charset val="129"/>
    </font>
    <font>
      <sz val="11"/>
      <name val="ＭＳ Ｐゴシック"/>
      <family val="3"/>
      <charset val="128"/>
    </font>
    <font>
      <i/>
      <sz val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16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1" fillId="0" borderId="0"/>
  </cellStyleXfs>
  <cellXfs count="243">
    <xf numFmtId="0" fontId="0" fillId="0" borderId="0" xfId="0"/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4" fillId="0" borderId="0" xfId="0" applyFont="1" applyFill="1" applyBorder="1"/>
    <xf numFmtId="164" fontId="5" fillId="0" borderId="0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5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3" fillId="0" borderId="1" xfId="1" applyFont="1" applyFill="1" applyBorder="1" applyAlignment="1" applyProtection="1">
      <alignment horizontal="center"/>
      <protection locked="0"/>
    </xf>
    <xf numFmtId="164" fontId="3" fillId="0" borderId="4" xfId="1" applyNumberFormat="1" applyFont="1" applyFill="1" applyBorder="1" applyAlignment="1" applyProtection="1">
      <alignment horizontal="center"/>
      <protection locked="0"/>
    </xf>
    <xf numFmtId="164" fontId="3" fillId="0" borderId="1" xfId="1" applyNumberFormat="1" applyFont="1" applyFill="1" applyBorder="1" applyAlignment="1" applyProtection="1">
      <alignment horizontal="center"/>
      <protection locked="0"/>
    </xf>
    <xf numFmtId="164" fontId="3" fillId="0" borderId="5" xfId="1" applyNumberFormat="1" applyFont="1" applyFill="1" applyBorder="1" applyAlignment="1" applyProtection="1">
      <alignment horizontal="center"/>
      <protection locked="0"/>
    </xf>
    <xf numFmtId="1" fontId="5" fillId="0" borderId="4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" fontId="5" fillId="0" borderId="28" xfId="0" applyNumberFormat="1" applyFont="1" applyFill="1" applyBorder="1" applyAlignment="1">
      <alignment horizontal="center"/>
    </xf>
    <xf numFmtId="1" fontId="5" fillId="0" borderId="29" xfId="0" applyNumberFormat="1" applyFont="1" applyFill="1" applyBorder="1" applyAlignment="1">
      <alignment horizontal="center"/>
    </xf>
    <xf numFmtId="1" fontId="5" fillId="0" borderId="30" xfId="0" applyNumberFormat="1" applyFont="1" applyFill="1" applyBorder="1" applyAlignment="1">
      <alignment horizontal="center"/>
    </xf>
    <xf numFmtId="2" fontId="5" fillId="0" borderId="28" xfId="0" applyNumberFormat="1" applyFont="1" applyFill="1" applyBorder="1" applyAlignment="1">
      <alignment horizontal="center"/>
    </xf>
    <xf numFmtId="2" fontId="5" fillId="0" borderId="29" xfId="0" applyNumberFormat="1" applyFont="1" applyFill="1" applyBorder="1" applyAlignment="1">
      <alignment horizontal="center"/>
    </xf>
    <xf numFmtId="2" fontId="5" fillId="0" borderId="30" xfId="0" applyNumberFormat="1" applyFont="1" applyFill="1" applyBorder="1" applyAlignment="1">
      <alignment horizontal="center"/>
    </xf>
    <xf numFmtId="2" fontId="5" fillId="0" borderId="20" xfId="0" applyNumberFormat="1" applyFont="1" applyFill="1" applyBorder="1" applyAlignment="1">
      <alignment horizontal="center"/>
    </xf>
    <xf numFmtId="2" fontId="5" fillId="0" borderId="21" xfId="0" applyNumberFormat="1" applyFont="1" applyFill="1" applyBorder="1" applyAlignment="1">
      <alignment horizontal="center"/>
    </xf>
    <xf numFmtId="2" fontId="5" fillId="0" borderId="22" xfId="0" applyNumberFormat="1" applyFont="1" applyFill="1" applyBorder="1" applyAlignment="1">
      <alignment horizontal="center"/>
    </xf>
    <xf numFmtId="2" fontId="5" fillId="0" borderId="30" xfId="0" applyNumberFormat="1" applyFont="1" applyFill="1" applyBorder="1" applyAlignment="1">
      <alignment horizontal="center" wrapText="1"/>
    </xf>
    <xf numFmtId="1" fontId="5" fillId="0" borderId="20" xfId="0" applyNumberFormat="1" applyFont="1" applyFill="1" applyBorder="1" applyAlignment="1">
      <alignment horizontal="center"/>
    </xf>
    <xf numFmtId="1" fontId="5" fillId="0" borderId="21" xfId="0" applyNumberFormat="1" applyFont="1" applyFill="1" applyBorder="1" applyAlignment="1">
      <alignment horizontal="center"/>
    </xf>
    <xf numFmtId="1" fontId="5" fillId="0" borderId="22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/>
    <xf numFmtId="164" fontId="4" fillId="0" borderId="0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5" fontId="3" fillId="0" borderId="4" xfId="0" applyNumberFormat="1" applyFont="1" applyFill="1" applyBorder="1" applyAlignment="1"/>
    <xf numFmtId="0" fontId="5" fillId="0" borderId="2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 applyAlignment="1" applyProtection="1">
      <alignment horizontal="center"/>
    </xf>
    <xf numFmtId="2" fontId="5" fillId="0" borderId="15" xfId="0" applyNumberFormat="1" applyFont="1" applyFill="1" applyBorder="1" applyAlignment="1" applyProtection="1">
      <alignment horizontal="center"/>
    </xf>
    <xf numFmtId="0" fontId="4" fillId="0" borderId="0" xfId="0" applyFont="1" applyFill="1"/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</xf>
    <xf numFmtId="2" fontId="5" fillId="0" borderId="21" xfId="0" applyNumberFormat="1" applyFont="1" applyFill="1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5" xfId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6" fillId="0" borderId="0" xfId="0" applyFont="1" applyFill="1"/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Protection="1"/>
    <xf numFmtId="2" fontId="6" fillId="0" borderId="0" xfId="0" applyNumberFormat="1" applyFont="1" applyFill="1" applyProtection="1"/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1" fontId="5" fillId="0" borderId="42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" fontId="5" fillId="0" borderId="37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1" fontId="5" fillId="0" borderId="43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/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3" fontId="5" fillId="0" borderId="0" xfId="0" applyNumberFormat="1" applyFont="1" applyFill="1" applyAlignment="1"/>
    <xf numFmtId="1" fontId="5" fillId="0" borderId="0" xfId="0" applyNumberFormat="1" applyFont="1" applyFill="1" applyAlignment="1"/>
    <xf numFmtId="2" fontId="3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3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" fontId="10" fillId="0" borderId="0" xfId="0" applyNumberFormat="1" applyFont="1" applyFill="1" applyAlignment="1"/>
    <xf numFmtId="164" fontId="5" fillId="0" borderId="33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/>
    <xf numFmtId="164" fontId="4" fillId="0" borderId="0" xfId="0" applyNumberFormat="1" applyFont="1" applyFill="1" applyAlignment="1"/>
    <xf numFmtId="0" fontId="5" fillId="0" borderId="23" xfId="0" applyFont="1" applyFill="1" applyBorder="1" applyAlignment="1" applyProtection="1">
      <alignment horizontal="center"/>
      <protection locked="0"/>
    </xf>
    <xf numFmtId="0" fontId="5" fillId="0" borderId="24" xfId="0" applyFont="1" applyFill="1" applyBorder="1" applyAlignment="1" applyProtection="1">
      <alignment horizontal="center"/>
      <protection locked="0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164" fontId="5" fillId="0" borderId="24" xfId="0" applyNumberFormat="1" applyFont="1" applyFill="1" applyBorder="1" applyAlignment="1">
      <alignment horizontal="center"/>
    </xf>
    <xf numFmtId="164" fontId="5" fillId="0" borderId="26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0" xfId="0" applyFont="1" applyFill="1" applyBorder="1" applyAlignment="1" applyProtection="1">
      <alignment horizontal="center"/>
      <protection locked="0"/>
    </xf>
    <xf numFmtId="0" fontId="5" fillId="0" borderId="27" xfId="0" applyFont="1" applyFill="1" applyBorder="1" applyAlignment="1" applyProtection="1">
      <alignment horizontal="center"/>
      <protection locked="0"/>
    </xf>
    <xf numFmtId="164" fontId="5" fillId="0" borderId="20" xfId="0" applyNumberFormat="1" applyFont="1" applyFill="1" applyBorder="1" applyAlignment="1">
      <alignment horizontal="center" wrapText="1"/>
    </xf>
    <xf numFmtId="164" fontId="5" fillId="0" borderId="21" xfId="0" applyNumberFormat="1" applyFont="1" applyFill="1" applyBorder="1" applyAlignment="1">
      <alignment horizontal="center" wrapText="1"/>
    </xf>
    <xf numFmtId="164" fontId="5" fillId="0" borderId="2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quotePrefix="1" applyFont="1" applyFill="1" applyBorder="1" applyAlignment="1" applyProtection="1">
      <alignment horizontal="center"/>
      <protection locked="0"/>
    </xf>
    <xf numFmtId="0" fontId="5" fillId="0" borderId="4" xfId="17" applyFont="1" applyFill="1" applyBorder="1" applyAlignment="1">
      <alignment horizontal="center"/>
    </xf>
    <xf numFmtId="0" fontId="5" fillId="0" borderId="1" xfId="17" applyFont="1" applyFill="1" applyBorder="1" applyAlignment="1">
      <alignment horizontal="center" wrapText="1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17" applyFont="1" applyFill="1" applyBorder="1" applyAlignment="1">
      <alignment horizontal="center"/>
    </xf>
    <xf numFmtId="0" fontId="3" fillId="0" borderId="1" xfId="17" applyFont="1" applyFill="1" applyBorder="1" applyAlignment="1">
      <alignment horizontal="center" wrapText="1"/>
    </xf>
    <xf numFmtId="0" fontId="5" fillId="0" borderId="1" xfId="17" applyFont="1" applyFill="1" applyBorder="1" applyAlignment="1">
      <alignment horizontal="center"/>
    </xf>
    <xf numFmtId="0" fontId="3" fillId="0" borderId="1" xfId="17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" fontId="3" fillId="0" borderId="4" xfId="0" applyNumberFormat="1" applyFont="1" applyFill="1" applyBorder="1" applyAlignment="1"/>
    <xf numFmtId="1" fontId="5" fillId="0" borderId="23" xfId="0" applyNumberFormat="1" applyFont="1" applyFill="1" applyBorder="1" applyAlignment="1">
      <alignment horizontal="center"/>
    </xf>
    <xf numFmtId="1" fontId="5" fillId="0" borderId="24" xfId="0" applyNumberFormat="1" applyFont="1" applyFill="1" applyBorder="1" applyAlignment="1">
      <alignment horizontal="center"/>
    </xf>
    <xf numFmtId="0" fontId="5" fillId="0" borderId="24" xfId="0" applyNumberFormat="1" applyFont="1" applyFill="1" applyBorder="1" applyAlignment="1" applyProtection="1">
      <alignment horizontal="center"/>
    </xf>
    <xf numFmtId="164" fontId="5" fillId="0" borderId="25" xfId="0" applyNumberFormat="1" applyFont="1" applyFill="1" applyBorder="1" applyAlignment="1" applyProtection="1">
      <alignment horizontal="center"/>
    </xf>
    <xf numFmtId="1" fontId="5" fillId="0" borderId="25" xfId="0" applyNumberFormat="1" applyFont="1" applyFill="1" applyBorder="1" applyAlignment="1" applyProtection="1">
      <alignment horizontal="center"/>
    </xf>
    <xf numFmtId="164" fontId="5" fillId="0" borderId="31" xfId="0" applyNumberFormat="1" applyFont="1" applyFill="1" applyBorder="1" applyAlignment="1">
      <alignment horizontal="center"/>
    </xf>
    <xf numFmtId="164" fontId="5" fillId="0" borderId="32" xfId="0" applyNumberFormat="1" applyFont="1" applyFill="1" applyBorder="1" applyAlignment="1">
      <alignment horizontal="center"/>
    </xf>
    <xf numFmtId="164" fontId="5" fillId="0" borderId="20" xfId="0" applyNumberFormat="1" applyFont="1" applyFill="1" applyBorder="1" applyAlignment="1">
      <alignment horizontal="center"/>
    </xf>
    <xf numFmtId="164" fontId="5" fillId="0" borderId="21" xfId="0" applyNumberFormat="1" applyFont="1" applyFill="1" applyBorder="1" applyAlignment="1">
      <alignment horizontal="center"/>
    </xf>
    <xf numFmtId="0" fontId="5" fillId="0" borderId="21" xfId="0" applyNumberFormat="1" applyFont="1" applyFill="1" applyBorder="1" applyAlignment="1" applyProtection="1">
      <alignment horizontal="center"/>
    </xf>
    <xf numFmtId="164" fontId="5" fillId="0" borderId="27" xfId="0" applyNumberFormat="1" applyFont="1" applyFill="1" applyBorder="1" applyAlignment="1" applyProtection="1">
      <alignment horizontal="center"/>
    </xf>
    <xf numFmtId="1" fontId="5" fillId="0" borderId="22" xfId="0" applyNumberFormat="1" applyFont="1" applyFill="1" applyBorder="1" applyAlignment="1" applyProtection="1">
      <alignment horizontal="center"/>
    </xf>
    <xf numFmtId="164" fontId="5" fillId="0" borderId="27" xfId="0" applyNumberFormat="1" applyFont="1" applyFill="1" applyBorder="1" applyAlignment="1">
      <alignment horizontal="center" wrapText="1"/>
    </xf>
    <xf numFmtId="164" fontId="5" fillId="0" borderId="27" xfId="0" applyNumberFormat="1" applyFont="1" applyFill="1" applyBorder="1" applyAlignment="1">
      <alignment horizontal="center"/>
    </xf>
    <xf numFmtId="1" fontId="5" fillId="0" borderId="22" xfId="0" applyNumberFormat="1" applyFont="1" applyFill="1" applyBorder="1" applyAlignment="1">
      <alignment horizontal="center" wrapText="1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</xf>
    <xf numFmtId="1" fontId="3" fillId="0" borderId="5" xfId="0" applyNumberFormat="1" applyFont="1" applyFill="1" applyBorder="1" applyAlignment="1" applyProtection="1">
      <alignment horizontal="center"/>
    </xf>
    <xf numFmtId="164" fontId="3" fillId="0" borderId="6" xfId="0" applyNumberFormat="1" applyFont="1" applyFill="1" applyBorder="1" applyAlignment="1" applyProtection="1">
      <alignment horizontal="center"/>
      <protection locked="0"/>
    </xf>
    <xf numFmtId="164" fontId="3" fillId="0" borderId="3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/>
    <xf numFmtId="164" fontId="6" fillId="0" borderId="0" xfId="0" applyNumberFormat="1" applyFont="1" applyFill="1" applyBorder="1"/>
    <xf numFmtId="164" fontId="6" fillId="0" borderId="0" xfId="0" applyNumberFormat="1" applyFont="1" applyFill="1"/>
    <xf numFmtId="0" fontId="3" fillId="0" borderId="1" xfId="0" applyNumberFormat="1" applyFont="1" applyFill="1" applyBorder="1" applyAlignment="1" applyProtection="1">
      <alignment horizontal="center"/>
    </xf>
    <xf numFmtId="1" fontId="3" fillId="0" borderId="4" xfId="1" applyNumberFormat="1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/>
    <xf numFmtId="0" fontId="6" fillId="0" borderId="0" xfId="0" applyNumberFormat="1" applyFont="1" applyFill="1" applyProtection="1"/>
    <xf numFmtId="164" fontId="6" fillId="0" borderId="0" xfId="0" applyNumberFormat="1" applyFont="1" applyFill="1" applyProtection="1"/>
    <xf numFmtId="1" fontId="6" fillId="0" borderId="0" xfId="0" applyNumberFormat="1" applyFont="1" applyFill="1" applyProtection="1"/>
    <xf numFmtId="164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2" fontId="5" fillId="0" borderId="28" xfId="0" applyNumberFormat="1" applyFont="1" applyFill="1" applyBorder="1" applyAlignment="1">
      <alignment horizontal="center" wrapText="1"/>
    </xf>
    <xf numFmtId="2" fontId="5" fillId="0" borderId="29" xfId="0" applyNumberFormat="1" applyFont="1" applyFill="1" applyBorder="1" applyAlignment="1">
      <alignment horizontal="center" wrapText="1"/>
    </xf>
    <xf numFmtId="1" fontId="5" fillId="0" borderId="34" xfId="0" applyNumberFormat="1" applyFont="1" applyFill="1" applyBorder="1" applyAlignment="1">
      <alignment horizontal="center" wrapText="1"/>
    </xf>
    <xf numFmtId="1" fontId="5" fillId="0" borderId="29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Protection="1">
      <protection locked="0"/>
    </xf>
    <xf numFmtId="2" fontId="6" fillId="0" borderId="0" xfId="0" applyNumberFormat="1" applyFont="1" applyFill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/>
    <xf numFmtId="0" fontId="5" fillId="0" borderId="25" xfId="0" applyFont="1" applyFill="1" applyBorder="1" applyAlignment="1"/>
    <xf numFmtId="164" fontId="4" fillId="0" borderId="32" xfId="0" applyNumberFormat="1" applyFont="1" applyFill="1" applyBorder="1" applyAlignment="1">
      <alignment horizontal="center"/>
    </xf>
    <xf numFmtId="164" fontId="4" fillId="0" borderId="33" xfId="0" applyNumberFormat="1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2" fontId="5" fillId="0" borderId="35" xfId="0" applyNumberFormat="1" applyFont="1" applyFill="1" applyBorder="1" applyAlignment="1">
      <alignment horizontal="center"/>
    </xf>
    <xf numFmtId="1" fontId="5" fillId="0" borderId="35" xfId="0" applyNumberFormat="1" applyFont="1" applyFill="1" applyBorder="1" applyAlignment="1">
      <alignment horizontal="center"/>
    </xf>
    <xf numFmtId="1" fontId="5" fillId="0" borderId="27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5" fillId="0" borderId="27" xfId="0" applyFont="1" applyFill="1" applyBorder="1" applyAlignment="1">
      <alignment horizontal="center"/>
    </xf>
    <xf numFmtId="164" fontId="5" fillId="0" borderId="28" xfId="0" applyNumberFormat="1" applyFont="1" applyFill="1" applyBorder="1" applyAlignment="1">
      <alignment horizontal="center"/>
    </xf>
    <xf numFmtId="164" fontId="5" fillId="0" borderId="29" xfId="0" applyNumberFormat="1" applyFont="1" applyFill="1" applyBorder="1" applyAlignment="1">
      <alignment horizontal="center"/>
    </xf>
    <xf numFmtId="164" fontId="5" fillId="0" borderId="29" xfId="0" applyNumberFormat="1" applyFont="1" applyFill="1" applyBorder="1" applyAlignment="1">
      <alignment horizontal="center" wrapText="1"/>
    </xf>
    <xf numFmtId="164" fontId="5" fillId="0" borderId="30" xfId="0" applyNumberFormat="1" applyFont="1" applyFill="1" applyBorder="1" applyAlignment="1">
      <alignment horizontal="center" wrapText="1"/>
    </xf>
    <xf numFmtId="2" fontId="5" fillId="0" borderId="34" xfId="0" applyNumberFormat="1" applyFont="1" applyFill="1" applyBorder="1" applyAlignment="1">
      <alignment horizontal="center"/>
    </xf>
    <xf numFmtId="2" fontId="11" fillId="0" borderId="29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164" fontId="5" fillId="0" borderId="30" xfId="0" applyNumberFormat="1" applyFont="1" applyFill="1" applyBorder="1" applyAlignment="1">
      <alignment horizontal="center"/>
    </xf>
    <xf numFmtId="2" fontId="5" fillId="0" borderId="34" xfId="0" applyNumberFormat="1" applyFont="1" applyFill="1" applyBorder="1" applyAlignment="1">
      <alignment horizontal="center" wrapText="1"/>
    </xf>
    <xf numFmtId="1" fontId="5" fillId="0" borderId="36" xfId="0" applyNumberFormat="1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/>
      <protection locked="0"/>
    </xf>
    <xf numFmtId="164" fontId="3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  <protection locked="0"/>
    </xf>
    <xf numFmtId="164" fontId="3" fillId="0" borderId="19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39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 vertical="center" wrapText="1"/>
    </xf>
    <xf numFmtId="2" fontId="6" fillId="0" borderId="0" xfId="0" applyNumberFormat="1" applyFont="1" applyFill="1"/>
    <xf numFmtId="1" fontId="4" fillId="0" borderId="0" xfId="0" applyNumberFormat="1" applyFont="1" applyFill="1"/>
    <xf numFmtId="1" fontId="4" fillId="0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164" fontId="5" fillId="0" borderId="0" xfId="0" applyNumberFormat="1" applyFont="1" applyFill="1"/>
    <xf numFmtId="0" fontId="5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4" fontId="9" fillId="0" borderId="0" xfId="0" applyNumberFormat="1" applyFont="1" applyFill="1"/>
  </cellXfs>
  <cellStyles count="18">
    <cellStyle name="Normal" xfId="0" builtinId="0"/>
    <cellStyle name="Normal 10 2" xfId="8"/>
    <cellStyle name="Normal 141" xfId="17"/>
    <cellStyle name="Normal 2" xfId="1"/>
    <cellStyle name="Normal 3" xfId="2"/>
    <cellStyle name="Normal 3 2" xfId="3"/>
    <cellStyle name="Normal 71" xfId="9"/>
    <cellStyle name="Normal 74" xfId="15"/>
    <cellStyle name="Normal 75" xfId="5"/>
    <cellStyle name="Normal 76" xfId="16"/>
    <cellStyle name="Normal 77" xfId="13"/>
    <cellStyle name="Normal 78" xfId="4"/>
    <cellStyle name="Normal 81" xfId="6"/>
    <cellStyle name="Normal 82" xfId="10"/>
    <cellStyle name="Standard 3 3" xfId="14"/>
    <cellStyle name="쉼표 [0] 2 4" xfId="12"/>
    <cellStyle name="표준 10" xfId="7"/>
    <cellStyle name="표준_Sheet1" xfId="11"/>
  </cellStyles>
  <dxfs count="0"/>
  <tableStyles count="0" defaultTableStyle="TableStyleMedium9" defaultPivotStyle="PivotStyleLight16"/>
  <colors>
    <mruColors>
      <color rgb="FF0000FF"/>
      <color rgb="FF800080"/>
      <color rgb="FF990099"/>
      <color rgb="FFB3B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ulemaking/NCAPDATA/NCAP2021/2021%20BSC%20SPREADSHEETS/2021%20BSC%20CONFIDENTIAL/Mercedes-Benz/MY21%20Early%20Intro%2022%20BSC%20Request%20-%20Confidential%20Business%20Inform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Sheet CW"/>
      <sheetName val="Information Sheet CA"/>
      <sheetName val="CA Data"/>
      <sheetName val="SAB OOP"/>
      <sheetName val="Source She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C2" t="str">
            <v>2 DR</v>
          </cell>
        </row>
        <row r="3">
          <cell r="C3" t="str">
            <v>3 C</v>
          </cell>
        </row>
        <row r="4">
          <cell r="C4" t="str">
            <v>3 HB</v>
          </cell>
        </row>
        <row r="5">
          <cell r="C5" t="str">
            <v>4 DR</v>
          </cell>
        </row>
        <row r="6">
          <cell r="C6" t="str">
            <v>5 HB</v>
          </cell>
        </row>
        <row r="7">
          <cell r="C7" t="str">
            <v>C</v>
          </cell>
        </row>
        <row r="8">
          <cell r="C8" t="str">
            <v>MV</v>
          </cell>
        </row>
        <row r="9">
          <cell r="C9" t="str">
            <v>PU/CC</v>
          </cell>
        </row>
        <row r="10">
          <cell r="C10" t="str">
            <v>PU/EC</v>
          </cell>
        </row>
        <row r="11">
          <cell r="C11" t="str">
            <v>PU/RC</v>
          </cell>
        </row>
        <row r="12">
          <cell r="C12" t="str">
            <v>SUV</v>
          </cell>
        </row>
        <row r="13">
          <cell r="C13" t="str">
            <v>SW</v>
          </cell>
        </row>
        <row r="14">
          <cell r="C14" t="str">
            <v>VAN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12" sqref="A12:XFD17"/>
    </sheetView>
  </sheetViews>
  <sheetFormatPr defaultColWidth="9.42578125" defaultRowHeight="13.35" customHeight="1"/>
  <cols>
    <col min="1" max="1" width="13.5703125" style="68" customWidth="1"/>
    <col min="2" max="2" width="39.42578125" style="68" bestFit="1" customWidth="1"/>
    <col min="3" max="3" width="4.5703125" style="65" bestFit="1" customWidth="1"/>
    <col min="4" max="4" width="4.42578125" style="65" bestFit="1" customWidth="1"/>
    <col min="5" max="5" width="18" style="65" bestFit="1" customWidth="1"/>
    <col min="6" max="6" width="13.42578125" style="65" bestFit="1" customWidth="1"/>
    <col min="7" max="7" width="7.5703125" style="69" customWidth="1"/>
    <col min="8" max="8" width="7.42578125" style="69" bestFit="1" customWidth="1"/>
    <col min="9" max="9" width="7.5703125" style="70" bestFit="1" customWidth="1"/>
    <col min="10" max="10" width="7.42578125" style="69" bestFit="1" customWidth="1"/>
    <col min="11" max="16384" width="9.42578125" style="65"/>
  </cols>
  <sheetData>
    <row r="1" spans="1:10" s="52" customFormat="1" ht="13.35" customHeight="1" thickBot="1">
      <c r="A1" s="49"/>
      <c r="B1" s="49"/>
      <c r="C1" s="49"/>
      <c r="D1" s="49"/>
      <c r="E1" s="49"/>
      <c r="F1" s="49"/>
      <c r="G1" s="50"/>
      <c r="H1" s="50"/>
      <c r="I1" s="51"/>
      <c r="J1" s="50" t="s">
        <v>85</v>
      </c>
    </row>
    <row r="2" spans="1:10" s="52" customFormat="1" ht="13.35" customHeight="1" thickBot="1">
      <c r="A2" s="46" t="s">
        <v>18</v>
      </c>
      <c r="B2" s="53" t="s">
        <v>19</v>
      </c>
      <c r="C2" s="53" t="s">
        <v>20</v>
      </c>
      <c r="D2" s="53" t="s">
        <v>21</v>
      </c>
      <c r="E2" s="53" t="s">
        <v>68</v>
      </c>
      <c r="F2" s="54" t="s">
        <v>69</v>
      </c>
      <c r="G2" s="55" t="s">
        <v>47</v>
      </c>
      <c r="H2" s="56" t="s">
        <v>8</v>
      </c>
      <c r="I2" s="57" t="s">
        <v>66</v>
      </c>
      <c r="J2" s="58" t="s">
        <v>57</v>
      </c>
    </row>
    <row r="3" spans="1:10" ht="13.35" customHeight="1" thickBot="1">
      <c r="A3" s="137" t="s">
        <v>96</v>
      </c>
      <c r="B3" s="138" t="s">
        <v>145</v>
      </c>
      <c r="C3" s="59">
        <v>2021</v>
      </c>
      <c r="D3" s="15">
        <v>1.2</v>
      </c>
      <c r="E3" s="15" t="s">
        <v>89</v>
      </c>
      <c r="F3" s="60" t="s">
        <v>90</v>
      </c>
      <c r="G3" s="61">
        <f t="shared" ref="G3:G5" si="0">IF(F3="Y",((1/(1+EXP(2.6968+(1.1686*LN(D3-0.9)))))),((1/(1+EXP(2.8891+(1.1686*(LN(D3-0.9))))))))</f>
        <v>0.1851047975833634</v>
      </c>
      <c r="H3" s="62">
        <f t="shared" ref="H3:H5" si="1">ROUND(G3,3)</f>
        <v>0.185</v>
      </c>
      <c r="I3" s="63">
        <f t="shared" ref="I3:I5" si="2">ROUND(H3/0.15,2)</f>
        <v>1.23</v>
      </c>
      <c r="J3" s="64">
        <f t="shared" ref="J3:J5" si="3">IF(I3&lt;0.673,5,IF(I3&lt;1.33,4,IF(I3&lt;2,3,IF(I3&lt;2.67,2,1))))</f>
        <v>4</v>
      </c>
    </row>
    <row r="4" spans="1:10" ht="13.35" customHeight="1" thickBot="1">
      <c r="A4" s="137" t="s">
        <v>96</v>
      </c>
      <c r="B4" s="138" t="s">
        <v>146</v>
      </c>
      <c r="C4" s="59">
        <v>2021</v>
      </c>
      <c r="D4" s="66">
        <v>1.21</v>
      </c>
      <c r="E4" s="66" t="s">
        <v>89</v>
      </c>
      <c r="F4" s="67" t="s">
        <v>90</v>
      </c>
      <c r="G4" s="61">
        <f t="shared" si="0"/>
        <v>0.17939444452697093</v>
      </c>
      <c r="H4" s="62">
        <f t="shared" si="1"/>
        <v>0.17899999999999999</v>
      </c>
      <c r="I4" s="63">
        <f t="shared" si="2"/>
        <v>1.19</v>
      </c>
      <c r="J4" s="64">
        <f t="shared" si="3"/>
        <v>4</v>
      </c>
    </row>
    <row r="5" spans="1:10" ht="13.35" customHeight="1" thickBot="1">
      <c r="A5" s="139" t="s">
        <v>95</v>
      </c>
      <c r="B5" s="66" t="s">
        <v>97</v>
      </c>
      <c r="C5" s="59">
        <v>2021</v>
      </c>
      <c r="D5" s="15">
        <v>1.2</v>
      </c>
      <c r="E5" s="15" t="s">
        <v>89</v>
      </c>
      <c r="F5" s="60" t="s">
        <v>90</v>
      </c>
      <c r="G5" s="61">
        <f t="shared" si="0"/>
        <v>0.1851047975833634</v>
      </c>
      <c r="H5" s="62">
        <f t="shared" si="1"/>
        <v>0.185</v>
      </c>
      <c r="I5" s="63">
        <f t="shared" si="2"/>
        <v>1.23</v>
      </c>
      <c r="J5" s="64">
        <f t="shared" si="3"/>
        <v>4</v>
      </c>
    </row>
    <row r="6" spans="1:10" ht="13.35" customHeight="1" thickBot="1">
      <c r="A6" s="139" t="s">
        <v>95</v>
      </c>
      <c r="B6" s="66" t="s">
        <v>98</v>
      </c>
      <c r="C6" s="59">
        <v>2021</v>
      </c>
      <c r="D6" s="66">
        <v>1.21</v>
      </c>
      <c r="E6" s="66" t="s">
        <v>89</v>
      </c>
      <c r="F6" s="67" t="s">
        <v>90</v>
      </c>
      <c r="G6" s="61">
        <f t="shared" ref="G6:G23" si="4">IF(F6="Y",((1/(1+EXP(2.6968+(1.1686*LN(D6-0.9)))))),((1/(1+EXP(2.8891+(1.1686*(LN(D6-0.9))))))))</f>
        <v>0.17939444452697093</v>
      </c>
      <c r="H6" s="62">
        <f t="shared" ref="H6:H23" si="5">ROUND(G6,3)</f>
        <v>0.17899999999999999</v>
      </c>
      <c r="I6" s="63">
        <f t="shared" ref="I6:I23" si="6">ROUND(H6/0.15,2)</f>
        <v>1.19</v>
      </c>
      <c r="J6" s="64">
        <f t="shared" ref="J6:J23" si="7">IF(I6&lt;0.673,5,IF(I6&lt;1.33,4,IF(I6&lt;2,3,IF(I6&lt;2.67,2,1))))</f>
        <v>4</v>
      </c>
    </row>
    <row r="7" spans="1:10" ht="13.35" customHeight="1" thickBot="1">
      <c r="A7" s="137" t="s">
        <v>99</v>
      </c>
      <c r="B7" s="138" t="s">
        <v>100</v>
      </c>
      <c r="C7" s="59">
        <v>2021</v>
      </c>
      <c r="D7" s="66">
        <v>1.21</v>
      </c>
      <c r="E7" s="66" t="s">
        <v>89</v>
      </c>
      <c r="F7" s="66" t="s">
        <v>90</v>
      </c>
      <c r="G7" s="61">
        <f t="shared" ref="G7:G8" si="8">IF(F7="Y",((1/(1+EXP(2.6968+(1.1686*LN(D7-0.9)))))),((1/(1+EXP(2.8891+(1.1686*(LN(D7-0.9))))))))</f>
        <v>0.17939444452697093</v>
      </c>
      <c r="H7" s="62">
        <f t="shared" ref="H7:H8" si="9">ROUND(G7,3)</f>
        <v>0.17899999999999999</v>
      </c>
      <c r="I7" s="63">
        <f t="shared" ref="I7:I8" si="10">ROUND(H7/0.15,2)</f>
        <v>1.19</v>
      </c>
      <c r="J7" s="64">
        <f t="shared" ref="J7:J8" si="11">IF(I7&lt;0.673,5,IF(I7&lt;1.33,4,IF(I7&lt;2,3,IF(I7&lt;2.67,2,1))))</f>
        <v>4</v>
      </c>
    </row>
    <row r="8" spans="1:10" ht="13.35" customHeight="1" thickBot="1">
      <c r="A8" s="137" t="s">
        <v>99</v>
      </c>
      <c r="B8" s="138" t="s">
        <v>101</v>
      </c>
      <c r="C8" s="59">
        <v>2021</v>
      </c>
      <c r="D8" s="15"/>
      <c r="E8" s="66"/>
      <c r="F8" s="66"/>
      <c r="G8" s="61" t="e">
        <f t="shared" si="8"/>
        <v>#NUM!</v>
      </c>
      <c r="H8" s="62" t="e">
        <f t="shared" si="9"/>
        <v>#NUM!</v>
      </c>
      <c r="I8" s="63" t="e">
        <f t="shared" si="10"/>
        <v>#NUM!</v>
      </c>
      <c r="J8" s="64" t="e">
        <f t="shared" si="11"/>
        <v>#NUM!</v>
      </c>
    </row>
    <row r="9" spans="1:10" ht="13.35" customHeight="1" thickBot="1">
      <c r="A9" s="137" t="s">
        <v>86</v>
      </c>
      <c r="B9" s="138" t="s">
        <v>102</v>
      </c>
      <c r="C9" s="59">
        <v>2021</v>
      </c>
      <c r="D9" s="66">
        <v>1.42</v>
      </c>
      <c r="E9" s="66" t="s">
        <v>90</v>
      </c>
      <c r="F9" s="66" t="s">
        <v>90</v>
      </c>
      <c r="G9" s="61">
        <f t="shared" si="4"/>
        <v>0.10669807295458973</v>
      </c>
      <c r="H9" s="62">
        <f t="shared" si="5"/>
        <v>0.107</v>
      </c>
      <c r="I9" s="63">
        <f t="shared" si="6"/>
        <v>0.71</v>
      </c>
      <c r="J9" s="64">
        <f t="shared" si="7"/>
        <v>4</v>
      </c>
    </row>
    <row r="10" spans="1:10" ht="13.35" customHeight="1" thickBot="1">
      <c r="A10" s="137" t="s">
        <v>86</v>
      </c>
      <c r="B10" s="138" t="s">
        <v>87</v>
      </c>
      <c r="C10" s="59">
        <v>2021</v>
      </c>
      <c r="D10" s="66">
        <v>1.23</v>
      </c>
      <c r="E10" s="66" t="s">
        <v>89</v>
      </c>
      <c r="F10" s="66" t="s">
        <v>90</v>
      </c>
      <c r="G10" s="61">
        <f t="shared" si="4"/>
        <v>0.16888967495700072</v>
      </c>
      <c r="H10" s="62">
        <f t="shared" si="5"/>
        <v>0.16900000000000001</v>
      </c>
      <c r="I10" s="63">
        <f t="shared" si="6"/>
        <v>1.1299999999999999</v>
      </c>
      <c r="J10" s="64">
        <f t="shared" si="7"/>
        <v>4</v>
      </c>
    </row>
    <row r="11" spans="1:10" ht="13.35" customHeight="1" thickBot="1">
      <c r="A11" s="137" t="s">
        <v>86</v>
      </c>
      <c r="B11" s="138" t="s">
        <v>88</v>
      </c>
      <c r="C11" s="59">
        <v>2021</v>
      </c>
      <c r="D11" s="15">
        <v>1.27</v>
      </c>
      <c r="E11" s="66" t="s">
        <v>89</v>
      </c>
      <c r="F11" s="66" t="s">
        <v>90</v>
      </c>
      <c r="G11" s="61">
        <f t="shared" si="4"/>
        <v>0.15094392869398887</v>
      </c>
      <c r="H11" s="62">
        <f t="shared" si="5"/>
        <v>0.151</v>
      </c>
      <c r="I11" s="63">
        <f t="shared" si="6"/>
        <v>1.01</v>
      </c>
      <c r="J11" s="64">
        <f t="shared" si="7"/>
        <v>4</v>
      </c>
    </row>
    <row r="12" spans="1:10" ht="13.35" customHeight="1" thickBot="1">
      <c r="A12" s="137" t="s">
        <v>103</v>
      </c>
      <c r="B12" s="138" t="s">
        <v>104</v>
      </c>
      <c r="C12" s="59">
        <v>2021</v>
      </c>
      <c r="D12" s="66">
        <v>1.21</v>
      </c>
      <c r="E12" s="66" t="s">
        <v>89</v>
      </c>
      <c r="F12" s="66" t="s">
        <v>90</v>
      </c>
      <c r="G12" s="61">
        <f t="shared" si="4"/>
        <v>0.17939444452697093</v>
      </c>
      <c r="H12" s="62">
        <f t="shared" si="5"/>
        <v>0.17899999999999999</v>
      </c>
      <c r="I12" s="63">
        <f t="shared" si="6"/>
        <v>1.19</v>
      </c>
      <c r="J12" s="64">
        <f t="shared" si="7"/>
        <v>4</v>
      </c>
    </row>
    <row r="13" spans="1:10" ht="13.35" customHeight="1" thickBot="1">
      <c r="A13" s="137" t="s">
        <v>103</v>
      </c>
      <c r="B13" s="138" t="s">
        <v>105</v>
      </c>
      <c r="C13" s="59">
        <v>2021</v>
      </c>
      <c r="D13" s="66">
        <v>1.24</v>
      </c>
      <c r="E13" s="66" t="s">
        <v>89</v>
      </c>
      <c r="F13" s="66" t="s">
        <v>90</v>
      </c>
      <c r="G13" s="61">
        <f t="shared" si="4"/>
        <v>0.1640492476036079</v>
      </c>
      <c r="H13" s="62">
        <f t="shared" si="5"/>
        <v>0.16400000000000001</v>
      </c>
      <c r="I13" s="63">
        <f t="shared" si="6"/>
        <v>1.0900000000000001</v>
      </c>
      <c r="J13" s="64">
        <f t="shared" si="7"/>
        <v>4</v>
      </c>
    </row>
    <row r="14" spans="1:10" ht="13.35" customHeight="1" thickBot="1">
      <c r="A14" s="140" t="s">
        <v>103</v>
      </c>
      <c r="B14" s="141" t="s">
        <v>106</v>
      </c>
      <c r="C14" s="59">
        <v>2021</v>
      </c>
      <c r="D14" s="66">
        <v>1.21</v>
      </c>
      <c r="E14" s="66" t="s">
        <v>89</v>
      </c>
      <c r="F14" s="66" t="s">
        <v>90</v>
      </c>
      <c r="G14" s="61">
        <f t="shared" si="4"/>
        <v>0.17939444452697093</v>
      </c>
      <c r="H14" s="62">
        <f t="shared" si="5"/>
        <v>0.17899999999999999</v>
      </c>
      <c r="I14" s="63">
        <f t="shared" si="6"/>
        <v>1.19</v>
      </c>
      <c r="J14" s="64">
        <f t="shared" si="7"/>
        <v>4</v>
      </c>
    </row>
    <row r="15" spans="1:10" ht="13.35" customHeight="1" thickBot="1">
      <c r="A15" s="140" t="s">
        <v>103</v>
      </c>
      <c r="B15" s="141" t="s">
        <v>107</v>
      </c>
      <c r="C15" s="59">
        <v>2021</v>
      </c>
      <c r="D15" s="66">
        <v>1.23</v>
      </c>
      <c r="E15" s="66" t="s">
        <v>89</v>
      </c>
      <c r="F15" s="66" t="s">
        <v>90</v>
      </c>
      <c r="G15" s="61">
        <f t="shared" si="4"/>
        <v>0.16888967495700072</v>
      </c>
      <c r="H15" s="62">
        <f t="shared" si="5"/>
        <v>0.16900000000000001</v>
      </c>
      <c r="I15" s="63">
        <f t="shared" si="6"/>
        <v>1.1299999999999999</v>
      </c>
      <c r="J15" s="64">
        <f t="shared" si="7"/>
        <v>4</v>
      </c>
    </row>
    <row r="16" spans="1:10" ht="13.35" customHeight="1" thickBot="1">
      <c r="A16" s="140" t="s">
        <v>103</v>
      </c>
      <c r="B16" s="141" t="s">
        <v>108</v>
      </c>
      <c r="C16" s="59">
        <v>2021</v>
      </c>
      <c r="D16" s="66">
        <v>1.24</v>
      </c>
      <c r="E16" s="66" t="s">
        <v>89</v>
      </c>
      <c r="F16" s="66" t="s">
        <v>90</v>
      </c>
      <c r="G16" s="61">
        <f t="shared" si="4"/>
        <v>0.1640492476036079</v>
      </c>
      <c r="H16" s="62">
        <f t="shared" si="5"/>
        <v>0.16400000000000001</v>
      </c>
      <c r="I16" s="63">
        <f t="shared" si="6"/>
        <v>1.0900000000000001</v>
      </c>
      <c r="J16" s="64">
        <f t="shared" si="7"/>
        <v>4</v>
      </c>
    </row>
    <row r="17" spans="1:10" ht="13.35" customHeight="1" thickBot="1">
      <c r="A17" s="140" t="s">
        <v>103</v>
      </c>
      <c r="B17" s="141" t="s">
        <v>109</v>
      </c>
      <c r="C17" s="59">
        <v>2021</v>
      </c>
      <c r="D17" s="66">
        <v>1.23</v>
      </c>
      <c r="E17" s="66" t="s">
        <v>89</v>
      </c>
      <c r="F17" s="66" t="s">
        <v>90</v>
      </c>
      <c r="G17" s="61">
        <f t="shared" si="4"/>
        <v>0.16888967495700072</v>
      </c>
      <c r="H17" s="62">
        <f t="shared" si="5"/>
        <v>0.16900000000000001</v>
      </c>
      <c r="I17" s="63">
        <f t="shared" si="6"/>
        <v>1.1299999999999999</v>
      </c>
      <c r="J17" s="64">
        <f t="shared" si="7"/>
        <v>4</v>
      </c>
    </row>
    <row r="18" spans="1:10" ht="13.35" customHeight="1" thickBot="1">
      <c r="A18" s="142" t="s">
        <v>110</v>
      </c>
      <c r="B18" s="138" t="s">
        <v>111</v>
      </c>
      <c r="C18" s="59">
        <v>2021</v>
      </c>
      <c r="D18" s="15">
        <v>1.47</v>
      </c>
      <c r="E18" s="66" t="s">
        <v>90</v>
      </c>
      <c r="F18" s="66" t="s">
        <v>90</v>
      </c>
      <c r="G18" s="61">
        <f t="shared" si="4"/>
        <v>9.6895269126392819E-2</v>
      </c>
      <c r="H18" s="62">
        <f t="shared" si="5"/>
        <v>9.7000000000000003E-2</v>
      </c>
      <c r="I18" s="63">
        <f t="shared" si="6"/>
        <v>0.65</v>
      </c>
      <c r="J18" s="64">
        <f t="shared" si="7"/>
        <v>5</v>
      </c>
    </row>
    <row r="19" spans="1:10" ht="13.35" customHeight="1" thickBot="1">
      <c r="A19" s="142" t="s">
        <v>110</v>
      </c>
      <c r="B19" s="138" t="s">
        <v>112</v>
      </c>
      <c r="C19" s="59">
        <v>2021</v>
      </c>
      <c r="D19" s="15">
        <v>1.47</v>
      </c>
      <c r="E19" s="66" t="s">
        <v>90</v>
      </c>
      <c r="F19" s="66" t="s">
        <v>90</v>
      </c>
      <c r="G19" s="61">
        <f t="shared" si="4"/>
        <v>9.6895269126392819E-2</v>
      </c>
      <c r="H19" s="62">
        <f t="shared" si="5"/>
        <v>9.7000000000000003E-2</v>
      </c>
      <c r="I19" s="63">
        <f t="shared" si="6"/>
        <v>0.65</v>
      </c>
      <c r="J19" s="64">
        <f t="shared" si="7"/>
        <v>5</v>
      </c>
    </row>
    <row r="20" spans="1:10" ht="13.35" customHeight="1" thickBot="1">
      <c r="A20" s="143" t="s">
        <v>110</v>
      </c>
      <c r="B20" s="141" t="s">
        <v>113</v>
      </c>
      <c r="C20" s="59">
        <v>2021</v>
      </c>
      <c r="D20" s="15">
        <v>1.47</v>
      </c>
      <c r="E20" s="66" t="s">
        <v>90</v>
      </c>
      <c r="F20" s="66" t="s">
        <v>90</v>
      </c>
      <c r="G20" s="61">
        <f t="shared" si="4"/>
        <v>9.6895269126392819E-2</v>
      </c>
      <c r="H20" s="62">
        <f t="shared" si="5"/>
        <v>9.7000000000000003E-2</v>
      </c>
      <c r="I20" s="63">
        <f t="shared" si="6"/>
        <v>0.65</v>
      </c>
      <c r="J20" s="64">
        <f t="shared" si="7"/>
        <v>5</v>
      </c>
    </row>
    <row r="21" spans="1:10" ht="13.35" customHeight="1" thickBot="1">
      <c r="A21" s="143" t="s">
        <v>110</v>
      </c>
      <c r="B21" s="141" t="s">
        <v>114</v>
      </c>
      <c r="C21" s="59">
        <v>2021</v>
      </c>
      <c r="D21" s="15">
        <v>1.47</v>
      </c>
      <c r="E21" s="66" t="s">
        <v>90</v>
      </c>
      <c r="F21" s="66" t="s">
        <v>90</v>
      </c>
      <c r="G21" s="61">
        <f t="shared" si="4"/>
        <v>9.6895269126392819E-2</v>
      </c>
      <c r="H21" s="62">
        <f t="shared" si="5"/>
        <v>9.7000000000000003E-2</v>
      </c>
      <c r="I21" s="63">
        <f t="shared" si="6"/>
        <v>0.65</v>
      </c>
      <c r="J21" s="64">
        <f t="shared" si="7"/>
        <v>5</v>
      </c>
    </row>
    <row r="22" spans="1:10" ht="13.35" customHeight="1" thickBot="1">
      <c r="A22" s="137" t="s">
        <v>110</v>
      </c>
      <c r="B22" s="138" t="s">
        <v>115</v>
      </c>
      <c r="C22" s="59">
        <v>2021</v>
      </c>
      <c r="D22" s="15">
        <v>1.2</v>
      </c>
      <c r="E22" s="15" t="s">
        <v>89</v>
      </c>
      <c r="F22" s="15" t="s">
        <v>90</v>
      </c>
      <c r="G22" s="61">
        <f t="shared" si="4"/>
        <v>0.1851047975833634</v>
      </c>
      <c r="H22" s="62">
        <f t="shared" si="5"/>
        <v>0.185</v>
      </c>
      <c r="I22" s="63">
        <f t="shared" si="6"/>
        <v>1.23</v>
      </c>
      <c r="J22" s="64">
        <f t="shared" si="7"/>
        <v>4</v>
      </c>
    </row>
    <row r="23" spans="1:10" ht="13.35" customHeight="1" thickBot="1">
      <c r="A23" s="137" t="s">
        <v>110</v>
      </c>
      <c r="B23" s="138" t="s">
        <v>116</v>
      </c>
      <c r="C23" s="59">
        <v>2021</v>
      </c>
      <c r="D23" s="15">
        <v>1.2</v>
      </c>
      <c r="E23" s="15" t="s">
        <v>89</v>
      </c>
      <c r="F23" s="15" t="s">
        <v>90</v>
      </c>
      <c r="G23" s="61">
        <f t="shared" si="4"/>
        <v>0.1851047975833634</v>
      </c>
      <c r="H23" s="62">
        <f t="shared" si="5"/>
        <v>0.185</v>
      </c>
      <c r="I23" s="63">
        <f t="shared" si="6"/>
        <v>1.23</v>
      </c>
      <c r="J23" s="64">
        <f t="shared" si="7"/>
        <v>4</v>
      </c>
    </row>
    <row r="24" spans="1:10" ht="13.35" customHeight="1" thickBot="1">
      <c r="A24" s="137" t="s">
        <v>117</v>
      </c>
      <c r="B24" s="138" t="s">
        <v>118</v>
      </c>
      <c r="C24" s="59">
        <v>2021</v>
      </c>
      <c r="D24" s="66">
        <v>1.2</v>
      </c>
      <c r="E24" s="66" t="s">
        <v>89</v>
      </c>
      <c r="F24" s="67" t="s">
        <v>90</v>
      </c>
      <c r="G24" s="61">
        <f t="shared" ref="G24:G28" si="12">IF(F24="Y",((1/(1+EXP(2.6968+(1.1686*LN(D24-0.9)))))),((1/(1+EXP(2.8891+(1.1686*(LN(D24-0.9))))))))</f>
        <v>0.1851047975833634</v>
      </c>
      <c r="H24" s="62">
        <f t="shared" ref="H24:H28" si="13">ROUND(G24,3)</f>
        <v>0.185</v>
      </c>
      <c r="I24" s="63">
        <f t="shared" ref="I24:I28" si="14">ROUND(H24/0.15,2)</f>
        <v>1.23</v>
      </c>
      <c r="J24" s="64">
        <f t="shared" ref="J24:J28" si="15">IF(I24&lt;0.673,5,IF(I24&lt;1.33,4,IF(I24&lt;2,3,IF(I24&lt;2.67,2,1))))</f>
        <v>4</v>
      </c>
    </row>
    <row r="25" spans="1:10" ht="13.35" customHeight="1" thickBot="1">
      <c r="A25" s="140" t="s">
        <v>117</v>
      </c>
      <c r="B25" s="141" t="s">
        <v>119</v>
      </c>
      <c r="C25" s="59">
        <v>2021</v>
      </c>
      <c r="D25" s="66">
        <v>1.45</v>
      </c>
      <c r="E25" s="66" t="s">
        <v>90</v>
      </c>
      <c r="F25" s="67" t="s">
        <v>90</v>
      </c>
      <c r="G25" s="61">
        <f t="shared" si="12"/>
        <v>0.10060976640917974</v>
      </c>
      <c r="H25" s="62">
        <f t="shared" si="13"/>
        <v>0.10100000000000001</v>
      </c>
      <c r="I25" s="63">
        <f t="shared" si="14"/>
        <v>0.67</v>
      </c>
      <c r="J25" s="64">
        <f t="shared" si="15"/>
        <v>5</v>
      </c>
    </row>
    <row r="26" spans="1:10" ht="13.35" customHeight="1" thickBot="1">
      <c r="A26" s="137" t="s">
        <v>120</v>
      </c>
      <c r="B26" s="144" t="s">
        <v>121</v>
      </c>
      <c r="C26" s="59">
        <v>2021</v>
      </c>
      <c r="D26" s="15">
        <v>1.43</v>
      </c>
      <c r="E26" s="66" t="s">
        <v>90</v>
      </c>
      <c r="F26" s="67" t="s">
        <v>90</v>
      </c>
      <c r="G26" s="61">
        <f t="shared" si="12"/>
        <v>0.10459491849361911</v>
      </c>
      <c r="H26" s="62">
        <f t="shared" si="13"/>
        <v>0.105</v>
      </c>
      <c r="I26" s="63">
        <f t="shared" si="14"/>
        <v>0.7</v>
      </c>
      <c r="J26" s="64">
        <f t="shared" si="15"/>
        <v>4</v>
      </c>
    </row>
    <row r="27" spans="1:10" ht="13.35" customHeight="1" thickBot="1">
      <c r="A27" s="140" t="s">
        <v>120</v>
      </c>
      <c r="B27" s="145" t="s">
        <v>122</v>
      </c>
      <c r="C27" s="59">
        <v>2021</v>
      </c>
      <c r="D27" s="15">
        <v>1.43</v>
      </c>
      <c r="E27" s="66" t="s">
        <v>90</v>
      </c>
      <c r="F27" s="67" t="s">
        <v>90</v>
      </c>
      <c r="G27" s="61">
        <f t="shared" si="12"/>
        <v>0.10459491849361911</v>
      </c>
      <c r="H27" s="62">
        <f t="shared" si="13"/>
        <v>0.105</v>
      </c>
      <c r="I27" s="63">
        <f t="shared" si="14"/>
        <v>0.7</v>
      </c>
      <c r="J27" s="64">
        <f t="shared" si="15"/>
        <v>4</v>
      </c>
    </row>
    <row r="28" spans="1:10" ht="13.35" customHeight="1">
      <c r="A28" s="140" t="s">
        <v>120</v>
      </c>
      <c r="B28" s="145" t="s">
        <v>123</v>
      </c>
      <c r="C28" s="59">
        <v>2021</v>
      </c>
      <c r="D28" s="15">
        <v>1.43</v>
      </c>
      <c r="E28" s="66" t="s">
        <v>90</v>
      </c>
      <c r="F28" s="67" t="s">
        <v>90</v>
      </c>
      <c r="G28" s="61">
        <f t="shared" si="12"/>
        <v>0.10459491849361911</v>
      </c>
      <c r="H28" s="62">
        <f t="shared" si="13"/>
        <v>0.105</v>
      </c>
      <c r="I28" s="63">
        <f t="shared" si="14"/>
        <v>0.7</v>
      </c>
      <c r="J28" s="64">
        <f t="shared" si="15"/>
        <v>4</v>
      </c>
    </row>
  </sheetData>
  <phoneticPr fontId="3" type="noConversion"/>
  <pageMargins left="0.25" right="0.2" top="0.25" bottom="0.2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0"/>
  <sheetViews>
    <sheetView workbookViewId="0">
      <pane xSplit="6" ySplit="2" topLeftCell="G3" activePane="bottomRight" state="frozen"/>
      <selection activeCell="B33" sqref="B33"/>
      <selection pane="topRight" activeCell="B33" sqref="B33"/>
      <selection pane="bottomLeft" activeCell="B33" sqref="B33"/>
      <selection pane="bottomRight" activeCell="A12" sqref="A12:XFD17"/>
    </sheetView>
  </sheetViews>
  <sheetFormatPr defaultColWidth="9.140625" defaultRowHeight="12.75"/>
  <cols>
    <col min="1" max="1" width="8.42578125" style="109" customWidth="1"/>
    <col min="2" max="2" width="9.5703125" style="109" bestFit="1" customWidth="1"/>
    <col min="3" max="3" width="13.5703125" style="228" bestFit="1" customWidth="1"/>
    <col min="4" max="4" width="36.5703125" style="228" bestFit="1" customWidth="1"/>
    <col min="5" max="5" width="7.42578125" style="228" customWidth="1"/>
    <col min="6" max="6" width="8.42578125" style="228" customWidth="1"/>
    <col min="7" max="7" width="6.5703125" style="234" bestFit="1" customWidth="1"/>
    <col min="8" max="8" width="4.85546875" style="234" bestFit="1" customWidth="1"/>
    <col min="9" max="9" width="9.5703125" style="234" customWidth="1"/>
    <col min="10" max="10" width="10.140625" style="234" customWidth="1"/>
    <col min="11" max="11" width="8.5703125" style="234" customWidth="1"/>
    <col min="12" max="12" width="8.140625" style="234" bestFit="1" customWidth="1"/>
    <col min="13" max="13" width="8.5703125" style="234" customWidth="1"/>
    <col min="14" max="14" width="8.5703125" style="234" bestFit="1" customWidth="1"/>
    <col min="15" max="15" width="6.5703125" style="234" bestFit="1" customWidth="1"/>
    <col min="16" max="16" width="4.85546875" style="234" bestFit="1" customWidth="1"/>
    <col min="17" max="17" width="8.5703125" style="234" customWidth="1"/>
    <col min="18" max="18" width="8.5703125" style="234" bestFit="1" customWidth="1"/>
    <col min="19" max="19" width="9.140625" style="234" customWidth="1"/>
    <col min="20" max="20" width="8.140625" style="234" bestFit="1" customWidth="1"/>
    <col min="21" max="21" width="7.5703125" style="234" bestFit="1" customWidth="1"/>
    <col min="22" max="22" width="8.5703125" style="234" customWidth="1"/>
    <col min="23" max="23" width="7.5703125" style="231" bestFit="1" customWidth="1"/>
    <col min="24" max="24" width="5.5703125" style="231" bestFit="1" customWidth="1"/>
    <col min="25" max="25" width="10.5703125" style="231" bestFit="1" customWidth="1"/>
    <col min="26" max="26" width="11.5703125" style="231" bestFit="1" customWidth="1"/>
    <col min="27" max="27" width="7.42578125" style="231" customWidth="1"/>
    <col min="28" max="28" width="7.5703125" style="231" bestFit="1" customWidth="1"/>
    <col min="29" max="29" width="7.5703125" style="65" bestFit="1" customWidth="1"/>
    <col min="30" max="31" width="9.140625" style="65" bestFit="1" customWidth="1"/>
    <col min="32" max="32" width="8.140625" style="65" bestFit="1" customWidth="1"/>
    <col min="33" max="33" width="7.5703125" style="65" bestFit="1" customWidth="1"/>
    <col min="34" max="34" width="5.140625" style="65" bestFit="1" customWidth="1"/>
    <col min="35" max="35" width="10.5703125" style="65" bestFit="1" customWidth="1"/>
    <col min="36" max="36" width="11.5703125" style="65" bestFit="1" customWidth="1"/>
    <col min="37" max="37" width="7.140625" style="65" bestFit="1" customWidth="1"/>
    <col min="38" max="39" width="7.5703125" style="65" bestFit="1" customWidth="1"/>
    <col min="40" max="41" width="9.140625" style="65" bestFit="1" customWidth="1"/>
    <col min="42" max="42" width="8.140625" style="65" bestFit="1" customWidth="1"/>
    <col min="43" max="43" width="7.5703125" style="65" customWidth="1"/>
    <col min="44" max="44" width="9.5703125" style="65" bestFit="1" customWidth="1"/>
    <col min="45" max="45" width="7.5703125" style="65" bestFit="1" customWidth="1"/>
    <col min="46" max="46" width="5.5703125" style="231" bestFit="1" customWidth="1"/>
    <col min="47" max="47" width="9.5703125" style="231" bestFit="1" customWidth="1"/>
    <col min="48" max="48" width="5.5703125" style="231" bestFit="1" customWidth="1"/>
    <col min="49" max="49" width="5.5703125" style="232" bestFit="1" customWidth="1"/>
    <col min="50" max="50" width="9.5703125" style="232" bestFit="1" customWidth="1"/>
    <col min="51" max="51" width="5.5703125" style="233" bestFit="1" customWidth="1"/>
    <col min="52" max="16384" width="9.140625" style="65"/>
  </cols>
  <sheetData>
    <row r="1" spans="1:51" s="201" customFormat="1" ht="13.5" thickBot="1">
      <c r="A1" s="189"/>
      <c r="B1" s="118"/>
      <c r="C1" s="190"/>
      <c r="D1" s="190"/>
      <c r="E1" s="191"/>
      <c r="F1" s="191"/>
      <c r="G1" s="152" t="s">
        <v>27</v>
      </c>
      <c r="H1" s="192"/>
      <c r="I1" s="192"/>
      <c r="J1" s="192"/>
      <c r="K1" s="192"/>
      <c r="L1" s="192"/>
      <c r="M1" s="192"/>
      <c r="N1" s="193"/>
      <c r="O1" s="152" t="s">
        <v>28</v>
      </c>
      <c r="P1" s="192"/>
      <c r="Q1" s="192"/>
      <c r="R1" s="192"/>
      <c r="S1" s="192"/>
      <c r="T1" s="192"/>
      <c r="U1" s="192"/>
      <c r="V1" s="193"/>
      <c r="W1" s="194" t="s">
        <v>29</v>
      </c>
      <c r="X1" s="195"/>
      <c r="Y1" s="195"/>
      <c r="Z1" s="195"/>
      <c r="AA1" s="195"/>
      <c r="AB1" s="195"/>
      <c r="AC1" s="195"/>
      <c r="AD1" s="195"/>
      <c r="AE1" s="195"/>
      <c r="AF1" s="196"/>
      <c r="AG1" s="194" t="s">
        <v>30</v>
      </c>
      <c r="AH1" s="195"/>
      <c r="AI1" s="195"/>
      <c r="AJ1" s="195"/>
      <c r="AK1" s="195"/>
      <c r="AL1" s="195"/>
      <c r="AM1" s="195"/>
      <c r="AN1" s="195"/>
      <c r="AO1" s="195"/>
      <c r="AP1" s="196"/>
      <c r="AQ1" s="189" t="s">
        <v>13</v>
      </c>
      <c r="AR1" s="118" t="s">
        <v>16</v>
      </c>
      <c r="AS1" s="197" t="s">
        <v>9</v>
      </c>
      <c r="AT1" s="198" t="s">
        <v>13</v>
      </c>
      <c r="AU1" s="33" t="s">
        <v>16</v>
      </c>
      <c r="AV1" s="34" t="s">
        <v>50</v>
      </c>
      <c r="AW1" s="199" t="s">
        <v>13</v>
      </c>
      <c r="AX1" s="37" t="s">
        <v>16</v>
      </c>
      <c r="AY1" s="200" t="s">
        <v>50</v>
      </c>
    </row>
    <row r="2" spans="1:51" s="6" customFormat="1" ht="34.5" thickBot="1">
      <c r="A2" s="46" t="s">
        <v>26</v>
      </c>
      <c r="B2" s="202" t="s">
        <v>82</v>
      </c>
      <c r="C2" s="46" t="s">
        <v>18</v>
      </c>
      <c r="D2" s="53" t="s">
        <v>19</v>
      </c>
      <c r="E2" s="202" t="s">
        <v>74</v>
      </c>
      <c r="F2" s="54" t="s">
        <v>20</v>
      </c>
      <c r="G2" s="203" t="s">
        <v>24</v>
      </c>
      <c r="H2" s="204" t="s">
        <v>0</v>
      </c>
      <c r="I2" s="205" t="s">
        <v>33</v>
      </c>
      <c r="J2" s="205" t="s">
        <v>60</v>
      </c>
      <c r="K2" s="205" t="s">
        <v>34</v>
      </c>
      <c r="L2" s="205" t="s">
        <v>35</v>
      </c>
      <c r="M2" s="205" t="s">
        <v>36</v>
      </c>
      <c r="N2" s="206" t="s">
        <v>37</v>
      </c>
      <c r="O2" s="203" t="s">
        <v>24</v>
      </c>
      <c r="P2" s="204" t="s">
        <v>0</v>
      </c>
      <c r="Q2" s="205" t="s">
        <v>33</v>
      </c>
      <c r="R2" s="205" t="s">
        <v>60</v>
      </c>
      <c r="S2" s="205" t="s">
        <v>34</v>
      </c>
      <c r="T2" s="205" t="s">
        <v>35</v>
      </c>
      <c r="U2" s="205" t="s">
        <v>36</v>
      </c>
      <c r="V2" s="206" t="s">
        <v>37</v>
      </c>
      <c r="W2" s="207" t="s">
        <v>25</v>
      </c>
      <c r="X2" s="208" t="s">
        <v>2</v>
      </c>
      <c r="Y2" s="30" t="s">
        <v>5</v>
      </c>
      <c r="Z2" s="30" t="s">
        <v>61</v>
      </c>
      <c r="AA2" s="208" t="s">
        <v>6</v>
      </c>
      <c r="AB2" s="30" t="s">
        <v>3</v>
      </c>
      <c r="AC2" s="209" t="s">
        <v>3</v>
      </c>
      <c r="AD2" s="209" t="s">
        <v>22</v>
      </c>
      <c r="AE2" s="209" t="s">
        <v>23</v>
      </c>
      <c r="AF2" s="210" t="s">
        <v>4</v>
      </c>
      <c r="AG2" s="203" t="s">
        <v>25</v>
      </c>
      <c r="AH2" s="204" t="s">
        <v>2</v>
      </c>
      <c r="AI2" s="204" t="s">
        <v>5</v>
      </c>
      <c r="AJ2" s="204" t="s">
        <v>62</v>
      </c>
      <c r="AK2" s="204" t="s">
        <v>6</v>
      </c>
      <c r="AL2" s="204" t="s">
        <v>3</v>
      </c>
      <c r="AM2" s="204" t="s">
        <v>3</v>
      </c>
      <c r="AN2" s="204" t="s">
        <v>22</v>
      </c>
      <c r="AO2" s="204" t="s">
        <v>23</v>
      </c>
      <c r="AP2" s="211" t="s">
        <v>4</v>
      </c>
      <c r="AQ2" s="46" t="s">
        <v>7</v>
      </c>
      <c r="AR2" s="53" t="s">
        <v>8</v>
      </c>
      <c r="AS2" s="54" t="s">
        <v>8</v>
      </c>
      <c r="AT2" s="212" t="s">
        <v>63</v>
      </c>
      <c r="AU2" s="182" t="s">
        <v>63</v>
      </c>
      <c r="AV2" s="35" t="s">
        <v>63</v>
      </c>
      <c r="AW2" s="183" t="s">
        <v>44</v>
      </c>
      <c r="AX2" s="184" t="s">
        <v>44</v>
      </c>
      <c r="AY2" s="213" t="s">
        <v>31</v>
      </c>
    </row>
    <row r="3" spans="1:51" ht="13.35" customHeight="1">
      <c r="A3" s="214">
        <v>11270</v>
      </c>
      <c r="B3" s="60" t="s">
        <v>144</v>
      </c>
      <c r="C3" s="215" t="str">
        <f>Rollover!A3</f>
        <v>Chevrolet</v>
      </c>
      <c r="D3" s="216" t="str">
        <f>Rollover!B3</f>
        <v>Trailblazer SUV FWD (Later Release)</v>
      </c>
      <c r="E3" s="133" t="s">
        <v>92</v>
      </c>
      <c r="F3" s="217">
        <f>Rollover!C3</f>
        <v>2021</v>
      </c>
      <c r="G3" s="218">
        <v>184.547</v>
      </c>
      <c r="H3" s="9">
        <v>0.23899999999999999</v>
      </c>
      <c r="I3" s="9">
        <v>845.81</v>
      </c>
      <c r="J3" s="9">
        <v>66.527000000000001</v>
      </c>
      <c r="K3" s="9">
        <v>21.013000000000002</v>
      </c>
      <c r="L3" s="9">
        <v>46.2</v>
      </c>
      <c r="M3" s="9">
        <v>370.19799999999998</v>
      </c>
      <c r="N3" s="10">
        <v>1160.6959999999999</v>
      </c>
      <c r="O3" s="8">
        <v>401.44600000000003</v>
      </c>
      <c r="P3" s="9">
        <v>0.29199999999999998</v>
      </c>
      <c r="Q3" s="9">
        <v>681.58799999999997</v>
      </c>
      <c r="R3" s="9">
        <v>362.983</v>
      </c>
      <c r="S3" s="9">
        <v>10.385999999999999</v>
      </c>
      <c r="T3" s="9">
        <v>46.183999999999997</v>
      </c>
      <c r="U3" s="9">
        <v>1819.8130000000001</v>
      </c>
      <c r="V3" s="10">
        <v>1705.146</v>
      </c>
      <c r="W3" s="219">
        <f t="shared" ref="W3:W5" si="0">NORMDIST(LN(G3),7.45231,0.73998,1)</f>
        <v>1.265756938705759E-3</v>
      </c>
      <c r="X3" s="5">
        <f t="shared" ref="X3:X5" si="1">1/(1+EXP(3.2269-1.9688*H3))</f>
        <v>5.9728644329886275E-2</v>
      </c>
      <c r="Y3" s="5">
        <f t="shared" ref="Y3:Y5" si="2">1/(1+EXP(10.9745-2.375*I3/1000))</f>
        <v>1.2769972379128808E-4</v>
      </c>
      <c r="Z3" s="5">
        <f t="shared" ref="Z3:Z5" si="3">1/(1+EXP(10.9745-2.375*J3/1000))</f>
        <v>2.0065303259501311E-5</v>
      </c>
      <c r="AA3" s="5">
        <f t="shared" ref="AA3:AA5" si="4">MAX(X3,Y3,Z3)</f>
        <v>5.9728644329886275E-2</v>
      </c>
      <c r="AB3" s="5">
        <f t="shared" ref="AB3:AB5" si="5">1/(1+EXP(12.597-0.05861*35-1.568*(K3^0.4612)))</f>
        <v>1.5383832354787418E-2</v>
      </c>
      <c r="AC3" s="5">
        <f t="shared" ref="AC3:AC5" si="6">AB3</f>
        <v>1.5383832354787418E-2</v>
      </c>
      <c r="AD3" s="5">
        <f t="shared" ref="AD3:AD5" si="7">1/(1+EXP(5.7949-0.5196*M3/1000))</f>
        <v>3.674909407374092E-3</v>
      </c>
      <c r="AE3" s="5">
        <f t="shared" ref="AE3:AE5" si="8">1/(1+EXP(5.7949-0.5196*N3/1000))</f>
        <v>5.531208672634051E-3</v>
      </c>
      <c r="AF3" s="22">
        <f t="shared" ref="AF3:AF5" si="9">MAX(AD3,AE3)</f>
        <v>5.531208672634051E-3</v>
      </c>
      <c r="AG3" s="21">
        <f t="shared" ref="AG3:AG5" si="10">NORMDIST(LN(O3),7.45231,0.73998,1)</f>
        <v>2.4459763174449315E-2</v>
      </c>
      <c r="AH3" s="5">
        <f t="shared" ref="AH3:AH5" si="11">1/(1+EXP(3.2269-1.9688*P3))</f>
        <v>6.5865207635833936E-2</v>
      </c>
      <c r="AI3" s="5">
        <f t="shared" ref="AI3:AI5" si="12">1/(1+EXP(10.958-3.77*Q3/1000))</f>
        <v>2.2743622191911397E-4</v>
      </c>
      <c r="AJ3" s="5">
        <f t="shared" ref="AJ3:AJ5" si="13">1/(1+EXP(10.958-3.77*R3/1000))</f>
        <v>6.8435249152448799E-5</v>
      </c>
      <c r="AK3" s="5">
        <f t="shared" ref="AK3:AK5" si="14">MAX(AH3,AI3,AJ3)</f>
        <v>6.5865207635833936E-2</v>
      </c>
      <c r="AL3" s="5">
        <f t="shared" ref="AL3:AL5" si="15">1/(1+EXP(12.597-0.05861*35-1.568*((S3/0.817)^0.4612)))</f>
        <v>4.1510555939668192E-3</v>
      </c>
      <c r="AM3" s="5">
        <f t="shared" ref="AM3:AM5" si="16">AL3</f>
        <v>4.1510555939668192E-3</v>
      </c>
      <c r="AN3" s="5">
        <f t="shared" ref="AN3:AN5" si="17">1/(1+EXP(5.7949-0.7619*U3/1000))</f>
        <v>1.2028387602739986E-2</v>
      </c>
      <c r="AO3" s="5">
        <f t="shared" ref="AO3:AO5" si="18">1/(1+EXP(5.7949-0.7619*V3/1000))</f>
        <v>1.1033228262350037E-2</v>
      </c>
      <c r="AP3" s="22">
        <f t="shared" ref="AP3:AP5" si="19">MAX(AN3,AO3)</f>
        <v>1.2028387602739986E-2</v>
      </c>
      <c r="AQ3" s="21">
        <f t="shared" ref="AQ3:AQ5" si="20">ROUND(1-(1-W3)*(1-AA3)*(1-AC3)*(1-AF3),3)</f>
        <v>0.08</v>
      </c>
      <c r="AR3" s="5">
        <f t="shared" ref="AR3:AR5" si="21">ROUND(1-(1-AG3)*(1-AK3)*(1-AM3)*(1-AP3),3)</f>
        <v>0.10299999999999999</v>
      </c>
      <c r="AS3" s="22">
        <f t="shared" ref="AS3:AS5" si="22">ROUND(AVERAGE(AR3,AQ3),3)</f>
        <v>9.1999999999999998E-2</v>
      </c>
      <c r="AT3" s="23">
        <f t="shared" ref="AT3:AT5" si="23">ROUND(AQ3/0.15,2)</f>
        <v>0.53</v>
      </c>
      <c r="AU3" s="134">
        <f t="shared" ref="AU3:AU5" si="24">ROUND(AR3/0.15,2)</f>
        <v>0.69</v>
      </c>
      <c r="AV3" s="24">
        <f t="shared" ref="AV3:AV5" si="25">ROUND(AS3/0.15,2)</f>
        <v>0.61</v>
      </c>
      <c r="AW3" s="220">
        <f t="shared" ref="AW3:AW5" si="26">IF(AT3&lt;0.67,5,IF(AT3&lt;1,4,IF(AT3&lt;1.33,3,IF(AT3&lt;2.67,2,1))))</f>
        <v>5</v>
      </c>
      <c r="AX3" s="43">
        <f t="shared" ref="AX3:AX5" si="27">IF(AU3&lt;0.67,5,IF(AU3&lt;1,4,IF(AU3&lt;1.33,3,IF(AU3&lt;2.67,2,1))))</f>
        <v>4</v>
      </c>
      <c r="AY3" s="221">
        <f t="shared" ref="AY3:AY5" si="28">IF(AV3&lt;0.67,5,IF(AV3&lt;1,4,IF(AV3&lt;1.33,3,IF(AV3&lt;2.67,2,1))))</f>
        <v>5</v>
      </c>
    </row>
    <row r="4" spans="1:51" ht="13.35" customHeight="1">
      <c r="A4" s="214">
        <v>11270</v>
      </c>
      <c r="B4" s="60" t="s">
        <v>144</v>
      </c>
      <c r="C4" s="215" t="str">
        <f>Rollover!A4</f>
        <v>Chevrolet</v>
      </c>
      <c r="D4" s="216" t="str">
        <f>Rollover!B4</f>
        <v>Trailblazer SUV AWD (Later Release)</v>
      </c>
      <c r="E4" s="133" t="s">
        <v>92</v>
      </c>
      <c r="F4" s="217">
        <f>Rollover!C4</f>
        <v>2021</v>
      </c>
      <c r="G4" s="218">
        <v>184.547</v>
      </c>
      <c r="H4" s="9">
        <v>0.23899999999999999</v>
      </c>
      <c r="I4" s="9">
        <v>845.81</v>
      </c>
      <c r="J4" s="9">
        <v>66.527000000000001</v>
      </c>
      <c r="K4" s="9">
        <v>21.013000000000002</v>
      </c>
      <c r="L4" s="9">
        <v>46.2</v>
      </c>
      <c r="M4" s="9">
        <v>370.19799999999998</v>
      </c>
      <c r="N4" s="10">
        <v>1160.6959999999999</v>
      </c>
      <c r="O4" s="8">
        <v>401.44600000000003</v>
      </c>
      <c r="P4" s="9">
        <v>0.29199999999999998</v>
      </c>
      <c r="Q4" s="9">
        <v>681.58799999999997</v>
      </c>
      <c r="R4" s="9">
        <v>362.983</v>
      </c>
      <c r="S4" s="9">
        <v>10.385999999999999</v>
      </c>
      <c r="T4" s="9">
        <v>46.183999999999997</v>
      </c>
      <c r="U4" s="9">
        <v>1819.8130000000001</v>
      </c>
      <c r="V4" s="10">
        <v>1705.146</v>
      </c>
      <c r="W4" s="219">
        <f t="shared" si="0"/>
        <v>1.265756938705759E-3</v>
      </c>
      <c r="X4" s="5">
        <f t="shared" si="1"/>
        <v>5.9728644329886275E-2</v>
      </c>
      <c r="Y4" s="5">
        <f t="shared" si="2"/>
        <v>1.2769972379128808E-4</v>
      </c>
      <c r="Z4" s="5">
        <f t="shared" si="3"/>
        <v>2.0065303259501311E-5</v>
      </c>
      <c r="AA4" s="5">
        <f t="shared" si="4"/>
        <v>5.9728644329886275E-2</v>
      </c>
      <c r="AB4" s="5">
        <f t="shared" si="5"/>
        <v>1.5383832354787418E-2</v>
      </c>
      <c r="AC4" s="5">
        <f t="shared" si="6"/>
        <v>1.5383832354787418E-2</v>
      </c>
      <c r="AD4" s="5">
        <f t="shared" si="7"/>
        <v>3.674909407374092E-3</v>
      </c>
      <c r="AE4" s="5">
        <f t="shared" si="8"/>
        <v>5.531208672634051E-3</v>
      </c>
      <c r="AF4" s="22">
        <f t="shared" si="9"/>
        <v>5.531208672634051E-3</v>
      </c>
      <c r="AG4" s="21">
        <f t="shared" si="10"/>
        <v>2.4459763174449315E-2</v>
      </c>
      <c r="AH4" s="5">
        <f t="shared" si="11"/>
        <v>6.5865207635833936E-2</v>
      </c>
      <c r="AI4" s="5">
        <f t="shared" si="12"/>
        <v>2.2743622191911397E-4</v>
      </c>
      <c r="AJ4" s="5">
        <f t="shared" si="13"/>
        <v>6.8435249152448799E-5</v>
      </c>
      <c r="AK4" s="5">
        <f t="shared" si="14"/>
        <v>6.5865207635833936E-2</v>
      </c>
      <c r="AL4" s="5">
        <f t="shared" si="15"/>
        <v>4.1510555939668192E-3</v>
      </c>
      <c r="AM4" s="5">
        <f t="shared" si="16"/>
        <v>4.1510555939668192E-3</v>
      </c>
      <c r="AN4" s="5">
        <f t="shared" si="17"/>
        <v>1.2028387602739986E-2</v>
      </c>
      <c r="AO4" s="5">
        <f t="shared" si="18"/>
        <v>1.1033228262350037E-2</v>
      </c>
      <c r="AP4" s="22">
        <f t="shared" si="19"/>
        <v>1.2028387602739986E-2</v>
      </c>
      <c r="AQ4" s="21">
        <f t="shared" si="20"/>
        <v>0.08</v>
      </c>
      <c r="AR4" s="5">
        <f t="shared" si="21"/>
        <v>0.10299999999999999</v>
      </c>
      <c r="AS4" s="22">
        <f t="shared" si="22"/>
        <v>9.1999999999999998E-2</v>
      </c>
      <c r="AT4" s="23">
        <f t="shared" si="23"/>
        <v>0.53</v>
      </c>
      <c r="AU4" s="134">
        <f t="shared" si="24"/>
        <v>0.69</v>
      </c>
      <c r="AV4" s="24">
        <f t="shared" si="25"/>
        <v>0.61</v>
      </c>
      <c r="AW4" s="220">
        <f t="shared" si="26"/>
        <v>5</v>
      </c>
      <c r="AX4" s="43">
        <f t="shared" si="27"/>
        <v>4</v>
      </c>
      <c r="AY4" s="221">
        <f t="shared" si="28"/>
        <v>5</v>
      </c>
    </row>
    <row r="5" spans="1:51" ht="13.35" customHeight="1">
      <c r="A5" s="139">
        <v>11270</v>
      </c>
      <c r="B5" s="67" t="s">
        <v>144</v>
      </c>
      <c r="C5" s="222" t="str">
        <f>Rollover!A5</f>
        <v>Buick</v>
      </c>
      <c r="D5" s="223" t="str">
        <f>Rollover!B5</f>
        <v>Encore GX SUV FWD</v>
      </c>
      <c r="E5" s="133" t="s">
        <v>92</v>
      </c>
      <c r="F5" s="217">
        <f>Rollover!C5</f>
        <v>2021</v>
      </c>
      <c r="G5" s="8">
        <v>184.547</v>
      </c>
      <c r="H5" s="9">
        <v>0.23899999999999999</v>
      </c>
      <c r="I5" s="9">
        <v>845.81</v>
      </c>
      <c r="J5" s="9">
        <v>66.527000000000001</v>
      </c>
      <c r="K5" s="9">
        <v>21.013000000000002</v>
      </c>
      <c r="L5" s="9">
        <v>46.2</v>
      </c>
      <c r="M5" s="9">
        <v>370.19799999999998</v>
      </c>
      <c r="N5" s="10">
        <v>1160.6959999999999</v>
      </c>
      <c r="O5" s="8">
        <v>401.44600000000003</v>
      </c>
      <c r="P5" s="9">
        <v>0.29199999999999998</v>
      </c>
      <c r="Q5" s="9">
        <v>681.58799999999997</v>
      </c>
      <c r="R5" s="9">
        <v>362.983</v>
      </c>
      <c r="S5" s="9">
        <v>10.385999999999999</v>
      </c>
      <c r="T5" s="9">
        <v>46.183999999999997</v>
      </c>
      <c r="U5" s="9">
        <v>1819.8130000000001</v>
      </c>
      <c r="V5" s="10">
        <v>1705.146</v>
      </c>
      <c r="W5" s="219">
        <f t="shared" si="0"/>
        <v>1.265756938705759E-3</v>
      </c>
      <c r="X5" s="5">
        <f t="shared" si="1"/>
        <v>5.9728644329886275E-2</v>
      </c>
      <c r="Y5" s="5">
        <f t="shared" si="2"/>
        <v>1.2769972379128808E-4</v>
      </c>
      <c r="Z5" s="5">
        <f t="shared" si="3"/>
        <v>2.0065303259501311E-5</v>
      </c>
      <c r="AA5" s="5">
        <f t="shared" si="4"/>
        <v>5.9728644329886275E-2</v>
      </c>
      <c r="AB5" s="5">
        <f t="shared" si="5"/>
        <v>1.5383832354787418E-2</v>
      </c>
      <c r="AC5" s="5">
        <f t="shared" si="6"/>
        <v>1.5383832354787418E-2</v>
      </c>
      <c r="AD5" s="5">
        <f t="shared" si="7"/>
        <v>3.674909407374092E-3</v>
      </c>
      <c r="AE5" s="5">
        <f t="shared" si="8"/>
        <v>5.531208672634051E-3</v>
      </c>
      <c r="AF5" s="22">
        <f t="shared" si="9"/>
        <v>5.531208672634051E-3</v>
      </c>
      <c r="AG5" s="21">
        <f t="shared" si="10"/>
        <v>2.4459763174449315E-2</v>
      </c>
      <c r="AH5" s="5">
        <f t="shared" si="11"/>
        <v>6.5865207635833936E-2</v>
      </c>
      <c r="AI5" s="5">
        <f t="shared" si="12"/>
        <v>2.2743622191911397E-4</v>
      </c>
      <c r="AJ5" s="5">
        <f t="shared" si="13"/>
        <v>6.8435249152448799E-5</v>
      </c>
      <c r="AK5" s="5">
        <f t="shared" si="14"/>
        <v>6.5865207635833936E-2</v>
      </c>
      <c r="AL5" s="5">
        <f t="shared" si="15"/>
        <v>4.1510555939668192E-3</v>
      </c>
      <c r="AM5" s="5">
        <f t="shared" si="16"/>
        <v>4.1510555939668192E-3</v>
      </c>
      <c r="AN5" s="5">
        <f t="shared" si="17"/>
        <v>1.2028387602739986E-2</v>
      </c>
      <c r="AO5" s="5">
        <f t="shared" si="18"/>
        <v>1.1033228262350037E-2</v>
      </c>
      <c r="AP5" s="22">
        <f t="shared" si="19"/>
        <v>1.2028387602739986E-2</v>
      </c>
      <c r="AQ5" s="21">
        <f t="shared" si="20"/>
        <v>0.08</v>
      </c>
      <c r="AR5" s="5">
        <f t="shared" si="21"/>
        <v>0.10299999999999999</v>
      </c>
      <c r="AS5" s="22">
        <f t="shared" si="22"/>
        <v>9.1999999999999998E-2</v>
      </c>
      <c r="AT5" s="23">
        <f t="shared" si="23"/>
        <v>0.53</v>
      </c>
      <c r="AU5" s="134">
        <f t="shared" si="24"/>
        <v>0.69</v>
      </c>
      <c r="AV5" s="24">
        <f t="shared" si="25"/>
        <v>0.61</v>
      </c>
      <c r="AW5" s="220">
        <f t="shared" si="26"/>
        <v>5</v>
      </c>
      <c r="AX5" s="43">
        <f t="shared" si="27"/>
        <v>4</v>
      </c>
      <c r="AY5" s="221">
        <f t="shared" si="28"/>
        <v>5</v>
      </c>
    </row>
    <row r="6" spans="1:51" ht="13.35" customHeight="1">
      <c r="A6" s="139">
        <v>11270</v>
      </c>
      <c r="B6" s="67" t="s">
        <v>144</v>
      </c>
      <c r="C6" s="222" t="str">
        <f>Rollover!A6</f>
        <v>Buick</v>
      </c>
      <c r="D6" s="223" t="str">
        <f>Rollover!B6</f>
        <v>Encore GX SUV AWD</v>
      </c>
      <c r="E6" s="133" t="s">
        <v>92</v>
      </c>
      <c r="F6" s="217">
        <f>Rollover!C6</f>
        <v>2021</v>
      </c>
      <c r="G6" s="21">
        <v>184.547</v>
      </c>
      <c r="H6" s="5">
        <v>0.23899999999999999</v>
      </c>
      <c r="I6" s="5">
        <v>845.81</v>
      </c>
      <c r="J6" s="5">
        <v>66.527000000000001</v>
      </c>
      <c r="K6" s="5">
        <v>21.013000000000002</v>
      </c>
      <c r="L6" s="5">
        <v>46.2</v>
      </c>
      <c r="M6" s="5">
        <v>370.19799999999998</v>
      </c>
      <c r="N6" s="22">
        <v>1160.6959999999999</v>
      </c>
      <c r="O6" s="21">
        <v>401.44600000000003</v>
      </c>
      <c r="P6" s="5">
        <v>0.29199999999999998</v>
      </c>
      <c r="Q6" s="5">
        <v>681.58799999999997</v>
      </c>
      <c r="R6" s="5">
        <v>362.983</v>
      </c>
      <c r="S6" s="5">
        <v>10.385999999999999</v>
      </c>
      <c r="T6" s="5">
        <v>46.183999999999997</v>
      </c>
      <c r="U6" s="5">
        <v>1819.8130000000001</v>
      </c>
      <c r="V6" s="22">
        <v>1705.146</v>
      </c>
      <c r="W6" s="219">
        <f t="shared" ref="W6:W23" si="29">NORMDIST(LN(G6),7.45231,0.73998,1)</f>
        <v>1.265756938705759E-3</v>
      </c>
      <c r="X6" s="5">
        <f t="shared" ref="X6:X23" si="30">1/(1+EXP(3.2269-1.9688*H6))</f>
        <v>5.9728644329886275E-2</v>
      </c>
      <c r="Y6" s="5">
        <f t="shared" ref="Y6:Y23" si="31">1/(1+EXP(10.9745-2.375*I6/1000))</f>
        <v>1.2769972379128808E-4</v>
      </c>
      <c r="Z6" s="5">
        <f t="shared" ref="Z6:Z23" si="32">1/(1+EXP(10.9745-2.375*J6/1000))</f>
        <v>2.0065303259501311E-5</v>
      </c>
      <c r="AA6" s="5">
        <f t="shared" ref="AA6:AA23" si="33">MAX(X6,Y6,Z6)</f>
        <v>5.9728644329886275E-2</v>
      </c>
      <c r="AB6" s="5">
        <f t="shared" ref="AB6:AB23" si="34">1/(1+EXP(12.597-0.05861*35-1.568*(K6^0.4612)))</f>
        <v>1.5383832354787418E-2</v>
      </c>
      <c r="AC6" s="5">
        <f t="shared" ref="AC6:AC23" si="35">AB6</f>
        <v>1.5383832354787418E-2</v>
      </c>
      <c r="AD6" s="5">
        <f t="shared" ref="AD6:AD23" si="36">1/(1+EXP(5.7949-0.5196*M6/1000))</f>
        <v>3.674909407374092E-3</v>
      </c>
      <c r="AE6" s="5">
        <f t="shared" ref="AE6:AE23" si="37">1/(1+EXP(5.7949-0.5196*N6/1000))</f>
        <v>5.531208672634051E-3</v>
      </c>
      <c r="AF6" s="22">
        <f t="shared" ref="AF6:AF23" si="38">MAX(AD6,AE6)</f>
        <v>5.531208672634051E-3</v>
      </c>
      <c r="AG6" s="21">
        <f t="shared" ref="AG6:AG23" si="39">NORMDIST(LN(O6),7.45231,0.73998,1)</f>
        <v>2.4459763174449315E-2</v>
      </c>
      <c r="AH6" s="5">
        <f t="shared" ref="AH6:AH23" si="40">1/(1+EXP(3.2269-1.9688*P6))</f>
        <v>6.5865207635833936E-2</v>
      </c>
      <c r="AI6" s="5">
        <f t="shared" ref="AI6:AI23" si="41">1/(1+EXP(10.958-3.77*Q6/1000))</f>
        <v>2.2743622191911397E-4</v>
      </c>
      <c r="AJ6" s="5">
        <f t="shared" ref="AJ6:AJ23" si="42">1/(1+EXP(10.958-3.77*R6/1000))</f>
        <v>6.8435249152448799E-5</v>
      </c>
      <c r="AK6" s="5">
        <f t="shared" ref="AK6:AK23" si="43">MAX(AH6,AI6,AJ6)</f>
        <v>6.5865207635833936E-2</v>
      </c>
      <c r="AL6" s="5">
        <f t="shared" ref="AL6:AL23" si="44">1/(1+EXP(12.597-0.05861*35-1.568*((S6/0.817)^0.4612)))</f>
        <v>4.1510555939668192E-3</v>
      </c>
      <c r="AM6" s="5">
        <f t="shared" ref="AM6:AM23" si="45">AL6</f>
        <v>4.1510555939668192E-3</v>
      </c>
      <c r="AN6" s="5">
        <f t="shared" ref="AN6:AN23" si="46">1/(1+EXP(5.7949-0.7619*U6/1000))</f>
        <v>1.2028387602739986E-2</v>
      </c>
      <c r="AO6" s="5">
        <f t="shared" ref="AO6:AO23" si="47">1/(1+EXP(5.7949-0.7619*V6/1000))</f>
        <v>1.1033228262350037E-2</v>
      </c>
      <c r="AP6" s="22">
        <f t="shared" ref="AP6:AP23" si="48">MAX(AN6,AO6)</f>
        <v>1.2028387602739986E-2</v>
      </c>
      <c r="AQ6" s="21">
        <f t="shared" ref="AQ6:AQ23" si="49">ROUND(1-(1-W6)*(1-AA6)*(1-AC6)*(1-AF6),3)</f>
        <v>0.08</v>
      </c>
      <c r="AR6" s="5">
        <f t="shared" ref="AR6:AR23" si="50">ROUND(1-(1-AG6)*(1-AK6)*(1-AM6)*(1-AP6),3)</f>
        <v>0.10299999999999999</v>
      </c>
      <c r="AS6" s="22">
        <f t="shared" ref="AS6:AS23" si="51">ROUND(AVERAGE(AR6,AQ6),3)</f>
        <v>9.1999999999999998E-2</v>
      </c>
      <c r="AT6" s="23">
        <f t="shared" ref="AT6:AT23" si="52">ROUND(AQ6/0.15,2)</f>
        <v>0.53</v>
      </c>
      <c r="AU6" s="134">
        <f t="shared" ref="AU6:AU23" si="53">ROUND(AR6/0.15,2)</f>
        <v>0.69</v>
      </c>
      <c r="AV6" s="24">
        <f t="shared" ref="AV6:AV23" si="54">ROUND(AS6/0.15,2)</f>
        <v>0.61</v>
      </c>
      <c r="AW6" s="220">
        <f t="shared" ref="AW6:AW23" si="55">IF(AT6&lt;0.67,5,IF(AT6&lt;1,4,IF(AT6&lt;1.33,3,IF(AT6&lt;2.67,2,1))))</f>
        <v>5</v>
      </c>
      <c r="AX6" s="43">
        <f t="shared" ref="AX6:AX23" si="56">IF(AU6&lt;0.67,5,IF(AU6&lt;1,4,IF(AU6&lt;1.33,3,IF(AU6&lt;2.67,2,1))))</f>
        <v>4</v>
      </c>
      <c r="AY6" s="221">
        <f t="shared" ref="AY6:AY23" si="57">IF(AV6&lt;0.67,5,IF(AV6&lt;1,4,IF(AV6&lt;1.33,3,IF(AV6&lt;2.67,2,1))))</f>
        <v>5</v>
      </c>
    </row>
    <row r="7" spans="1:51" ht="13.35" customHeight="1">
      <c r="A7" s="66">
        <v>11291</v>
      </c>
      <c r="B7" s="67" t="s">
        <v>148</v>
      </c>
      <c r="C7" s="215" t="str">
        <f>Rollover!A7</f>
        <v xml:space="preserve">Ford </v>
      </c>
      <c r="D7" s="216" t="str">
        <f>Rollover!B7</f>
        <v>Transit Connect Wagon FWD</v>
      </c>
      <c r="E7" s="133" t="s">
        <v>92</v>
      </c>
      <c r="F7" s="217">
        <f>Rollover!C7</f>
        <v>2021</v>
      </c>
      <c r="G7" s="8">
        <v>144.79900000000001</v>
      </c>
      <c r="H7" s="9">
        <v>0.28100000000000003</v>
      </c>
      <c r="I7" s="9">
        <v>1022.27</v>
      </c>
      <c r="J7" s="9">
        <v>80.978999999999999</v>
      </c>
      <c r="K7" s="9">
        <v>24.748999999999999</v>
      </c>
      <c r="L7" s="9">
        <v>38.316000000000003</v>
      </c>
      <c r="M7" s="9">
        <v>1207.539</v>
      </c>
      <c r="N7" s="10">
        <v>1308.31</v>
      </c>
      <c r="O7" s="8">
        <v>146.15100000000001</v>
      </c>
      <c r="P7" s="9">
        <v>0.48199999999999998</v>
      </c>
      <c r="Q7" s="9">
        <v>797.15599999999995</v>
      </c>
      <c r="R7" s="9">
        <v>77.545000000000002</v>
      </c>
      <c r="S7" s="9">
        <v>9.6270000000000007</v>
      </c>
      <c r="T7" s="9">
        <v>37.445</v>
      </c>
      <c r="U7" s="9">
        <v>2835.0140000000001</v>
      </c>
      <c r="V7" s="10">
        <v>2175.9490000000001</v>
      </c>
      <c r="W7" s="219">
        <f t="shared" ref="W7:W8" si="58">NORMDIST(LN(G7),7.45231,0.73998,1)</f>
        <v>4.0795780154983255E-4</v>
      </c>
      <c r="X7" s="5">
        <f t="shared" ref="X7:X8" si="59">1/(1+EXP(3.2269-1.9688*H7))</f>
        <v>6.4545192426725559E-2</v>
      </c>
      <c r="Y7" s="5">
        <f t="shared" ref="Y7:Y8" si="60">1/(1+EXP(10.9745-2.375*I7/1000))</f>
        <v>1.9416486625951581E-4</v>
      </c>
      <c r="Z7" s="5">
        <f t="shared" ref="Z7:Z8" si="61">1/(1+EXP(10.9745-2.375*J7/1000))</f>
        <v>2.0765956036583821E-5</v>
      </c>
      <c r="AA7" s="5">
        <f t="shared" ref="AA7:AA8" si="62">MAX(X7,Y7,Z7)</f>
        <v>6.4545192426725559E-2</v>
      </c>
      <c r="AB7" s="5">
        <f t="shared" ref="AB7:AB8" si="63">1/(1+EXP(12.597-0.05861*35-1.568*(K7^0.4612)))</f>
        <v>2.5129620955269018E-2</v>
      </c>
      <c r="AC7" s="5">
        <f t="shared" ref="AC7:AC8" si="64">AB7</f>
        <v>2.5129620955269018E-2</v>
      </c>
      <c r="AD7" s="5">
        <f t="shared" ref="AD7:AD8" si="65">1/(1+EXP(5.7949-0.5196*M7/1000))</f>
        <v>5.6667157148867298E-3</v>
      </c>
      <c r="AE7" s="5">
        <f t="shared" ref="AE7:AE8" si="66">1/(1+EXP(5.7949-0.5196*N7/1000))</f>
        <v>5.9695153953563977E-3</v>
      </c>
      <c r="AF7" s="22">
        <f t="shared" ref="AF7:AF8" si="67">MAX(AD7,AE7)</f>
        <v>5.9695153953563977E-3</v>
      </c>
      <c r="AG7" s="21">
        <f t="shared" ref="AG7:AG8" si="68">NORMDIST(LN(O7),7.45231,0.73998,1)</f>
        <v>4.2683627993218647E-4</v>
      </c>
      <c r="AH7" s="5">
        <f t="shared" ref="AH7:AH8" si="69">1/(1+EXP(3.2269-1.9688*P7))</f>
        <v>9.2966649352356739E-2</v>
      </c>
      <c r="AI7" s="5">
        <f t="shared" ref="AI7:AI8" si="70">1/(1+EXP(10.958-3.77*Q7/1000))</f>
        <v>3.515799138136919E-4</v>
      </c>
      <c r="AJ7" s="5">
        <f t="shared" ref="AJ7:AJ8" si="71">1/(1+EXP(10.958-3.77*R7/1000))</f>
        <v>2.3332141547720342E-5</v>
      </c>
      <c r="AK7" s="5">
        <f t="shared" ref="AK7:AK8" si="72">MAX(AH7,AI7,AJ7)</f>
        <v>9.2966649352356739E-2</v>
      </c>
      <c r="AL7" s="5">
        <f t="shared" ref="AL7:AL8" si="73">1/(1+EXP(12.597-0.05861*35-1.568*((S7/0.817)^0.4612)))</f>
        <v>3.4896726467213246E-3</v>
      </c>
      <c r="AM7" s="5">
        <f t="shared" ref="AM7:AM8" si="74">AL7</f>
        <v>3.4896726467213246E-3</v>
      </c>
      <c r="AN7" s="5">
        <f t="shared" ref="AN7:AN8" si="75">1/(1+EXP(5.7949-0.7619*U7/1000))</f>
        <v>2.5708150094295293E-2</v>
      </c>
      <c r="AO7" s="5">
        <f t="shared" ref="AO7:AO8" si="76">1/(1+EXP(5.7949-0.7619*V7/1000))</f>
        <v>1.5718950439590172E-2</v>
      </c>
      <c r="AP7" s="22">
        <f t="shared" ref="AP7:AP8" si="77">MAX(AN7,AO7)</f>
        <v>2.5708150094295293E-2</v>
      </c>
      <c r="AQ7" s="21">
        <f t="shared" ref="AQ7:AQ8" si="78">ROUND(1-(1-W7)*(1-AA7)*(1-AC7)*(1-AF7),3)</f>
        <v>9.4E-2</v>
      </c>
      <c r="AR7" s="5">
        <f t="shared" ref="AR7:AR8" si="79">ROUND(1-(1-AG7)*(1-AK7)*(1-AM7)*(1-AP7),3)</f>
        <v>0.12</v>
      </c>
      <c r="AS7" s="22">
        <f t="shared" ref="AS7:AS8" si="80">ROUND(AVERAGE(AR7,AQ7),3)</f>
        <v>0.107</v>
      </c>
      <c r="AT7" s="23">
        <f t="shared" ref="AT7:AT8" si="81">ROUND(AQ7/0.15,2)</f>
        <v>0.63</v>
      </c>
      <c r="AU7" s="134">
        <f t="shared" ref="AU7:AU8" si="82">ROUND(AR7/0.15,2)</f>
        <v>0.8</v>
      </c>
      <c r="AV7" s="24">
        <f t="shared" ref="AV7:AV8" si="83">ROUND(AS7/0.15,2)</f>
        <v>0.71</v>
      </c>
      <c r="AW7" s="220">
        <f t="shared" ref="AW7:AW8" si="84">IF(AT7&lt;0.67,5,IF(AT7&lt;1,4,IF(AT7&lt;1.33,3,IF(AT7&lt;2.67,2,1))))</f>
        <v>5</v>
      </c>
      <c r="AX7" s="43">
        <f t="shared" ref="AX7:AX8" si="85">IF(AU7&lt;0.67,5,IF(AU7&lt;1,4,IF(AU7&lt;1.33,3,IF(AU7&lt;2.67,2,1))))</f>
        <v>4</v>
      </c>
      <c r="AY7" s="221">
        <f t="shared" ref="AY7:AY8" si="86">IF(AV7&lt;0.67,5,IF(AV7&lt;1,4,IF(AV7&lt;1.33,3,IF(AV7&lt;2.67,2,1))))</f>
        <v>4</v>
      </c>
    </row>
    <row r="8" spans="1:51" ht="13.35" customHeight="1">
      <c r="A8" s="139">
        <v>11291</v>
      </c>
      <c r="B8" s="67" t="s">
        <v>148</v>
      </c>
      <c r="C8" s="222" t="str">
        <f>Rollover!A8</f>
        <v xml:space="preserve">Ford </v>
      </c>
      <c r="D8" s="223" t="str">
        <f>Rollover!B8</f>
        <v>Transit Connect Van FWD</v>
      </c>
      <c r="E8" s="133" t="s">
        <v>92</v>
      </c>
      <c r="F8" s="217">
        <f>Rollover!C8</f>
        <v>2021</v>
      </c>
      <c r="G8" s="218">
        <v>144.79900000000001</v>
      </c>
      <c r="H8" s="9">
        <v>0.28100000000000003</v>
      </c>
      <c r="I8" s="9">
        <v>1022.27</v>
      </c>
      <c r="J8" s="9">
        <v>80.978999999999999</v>
      </c>
      <c r="K8" s="9">
        <v>24.748999999999999</v>
      </c>
      <c r="L8" s="9">
        <v>38.316000000000003</v>
      </c>
      <c r="M8" s="9">
        <v>1207.539</v>
      </c>
      <c r="N8" s="10">
        <v>1308.31</v>
      </c>
      <c r="O8" s="8">
        <v>146.15100000000001</v>
      </c>
      <c r="P8" s="9">
        <v>0.48199999999999998</v>
      </c>
      <c r="Q8" s="9">
        <v>797.15599999999995</v>
      </c>
      <c r="R8" s="9">
        <v>77.545000000000002</v>
      </c>
      <c r="S8" s="9">
        <v>9.6270000000000007</v>
      </c>
      <c r="T8" s="9">
        <v>37.445</v>
      </c>
      <c r="U8" s="9">
        <v>2835.0140000000001</v>
      </c>
      <c r="V8" s="10">
        <v>2175.9490000000001</v>
      </c>
      <c r="W8" s="219">
        <f t="shared" si="58"/>
        <v>4.0795780154983255E-4</v>
      </c>
      <c r="X8" s="5">
        <f t="shared" si="59"/>
        <v>6.4545192426725559E-2</v>
      </c>
      <c r="Y8" s="5">
        <f t="shared" si="60"/>
        <v>1.9416486625951581E-4</v>
      </c>
      <c r="Z8" s="5">
        <f t="shared" si="61"/>
        <v>2.0765956036583821E-5</v>
      </c>
      <c r="AA8" s="5">
        <f t="shared" si="62"/>
        <v>6.4545192426725559E-2</v>
      </c>
      <c r="AB8" s="5">
        <f t="shared" si="63"/>
        <v>2.5129620955269018E-2</v>
      </c>
      <c r="AC8" s="5">
        <f t="shared" si="64"/>
        <v>2.5129620955269018E-2</v>
      </c>
      <c r="AD8" s="5">
        <f t="shared" si="65"/>
        <v>5.6667157148867298E-3</v>
      </c>
      <c r="AE8" s="5">
        <f t="shared" si="66"/>
        <v>5.9695153953563977E-3</v>
      </c>
      <c r="AF8" s="22">
        <f t="shared" si="67"/>
        <v>5.9695153953563977E-3</v>
      </c>
      <c r="AG8" s="21">
        <f t="shared" si="68"/>
        <v>4.2683627993218647E-4</v>
      </c>
      <c r="AH8" s="5">
        <f t="shared" si="69"/>
        <v>9.2966649352356739E-2</v>
      </c>
      <c r="AI8" s="5">
        <f t="shared" si="70"/>
        <v>3.515799138136919E-4</v>
      </c>
      <c r="AJ8" s="5">
        <f t="shared" si="71"/>
        <v>2.3332141547720342E-5</v>
      </c>
      <c r="AK8" s="5">
        <f t="shared" si="72"/>
        <v>9.2966649352356739E-2</v>
      </c>
      <c r="AL8" s="5">
        <f t="shared" si="73"/>
        <v>3.4896726467213246E-3</v>
      </c>
      <c r="AM8" s="5">
        <f t="shared" si="74"/>
        <v>3.4896726467213246E-3</v>
      </c>
      <c r="AN8" s="5">
        <f t="shared" si="75"/>
        <v>2.5708150094295293E-2</v>
      </c>
      <c r="AO8" s="5">
        <f t="shared" si="76"/>
        <v>1.5718950439590172E-2</v>
      </c>
      <c r="AP8" s="22">
        <f t="shared" si="77"/>
        <v>2.5708150094295293E-2</v>
      </c>
      <c r="AQ8" s="21">
        <f t="shared" si="78"/>
        <v>9.4E-2</v>
      </c>
      <c r="AR8" s="5">
        <f t="shared" si="79"/>
        <v>0.12</v>
      </c>
      <c r="AS8" s="22">
        <f t="shared" si="80"/>
        <v>0.107</v>
      </c>
      <c r="AT8" s="23">
        <f t="shared" si="81"/>
        <v>0.63</v>
      </c>
      <c r="AU8" s="134">
        <f t="shared" si="82"/>
        <v>0.8</v>
      </c>
      <c r="AV8" s="24">
        <f t="shared" si="83"/>
        <v>0.71</v>
      </c>
      <c r="AW8" s="220">
        <f t="shared" si="84"/>
        <v>5</v>
      </c>
      <c r="AX8" s="43">
        <f t="shared" si="85"/>
        <v>4</v>
      </c>
      <c r="AY8" s="221">
        <f t="shared" si="86"/>
        <v>4</v>
      </c>
    </row>
    <row r="9" spans="1:51" ht="13.35" customHeight="1">
      <c r="A9" s="139">
        <v>11268</v>
      </c>
      <c r="B9" s="66" t="s">
        <v>141</v>
      </c>
      <c r="C9" s="215" t="str">
        <f>Rollover!A9</f>
        <v>Kia</v>
      </c>
      <c r="D9" s="216" t="str">
        <f>Rollover!B9</f>
        <v>K5 4DR FWD</v>
      </c>
      <c r="E9" s="133" t="s">
        <v>92</v>
      </c>
      <c r="F9" s="217">
        <f>Rollover!C9</f>
        <v>2021</v>
      </c>
      <c r="G9" s="21">
        <v>294.64800000000002</v>
      </c>
      <c r="H9" s="5">
        <v>0.20899999999999999</v>
      </c>
      <c r="I9" s="5">
        <v>801.27300000000002</v>
      </c>
      <c r="J9" s="5">
        <v>94.372</v>
      </c>
      <c r="K9" s="5">
        <v>21.593</v>
      </c>
      <c r="L9" s="5">
        <v>41.38</v>
      </c>
      <c r="M9" s="5">
        <v>1975.1410000000001</v>
      </c>
      <c r="N9" s="22">
        <v>1229.261</v>
      </c>
      <c r="O9" s="21">
        <v>372.92899999999997</v>
      </c>
      <c r="P9" s="5">
        <v>0.501</v>
      </c>
      <c r="Q9" s="5">
        <v>655.30700000000002</v>
      </c>
      <c r="R9" s="5">
        <v>255.69800000000001</v>
      </c>
      <c r="S9" s="5">
        <v>13.215999999999999</v>
      </c>
      <c r="T9" s="5">
        <v>41.445</v>
      </c>
      <c r="U9" s="5">
        <v>88.203999999999994</v>
      </c>
      <c r="V9" s="22">
        <v>135.499</v>
      </c>
      <c r="W9" s="219">
        <f t="shared" si="29"/>
        <v>8.4871185456827716E-3</v>
      </c>
      <c r="X9" s="5">
        <f t="shared" si="30"/>
        <v>5.6496531186568832E-2</v>
      </c>
      <c r="Y9" s="5">
        <f t="shared" si="31"/>
        <v>1.1488355415619377E-4</v>
      </c>
      <c r="Z9" s="5">
        <f t="shared" si="32"/>
        <v>2.1437090455864124E-5</v>
      </c>
      <c r="AA9" s="5">
        <f t="shared" si="33"/>
        <v>5.6496531186568832E-2</v>
      </c>
      <c r="AB9" s="5">
        <f t="shared" si="34"/>
        <v>1.6655354772788181E-2</v>
      </c>
      <c r="AC9" s="5">
        <f t="shared" si="35"/>
        <v>1.6655354772788181E-2</v>
      </c>
      <c r="AD9" s="5">
        <f t="shared" si="36"/>
        <v>8.4206100565153187E-3</v>
      </c>
      <c r="AE9" s="5">
        <f t="shared" si="37"/>
        <v>5.7306682276977447E-3</v>
      </c>
      <c r="AF9" s="22">
        <f t="shared" si="38"/>
        <v>8.4206100565153187E-3</v>
      </c>
      <c r="AG9" s="21">
        <f t="shared" si="39"/>
        <v>1.9279173887082925E-2</v>
      </c>
      <c r="AH9" s="5">
        <f t="shared" si="40"/>
        <v>9.6169359468729107E-2</v>
      </c>
      <c r="AI9" s="5">
        <f t="shared" si="41"/>
        <v>2.0598676928946724E-4</v>
      </c>
      <c r="AJ9" s="5">
        <f t="shared" si="42"/>
        <v>4.5670215540480505E-5</v>
      </c>
      <c r="AK9" s="5">
        <f t="shared" si="43"/>
        <v>9.6169359468729107E-2</v>
      </c>
      <c r="AL9" s="5">
        <f t="shared" si="44"/>
        <v>7.5037978448511565E-3</v>
      </c>
      <c r="AM9" s="5">
        <f t="shared" si="45"/>
        <v>7.5037978448511565E-3</v>
      </c>
      <c r="AN9" s="5">
        <f t="shared" si="46"/>
        <v>3.2440048410150536E-3</v>
      </c>
      <c r="AO9" s="5">
        <f t="shared" si="47"/>
        <v>3.3626308875815566E-3</v>
      </c>
      <c r="AP9" s="22">
        <f t="shared" si="48"/>
        <v>3.3626308875815566E-3</v>
      </c>
      <c r="AQ9" s="21">
        <f t="shared" si="49"/>
        <v>8.7999999999999995E-2</v>
      </c>
      <c r="AR9" s="5">
        <f t="shared" si="50"/>
        <v>0.123</v>
      </c>
      <c r="AS9" s="22">
        <f t="shared" si="51"/>
        <v>0.106</v>
      </c>
      <c r="AT9" s="23">
        <f t="shared" si="52"/>
        <v>0.59</v>
      </c>
      <c r="AU9" s="134">
        <f t="shared" si="53"/>
        <v>0.82</v>
      </c>
      <c r="AV9" s="24">
        <f t="shared" si="54"/>
        <v>0.71</v>
      </c>
      <c r="AW9" s="220">
        <f t="shared" si="55"/>
        <v>5</v>
      </c>
      <c r="AX9" s="43">
        <f t="shared" si="56"/>
        <v>4</v>
      </c>
      <c r="AY9" s="221">
        <f t="shared" si="57"/>
        <v>4</v>
      </c>
    </row>
    <row r="10" spans="1:51" ht="13.35" customHeight="1">
      <c r="A10" s="66">
        <v>11079</v>
      </c>
      <c r="B10" s="67" t="s">
        <v>94</v>
      </c>
      <c r="C10" s="215" t="str">
        <f>Rollover!A10</f>
        <v>Kia</v>
      </c>
      <c r="D10" s="216" t="str">
        <f>Rollover!B10</f>
        <v>Seltos SUV FWD</v>
      </c>
      <c r="E10" s="133" t="s">
        <v>92</v>
      </c>
      <c r="F10" s="217">
        <f>Rollover!C10</f>
        <v>2021</v>
      </c>
      <c r="G10" s="8">
        <v>129.126</v>
      </c>
      <c r="H10" s="9">
        <v>0.24199999999999999</v>
      </c>
      <c r="I10" s="9">
        <v>1054.5129999999999</v>
      </c>
      <c r="J10" s="9">
        <v>103.148</v>
      </c>
      <c r="K10" s="9">
        <v>26.001999999999999</v>
      </c>
      <c r="L10" s="9">
        <v>43.406999999999996</v>
      </c>
      <c r="M10" s="9">
        <v>2045.9860000000001</v>
      </c>
      <c r="N10" s="10">
        <v>1907.635</v>
      </c>
      <c r="O10" s="8">
        <v>404.99299999999999</v>
      </c>
      <c r="P10" s="9">
        <v>0.41399999999999998</v>
      </c>
      <c r="Q10" s="9">
        <v>566.78099999999995</v>
      </c>
      <c r="R10" s="9">
        <v>762.06899999999996</v>
      </c>
      <c r="S10" s="9">
        <v>13.621</v>
      </c>
      <c r="T10" s="9">
        <v>52.731000000000002</v>
      </c>
      <c r="U10" s="9">
        <v>639.43100000000004</v>
      </c>
      <c r="V10" s="10">
        <v>194.53100000000001</v>
      </c>
      <c r="W10" s="219">
        <f t="shared" si="29"/>
        <v>2.3075942002772419E-4</v>
      </c>
      <c r="X10" s="5">
        <f t="shared" si="30"/>
        <v>6.0061218312841474E-2</v>
      </c>
      <c r="Y10" s="5">
        <f t="shared" si="31"/>
        <v>2.0961432543799391E-4</v>
      </c>
      <c r="Z10" s="5">
        <f t="shared" si="32"/>
        <v>2.1888582834895422E-5</v>
      </c>
      <c r="AA10" s="5">
        <f t="shared" si="33"/>
        <v>6.0061218312841474E-2</v>
      </c>
      <c r="AB10" s="5">
        <f t="shared" si="34"/>
        <v>2.9324284916038272E-2</v>
      </c>
      <c r="AC10" s="5">
        <f t="shared" si="35"/>
        <v>2.9324284916038272E-2</v>
      </c>
      <c r="AD10" s="5">
        <f t="shared" si="36"/>
        <v>8.733599889142794E-3</v>
      </c>
      <c r="AE10" s="5">
        <f t="shared" si="37"/>
        <v>8.1327282525987463E-3</v>
      </c>
      <c r="AF10" s="22">
        <f t="shared" si="38"/>
        <v>8.733599889142794E-3</v>
      </c>
      <c r="AG10" s="21">
        <f t="shared" si="39"/>
        <v>2.5149962139034938E-2</v>
      </c>
      <c r="AH10" s="5">
        <f t="shared" si="40"/>
        <v>8.2276033427140446E-2</v>
      </c>
      <c r="AI10" s="5">
        <f t="shared" si="41"/>
        <v>1.4754413818385533E-4</v>
      </c>
      <c r="AJ10" s="5">
        <f t="shared" si="42"/>
        <v>3.080316719954209E-4</v>
      </c>
      <c r="AK10" s="5">
        <f t="shared" si="43"/>
        <v>8.2276033427140446E-2</v>
      </c>
      <c r="AL10" s="5">
        <f t="shared" si="44"/>
        <v>8.118503430097403E-3</v>
      </c>
      <c r="AM10" s="5">
        <f t="shared" si="45"/>
        <v>8.118503430097403E-3</v>
      </c>
      <c r="AN10" s="5">
        <f t="shared" si="46"/>
        <v>4.9288059862936072E-3</v>
      </c>
      <c r="AO10" s="5">
        <f t="shared" si="47"/>
        <v>3.5167788479315704E-3</v>
      </c>
      <c r="AP10" s="22">
        <f t="shared" si="48"/>
        <v>4.9288059862936072E-3</v>
      </c>
      <c r="AQ10" s="21">
        <f t="shared" si="49"/>
        <v>9.6000000000000002E-2</v>
      </c>
      <c r="AR10" s="5">
        <f t="shared" si="50"/>
        <v>0.11700000000000001</v>
      </c>
      <c r="AS10" s="22">
        <f t="shared" si="51"/>
        <v>0.107</v>
      </c>
      <c r="AT10" s="23">
        <f t="shared" si="52"/>
        <v>0.64</v>
      </c>
      <c r="AU10" s="134">
        <f t="shared" si="53"/>
        <v>0.78</v>
      </c>
      <c r="AV10" s="24">
        <f t="shared" si="54"/>
        <v>0.71</v>
      </c>
      <c r="AW10" s="220">
        <f t="shared" si="55"/>
        <v>5</v>
      </c>
      <c r="AX10" s="43">
        <f t="shared" si="56"/>
        <v>4</v>
      </c>
      <c r="AY10" s="221">
        <f t="shared" si="57"/>
        <v>4</v>
      </c>
    </row>
    <row r="11" spans="1:51" ht="13.35" customHeight="1">
      <c r="A11" s="139">
        <v>11079</v>
      </c>
      <c r="B11" s="67" t="s">
        <v>94</v>
      </c>
      <c r="C11" s="215" t="str">
        <f>Rollover!A11</f>
        <v>Kia</v>
      </c>
      <c r="D11" s="216" t="str">
        <f>Rollover!B11</f>
        <v>Seltos SUV AWD</v>
      </c>
      <c r="E11" s="133" t="s">
        <v>92</v>
      </c>
      <c r="F11" s="217">
        <f>Rollover!C11</f>
        <v>2021</v>
      </c>
      <c r="G11" s="218">
        <v>129.126</v>
      </c>
      <c r="H11" s="9">
        <v>0.24199999999999999</v>
      </c>
      <c r="I11" s="9">
        <v>1054.5129999999999</v>
      </c>
      <c r="J11" s="9">
        <v>103.148</v>
      </c>
      <c r="K11" s="9">
        <v>26.001999999999999</v>
      </c>
      <c r="L11" s="9">
        <v>43.406999999999996</v>
      </c>
      <c r="M11" s="9">
        <v>2045.9860000000001</v>
      </c>
      <c r="N11" s="10">
        <v>1907.635</v>
      </c>
      <c r="O11" s="8">
        <v>404.99299999999999</v>
      </c>
      <c r="P11" s="9">
        <v>0.41399999999999998</v>
      </c>
      <c r="Q11" s="9">
        <v>566.78099999999995</v>
      </c>
      <c r="R11" s="9">
        <v>762.06899999999996</v>
      </c>
      <c r="S11" s="9">
        <v>13.621</v>
      </c>
      <c r="T11" s="9">
        <v>52.731000000000002</v>
      </c>
      <c r="U11" s="9">
        <v>639.43100000000004</v>
      </c>
      <c r="V11" s="10">
        <v>194.53100000000001</v>
      </c>
      <c r="W11" s="219">
        <f t="shared" si="29"/>
        <v>2.3075942002772419E-4</v>
      </c>
      <c r="X11" s="5">
        <f t="shared" si="30"/>
        <v>6.0061218312841474E-2</v>
      </c>
      <c r="Y11" s="5">
        <f t="shared" si="31"/>
        <v>2.0961432543799391E-4</v>
      </c>
      <c r="Z11" s="5">
        <f t="shared" si="32"/>
        <v>2.1888582834895422E-5</v>
      </c>
      <c r="AA11" s="5">
        <f t="shared" si="33"/>
        <v>6.0061218312841474E-2</v>
      </c>
      <c r="AB11" s="5">
        <f t="shared" si="34"/>
        <v>2.9324284916038272E-2</v>
      </c>
      <c r="AC11" s="5">
        <f t="shared" si="35"/>
        <v>2.9324284916038272E-2</v>
      </c>
      <c r="AD11" s="5">
        <f t="shared" si="36"/>
        <v>8.733599889142794E-3</v>
      </c>
      <c r="AE11" s="5">
        <f t="shared" si="37"/>
        <v>8.1327282525987463E-3</v>
      </c>
      <c r="AF11" s="22">
        <f t="shared" si="38"/>
        <v>8.733599889142794E-3</v>
      </c>
      <c r="AG11" s="21">
        <f t="shared" si="39"/>
        <v>2.5149962139034938E-2</v>
      </c>
      <c r="AH11" s="5">
        <f t="shared" si="40"/>
        <v>8.2276033427140446E-2</v>
      </c>
      <c r="AI11" s="5">
        <f t="shared" si="41"/>
        <v>1.4754413818385533E-4</v>
      </c>
      <c r="AJ11" s="5">
        <f t="shared" si="42"/>
        <v>3.080316719954209E-4</v>
      </c>
      <c r="AK11" s="5">
        <f t="shared" si="43"/>
        <v>8.2276033427140446E-2</v>
      </c>
      <c r="AL11" s="5">
        <f t="shared" si="44"/>
        <v>8.118503430097403E-3</v>
      </c>
      <c r="AM11" s="5">
        <f t="shared" si="45"/>
        <v>8.118503430097403E-3</v>
      </c>
      <c r="AN11" s="5">
        <f t="shared" si="46"/>
        <v>4.9288059862936072E-3</v>
      </c>
      <c r="AO11" s="5">
        <f t="shared" si="47"/>
        <v>3.5167788479315704E-3</v>
      </c>
      <c r="AP11" s="22">
        <f t="shared" si="48"/>
        <v>4.9288059862936072E-3</v>
      </c>
      <c r="AQ11" s="21">
        <f t="shared" si="49"/>
        <v>9.6000000000000002E-2</v>
      </c>
      <c r="AR11" s="5">
        <f t="shared" si="50"/>
        <v>0.11700000000000001</v>
      </c>
      <c r="AS11" s="22">
        <f t="shared" si="51"/>
        <v>0.107</v>
      </c>
      <c r="AT11" s="23">
        <f t="shared" si="52"/>
        <v>0.64</v>
      </c>
      <c r="AU11" s="134">
        <f t="shared" si="53"/>
        <v>0.78</v>
      </c>
      <c r="AV11" s="24">
        <f t="shared" si="54"/>
        <v>0.71</v>
      </c>
      <c r="AW11" s="220">
        <f t="shared" si="55"/>
        <v>5</v>
      </c>
      <c r="AX11" s="43">
        <f t="shared" si="56"/>
        <v>4</v>
      </c>
      <c r="AY11" s="221">
        <f t="shared" si="57"/>
        <v>4</v>
      </c>
    </row>
    <row r="12" spans="1:51" ht="13.35" customHeight="1">
      <c r="A12" s="139">
        <v>11299</v>
      </c>
      <c r="B12" s="67" t="s">
        <v>154</v>
      </c>
      <c r="C12" s="215" t="str">
        <f>Rollover!A12</f>
        <v>Lexus</v>
      </c>
      <c r="D12" s="216" t="str">
        <f>Rollover!B12</f>
        <v>RX 350 SUV FWD</v>
      </c>
      <c r="E12" s="133" t="s">
        <v>126</v>
      </c>
      <c r="F12" s="217">
        <f>Rollover!C12</f>
        <v>2021</v>
      </c>
      <c r="G12" s="8">
        <v>194.03100000000001</v>
      </c>
      <c r="H12" s="9">
        <v>0.33200000000000002</v>
      </c>
      <c r="I12" s="9">
        <v>1833.354</v>
      </c>
      <c r="J12" s="9">
        <v>265.60700000000003</v>
      </c>
      <c r="K12" s="9">
        <v>34.49</v>
      </c>
      <c r="L12" s="9">
        <v>49.652000000000001</v>
      </c>
      <c r="M12" s="9">
        <v>1925.5139999999999</v>
      </c>
      <c r="N12" s="10">
        <v>3196.7190000000001</v>
      </c>
      <c r="O12" s="8">
        <v>304.69200000000001</v>
      </c>
      <c r="P12" s="9">
        <v>0.40100000000000002</v>
      </c>
      <c r="Q12" s="9">
        <v>1188.8579999999999</v>
      </c>
      <c r="R12" s="9">
        <v>311.596</v>
      </c>
      <c r="S12" s="9">
        <v>18.48</v>
      </c>
      <c r="T12" s="9">
        <v>46.317</v>
      </c>
      <c r="U12" s="9">
        <v>1793.9570000000001</v>
      </c>
      <c r="V12" s="10">
        <v>2031.271</v>
      </c>
      <c r="W12" s="219">
        <f t="shared" si="29"/>
        <v>1.5795054292463042E-3</v>
      </c>
      <c r="X12" s="5">
        <f t="shared" si="30"/>
        <v>7.087942016141463E-2</v>
      </c>
      <c r="Y12" s="5">
        <f t="shared" si="31"/>
        <v>1.3312773098884156E-3</v>
      </c>
      <c r="Z12" s="5">
        <f t="shared" si="32"/>
        <v>3.2194479313720859E-5</v>
      </c>
      <c r="AA12" s="5">
        <f t="shared" si="33"/>
        <v>7.087942016141463E-2</v>
      </c>
      <c r="AB12" s="5">
        <f t="shared" si="34"/>
        <v>7.4531585247378407E-2</v>
      </c>
      <c r="AC12" s="5">
        <f t="shared" si="35"/>
        <v>7.4531585247378407E-2</v>
      </c>
      <c r="AD12" s="5">
        <f t="shared" si="36"/>
        <v>8.2080097187093304E-3</v>
      </c>
      <c r="AE12" s="5">
        <f t="shared" si="37"/>
        <v>1.5767910983772358E-2</v>
      </c>
      <c r="AF12" s="22">
        <f t="shared" si="38"/>
        <v>1.5767910983772358E-2</v>
      </c>
      <c r="AG12" s="21">
        <f t="shared" si="39"/>
        <v>9.5912113998648171E-3</v>
      </c>
      <c r="AH12" s="5">
        <f t="shared" si="40"/>
        <v>8.0364031399719496E-2</v>
      </c>
      <c r="AI12" s="5">
        <f t="shared" si="41"/>
        <v>1.5375821858844038E-3</v>
      </c>
      <c r="AJ12" s="5">
        <f t="shared" si="42"/>
        <v>5.6383191621020164E-5</v>
      </c>
      <c r="AK12" s="5">
        <f t="shared" si="43"/>
        <v>8.0364031399719496E-2</v>
      </c>
      <c r="AL12" s="5">
        <f t="shared" si="44"/>
        <v>1.9110427683468278E-2</v>
      </c>
      <c r="AM12" s="5">
        <f t="shared" si="45"/>
        <v>1.9110427683468278E-2</v>
      </c>
      <c r="AN12" s="5">
        <f t="shared" si="46"/>
        <v>1.1796518758939386E-2</v>
      </c>
      <c r="AO12" s="5">
        <f t="shared" si="47"/>
        <v>1.4101466749392843E-2</v>
      </c>
      <c r="AP12" s="22">
        <f t="shared" si="48"/>
        <v>1.4101466749392843E-2</v>
      </c>
      <c r="AQ12" s="21">
        <f t="shared" si="49"/>
        <v>0.155</v>
      </c>
      <c r="AR12" s="5">
        <f t="shared" si="50"/>
        <v>0.11899999999999999</v>
      </c>
      <c r="AS12" s="22">
        <f t="shared" si="51"/>
        <v>0.13700000000000001</v>
      </c>
      <c r="AT12" s="23">
        <f t="shared" si="52"/>
        <v>1.03</v>
      </c>
      <c r="AU12" s="134">
        <f t="shared" si="53"/>
        <v>0.79</v>
      </c>
      <c r="AV12" s="24">
        <f t="shared" si="54"/>
        <v>0.91</v>
      </c>
      <c r="AW12" s="220">
        <f t="shared" si="55"/>
        <v>3</v>
      </c>
      <c r="AX12" s="43">
        <f t="shared" si="56"/>
        <v>4</v>
      </c>
      <c r="AY12" s="221">
        <f t="shared" si="57"/>
        <v>4</v>
      </c>
    </row>
    <row r="13" spans="1:51" ht="13.35" customHeight="1">
      <c r="A13" s="139">
        <v>11299</v>
      </c>
      <c r="B13" s="67" t="s">
        <v>154</v>
      </c>
      <c r="C13" s="215" t="str">
        <f>Rollover!A13</f>
        <v>Lexus</v>
      </c>
      <c r="D13" s="216" t="str">
        <f>Rollover!B13</f>
        <v>RX 350 SUV AWD</v>
      </c>
      <c r="E13" s="133" t="s">
        <v>126</v>
      </c>
      <c r="F13" s="217">
        <f>Rollover!C13</f>
        <v>2021</v>
      </c>
      <c r="G13" s="8">
        <v>194.03100000000001</v>
      </c>
      <c r="H13" s="9">
        <v>0.33200000000000002</v>
      </c>
      <c r="I13" s="9">
        <v>1833.354</v>
      </c>
      <c r="J13" s="9">
        <v>265.60700000000003</v>
      </c>
      <c r="K13" s="9">
        <v>34.49</v>
      </c>
      <c r="L13" s="9">
        <v>49.652000000000001</v>
      </c>
      <c r="M13" s="9">
        <v>1925.5139999999999</v>
      </c>
      <c r="N13" s="10">
        <v>3196.7190000000001</v>
      </c>
      <c r="O13" s="8">
        <v>304.69200000000001</v>
      </c>
      <c r="P13" s="9">
        <v>0.40100000000000002</v>
      </c>
      <c r="Q13" s="9">
        <v>1188.8579999999999</v>
      </c>
      <c r="R13" s="9">
        <v>311.596</v>
      </c>
      <c r="S13" s="9">
        <v>18.48</v>
      </c>
      <c r="T13" s="9">
        <v>46.317</v>
      </c>
      <c r="U13" s="9">
        <v>1793.9570000000001</v>
      </c>
      <c r="V13" s="10">
        <v>2031.271</v>
      </c>
      <c r="W13" s="219">
        <f t="shared" si="29"/>
        <v>1.5795054292463042E-3</v>
      </c>
      <c r="X13" s="5">
        <f t="shared" si="30"/>
        <v>7.087942016141463E-2</v>
      </c>
      <c r="Y13" s="5">
        <f t="shared" si="31"/>
        <v>1.3312773098884156E-3</v>
      </c>
      <c r="Z13" s="5">
        <f t="shared" si="32"/>
        <v>3.2194479313720859E-5</v>
      </c>
      <c r="AA13" s="5">
        <f t="shared" si="33"/>
        <v>7.087942016141463E-2</v>
      </c>
      <c r="AB13" s="5">
        <f t="shared" si="34"/>
        <v>7.4531585247378407E-2</v>
      </c>
      <c r="AC13" s="5">
        <f t="shared" si="35"/>
        <v>7.4531585247378407E-2</v>
      </c>
      <c r="AD13" s="5">
        <f t="shared" si="36"/>
        <v>8.2080097187093304E-3</v>
      </c>
      <c r="AE13" s="5">
        <f t="shared" si="37"/>
        <v>1.5767910983772358E-2</v>
      </c>
      <c r="AF13" s="22">
        <f t="shared" si="38"/>
        <v>1.5767910983772358E-2</v>
      </c>
      <c r="AG13" s="21">
        <f t="shared" si="39"/>
        <v>9.5912113998648171E-3</v>
      </c>
      <c r="AH13" s="5">
        <f t="shared" si="40"/>
        <v>8.0364031399719496E-2</v>
      </c>
      <c r="AI13" s="5">
        <f t="shared" si="41"/>
        <v>1.5375821858844038E-3</v>
      </c>
      <c r="AJ13" s="5">
        <f t="shared" si="42"/>
        <v>5.6383191621020164E-5</v>
      </c>
      <c r="AK13" s="5">
        <f t="shared" si="43"/>
        <v>8.0364031399719496E-2</v>
      </c>
      <c r="AL13" s="5">
        <f t="shared" si="44"/>
        <v>1.9110427683468278E-2</v>
      </c>
      <c r="AM13" s="5">
        <f t="shared" si="45"/>
        <v>1.9110427683468278E-2</v>
      </c>
      <c r="AN13" s="5">
        <f t="shared" si="46"/>
        <v>1.1796518758939386E-2</v>
      </c>
      <c r="AO13" s="5">
        <f t="shared" si="47"/>
        <v>1.4101466749392843E-2</v>
      </c>
      <c r="AP13" s="22">
        <f t="shared" si="48"/>
        <v>1.4101466749392843E-2</v>
      </c>
      <c r="AQ13" s="21">
        <f t="shared" si="49"/>
        <v>0.155</v>
      </c>
      <c r="AR13" s="5">
        <f t="shared" si="50"/>
        <v>0.11899999999999999</v>
      </c>
      <c r="AS13" s="22">
        <f t="shared" si="51"/>
        <v>0.13700000000000001</v>
      </c>
      <c r="AT13" s="23">
        <f t="shared" si="52"/>
        <v>1.03</v>
      </c>
      <c r="AU13" s="134">
        <f t="shared" si="53"/>
        <v>0.79</v>
      </c>
      <c r="AV13" s="24">
        <f t="shared" si="54"/>
        <v>0.91</v>
      </c>
      <c r="AW13" s="220">
        <f t="shared" si="55"/>
        <v>3</v>
      </c>
      <c r="AX13" s="43">
        <f t="shared" si="56"/>
        <v>4</v>
      </c>
      <c r="AY13" s="221">
        <f t="shared" si="57"/>
        <v>4</v>
      </c>
    </row>
    <row r="14" spans="1:51" ht="13.35" customHeight="1">
      <c r="A14" s="214">
        <v>11299</v>
      </c>
      <c r="B14" s="67" t="s">
        <v>154</v>
      </c>
      <c r="C14" s="222" t="str">
        <f>Rollover!A14</f>
        <v>Lexus</v>
      </c>
      <c r="D14" s="223" t="str">
        <f>Rollover!B14</f>
        <v>RX 350L SUV FWD</v>
      </c>
      <c r="E14" s="133" t="s">
        <v>126</v>
      </c>
      <c r="F14" s="217">
        <f>Rollover!C14</f>
        <v>2021</v>
      </c>
      <c r="G14" s="8">
        <v>194.03100000000001</v>
      </c>
      <c r="H14" s="9">
        <v>0.33200000000000002</v>
      </c>
      <c r="I14" s="9">
        <v>1833.354</v>
      </c>
      <c r="J14" s="9">
        <v>265.60700000000003</v>
      </c>
      <c r="K14" s="9">
        <v>34.49</v>
      </c>
      <c r="L14" s="9">
        <v>49.652000000000001</v>
      </c>
      <c r="M14" s="9">
        <v>1925.5139999999999</v>
      </c>
      <c r="N14" s="10">
        <v>3196.7190000000001</v>
      </c>
      <c r="O14" s="8">
        <v>304.69200000000001</v>
      </c>
      <c r="P14" s="9">
        <v>0.40100000000000002</v>
      </c>
      <c r="Q14" s="9">
        <v>1188.8579999999999</v>
      </c>
      <c r="R14" s="9">
        <v>311.596</v>
      </c>
      <c r="S14" s="9">
        <v>18.48</v>
      </c>
      <c r="T14" s="9">
        <v>46.317</v>
      </c>
      <c r="U14" s="9">
        <v>1793.9570000000001</v>
      </c>
      <c r="V14" s="10">
        <v>2031.271</v>
      </c>
      <c r="W14" s="219">
        <f t="shared" si="29"/>
        <v>1.5795054292463042E-3</v>
      </c>
      <c r="X14" s="5">
        <f t="shared" si="30"/>
        <v>7.087942016141463E-2</v>
      </c>
      <c r="Y14" s="5">
        <f t="shared" si="31"/>
        <v>1.3312773098884156E-3</v>
      </c>
      <c r="Z14" s="5">
        <f t="shared" si="32"/>
        <v>3.2194479313720859E-5</v>
      </c>
      <c r="AA14" s="5">
        <f t="shared" si="33"/>
        <v>7.087942016141463E-2</v>
      </c>
      <c r="AB14" s="5">
        <f t="shared" si="34"/>
        <v>7.4531585247378407E-2</v>
      </c>
      <c r="AC14" s="5">
        <f t="shared" si="35"/>
        <v>7.4531585247378407E-2</v>
      </c>
      <c r="AD14" s="5">
        <f t="shared" si="36"/>
        <v>8.2080097187093304E-3</v>
      </c>
      <c r="AE14" s="5">
        <f t="shared" si="37"/>
        <v>1.5767910983772358E-2</v>
      </c>
      <c r="AF14" s="22">
        <f t="shared" si="38"/>
        <v>1.5767910983772358E-2</v>
      </c>
      <c r="AG14" s="21">
        <f t="shared" si="39"/>
        <v>9.5912113998648171E-3</v>
      </c>
      <c r="AH14" s="5">
        <f t="shared" si="40"/>
        <v>8.0364031399719496E-2</v>
      </c>
      <c r="AI14" s="5">
        <f t="shared" si="41"/>
        <v>1.5375821858844038E-3</v>
      </c>
      <c r="AJ14" s="5">
        <f t="shared" si="42"/>
        <v>5.6383191621020164E-5</v>
      </c>
      <c r="AK14" s="5">
        <f t="shared" si="43"/>
        <v>8.0364031399719496E-2</v>
      </c>
      <c r="AL14" s="5">
        <f t="shared" si="44"/>
        <v>1.9110427683468278E-2</v>
      </c>
      <c r="AM14" s="5">
        <f t="shared" si="45"/>
        <v>1.9110427683468278E-2</v>
      </c>
      <c r="AN14" s="5">
        <f t="shared" si="46"/>
        <v>1.1796518758939386E-2</v>
      </c>
      <c r="AO14" s="5">
        <f t="shared" si="47"/>
        <v>1.4101466749392843E-2</v>
      </c>
      <c r="AP14" s="22">
        <f t="shared" si="48"/>
        <v>1.4101466749392843E-2</v>
      </c>
      <c r="AQ14" s="21">
        <f t="shared" si="49"/>
        <v>0.155</v>
      </c>
      <c r="AR14" s="5">
        <f t="shared" si="50"/>
        <v>0.11899999999999999</v>
      </c>
      <c r="AS14" s="22">
        <f t="shared" si="51"/>
        <v>0.13700000000000001</v>
      </c>
      <c r="AT14" s="23">
        <f t="shared" si="52"/>
        <v>1.03</v>
      </c>
      <c r="AU14" s="134">
        <f t="shared" si="53"/>
        <v>0.79</v>
      </c>
      <c r="AV14" s="24">
        <f t="shared" si="54"/>
        <v>0.91</v>
      </c>
      <c r="AW14" s="220">
        <f t="shared" si="55"/>
        <v>3</v>
      </c>
      <c r="AX14" s="43">
        <f t="shared" si="56"/>
        <v>4</v>
      </c>
      <c r="AY14" s="221">
        <f t="shared" si="57"/>
        <v>4</v>
      </c>
    </row>
    <row r="15" spans="1:51" ht="13.35" customHeight="1">
      <c r="A15" s="66">
        <v>11299</v>
      </c>
      <c r="B15" s="67" t="s">
        <v>154</v>
      </c>
      <c r="C15" s="222" t="str">
        <f>Rollover!A15</f>
        <v>Lexus</v>
      </c>
      <c r="D15" s="223" t="str">
        <f>Rollover!B15</f>
        <v>RX 350L SUV AWD</v>
      </c>
      <c r="E15" s="133" t="s">
        <v>126</v>
      </c>
      <c r="F15" s="217">
        <f>Rollover!C15</f>
        <v>2021</v>
      </c>
      <c r="G15" s="8">
        <v>194.03100000000001</v>
      </c>
      <c r="H15" s="9">
        <v>0.33200000000000002</v>
      </c>
      <c r="I15" s="9">
        <v>1833.354</v>
      </c>
      <c r="J15" s="9">
        <v>265.60700000000003</v>
      </c>
      <c r="K15" s="9">
        <v>34.49</v>
      </c>
      <c r="L15" s="9">
        <v>49.652000000000001</v>
      </c>
      <c r="M15" s="9">
        <v>1925.5139999999999</v>
      </c>
      <c r="N15" s="10">
        <v>3196.7190000000001</v>
      </c>
      <c r="O15" s="8">
        <v>304.69200000000001</v>
      </c>
      <c r="P15" s="9">
        <v>0.40100000000000002</v>
      </c>
      <c r="Q15" s="9">
        <v>1188.8579999999999</v>
      </c>
      <c r="R15" s="9">
        <v>311.596</v>
      </c>
      <c r="S15" s="9">
        <v>18.48</v>
      </c>
      <c r="T15" s="9">
        <v>46.317</v>
      </c>
      <c r="U15" s="9">
        <v>1793.9570000000001</v>
      </c>
      <c r="V15" s="10">
        <v>2031.271</v>
      </c>
      <c r="W15" s="219">
        <f t="shared" si="29"/>
        <v>1.5795054292463042E-3</v>
      </c>
      <c r="X15" s="5">
        <f t="shared" si="30"/>
        <v>7.087942016141463E-2</v>
      </c>
      <c r="Y15" s="5">
        <f t="shared" si="31"/>
        <v>1.3312773098884156E-3</v>
      </c>
      <c r="Z15" s="5">
        <f t="shared" si="32"/>
        <v>3.2194479313720859E-5</v>
      </c>
      <c r="AA15" s="5">
        <f t="shared" si="33"/>
        <v>7.087942016141463E-2</v>
      </c>
      <c r="AB15" s="5">
        <f t="shared" si="34"/>
        <v>7.4531585247378407E-2</v>
      </c>
      <c r="AC15" s="5">
        <f t="shared" si="35"/>
        <v>7.4531585247378407E-2</v>
      </c>
      <c r="AD15" s="5">
        <f t="shared" si="36"/>
        <v>8.2080097187093304E-3</v>
      </c>
      <c r="AE15" s="5">
        <f t="shared" si="37"/>
        <v>1.5767910983772358E-2</v>
      </c>
      <c r="AF15" s="22">
        <f t="shared" si="38"/>
        <v>1.5767910983772358E-2</v>
      </c>
      <c r="AG15" s="21">
        <f t="shared" si="39"/>
        <v>9.5912113998648171E-3</v>
      </c>
      <c r="AH15" s="5">
        <f t="shared" si="40"/>
        <v>8.0364031399719496E-2</v>
      </c>
      <c r="AI15" s="5">
        <f t="shared" si="41"/>
        <v>1.5375821858844038E-3</v>
      </c>
      <c r="AJ15" s="5">
        <f t="shared" si="42"/>
        <v>5.6383191621020164E-5</v>
      </c>
      <c r="AK15" s="5">
        <f t="shared" si="43"/>
        <v>8.0364031399719496E-2</v>
      </c>
      <c r="AL15" s="5">
        <f t="shared" si="44"/>
        <v>1.9110427683468278E-2</v>
      </c>
      <c r="AM15" s="5">
        <f t="shared" si="45"/>
        <v>1.9110427683468278E-2</v>
      </c>
      <c r="AN15" s="5">
        <f t="shared" si="46"/>
        <v>1.1796518758939386E-2</v>
      </c>
      <c r="AO15" s="5">
        <f t="shared" si="47"/>
        <v>1.4101466749392843E-2</v>
      </c>
      <c r="AP15" s="22">
        <f t="shared" si="48"/>
        <v>1.4101466749392843E-2</v>
      </c>
      <c r="AQ15" s="21">
        <f t="shared" si="49"/>
        <v>0.155</v>
      </c>
      <c r="AR15" s="5">
        <f t="shared" si="50"/>
        <v>0.11899999999999999</v>
      </c>
      <c r="AS15" s="22">
        <f t="shared" si="51"/>
        <v>0.13700000000000001</v>
      </c>
      <c r="AT15" s="23">
        <f t="shared" si="52"/>
        <v>1.03</v>
      </c>
      <c r="AU15" s="134">
        <f t="shared" si="53"/>
        <v>0.79</v>
      </c>
      <c r="AV15" s="24">
        <f t="shared" si="54"/>
        <v>0.91</v>
      </c>
      <c r="AW15" s="220">
        <f t="shared" si="55"/>
        <v>3</v>
      </c>
      <c r="AX15" s="43">
        <f t="shared" si="56"/>
        <v>4</v>
      </c>
      <c r="AY15" s="221">
        <f t="shared" si="57"/>
        <v>4</v>
      </c>
    </row>
    <row r="16" spans="1:51" ht="13.35" customHeight="1">
      <c r="A16" s="66">
        <v>11299</v>
      </c>
      <c r="B16" s="67" t="s">
        <v>154</v>
      </c>
      <c r="C16" s="222" t="str">
        <f>Rollover!A16</f>
        <v>Lexus</v>
      </c>
      <c r="D16" s="223" t="str">
        <f>Rollover!B16</f>
        <v>RX 450h SUV AWD</v>
      </c>
      <c r="E16" s="133" t="s">
        <v>126</v>
      </c>
      <c r="F16" s="217">
        <f>Rollover!C16</f>
        <v>2021</v>
      </c>
      <c r="G16" s="8">
        <v>194.03100000000001</v>
      </c>
      <c r="H16" s="9">
        <v>0.33200000000000002</v>
      </c>
      <c r="I16" s="9">
        <v>1833.354</v>
      </c>
      <c r="J16" s="9">
        <v>265.60700000000003</v>
      </c>
      <c r="K16" s="9">
        <v>34.49</v>
      </c>
      <c r="L16" s="9">
        <v>49.652000000000001</v>
      </c>
      <c r="M16" s="9">
        <v>1925.5139999999999</v>
      </c>
      <c r="N16" s="10">
        <v>3196.7190000000001</v>
      </c>
      <c r="O16" s="8">
        <v>304.69200000000001</v>
      </c>
      <c r="P16" s="9">
        <v>0.40100000000000002</v>
      </c>
      <c r="Q16" s="9">
        <v>1188.8579999999999</v>
      </c>
      <c r="R16" s="9">
        <v>311.596</v>
      </c>
      <c r="S16" s="9">
        <v>18.48</v>
      </c>
      <c r="T16" s="9">
        <v>46.317</v>
      </c>
      <c r="U16" s="9">
        <v>1793.9570000000001</v>
      </c>
      <c r="V16" s="10">
        <v>2031.271</v>
      </c>
      <c r="W16" s="219">
        <f t="shared" si="29"/>
        <v>1.5795054292463042E-3</v>
      </c>
      <c r="X16" s="5">
        <f t="shared" si="30"/>
        <v>7.087942016141463E-2</v>
      </c>
      <c r="Y16" s="5">
        <f t="shared" si="31"/>
        <v>1.3312773098884156E-3</v>
      </c>
      <c r="Z16" s="5">
        <f t="shared" si="32"/>
        <v>3.2194479313720859E-5</v>
      </c>
      <c r="AA16" s="5">
        <f t="shared" si="33"/>
        <v>7.087942016141463E-2</v>
      </c>
      <c r="AB16" s="5">
        <f t="shared" si="34"/>
        <v>7.4531585247378407E-2</v>
      </c>
      <c r="AC16" s="5">
        <f t="shared" si="35"/>
        <v>7.4531585247378407E-2</v>
      </c>
      <c r="AD16" s="5">
        <f t="shared" si="36"/>
        <v>8.2080097187093304E-3</v>
      </c>
      <c r="AE16" s="5">
        <f t="shared" si="37"/>
        <v>1.5767910983772358E-2</v>
      </c>
      <c r="AF16" s="22">
        <f t="shared" si="38"/>
        <v>1.5767910983772358E-2</v>
      </c>
      <c r="AG16" s="21">
        <f t="shared" si="39"/>
        <v>9.5912113998648171E-3</v>
      </c>
      <c r="AH16" s="5">
        <f t="shared" si="40"/>
        <v>8.0364031399719496E-2</v>
      </c>
      <c r="AI16" s="5">
        <f t="shared" si="41"/>
        <v>1.5375821858844038E-3</v>
      </c>
      <c r="AJ16" s="5">
        <f t="shared" si="42"/>
        <v>5.6383191621020164E-5</v>
      </c>
      <c r="AK16" s="5">
        <f t="shared" si="43"/>
        <v>8.0364031399719496E-2</v>
      </c>
      <c r="AL16" s="5">
        <f t="shared" si="44"/>
        <v>1.9110427683468278E-2</v>
      </c>
      <c r="AM16" s="5">
        <f t="shared" si="45"/>
        <v>1.9110427683468278E-2</v>
      </c>
      <c r="AN16" s="5">
        <f t="shared" si="46"/>
        <v>1.1796518758939386E-2</v>
      </c>
      <c r="AO16" s="5">
        <f t="shared" si="47"/>
        <v>1.4101466749392843E-2</v>
      </c>
      <c r="AP16" s="22">
        <f t="shared" si="48"/>
        <v>1.4101466749392843E-2</v>
      </c>
      <c r="AQ16" s="21">
        <f t="shared" si="49"/>
        <v>0.155</v>
      </c>
      <c r="AR16" s="5">
        <f t="shared" si="50"/>
        <v>0.11899999999999999</v>
      </c>
      <c r="AS16" s="22">
        <f t="shared" si="51"/>
        <v>0.13700000000000001</v>
      </c>
      <c r="AT16" s="23">
        <f t="shared" si="52"/>
        <v>1.03</v>
      </c>
      <c r="AU16" s="134">
        <f t="shared" si="53"/>
        <v>0.79</v>
      </c>
      <c r="AV16" s="24">
        <f t="shared" si="54"/>
        <v>0.91</v>
      </c>
      <c r="AW16" s="220">
        <f t="shared" si="55"/>
        <v>3</v>
      </c>
      <c r="AX16" s="43">
        <f t="shared" si="56"/>
        <v>4</v>
      </c>
      <c r="AY16" s="221">
        <f t="shared" si="57"/>
        <v>4</v>
      </c>
    </row>
    <row r="17" spans="1:51" ht="13.35" customHeight="1">
      <c r="A17" s="66">
        <v>11299</v>
      </c>
      <c r="B17" s="67" t="s">
        <v>154</v>
      </c>
      <c r="C17" s="222" t="str">
        <f>Rollover!A17</f>
        <v>Lexus</v>
      </c>
      <c r="D17" s="223" t="str">
        <f>Rollover!B17</f>
        <v>RX 450hL SUV AWD</v>
      </c>
      <c r="E17" s="133" t="s">
        <v>126</v>
      </c>
      <c r="F17" s="217">
        <f>Rollover!C17</f>
        <v>2021</v>
      </c>
      <c r="G17" s="8">
        <v>194.03100000000001</v>
      </c>
      <c r="H17" s="9">
        <v>0.33200000000000002</v>
      </c>
      <c r="I17" s="9">
        <v>1833.354</v>
      </c>
      <c r="J17" s="9">
        <v>265.60700000000003</v>
      </c>
      <c r="K17" s="9">
        <v>34.49</v>
      </c>
      <c r="L17" s="9">
        <v>49.652000000000001</v>
      </c>
      <c r="M17" s="9">
        <v>1925.5139999999999</v>
      </c>
      <c r="N17" s="10">
        <v>3196.7190000000001</v>
      </c>
      <c r="O17" s="8">
        <v>304.69200000000001</v>
      </c>
      <c r="P17" s="9">
        <v>0.40100000000000002</v>
      </c>
      <c r="Q17" s="9">
        <v>1188.8579999999999</v>
      </c>
      <c r="R17" s="9">
        <v>311.596</v>
      </c>
      <c r="S17" s="9">
        <v>18.48</v>
      </c>
      <c r="T17" s="9">
        <v>46.317</v>
      </c>
      <c r="U17" s="9">
        <v>1793.9570000000001</v>
      </c>
      <c r="V17" s="10">
        <v>2031.271</v>
      </c>
      <c r="W17" s="219">
        <f t="shared" si="29"/>
        <v>1.5795054292463042E-3</v>
      </c>
      <c r="X17" s="5">
        <f t="shared" si="30"/>
        <v>7.087942016141463E-2</v>
      </c>
      <c r="Y17" s="5">
        <f t="shared" si="31"/>
        <v>1.3312773098884156E-3</v>
      </c>
      <c r="Z17" s="5">
        <f t="shared" si="32"/>
        <v>3.2194479313720859E-5</v>
      </c>
      <c r="AA17" s="5">
        <f t="shared" si="33"/>
        <v>7.087942016141463E-2</v>
      </c>
      <c r="AB17" s="5">
        <f t="shared" si="34"/>
        <v>7.4531585247378407E-2</v>
      </c>
      <c r="AC17" s="5">
        <f t="shared" si="35"/>
        <v>7.4531585247378407E-2</v>
      </c>
      <c r="AD17" s="5">
        <f t="shared" si="36"/>
        <v>8.2080097187093304E-3</v>
      </c>
      <c r="AE17" s="5">
        <f t="shared" si="37"/>
        <v>1.5767910983772358E-2</v>
      </c>
      <c r="AF17" s="22">
        <f t="shared" si="38"/>
        <v>1.5767910983772358E-2</v>
      </c>
      <c r="AG17" s="21">
        <f t="shared" si="39"/>
        <v>9.5912113998648171E-3</v>
      </c>
      <c r="AH17" s="5">
        <f t="shared" si="40"/>
        <v>8.0364031399719496E-2</v>
      </c>
      <c r="AI17" s="5">
        <f t="shared" si="41"/>
        <v>1.5375821858844038E-3</v>
      </c>
      <c r="AJ17" s="5">
        <f t="shared" si="42"/>
        <v>5.6383191621020164E-5</v>
      </c>
      <c r="AK17" s="5">
        <f t="shared" si="43"/>
        <v>8.0364031399719496E-2</v>
      </c>
      <c r="AL17" s="5">
        <f t="shared" si="44"/>
        <v>1.9110427683468278E-2</v>
      </c>
      <c r="AM17" s="5">
        <f t="shared" si="45"/>
        <v>1.9110427683468278E-2</v>
      </c>
      <c r="AN17" s="5">
        <f t="shared" si="46"/>
        <v>1.1796518758939386E-2</v>
      </c>
      <c r="AO17" s="5">
        <f t="shared" si="47"/>
        <v>1.4101466749392843E-2</v>
      </c>
      <c r="AP17" s="22">
        <f t="shared" si="48"/>
        <v>1.4101466749392843E-2</v>
      </c>
      <c r="AQ17" s="21">
        <f t="shared" si="49"/>
        <v>0.155</v>
      </c>
      <c r="AR17" s="5">
        <f t="shared" si="50"/>
        <v>0.11899999999999999</v>
      </c>
      <c r="AS17" s="22">
        <f t="shared" si="51"/>
        <v>0.13700000000000001</v>
      </c>
      <c r="AT17" s="23">
        <f t="shared" si="52"/>
        <v>1.03</v>
      </c>
      <c r="AU17" s="134">
        <f t="shared" si="53"/>
        <v>0.79</v>
      </c>
      <c r="AV17" s="24">
        <f t="shared" si="54"/>
        <v>0.91</v>
      </c>
      <c r="AW17" s="220">
        <f t="shared" si="55"/>
        <v>3</v>
      </c>
      <c r="AX17" s="43">
        <f t="shared" si="56"/>
        <v>4</v>
      </c>
      <c r="AY17" s="221">
        <f t="shared" si="57"/>
        <v>4</v>
      </c>
    </row>
    <row r="18" spans="1:51" ht="13.35" customHeight="1">
      <c r="A18" s="139">
        <v>11296</v>
      </c>
      <c r="B18" s="67" t="s">
        <v>153</v>
      </c>
      <c r="C18" s="215" t="str">
        <f>Rollover!A18</f>
        <v>Mercedes-Benz</v>
      </c>
      <c r="D18" s="216" t="str">
        <f>Rollover!B18</f>
        <v>E-Class 4DR RWD</v>
      </c>
      <c r="E18" s="224" t="s">
        <v>92</v>
      </c>
      <c r="F18" s="217">
        <f>Rollover!C18</f>
        <v>2021</v>
      </c>
      <c r="G18" s="16">
        <v>190.43100000000001</v>
      </c>
      <c r="H18" s="17">
        <v>0.30199999999999999</v>
      </c>
      <c r="I18" s="17">
        <v>827.81100000000004</v>
      </c>
      <c r="J18" s="17">
        <v>91.884</v>
      </c>
      <c r="K18" s="17">
        <v>25.927</v>
      </c>
      <c r="L18" s="17">
        <v>42.018000000000001</v>
      </c>
      <c r="M18" s="17">
        <v>1721.633</v>
      </c>
      <c r="N18" s="18">
        <v>2139.0430000000001</v>
      </c>
      <c r="O18" s="16">
        <v>204.39099999999999</v>
      </c>
      <c r="P18" s="17">
        <v>0.29399999999999998</v>
      </c>
      <c r="Q18" s="17">
        <v>535.05899999999997</v>
      </c>
      <c r="R18" s="17">
        <v>503.57799999999997</v>
      </c>
      <c r="S18" s="17">
        <v>10.904</v>
      </c>
      <c r="T18" s="17">
        <v>44.42</v>
      </c>
      <c r="U18" s="17">
        <v>1145.0509999999999</v>
      </c>
      <c r="V18" s="18">
        <v>1369.5840000000001</v>
      </c>
      <c r="W18" s="219">
        <f t="shared" si="29"/>
        <v>1.4547811144128102E-3</v>
      </c>
      <c r="X18" s="5">
        <f t="shared" si="30"/>
        <v>6.7086953960828088E-2</v>
      </c>
      <c r="Y18" s="5">
        <f t="shared" si="31"/>
        <v>1.2235654945333125E-4</v>
      </c>
      <c r="Z18" s="5">
        <f t="shared" si="32"/>
        <v>2.1310794895550137E-5</v>
      </c>
      <c r="AA18" s="5">
        <f t="shared" si="33"/>
        <v>6.7086953960828088E-2</v>
      </c>
      <c r="AB18" s="5">
        <f t="shared" si="34"/>
        <v>2.9058448809324393E-2</v>
      </c>
      <c r="AC18" s="5">
        <f t="shared" si="35"/>
        <v>2.9058448809324393E-2</v>
      </c>
      <c r="AD18" s="5">
        <f t="shared" si="36"/>
        <v>7.3890509309432065E-3</v>
      </c>
      <c r="AE18" s="5">
        <f t="shared" si="37"/>
        <v>9.1623022775866141E-3</v>
      </c>
      <c r="AF18" s="22">
        <f t="shared" si="38"/>
        <v>9.1623022775866141E-3</v>
      </c>
      <c r="AG18" s="21">
        <f t="shared" si="39"/>
        <v>1.9787426655660987E-3</v>
      </c>
      <c r="AH18" s="5">
        <f t="shared" si="40"/>
        <v>6.6107890821395843E-2</v>
      </c>
      <c r="AI18" s="5">
        <f t="shared" si="41"/>
        <v>1.3091549829668552E-4</v>
      </c>
      <c r="AJ18" s="5">
        <f t="shared" si="42"/>
        <v>1.1626631106875408E-4</v>
      </c>
      <c r="AK18" s="5">
        <f t="shared" si="43"/>
        <v>6.6107890821395843E-2</v>
      </c>
      <c r="AL18" s="5">
        <f t="shared" si="44"/>
        <v>4.6545550534722764E-3</v>
      </c>
      <c r="AM18" s="5">
        <f t="shared" si="45"/>
        <v>4.6545550534722764E-3</v>
      </c>
      <c r="AN18" s="5">
        <f t="shared" si="46"/>
        <v>7.2283804297778864E-3</v>
      </c>
      <c r="AO18" s="5">
        <f t="shared" si="47"/>
        <v>8.5654696548316811E-3</v>
      </c>
      <c r="AP18" s="22">
        <f t="shared" si="48"/>
        <v>8.5654696548316811E-3</v>
      </c>
      <c r="AQ18" s="21">
        <f t="shared" si="49"/>
        <v>0.104</v>
      </c>
      <c r="AR18" s="5">
        <f t="shared" si="50"/>
        <v>0.08</v>
      </c>
      <c r="AS18" s="22">
        <f t="shared" si="51"/>
        <v>9.1999999999999998E-2</v>
      </c>
      <c r="AT18" s="23">
        <f t="shared" si="52"/>
        <v>0.69</v>
      </c>
      <c r="AU18" s="134">
        <f t="shared" si="53"/>
        <v>0.53</v>
      </c>
      <c r="AV18" s="24">
        <f t="shared" si="54"/>
        <v>0.61</v>
      </c>
      <c r="AW18" s="220">
        <f t="shared" si="55"/>
        <v>4</v>
      </c>
      <c r="AX18" s="43">
        <f t="shared" si="56"/>
        <v>5</v>
      </c>
      <c r="AY18" s="221">
        <f t="shared" si="57"/>
        <v>5</v>
      </c>
    </row>
    <row r="19" spans="1:51" ht="13.35" customHeight="1">
      <c r="A19" s="214">
        <v>11296</v>
      </c>
      <c r="B19" s="60" t="s">
        <v>153</v>
      </c>
      <c r="C19" s="215" t="str">
        <f>Rollover!A19</f>
        <v>Mercedes-Benz</v>
      </c>
      <c r="D19" s="216" t="str">
        <f>Rollover!B19</f>
        <v>E-Class 4DR 4WD</v>
      </c>
      <c r="E19" s="133" t="s">
        <v>92</v>
      </c>
      <c r="F19" s="217">
        <f>Rollover!C19</f>
        <v>2021</v>
      </c>
      <c r="G19" s="16">
        <v>190.43100000000001</v>
      </c>
      <c r="H19" s="17">
        <v>0.30199999999999999</v>
      </c>
      <c r="I19" s="17">
        <v>827.81100000000004</v>
      </c>
      <c r="J19" s="17">
        <v>91.884</v>
      </c>
      <c r="K19" s="17">
        <v>25.927</v>
      </c>
      <c r="L19" s="17">
        <v>42.018000000000001</v>
      </c>
      <c r="M19" s="17">
        <v>1721.633</v>
      </c>
      <c r="N19" s="18">
        <v>2139.0430000000001</v>
      </c>
      <c r="O19" s="16">
        <v>204.39099999999999</v>
      </c>
      <c r="P19" s="17">
        <v>0.29399999999999998</v>
      </c>
      <c r="Q19" s="17">
        <v>535.05899999999997</v>
      </c>
      <c r="R19" s="17">
        <v>503.57799999999997</v>
      </c>
      <c r="S19" s="17">
        <v>10.904</v>
      </c>
      <c r="T19" s="17">
        <v>44.42</v>
      </c>
      <c r="U19" s="17">
        <v>1145.0509999999999</v>
      </c>
      <c r="V19" s="18">
        <v>1369.5840000000001</v>
      </c>
      <c r="W19" s="219">
        <f t="shared" si="29"/>
        <v>1.4547811144128102E-3</v>
      </c>
      <c r="X19" s="5">
        <f t="shared" si="30"/>
        <v>6.7086953960828088E-2</v>
      </c>
      <c r="Y19" s="5">
        <f t="shared" si="31"/>
        <v>1.2235654945333125E-4</v>
      </c>
      <c r="Z19" s="5">
        <f t="shared" si="32"/>
        <v>2.1310794895550137E-5</v>
      </c>
      <c r="AA19" s="5">
        <f t="shared" si="33"/>
        <v>6.7086953960828088E-2</v>
      </c>
      <c r="AB19" s="5">
        <f t="shared" si="34"/>
        <v>2.9058448809324393E-2</v>
      </c>
      <c r="AC19" s="5">
        <f t="shared" si="35"/>
        <v>2.9058448809324393E-2</v>
      </c>
      <c r="AD19" s="5">
        <f t="shared" si="36"/>
        <v>7.3890509309432065E-3</v>
      </c>
      <c r="AE19" s="5">
        <f t="shared" si="37"/>
        <v>9.1623022775866141E-3</v>
      </c>
      <c r="AF19" s="22">
        <f t="shared" si="38"/>
        <v>9.1623022775866141E-3</v>
      </c>
      <c r="AG19" s="21">
        <f t="shared" si="39"/>
        <v>1.9787426655660987E-3</v>
      </c>
      <c r="AH19" s="5">
        <f t="shared" si="40"/>
        <v>6.6107890821395843E-2</v>
      </c>
      <c r="AI19" s="5">
        <f t="shared" si="41"/>
        <v>1.3091549829668552E-4</v>
      </c>
      <c r="AJ19" s="5">
        <f t="shared" si="42"/>
        <v>1.1626631106875408E-4</v>
      </c>
      <c r="AK19" s="5">
        <f t="shared" si="43"/>
        <v>6.6107890821395843E-2</v>
      </c>
      <c r="AL19" s="5">
        <f t="shared" si="44"/>
        <v>4.6545550534722764E-3</v>
      </c>
      <c r="AM19" s="5">
        <f t="shared" si="45"/>
        <v>4.6545550534722764E-3</v>
      </c>
      <c r="AN19" s="5">
        <f t="shared" si="46"/>
        <v>7.2283804297778864E-3</v>
      </c>
      <c r="AO19" s="5">
        <f t="shared" si="47"/>
        <v>8.5654696548316811E-3</v>
      </c>
      <c r="AP19" s="22">
        <f t="shared" si="48"/>
        <v>8.5654696548316811E-3</v>
      </c>
      <c r="AQ19" s="21">
        <f t="shared" si="49"/>
        <v>0.104</v>
      </c>
      <c r="AR19" s="5">
        <f t="shared" si="50"/>
        <v>0.08</v>
      </c>
      <c r="AS19" s="22">
        <f t="shared" si="51"/>
        <v>9.1999999999999998E-2</v>
      </c>
      <c r="AT19" s="23">
        <f t="shared" si="52"/>
        <v>0.69</v>
      </c>
      <c r="AU19" s="134">
        <f t="shared" si="53"/>
        <v>0.53</v>
      </c>
      <c r="AV19" s="24">
        <f t="shared" si="54"/>
        <v>0.61</v>
      </c>
      <c r="AW19" s="220">
        <f t="shared" si="55"/>
        <v>4</v>
      </c>
      <c r="AX19" s="43">
        <f t="shared" si="56"/>
        <v>5</v>
      </c>
      <c r="AY19" s="221">
        <f t="shared" si="57"/>
        <v>5</v>
      </c>
    </row>
    <row r="20" spans="1:51" ht="13.35" customHeight="1">
      <c r="A20" s="139">
        <v>11296</v>
      </c>
      <c r="B20" s="67" t="s">
        <v>153</v>
      </c>
      <c r="C20" s="222" t="str">
        <f>Rollover!A20</f>
        <v>Mercedes-Benz</v>
      </c>
      <c r="D20" s="223" t="str">
        <f>Rollover!B20</f>
        <v>E-Class SW RWD</v>
      </c>
      <c r="E20" s="133" t="s">
        <v>92</v>
      </c>
      <c r="F20" s="217">
        <f>Rollover!C20</f>
        <v>2021</v>
      </c>
      <c r="G20" s="16">
        <v>190.43100000000001</v>
      </c>
      <c r="H20" s="17">
        <v>0.30199999999999999</v>
      </c>
      <c r="I20" s="17">
        <v>827.81100000000004</v>
      </c>
      <c r="J20" s="17">
        <v>91.884</v>
      </c>
      <c r="K20" s="17">
        <v>25.927</v>
      </c>
      <c r="L20" s="17">
        <v>42.018000000000001</v>
      </c>
      <c r="M20" s="17">
        <v>1721.633</v>
      </c>
      <c r="N20" s="18">
        <v>2139.0430000000001</v>
      </c>
      <c r="O20" s="16">
        <v>204.39099999999999</v>
      </c>
      <c r="P20" s="17">
        <v>0.29399999999999998</v>
      </c>
      <c r="Q20" s="17">
        <v>535.05899999999997</v>
      </c>
      <c r="R20" s="17">
        <v>503.57799999999997</v>
      </c>
      <c r="S20" s="17">
        <v>10.904</v>
      </c>
      <c r="T20" s="17">
        <v>44.42</v>
      </c>
      <c r="U20" s="17">
        <v>1145.0509999999999</v>
      </c>
      <c r="V20" s="18">
        <v>1369.5840000000001</v>
      </c>
      <c r="W20" s="219">
        <f t="shared" si="29"/>
        <v>1.4547811144128102E-3</v>
      </c>
      <c r="X20" s="5">
        <f t="shared" si="30"/>
        <v>6.7086953960828088E-2</v>
      </c>
      <c r="Y20" s="5">
        <f t="shared" si="31"/>
        <v>1.2235654945333125E-4</v>
      </c>
      <c r="Z20" s="5">
        <f t="shared" si="32"/>
        <v>2.1310794895550137E-5</v>
      </c>
      <c r="AA20" s="5">
        <f t="shared" si="33"/>
        <v>6.7086953960828088E-2</v>
      </c>
      <c r="AB20" s="5">
        <f t="shared" si="34"/>
        <v>2.9058448809324393E-2</v>
      </c>
      <c r="AC20" s="5">
        <f t="shared" si="35"/>
        <v>2.9058448809324393E-2</v>
      </c>
      <c r="AD20" s="5">
        <f t="shared" si="36"/>
        <v>7.3890509309432065E-3</v>
      </c>
      <c r="AE20" s="5">
        <f t="shared" si="37"/>
        <v>9.1623022775866141E-3</v>
      </c>
      <c r="AF20" s="22">
        <f t="shared" si="38"/>
        <v>9.1623022775866141E-3</v>
      </c>
      <c r="AG20" s="21">
        <f t="shared" si="39"/>
        <v>1.9787426655660987E-3</v>
      </c>
      <c r="AH20" s="5">
        <f t="shared" si="40"/>
        <v>6.6107890821395843E-2</v>
      </c>
      <c r="AI20" s="5">
        <f t="shared" si="41"/>
        <v>1.3091549829668552E-4</v>
      </c>
      <c r="AJ20" s="5">
        <f t="shared" si="42"/>
        <v>1.1626631106875408E-4</v>
      </c>
      <c r="AK20" s="5">
        <f t="shared" si="43"/>
        <v>6.6107890821395843E-2</v>
      </c>
      <c r="AL20" s="5">
        <f t="shared" si="44"/>
        <v>4.6545550534722764E-3</v>
      </c>
      <c r="AM20" s="5">
        <f t="shared" si="45"/>
        <v>4.6545550534722764E-3</v>
      </c>
      <c r="AN20" s="5">
        <f t="shared" si="46"/>
        <v>7.2283804297778864E-3</v>
      </c>
      <c r="AO20" s="5">
        <f t="shared" si="47"/>
        <v>8.5654696548316811E-3</v>
      </c>
      <c r="AP20" s="22">
        <f t="shared" si="48"/>
        <v>8.5654696548316811E-3</v>
      </c>
      <c r="AQ20" s="21">
        <f t="shared" si="49"/>
        <v>0.104</v>
      </c>
      <c r="AR20" s="5">
        <f t="shared" si="50"/>
        <v>0.08</v>
      </c>
      <c r="AS20" s="22">
        <f t="shared" si="51"/>
        <v>9.1999999999999998E-2</v>
      </c>
      <c r="AT20" s="23">
        <f t="shared" si="52"/>
        <v>0.69</v>
      </c>
      <c r="AU20" s="134">
        <f t="shared" si="53"/>
        <v>0.53</v>
      </c>
      <c r="AV20" s="24">
        <f t="shared" si="54"/>
        <v>0.61</v>
      </c>
      <c r="AW20" s="220">
        <f t="shared" si="55"/>
        <v>4</v>
      </c>
      <c r="AX20" s="43">
        <f t="shared" si="56"/>
        <v>5</v>
      </c>
      <c r="AY20" s="221">
        <f t="shared" si="57"/>
        <v>5</v>
      </c>
    </row>
    <row r="21" spans="1:51" ht="13.35" customHeight="1">
      <c r="A21" s="214">
        <v>11296</v>
      </c>
      <c r="B21" s="60" t="s">
        <v>153</v>
      </c>
      <c r="C21" s="222" t="str">
        <f>Rollover!A21</f>
        <v>Mercedes-Benz</v>
      </c>
      <c r="D21" s="223" t="str">
        <f>Rollover!B21</f>
        <v>E-Class SW 4WD</v>
      </c>
      <c r="E21" s="133" t="s">
        <v>92</v>
      </c>
      <c r="F21" s="217">
        <f>Rollover!C21</f>
        <v>2021</v>
      </c>
      <c r="G21" s="16">
        <v>190.43100000000001</v>
      </c>
      <c r="H21" s="17">
        <v>0.30199999999999999</v>
      </c>
      <c r="I21" s="17">
        <v>827.81100000000004</v>
      </c>
      <c r="J21" s="17">
        <v>91.884</v>
      </c>
      <c r="K21" s="17">
        <v>25.927</v>
      </c>
      <c r="L21" s="17">
        <v>42.018000000000001</v>
      </c>
      <c r="M21" s="17">
        <v>1721.633</v>
      </c>
      <c r="N21" s="18">
        <v>2139.0430000000001</v>
      </c>
      <c r="O21" s="16">
        <v>204.39099999999999</v>
      </c>
      <c r="P21" s="17">
        <v>0.29399999999999998</v>
      </c>
      <c r="Q21" s="17">
        <v>535.05899999999997</v>
      </c>
      <c r="R21" s="17">
        <v>503.57799999999997</v>
      </c>
      <c r="S21" s="17">
        <v>10.904</v>
      </c>
      <c r="T21" s="17">
        <v>44.42</v>
      </c>
      <c r="U21" s="17">
        <v>1145.0509999999999</v>
      </c>
      <c r="V21" s="18">
        <v>1369.5840000000001</v>
      </c>
      <c r="W21" s="219">
        <f t="shared" si="29"/>
        <v>1.4547811144128102E-3</v>
      </c>
      <c r="X21" s="5">
        <f t="shared" si="30"/>
        <v>6.7086953960828088E-2</v>
      </c>
      <c r="Y21" s="5">
        <f t="shared" si="31"/>
        <v>1.2235654945333125E-4</v>
      </c>
      <c r="Z21" s="5">
        <f t="shared" si="32"/>
        <v>2.1310794895550137E-5</v>
      </c>
      <c r="AA21" s="5">
        <f t="shared" si="33"/>
        <v>6.7086953960828088E-2</v>
      </c>
      <c r="AB21" s="5">
        <f t="shared" si="34"/>
        <v>2.9058448809324393E-2</v>
      </c>
      <c r="AC21" s="5">
        <f t="shared" si="35"/>
        <v>2.9058448809324393E-2</v>
      </c>
      <c r="AD21" s="5">
        <f t="shared" si="36"/>
        <v>7.3890509309432065E-3</v>
      </c>
      <c r="AE21" s="5">
        <f t="shared" si="37"/>
        <v>9.1623022775866141E-3</v>
      </c>
      <c r="AF21" s="22">
        <f t="shared" si="38"/>
        <v>9.1623022775866141E-3</v>
      </c>
      <c r="AG21" s="21">
        <f t="shared" si="39"/>
        <v>1.9787426655660987E-3</v>
      </c>
      <c r="AH21" s="5">
        <f t="shared" si="40"/>
        <v>6.6107890821395843E-2</v>
      </c>
      <c r="AI21" s="5">
        <f t="shared" si="41"/>
        <v>1.3091549829668552E-4</v>
      </c>
      <c r="AJ21" s="5">
        <f t="shared" si="42"/>
        <v>1.1626631106875408E-4</v>
      </c>
      <c r="AK21" s="5">
        <f t="shared" si="43"/>
        <v>6.6107890821395843E-2</v>
      </c>
      <c r="AL21" s="5">
        <f t="shared" si="44"/>
        <v>4.6545550534722764E-3</v>
      </c>
      <c r="AM21" s="5">
        <f t="shared" si="45"/>
        <v>4.6545550534722764E-3</v>
      </c>
      <c r="AN21" s="5">
        <f t="shared" si="46"/>
        <v>7.2283804297778864E-3</v>
      </c>
      <c r="AO21" s="5">
        <f t="shared" si="47"/>
        <v>8.5654696548316811E-3</v>
      </c>
      <c r="AP21" s="22">
        <f t="shared" si="48"/>
        <v>8.5654696548316811E-3</v>
      </c>
      <c r="AQ21" s="21">
        <f t="shared" si="49"/>
        <v>0.104</v>
      </c>
      <c r="AR21" s="5">
        <f t="shared" si="50"/>
        <v>0.08</v>
      </c>
      <c r="AS21" s="22">
        <f t="shared" si="51"/>
        <v>9.1999999999999998E-2</v>
      </c>
      <c r="AT21" s="23">
        <f t="shared" si="52"/>
        <v>0.69</v>
      </c>
      <c r="AU21" s="134">
        <f t="shared" si="53"/>
        <v>0.53</v>
      </c>
      <c r="AV21" s="24">
        <f t="shared" si="54"/>
        <v>0.61</v>
      </c>
      <c r="AW21" s="220">
        <f t="shared" si="55"/>
        <v>4</v>
      </c>
      <c r="AX21" s="43">
        <f t="shared" si="56"/>
        <v>5</v>
      </c>
      <c r="AY21" s="221">
        <f t="shared" si="57"/>
        <v>5</v>
      </c>
    </row>
    <row r="22" spans="1:51" ht="13.35" customHeight="1">
      <c r="A22" s="139">
        <v>11298</v>
      </c>
      <c r="B22" s="67" t="s">
        <v>155</v>
      </c>
      <c r="C22" s="215" t="str">
        <f>Rollover!A22</f>
        <v>Mercedes-Benz</v>
      </c>
      <c r="D22" s="216" t="str">
        <f>Rollover!B22</f>
        <v>GLC Class SUV RWD</v>
      </c>
      <c r="E22" s="133" t="s">
        <v>126</v>
      </c>
      <c r="F22" s="217">
        <f>Rollover!C22</f>
        <v>2021</v>
      </c>
      <c r="G22" s="225">
        <v>176.60900000000001</v>
      </c>
      <c r="H22" s="226">
        <v>0.188</v>
      </c>
      <c r="I22" s="226">
        <v>730.529</v>
      </c>
      <c r="J22" s="226">
        <v>112.971</v>
      </c>
      <c r="K22" s="226">
        <v>25.417999999999999</v>
      </c>
      <c r="L22" s="226">
        <v>37.807000000000002</v>
      </c>
      <c r="M22" s="226">
        <v>1772.2090000000001</v>
      </c>
      <c r="N22" s="227">
        <v>2463.143</v>
      </c>
      <c r="O22" s="8">
        <v>139.19399999999999</v>
      </c>
      <c r="P22" s="9">
        <v>0.28100000000000003</v>
      </c>
      <c r="Q22" s="9">
        <v>752.274</v>
      </c>
      <c r="R22" s="9">
        <v>408.79199999999997</v>
      </c>
      <c r="S22" s="9">
        <v>15.305999999999999</v>
      </c>
      <c r="T22" s="9">
        <v>40.468000000000004</v>
      </c>
      <c r="U22" s="9">
        <v>979.92700000000002</v>
      </c>
      <c r="V22" s="10">
        <v>300.22500000000002</v>
      </c>
      <c r="W22" s="219">
        <f t="shared" si="29"/>
        <v>1.0386090466723292E-3</v>
      </c>
      <c r="X22" s="5">
        <f t="shared" si="30"/>
        <v>5.433264657611532E-2</v>
      </c>
      <c r="Y22" s="5">
        <f t="shared" si="31"/>
        <v>9.7117327644896984E-5</v>
      </c>
      <c r="Z22" s="5">
        <f t="shared" si="32"/>
        <v>2.2405226946955762E-5</v>
      </c>
      <c r="AA22" s="5">
        <f t="shared" si="33"/>
        <v>5.433264657611532E-2</v>
      </c>
      <c r="AB22" s="5">
        <f t="shared" si="34"/>
        <v>2.7304761433181685E-2</v>
      </c>
      <c r="AC22" s="5">
        <f t="shared" si="35"/>
        <v>2.7304761433181685E-2</v>
      </c>
      <c r="AD22" s="5">
        <f t="shared" si="36"/>
        <v>7.5843116453944443E-3</v>
      </c>
      <c r="AE22" s="5">
        <f t="shared" si="37"/>
        <v>1.0824594087923972E-2</v>
      </c>
      <c r="AF22" s="22">
        <f t="shared" si="38"/>
        <v>1.0824594087923972E-2</v>
      </c>
      <c r="AG22" s="21">
        <f t="shared" si="39"/>
        <v>3.3608207400895307E-4</v>
      </c>
      <c r="AH22" s="5">
        <f t="shared" si="40"/>
        <v>6.4545192426725559E-2</v>
      </c>
      <c r="AI22" s="5">
        <f t="shared" si="41"/>
        <v>2.9686771222062289E-4</v>
      </c>
      <c r="AJ22" s="5">
        <f t="shared" si="42"/>
        <v>8.1334888697138399E-5</v>
      </c>
      <c r="AK22" s="5">
        <f t="shared" si="43"/>
        <v>6.4545192426725559E-2</v>
      </c>
      <c r="AL22" s="5">
        <f t="shared" si="44"/>
        <v>1.1115543153670301E-2</v>
      </c>
      <c r="AM22" s="5">
        <f t="shared" si="45"/>
        <v>1.1115543153670301E-2</v>
      </c>
      <c r="AN22" s="5">
        <f t="shared" si="46"/>
        <v>6.3793225155653853E-3</v>
      </c>
      <c r="AO22" s="5">
        <f t="shared" si="47"/>
        <v>3.8105702790694946E-3</v>
      </c>
      <c r="AP22" s="22">
        <f t="shared" si="48"/>
        <v>6.3793225155653853E-3</v>
      </c>
      <c r="AQ22" s="21">
        <f t="shared" si="49"/>
        <v>9.0999999999999998E-2</v>
      </c>
      <c r="AR22" s="5">
        <f t="shared" si="50"/>
        <v>8.1000000000000003E-2</v>
      </c>
      <c r="AS22" s="22">
        <f t="shared" si="51"/>
        <v>8.5999999999999993E-2</v>
      </c>
      <c r="AT22" s="23">
        <f t="shared" si="52"/>
        <v>0.61</v>
      </c>
      <c r="AU22" s="134">
        <f t="shared" si="53"/>
        <v>0.54</v>
      </c>
      <c r="AV22" s="24">
        <f t="shared" si="54"/>
        <v>0.56999999999999995</v>
      </c>
      <c r="AW22" s="220">
        <f t="shared" si="55"/>
        <v>5</v>
      </c>
      <c r="AX22" s="43">
        <f t="shared" si="56"/>
        <v>5</v>
      </c>
      <c r="AY22" s="221">
        <f t="shared" si="57"/>
        <v>5</v>
      </c>
    </row>
    <row r="23" spans="1:51" ht="13.35" customHeight="1">
      <c r="A23" s="139">
        <v>11298</v>
      </c>
      <c r="B23" s="67" t="s">
        <v>155</v>
      </c>
      <c r="C23" s="215" t="str">
        <f>Rollover!A23</f>
        <v>Mercedes-Benz</v>
      </c>
      <c r="D23" s="216" t="str">
        <f>Rollover!B23</f>
        <v>GLC Class SUV 4WD</v>
      </c>
      <c r="E23" s="133" t="s">
        <v>126</v>
      </c>
      <c r="F23" s="217">
        <f>Rollover!C23</f>
        <v>2021</v>
      </c>
      <c r="G23" s="8">
        <v>176.60900000000001</v>
      </c>
      <c r="H23" s="9">
        <v>0.188</v>
      </c>
      <c r="I23" s="9">
        <v>730.529</v>
      </c>
      <c r="J23" s="9">
        <v>112.971</v>
      </c>
      <c r="K23" s="9">
        <v>25.417999999999999</v>
      </c>
      <c r="L23" s="9">
        <v>37.807000000000002</v>
      </c>
      <c r="M23" s="9">
        <v>1772.2090000000001</v>
      </c>
      <c r="N23" s="10">
        <v>2463.143</v>
      </c>
      <c r="O23" s="8">
        <v>139.19399999999999</v>
      </c>
      <c r="P23" s="9">
        <v>0.28100000000000003</v>
      </c>
      <c r="Q23" s="9">
        <v>752.274</v>
      </c>
      <c r="R23" s="9">
        <v>408.79199999999997</v>
      </c>
      <c r="S23" s="9">
        <v>15.305999999999999</v>
      </c>
      <c r="T23" s="9">
        <v>40.468000000000004</v>
      </c>
      <c r="U23" s="9">
        <v>979.92700000000002</v>
      </c>
      <c r="V23" s="10">
        <v>300.22500000000002</v>
      </c>
      <c r="W23" s="219">
        <f t="shared" si="29"/>
        <v>1.0386090466723292E-3</v>
      </c>
      <c r="X23" s="5">
        <f t="shared" si="30"/>
        <v>5.433264657611532E-2</v>
      </c>
      <c r="Y23" s="5">
        <f t="shared" si="31"/>
        <v>9.7117327644896984E-5</v>
      </c>
      <c r="Z23" s="5">
        <f t="shared" si="32"/>
        <v>2.2405226946955762E-5</v>
      </c>
      <c r="AA23" s="5">
        <f t="shared" si="33"/>
        <v>5.433264657611532E-2</v>
      </c>
      <c r="AB23" s="5">
        <f t="shared" si="34"/>
        <v>2.7304761433181685E-2</v>
      </c>
      <c r="AC23" s="5">
        <f t="shared" si="35"/>
        <v>2.7304761433181685E-2</v>
      </c>
      <c r="AD23" s="5">
        <f t="shared" si="36"/>
        <v>7.5843116453944443E-3</v>
      </c>
      <c r="AE23" s="5">
        <f t="shared" si="37"/>
        <v>1.0824594087923972E-2</v>
      </c>
      <c r="AF23" s="22">
        <f t="shared" si="38"/>
        <v>1.0824594087923972E-2</v>
      </c>
      <c r="AG23" s="21">
        <f t="shared" si="39"/>
        <v>3.3608207400895307E-4</v>
      </c>
      <c r="AH23" s="5">
        <f t="shared" si="40"/>
        <v>6.4545192426725559E-2</v>
      </c>
      <c r="AI23" s="5">
        <f t="shared" si="41"/>
        <v>2.9686771222062289E-4</v>
      </c>
      <c r="AJ23" s="5">
        <f t="shared" si="42"/>
        <v>8.1334888697138399E-5</v>
      </c>
      <c r="AK23" s="5">
        <f t="shared" si="43"/>
        <v>6.4545192426725559E-2</v>
      </c>
      <c r="AL23" s="5">
        <f t="shared" si="44"/>
        <v>1.1115543153670301E-2</v>
      </c>
      <c r="AM23" s="5">
        <f t="shared" si="45"/>
        <v>1.1115543153670301E-2</v>
      </c>
      <c r="AN23" s="5">
        <f t="shared" si="46"/>
        <v>6.3793225155653853E-3</v>
      </c>
      <c r="AO23" s="5">
        <f t="shared" si="47"/>
        <v>3.8105702790694946E-3</v>
      </c>
      <c r="AP23" s="22">
        <f t="shared" si="48"/>
        <v>6.3793225155653853E-3</v>
      </c>
      <c r="AQ23" s="21">
        <f t="shared" si="49"/>
        <v>9.0999999999999998E-2</v>
      </c>
      <c r="AR23" s="5">
        <f t="shared" si="50"/>
        <v>8.1000000000000003E-2</v>
      </c>
      <c r="AS23" s="22">
        <f t="shared" si="51"/>
        <v>8.5999999999999993E-2</v>
      </c>
      <c r="AT23" s="23">
        <f t="shared" si="52"/>
        <v>0.61</v>
      </c>
      <c r="AU23" s="134">
        <f t="shared" si="53"/>
        <v>0.54</v>
      </c>
      <c r="AV23" s="24">
        <f t="shared" si="54"/>
        <v>0.56999999999999995</v>
      </c>
      <c r="AW23" s="220">
        <f t="shared" si="55"/>
        <v>5</v>
      </c>
      <c r="AX23" s="43">
        <f t="shared" si="56"/>
        <v>5</v>
      </c>
      <c r="AY23" s="221">
        <f t="shared" si="57"/>
        <v>5</v>
      </c>
    </row>
    <row r="24" spans="1:51" ht="13.35" customHeight="1">
      <c r="A24" s="139">
        <v>11295</v>
      </c>
      <c r="B24" s="67" t="s">
        <v>152</v>
      </c>
      <c r="C24" s="215" t="str">
        <f>Rollover!A24</f>
        <v>Subaru</v>
      </c>
      <c r="D24" s="216" t="str">
        <f>Rollover!B24</f>
        <v>Outback SW AWD</v>
      </c>
      <c r="E24" s="133" t="s">
        <v>127</v>
      </c>
      <c r="F24" s="217">
        <f>Rollover!C24</f>
        <v>2021</v>
      </c>
      <c r="G24" s="8">
        <v>157.81</v>
      </c>
      <c r="H24" s="9">
        <v>0.25900000000000001</v>
      </c>
      <c r="I24" s="9">
        <v>1250.2829999999999</v>
      </c>
      <c r="J24" s="9">
        <v>254.84100000000001</v>
      </c>
      <c r="K24" s="9">
        <v>18.795000000000002</v>
      </c>
      <c r="L24" s="9">
        <v>42.832000000000001</v>
      </c>
      <c r="M24" s="9">
        <v>1022.537</v>
      </c>
      <c r="N24" s="10">
        <v>1109.2339999999999</v>
      </c>
      <c r="O24" s="8">
        <v>241.36699999999999</v>
      </c>
      <c r="P24" s="9">
        <v>0.434</v>
      </c>
      <c r="Q24" s="9">
        <v>653.5</v>
      </c>
      <c r="R24" s="9">
        <v>227.21299999999999</v>
      </c>
      <c r="S24" s="9">
        <v>13.581</v>
      </c>
      <c r="T24" s="9">
        <v>45.71</v>
      </c>
      <c r="U24" s="9">
        <v>717.75</v>
      </c>
      <c r="V24" s="10">
        <v>609.28399999999999</v>
      </c>
      <c r="W24" s="219">
        <f t="shared" ref="W24:W28" si="87">NORMDIST(LN(G24),7.45231,0.73998,1)</f>
        <v>6.1666477612068405E-4</v>
      </c>
      <c r="X24" s="5">
        <f t="shared" ref="X24:X28" si="88">1/(1+EXP(3.2269-1.9688*H24))</f>
        <v>6.1978762730557614E-2</v>
      </c>
      <c r="Y24" s="5">
        <f t="shared" ref="Y24:Y28" si="89">1/(1+EXP(10.9745-2.375*I24/1000))</f>
        <v>3.3365214730927294E-4</v>
      </c>
      <c r="Z24" s="5">
        <f t="shared" ref="Z24:Z28" si="90">1/(1+EXP(10.9745-2.375*J24/1000))</f>
        <v>3.1381751160047977E-5</v>
      </c>
      <c r="AA24" s="5">
        <f t="shared" ref="AA24:AA28" si="91">MAX(X24,Y24,Z24)</f>
        <v>6.1978762730557614E-2</v>
      </c>
      <c r="AB24" s="5">
        <f t="shared" ref="AB24:AB28" si="92">1/(1+EXP(12.597-0.05861*35-1.568*(K24^0.4612)))</f>
        <v>1.1215237037561467E-2</v>
      </c>
      <c r="AC24" s="5">
        <f t="shared" ref="AC24:AC28" si="93">AB24</f>
        <v>1.1215237037561467E-2</v>
      </c>
      <c r="AD24" s="5">
        <f t="shared" ref="AD24:AD28" si="94">1/(1+EXP(5.7949-0.5196*M24/1000))</f>
        <v>5.1500280897957907E-3</v>
      </c>
      <c r="AE24" s="5">
        <f t="shared" ref="AE24:AE28" si="95">1/(1+EXP(5.7949-0.5196*N24/1000))</f>
        <v>5.386052039146088E-3</v>
      </c>
      <c r="AF24" s="22">
        <f t="shared" ref="AF24:AF28" si="96">MAX(AD24,AE24)</f>
        <v>5.386052039146088E-3</v>
      </c>
      <c r="AG24" s="21">
        <f t="shared" ref="AG24:AG28" si="97">NORMDIST(LN(O24),7.45231,0.73998,1)</f>
        <v>3.9441131335601126E-3</v>
      </c>
      <c r="AH24" s="5">
        <f t="shared" ref="AH24:AH28" si="98">1/(1+EXP(3.2269-1.9688*P24))</f>
        <v>8.5298508831700037E-2</v>
      </c>
      <c r="AI24" s="5">
        <f t="shared" ref="AI24:AI28" si="99">1/(1+EXP(10.958-3.77*Q24/1000))</f>
        <v>2.0458856214720703E-4</v>
      </c>
      <c r="AJ24" s="5">
        <f t="shared" ref="AJ24:AJ28" si="100">1/(1+EXP(10.958-3.77*R24/1000))</f>
        <v>4.1020114624974128E-5</v>
      </c>
      <c r="AK24" s="5">
        <f t="shared" ref="AK24:AK28" si="101">MAX(AH24,AI24,AJ24)</f>
        <v>8.5298508831700037E-2</v>
      </c>
      <c r="AL24" s="5">
        <f t="shared" ref="AL24:AL28" si="102">1/(1+EXP(12.597-0.05861*35-1.568*((S24/0.817)^0.4612)))</f>
        <v>8.056088949604941E-3</v>
      </c>
      <c r="AM24" s="5">
        <f t="shared" ref="AM24:AM28" si="103">AL24</f>
        <v>8.056088949604941E-3</v>
      </c>
      <c r="AN24" s="5">
        <f t="shared" ref="AN24:AN28" si="104">1/(1+EXP(5.7949-0.7619*U24/1000))</f>
        <v>5.2302809586819848E-3</v>
      </c>
      <c r="AO24" s="5">
        <f t="shared" ref="AO24:AO28" si="105">1/(1+EXP(5.7949-0.7619*V24/1000))</f>
        <v>4.8174256685239968E-3</v>
      </c>
      <c r="AP24" s="22">
        <f t="shared" ref="AP24:AP28" si="106">MAX(AN24,AO24)</f>
        <v>5.2302809586819848E-3</v>
      </c>
      <c r="AQ24" s="21">
        <f t="shared" ref="AQ24:AQ28" si="107">ROUND(1-(1-W24)*(1-AA24)*(1-AC24)*(1-AF24),3)</f>
        <v>7.8E-2</v>
      </c>
      <c r="AR24" s="5">
        <f t="shared" ref="AR24:AR28" si="108">ROUND(1-(1-AG24)*(1-AK24)*(1-AM24)*(1-AP24),3)</f>
        <v>0.10100000000000001</v>
      </c>
      <c r="AS24" s="22">
        <f t="shared" ref="AS24:AS28" si="109">ROUND(AVERAGE(AR24,AQ24),3)</f>
        <v>0.09</v>
      </c>
      <c r="AT24" s="23">
        <f t="shared" ref="AT24:AT28" si="110">ROUND(AQ24/0.15,2)</f>
        <v>0.52</v>
      </c>
      <c r="AU24" s="134">
        <f t="shared" ref="AU24:AU28" si="111">ROUND(AR24/0.15,2)</f>
        <v>0.67</v>
      </c>
      <c r="AV24" s="24">
        <f t="shared" ref="AV24:AV28" si="112">ROUND(AS24/0.15,2)</f>
        <v>0.6</v>
      </c>
      <c r="AW24" s="220">
        <f t="shared" ref="AW24:AW28" si="113">IF(AT24&lt;0.67,5,IF(AT24&lt;1,4,IF(AT24&lt;1.33,3,IF(AT24&lt;2.67,2,1))))</f>
        <v>5</v>
      </c>
      <c r="AX24" s="43">
        <f t="shared" ref="AX24:AX28" si="114">IF(AU24&lt;0.67,5,IF(AU24&lt;1,4,IF(AU24&lt;1.33,3,IF(AU24&lt;2.67,2,1))))</f>
        <v>4</v>
      </c>
      <c r="AY24" s="221">
        <f t="shared" ref="AY24:AY28" si="115">IF(AV24&lt;0.67,5,IF(AV24&lt;1,4,IF(AV24&lt;1.33,3,IF(AV24&lt;2.67,2,1))))</f>
        <v>5</v>
      </c>
    </row>
    <row r="25" spans="1:51" ht="12" customHeight="1">
      <c r="A25" s="139">
        <v>11295</v>
      </c>
      <c r="B25" s="66" t="s">
        <v>152</v>
      </c>
      <c r="C25" s="222" t="str">
        <f>Rollover!A25</f>
        <v>Subaru</v>
      </c>
      <c r="D25" s="223" t="str">
        <f>Rollover!B25</f>
        <v>Legacy 4DR AWD</v>
      </c>
      <c r="E25" s="133" t="s">
        <v>127</v>
      </c>
      <c r="F25" s="217">
        <f>Rollover!C25</f>
        <v>2021</v>
      </c>
      <c r="G25" s="8">
        <v>157.81</v>
      </c>
      <c r="H25" s="9">
        <v>0.25900000000000001</v>
      </c>
      <c r="I25" s="9">
        <v>1250.2829999999999</v>
      </c>
      <c r="J25" s="9">
        <v>254.84100000000001</v>
      </c>
      <c r="K25" s="9">
        <v>18.795000000000002</v>
      </c>
      <c r="L25" s="9">
        <v>42.832000000000001</v>
      </c>
      <c r="M25" s="9">
        <v>1022.537</v>
      </c>
      <c r="N25" s="10">
        <v>1109.2339999999999</v>
      </c>
      <c r="O25" s="8">
        <v>241.36699999999999</v>
      </c>
      <c r="P25" s="9">
        <v>0.434</v>
      </c>
      <c r="Q25" s="9">
        <v>653.5</v>
      </c>
      <c r="R25" s="9">
        <v>227.21299999999999</v>
      </c>
      <c r="S25" s="9">
        <v>13.581</v>
      </c>
      <c r="T25" s="9">
        <v>45.71</v>
      </c>
      <c r="U25" s="9">
        <v>717.75</v>
      </c>
      <c r="V25" s="10">
        <v>609.28399999999999</v>
      </c>
      <c r="W25" s="219">
        <f t="shared" si="87"/>
        <v>6.1666477612068405E-4</v>
      </c>
      <c r="X25" s="5">
        <f t="shared" si="88"/>
        <v>6.1978762730557614E-2</v>
      </c>
      <c r="Y25" s="5">
        <f t="shared" si="89"/>
        <v>3.3365214730927294E-4</v>
      </c>
      <c r="Z25" s="5">
        <f t="shared" si="90"/>
        <v>3.1381751160047977E-5</v>
      </c>
      <c r="AA25" s="5">
        <f t="shared" si="91"/>
        <v>6.1978762730557614E-2</v>
      </c>
      <c r="AB25" s="5">
        <f t="shared" si="92"/>
        <v>1.1215237037561467E-2</v>
      </c>
      <c r="AC25" s="5">
        <f t="shared" si="93"/>
        <v>1.1215237037561467E-2</v>
      </c>
      <c r="AD25" s="5">
        <f t="shared" si="94"/>
        <v>5.1500280897957907E-3</v>
      </c>
      <c r="AE25" s="5">
        <f t="shared" si="95"/>
        <v>5.386052039146088E-3</v>
      </c>
      <c r="AF25" s="22">
        <f t="shared" si="96"/>
        <v>5.386052039146088E-3</v>
      </c>
      <c r="AG25" s="21">
        <f t="shared" si="97"/>
        <v>3.9441131335601126E-3</v>
      </c>
      <c r="AH25" s="5">
        <f t="shared" si="98"/>
        <v>8.5298508831700037E-2</v>
      </c>
      <c r="AI25" s="5">
        <f t="shared" si="99"/>
        <v>2.0458856214720703E-4</v>
      </c>
      <c r="AJ25" s="5">
        <f t="shared" si="100"/>
        <v>4.1020114624974128E-5</v>
      </c>
      <c r="AK25" s="5">
        <f t="shared" si="101"/>
        <v>8.5298508831700037E-2</v>
      </c>
      <c r="AL25" s="5">
        <f t="shared" si="102"/>
        <v>8.056088949604941E-3</v>
      </c>
      <c r="AM25" s="5">
        <f t="shared" si="103"/>
        <v>8.056088949604941E-3</v>
      </c>
      <c r="AN25" s="5">
        <f t="shared" si="104"/>
        <v>5.2302809586819848E-3</v>
      </c>
      <c r="AO25" s="5">
        <f t="shared" si="105"/>
        <v>4.8174256685239968E-3</v>
      </c>
      <c r="AP25" s="22">
        <f t="shared" si="106"/>
        <v>5.2302809586819848E-3</v>
      </c>
      <c r="AQ25" s="21">
        <f t="shared" si="107"/>
        <v>7.8E-2</v>
      </c>
      <c r="AR25" s="5">
        <f t="shared" si="108"/>
        <v>0.10100000000000001</v>
      </c>
      <c r="AS25" s="22">
        <f t="shared" si="109"/>
        <v>0.09</v>
      </c>
      <c r="AT25" s="23">
        <f t="shared" si="110"/>
        <v>0.52</v>
      </c>
      <c r="AU25" s="134">
        <f t="shared" si="111"/>
        <v>0.67</v>
      </c>
      <c r="AV25" s="24">
        <f t="shared" si="112"/>
        <v>0.6</v>
      </c>
      <c r="AW25" s="220">
        <f t="shared" si="113"/>
        <v>5</v>
      </c>
      <c r="AX25" s="43">
        <f t="shared" si="114"/>
        <v>4</v>
      </c>
      <c r="AY25" s="221">
        <f t="shared" si="115"/>
        <v>5</v>
      </c>
    </row>
    <row r="26" spans="1:51" ht="13.35" customHeight="1">
      <c r="A26" s="214">
        <v>10651</v>
      </c>
      <c r="B26" s="60" t="s">
        <v>138</v>
      </c>
      <c r="C26" s="215" t="str">
        <f>Rollover!A26</f>
        <v>Toyota</v>
      </c>
      <c r="D26" s="216" t="str">
        <f>Rollover!B26</f>
        <v>Corolla 4DR FWD</v>
      </c>
      <c r="E26" s="133" t="s">
        <v>92</v>
      </c>
      <c r="F26" s="217">
        <f>Rollover!C26</f>
        <v>2021</v>
      </c>
      <c r="G26" s="8">
        <v>186.548</v>
      </c>
      <c r="H26" s="9">
        <v>0.27300000000000002</v>
      </c>
      <c r="I26" s="9">
        <v>1080.8340000000001</v>
      </c>
      <c r="J26" s="9">
        <v>221.012</v>
      </c>
      <c r="K26" s="9">
        <v>24.053999999999998</v>
      </c>
      <c r="L26" s="9">
        <v>45.079000000000001</v>
      </c>
      <c r="M26" s="9">
        <v>1468.2719999999999</v>
      </c>
      <c r="N26" s="10">
        <v>1380.788</v>
      </c>
      <c r="O26" s="8">
        <v>356.32299999999998</v>
      </c>
      <c r="P26" s="9">
        <v>0.27100000000000002</v>
      </c>
      <c r="Q26" s="9">
        <v>733.971</v>
      </c>
      <c r="R26" s="9">
        <v>381.9</v>
      </c>
      <c r="S26" s="9">
        <v>13.587999999999999</v>
      </c>
      <c r="T26" s="9">
        <v>48.542000000000002</v>
      </c>
      <c r="U26" s="9">
        <v>1337.059</v>
      </c>
      <c r="V26" s="10">
        <v>693.72799999999995</v>
      </c>
      <c r="W26" s="219">
        <f t="shared" si="87"/>
        <v>1.3280132735441646E-3</v>
      </c>
      <c r="X26" s="5">
        <f t="shared" si="88"/>
        <v>6.3600694729198576E-2</v>
      </c>
      <c r="Y26" s="5">
        <f t="shared" si="89"/>
        <v>2.231330320868445E-4</v>
      </c>
      <c r="Z26" s="5">
        <f t="shared" si="90"/>
        <v>2.8959117628590589E-5</v>
      </c>
      <c r="AA26" s="5">
        <f t="shared" si="91"/>
        <v>6.3600694729198576E-2</v>
      </c>
      <c r="AB26" s="5">
        <f t="shared" si="92"/>
        <v>2.3019088613042766E-2</v>
      </c>
      <c r="AC26" s="5">
        <f t="shared" si="93"/>
        <v>2.3019088613042766E-2</v>
      </c>
      <c r="AD26" s="5">
        <f t="shared" si="94"/>
        <v>6.4835277820869067E-3</v>
      </c>
      <c r="AE26" s="5">
        <f t="shared" si="95"/>
        <v>6.1971917736574752E-3</v>
      </c>
      <c r="AF26" s="22">
        <f t="shared" si="96"/>
        <v>6.4835277820869067E-3</v>
      </c>
      <c r="AG26" s="21">
        <f t="shared" si="97"/>
        <v>1.6568243756006254E-2</v>
      </c>
      <c r="AH26" s="5">
        <f t="shared" si="98"/>
        <v>6.3366590994446123E-2</v>
      </c>
      <c r="AI26" s="5">
        <f t="shared" si="99"/>
        <v>2.7707940068093061E-4</v>
      </c>
      <c r="AJ26" s="5">
        <f t="shared" si="100"/>
        <v>7.3493727433486964E-5</v>
      </c>
      <c r="AK26" s="5">
        <f t="shared" si="101"/>
        <v>6.3366590994446123E-2</v>
      </c>
      <c r="AL26" s="5">
        <f t="shared" si="102"/>
        <v>8.066984148380035E-3</v>
      </c>
      <c r="AM26" s="5">
        <f t="shared" si="103"/>
        <v>8.066984148380035E-3</v>
      </c>
      <c r="AN26" s="5">
        <f t="shared" si="104"/>
        <v>8.3575710425069869E-3</v>
      </c>
      <c r="AO26" s="5">
        <f t="shared" si="105"/>
        <v>5.1359123258313873E-3</v>
      </c>
      <c r="AP26" s="22">
        <f t="shared" si="106"/>
        <v>8.3575710425069869E-3</v>
      </c>
      <c r="AQ26" s="21">
        <f t="shared" si="107"/>
        <v>9.1999999999999998E-2</v>
      </c>
      <c r="AR26" s="5">
        <f t="shared" si="108"/>
        <v>9.4E-2</v>
      </c>
      <c r="AS26" s="22">
        <f t="shared" si="109"/>
        <v>9.2999999999999999E-2</v>
      </c>
      <c r="AT26" s="23">
        <f t="shared" si="110"/>
        <v>0.61</v>
      </c>
      <c r="AU26" s="134">
        <f t="shared" si="111"/>
        <v>0.63</v>
      </c>
      <c r="AV26" s="24">
        <f t="shared" si="112"/>
        <v>0.62</v>
      </c>
      <c r="AW26" s="220">
        <f t="shared" si="113"/>
        <v>5</v>
      </c>
      <c r="AX26" s="43">
        <f t="shared" si="114"/>
        <v>5</v>
      </c>
      <c r="AY26" s="221">
        <f t="shared" si="115"/>
        <v>5</v>
      </c>
    </row>
    <row r="27" spans="1:51" ht="13.35" customHeight="1">
      <c r="A27" s="214">
        <v>10651</v>
      </c>
      <c r="B27" s="60" t="s">
        <v>138</v>
      </c>
      <c r="C27" s="222" t="str">
        <f>Rollover!A27</f>
        <v>Toyota</v>
      </c>
      <c r="D27" s="223" t="str">
        <f>Rollover!B27</f>
        <v>Corolla Hybrid 4DR FWD</v>
      </c>
      <c r="E27" s="133" t="s">
        <v>92</v>
      </c>
      <c r="F27" s="217">
        <f>Rollover!C27</f>
        <v>2021</v>
      </c>
      <c r="G27" s="8">
        <v>186.548</v>
      </c>
      <c r="H27" s="9">
        <v>0.27300000000000002</v>
      </c>
      <c r="I27" s="9">
        <v>1080.8340000000001</v>
      </c>
      <c r="J27" s="9">
        <v>221.012</v>
      </c>
      <c r="K27" s="9">
        <v>24.053999999999998</v>
      </c>
      <c r="L27" s="9">
        <v>45.079000000000001</v>
      </c>
      <c r="M27" s="9">
        <v>1468.2719999999999</v>
      </c>
      <c r="N27" s="10">
        <v>1380.788</v>
      </c>
      <c r="O27" s="8">
        <v>356.32299999999998</v>
      </c>
      <c r="P27" s="9">
        <v>0.27100000000000002</v>
      </c>
      <c r="Q27" s="9">
        <v>733.971</v>
      </c>
      <c r="R27" s="9">
        <v>381.9</v>
      </c>
      <c r="S27" s="9">
        <v>13.587999999999999</v>
      </c>
      <c r="T27" s="9">
        <v>48.542000000000002</v>
      </c>
      <c r="U27" s="9">
        <v>1337.059</v>
      </c>
      <c r="V27" s="10">
        <v>693.72799999999995</v>
      </c>
      <c r="W27" s="219">
        <f t="shared" si="87"/>
        <v>1.3280132735441646E-3</v>
      </c>
      <c r="X27" s="5">
        <f t="shared" si="88"/>
        <v>6.3600694729198576E-2</v>
      </c>
      <c r="Y27" s="5">
        <f t="shared" si="89"/>
        <v>2.231330320868445E-4</v>
      </c>
      <c r="Z27" s="5">
        <f t="shared" si="90"/>
        <v>2.8959117628590589E-5</v>
      </c>
      <c r="AA27" s="5">
        <f t="shared" si="91"/>
        <v>6.3600694729198576E-2</v>
      </c>
      <c r="AB27" s="5">
        <f t="shared" si="92"/>
        <v>2.3019088613042766E-2</v>
      </c>
      <c r="AC27" s="5">
        <f t="shared" si="93"/>
        <v>2.3019088613042766E-2</v>
      </c>
      <c r="AD27" s="5">
        <f t="shared" si="94"/>
        <v>6.4835277820869067E-3</v>
      </c>
      <c r="AE27" s="5">
        <f t="shared" si="95"/>
        <v>6.1971917736574752E-3</v>
      </c>
      <c r="AF27" s="22">
        <f t="shared" si="96"/>
        <v>6.4835277820869067E-3</v>
      </c>
      <c r="AG27" s="21">
        <f t="shared" si="97"/>
        <v>1.6568243756006254E-2</v>
      </c>
      <c r="AH27" s="5">
        <f t="shared" si="98"/>
        <v>6.3366590994446123E-2</v>
      </c>
      <c r="AI27" s="5">
        <f t="shared" si="99"/>
        <v>2.7707940068093061E-4</v>
      </c>
      <c r="AJ27" s="5">
        <f t="shared" si="100"/>
        <v>7.3493727433486964E-5</v>
      </c>
      <c r="AK27" s="5">
        <f t="shared" si="101"/>
        <v>6.3366590994446123E-2</v>
      </c>
      <c r="AL27" s="5">
        <f t="shared" si="102"/>
        <v>8.066984148380035E-3</v>
      </c>
      <c r="AM27" s="5">
        <f t="shared" si="103"/>
        <v>8.066984148380035E-3</v>
      </c>
      <c r="AN27" s="5">
        <f t="shared" si="104"/>
        <v>8.3575710425069869E-3</v>
      </c>
      <c r="AO27" s="5">
        <f t="shared" si="105"/>
        <v>5.1359123258313873E-3</v>
      </c>
      <c r="AP27" s="22">
        <f t="shared" si="106"/>
        <v>8.3575710425069869E-3</v>
      </c>
      <c r="AQ27" s="21">
        <f t="shared" si="107"/>
        <v>9.1999999999999998E-2</v>
      </c>
      <c r="AR27" s="5">
        <f t="shared" si="108"/>
        <v>9.4E-2</v>
      </c>
      <c r="AS27" s="22">
        <f t="shared" si="109"/>
        <v>9.2999999999999999E-2</v>
      </c>
      <c r="AT27" s="23">
        <f t="shared" si="110"/>
        <v>0.61</v>
      </c>
      <c r="AU27" s="134">
        <f t="shared" si="111"/>
        <v>0.63</v>
      </c>
      <c r="AV27" s="24">
        <f t="shared" si="112"/>
        <v>0.62</v>
      </c>
      <c r="AW27" s="220">
        <f t="shared" si="113"/>
        <v>5</v>
      </c>
      <c r="AX27" s="43">
        <f t="shared" si="114"/>
        <v>5</v>
      </c>
      <c r="AY27" s="221">
        <f t="shared" si="115"/>
        <v>5</v>
      </c>
    </row>
    <row r="28" spans="1:51" ht="13.35" customHeight="1">
      <c r="A28" s="214">
        <v>10651</v>
      </c>
      <c r="B28" s="60" t="s">
        <v>138</v>
      </c>
      <c r="C28" s="222" t="str">
        <f>Rollover!A28</f>
        <v>Toyota</v>
      </c>
      <c r="D28" s="223" t="str">
        <f>Rollover!B28</f>
        <v>Corolla Hatchback 5HB FWD</v>
      </c>
      <c r="E28" s="133" t="s">
        <v>92</v>
      </c>
      <c r="F28" s="217">
        <f>Rollover!C28</f>
        <v>2021</v>
      </c>
      <c r="G28" s="8">
        <v>186.548</v>
      </c>
      <c r="H28" s="9">
        <v>0.27300000000000002</v>
      </c>
      <c r="I28" s="9">
        <v>1080.8340000000001</v>
      </c>
      <c r="J28" s="9">
        <v>221.012</v>
      </c>
      <c r="K28" s="9">
        <v>24.053999999999998</v>
      </c>
      <c r="L28" s="9">
        <v>45.079000000000001</v>
      </c>
      <c r="M28" s="9">
        <v>1468.2719999999999</v>
      </c>
      <c r="N28" s="10">
        <v>1380.788</v>
      </c>
      <c r="O28" s="8">
        <v>356.32299999999998</v>
      </c>
      <c r="P28" s="9">
        <v>0.27100000000000002</v>
      </c>
      <c r="Q28" s="9">
        <v>733.971</v>
      </c>
      <c r="R28" s="9">
        <v>381.9</v>
      </c>
      <c r="S28" s="9">
        <v>13.587999999999999</v>
      </c>
      <c r="T28" s="9">
        <v>48.542000000000002</v>
      </c>
      <c r="U28" s="9">
        <v>1337.059</v>
      </c>
      <c r="V28" s="10">
        <v>693.72799999999995</v>
      </c>
      <c r="W28" s="219">
        <f t="shared" si="87"/>
        <v>1.3280132735441646E-3</v>
      </c>
      <c r="X28" s="5">
        <f t="shared" si="88"/>
        <v>6.3600694729198576E-2</v>
      </c>
      <c r="Y28" s="5">
        <f t="shared" si="89"/>
        <v>2.231330320868445E-4</v>
      </c>
      <c r="Z28" s="5">
        <f t="shared" si="90"/>
        <v>2.8959117628590589E-5</v>
      </c>
      <c r="AA28" s="5">
        <f t="shared" si="91"/>
        <v>6.3600694729198576E-2</v>
      </c>
      <c r="AB28" s="5">
        <f t="shared" si="92"/>
        <v>2.3019088613042766E-2</v>
      </c>
      <c r="AC28" s="5">
        <f t="shared" si="93"/>
        <v>2.3019088613042766E-2</v>
      </c>
      <c r="AD28" s="5">
        <f t="shared" si="94"/>
        <v>6.4835277820869067E-3</v>
      </c>
      <c r="AE28" s="5">
        <f t="shared" si="95"/>
        <v>6.1971917736574752E-3</v>
      </c>
      <c r="AF28" s="22">
        <f t="shared" si="96"/>
        <v>6.4835277820869067E-3</v>
      </c>
      <c r="AG28" s="21">
        <f t="shared" si="97"/>
        <v>1.6568243756006254E-2</v>
      </c>
      <c r="AH28" s="5">
        <f t="shared" si="98"/>
        <v>6.3366590994446123E-2</v>
      </c>
      <c r="AI28" s="5">
        <f t="shared" si="99"/>
        <v>2.7707940068093061E-4</v>
      </c>
      <c r="AJ28" s="5">
        <f t="shared" si="100"/>
        <v>7.3493727433486964E-5</v>
      </c>
      <c r="AK28" s="5">
        <f t="shared" si="101"/>
        <v>6.3366590994446123E-2</v>
      </c>
      <c r="AL28" s="5">
        <f t="shared" si="102"/>
        <v>8.066984148380035E-3</v>
      </c>
      <c r="AM28" s="5">
        <f t="shared" si="103"/>
        <v>8.066984148380035E-3</v>
      </c>
      <c r="AN28" s="5">
        <f t="shared" si="104"/>
        <v>8.3575710425069869E-3</v>
      </c>
      <c r="AO28" s="5">
        <f t="shared" si="105"/>
        <v>5.1359123258313873E-3</v>
      </c>
      <c r="AP28" s="22">
        <f t="shared" si="106"/>
        <v>8.3575710425069869E-3</v>
      </c>
      <c r="AQ28" s="21">
        <f t="shared" si="107"/>
        <v>9.1999999999999998E-2</v>
      </c>
      <c r="AR28" s="5">
        <f t="shared" si="108"/>
        <v>9.4E-2</v>
      </c>
      <c r="AS28" s="22">
        <f t="shared" si="109"/>
        <v>9.2999999999999999E-2</v>
      </c>
      <c r="AT28" s="23">
        <f t="shared" si="110"/>
        <v>0.61</v>
      </c>
      <c r="AU28" s="134">
        <f t="shared" si="111"/>
        <v>0.63</v>
      </c>
      <c r="AV28" s="24">
        <f t="shared" si="112"/>
        <v>0.62</v>
      </c>
      <c r="AW28" s="220">
        <f t="shared" si="113"/>
        <v>5</v>
      </c>
      <c r="AX28" s="43">
        <f t="shared" si="114"/>
        <v>5</v>
      </c>
      <c r="AY28" s="221">
        <f t="shared" si="115"/>
        <v>5</v>
      </c>
    </row>
    <row r="29" spans="1:51">
      <c r="G29" s="229"/>
      <c r="H29" s="230"/>
      <c r="I29" s="230"/>
      <c r="J29" s="230"/>
      <c r="K29" s="229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</row>
    <row r="30" spans="1:51">
      <c r="G30" s="229"/>
      <c r="H30" s="229"/>
      <c r="I30" s="229"/>
      <c r="J30" s="229"/>
      <c r="K30" s="229"/>
      <c r="L30" s="229"/>
      <c r="M30" s="229"/>
    </row>
    <row r="31" spans="1:51">
      <c r="A31" s="107"/>
      <c r="B31" s="107"/>
      <c r="C31" s="107"/>
    </row>
    <row r="32" spans="1:51">
      <c r="A32" s="107"/>
      <c r="B32" s="107"/>
      <c r="C32" s="107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</row>
    <row r="33" spans="1:26">
      <c r="A33" s="107"/>
      <c r="B33" s="107"/>
      <c r="C33" s="107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</row>
    <row r="34" spans="1:26">
      <c r="A34" s="107"/>
      <c r="B34" s="107"/>
      <c r="C34" s="107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</row>
    <row r="35" spans="1:26">
      <c r="A35" s="107"/>
      <c r="B35" s="107"/>
      <c r="C35" s="107"/>
      <c r="D35" s="107"/>
      <c r="E35" s="107"/>
      <c r="F35" s="107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</row>
    <row r="36" spans="1:26">
      <c r="A36" s="107"/>
      <c r="B36" s="107"/>
      <c r="C36" s="107"/>
      <c r="D36" s="107"/>
      <c r="E36" s="107"/>
      <c r="F36" s="107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</row>
    <row r="37" spans="1:26">
      <c r="A37" s="107"/>
      <c r="B37" s="107"/>
      <c r="C37" s="107"/>
      <c r="D37" s="107"/>
      <c r="E37" s="107"/>
      <c r="F37" s="107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</row>
    <row r="38" spans="1:26">
      <c r="A38" s="107"/>
      <c r="B38" s="107"/>
      <c r="C38" s="107"/>
      <c r="D38" s="107"/>
      <c r="E38" s="107"/>
      <c r="F38" s="107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</row>
    <row r="39" spans="1:26">
      <c r="A39" s="107"/>
      <c r="B39" s="107"/>
      <c r="C39" s="107"/>
      <c r="D39" s="107"/>
      <c r="E39" s="107"/>
      <c r="F39" s="107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</row>
    <row r="40" spans="1:26">
      <c r="A40" s="107"/>
      <c r="B40" s="107"/>
      <c r="C40" s="107"/>
      <c r="D40" s="107"/>
      <c r="E40" s="107"/>
      <c r="F40" s="107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</row>
    <row r="41" spans="1:26">
      <c r="A41" s="236"/>
      <c r="B41" s="236"/>
      <c r="C41" s="107"/>
      <c r="D41" s="107"/>
      <c r="E41" s="107"/>
      <c r="F41" s="107"/>
      <c r="G41" s="235"/>
      <c r="H41" s="235"/>
      <c r="I41" s="235"/>
      <c r="J41" s="235"/>
      <c r="K41" s="235"/>
      <c r="L41" s="237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65"/>
      <c r="X41" s="65"/>
      <c r="Y41" s="65"/>
      <c r="Z41" s="65"/>
    </row>
    <row r="42" spans="1:26">
      <c r="L42" s="237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65"/>
      <c r="X42" s="65"/>
      <c r="Y42" s="65"/>
      <c r="Z42" s="65"/>
    </row>
    <row r="43" spans="1:26">
      <c r="L43" s="237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65"/>
      <c r="X43" s="65"/>
      <c r="Y43" s="65"/>
      <c r="Z43" s="65"/>
    </row>
    <row r="44" spans="1:26">
      <c r="C44" s="109"/>
      <c r="D44" s="109"/>
      <c r="E44" s="109"/>
      <c r="F44" s="109"/>
      <c r="G44" s="229"/>
      <c r="H44" s="229"/>
      <c r="K44" s="229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65"/>
      <c r="X44" s="65"/>
      <c r="Y44" s="65"/>
      <c r="Z44" s="65"/>
    </row>
    <row r="45" spans="1:26">
      <c r="C45" s="109"/>
      <c r="D45" s="109"/>
      <c r="E45" s="109"/>
      <c r="F45" s="109"/>
      <c r="G45" s="229"/>
      <c r="H45" s="229"/>
      <c r="K45" s="238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65"/>
      <c r="X45" s="65"/>
      <c r="Y45" s="65"/>
      <c r="Z45" s="65"/>
    </row>
    <row r="46" spans="1:26">
      <c r="C46" s="109"/>
      <c r="D46" s="109"/>
      <c r="E46" s="109"/>
      <c r="F46" s="109"/>
      <c r="G46" s="229"/>
      <c r="H46" s="229"/>
      <c r="K46" s="229"/>
      <c r="L46" s="237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65"/>
      <c r="X46" s="65"/>
      <c r="Y46" s="65"/>
      <c r="Z46" s="65"/>
    </row>
    <row r="47" spans="1:26">
      <c r="C47" s="109"/>
      <c r="D47" s="109"/>
      <c r="E47" s="109"/>
      <c r="F47" s="109"/>
      <c r="G47" s="229"/>
      <c r="H47" s="229"/>
      <c r="K47" s="229"/>
      <c r="L47" s="237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65"/>
      <c r="X47" s="65"/>
      <c r="Y47" s="65"/>
      <c r="Z47" s="65"/>
    </row>
    <row r="48" spans="1:26">
      <c r="C48" s="109"/>
      <c r="D48" s="109"/>
      <c r="E48" s="109"/>
      <c r="F48" s="109"/>
      <c r="G48" s="229"/>
      <c r="H48" s="229"/>
      <c r="K48" s="238"/>
      <c r="L48" s="237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65"/>
      <c r="X48" s="65"/>
      <c r="Y48" s="65"/>
      <c r="Z48" s="65"/>
    </row>
    <row r="49" spans="1:31">
      <c r="C49" s="109"/>
      <c r="D49" s="109"/>
      <c r="E49" s="109"/>
      <c r="F49" s="109"/>
      <c r="G49" s="229"/>
      <c r="H49" s="229"/>
      <c r="K49" s="229"/>
      <c r="L49" s="237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65"/>
      <c r="X49" s="65"/>
      <c r="Y49" s="65"/>
      <c r="Z49" s="65"/>
    </row>
    <row r="50" spans="1:31">
      <c r="C50" s="109"/>
      <c r="D50" s="109"/>
      <c r="E50" s="109"/>
      <c r="F50" s="109"/>
      <c r="G50" s="229"/>
      <c r="H50" s="229"/>
      <c r="K50" s="229"/>
    </row>
    <row r="51" spans="1:31">
      <c r="C51" s="109"/>
      <c r="D51" s="109"/>
      <c r="E51" s="109"/>
      <c r="F51" s="109"/>
      <c r="G51" s="229"/>
      <c r="H51" s="229"/>
      <c r="K51" s="229"/>
    </row>
    <row r="52" spans="1:31">
      <c r="C52" s="109"/>
      <c r="D52" s="109"/>
      <c r="E52" s="109"/>
      <c r="F52" s="109"/>
      <c r="G52" s="229"/>
      <c r="H52" s="229"/>
      <c r="K52" s="238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</row>
    <row r="53" spans="1:31">
      <c r="C53" s="109"/>
      <c r="D53" s="109"/>
      <c r="E53" s="109"/>
      <c r="F53" s="109"/>
      <c r="G53" s="229"/>
      <c r="H53" s="229"/>
      <c r="K53" s="229"/>
    </row>
    <row r="54" spans="1:31">
      <c r="G54" s="229"/>
      <c r="H54" s="229"/>
      <c r="K54" s="229"/>
    </row>
    <row r="55" spans="1:31">
      <c r="G55" s="229"/>
      <c r="H55" s="229"/>
      <c r="K55" s="229"/>
    </row>
    <row r="56" spans="1:31">
      <c r="C56" s="109"/>
      <c r="D56" s="109"/>
      <c r="E56" s="109"/>
      <c r="F56" s="109"/>
      <c r="G56" s="229"/>
      <c r="H56" s="229"/>
      <c r="K56" s="229"/>
    </row>
    <row r="57" spans="1:31">
      <c r="A57" s="107"/>
      <c r="B57" s="107"/>
      <c r="C57" s="109"/>
      <c r="D57" s="109"/>
      <c r="E57" s="109"/>
      <c r="F57" s="109"/>
      <c r="G57" s="229"/>
      <c r="H57" s="229"/>
      <c r="K57" s="229"/>
    </row>
    <row r="58" spans="1:31">
      <c r="A58" s="107"/>
      <c r="B58" s="107"/>
      <c r="C58" s="109"/>
      <c r="D58" s="109"/>
      <c r="E58" s="109"/>
      <c r="F58" s="109"/>
      <c r="G58" s="229"/>
      <c r="H58" s="229"/>
      <c r="K58" s="229"/>
    </row>
    <row r="59" spans="1:31">
      <c r="A59" s="107"/>
      <c r="B59" s="107"/>
      <c r="C59" s="109"/>
      <c r="D59" s="109"/>
      <c r="E59" s="109"/>
      <c r="F59" s="109"/>
      <c r="G59" s="229"/>
      <c r="H59" s="229"/>
      <c r="K59" s="229"/>
      <c r="N59" s="229"/>
      <c r="O59" s="229"/>
      <c r="P59" s="229"/>
      <c r="Q59" s="229"/>
      <c r="R59" s="229"/>
      <c r="S59" s="229"/>
      <c r="T59" s="229"/>
      <c r="U59" s="229"/>
      <c r="V59" s="229"/>
      <c r="W59" s="239"/>
      <c r="X59" s="240"/>
      <c r="Y59" s="239"/>
      <c r="Z59" s="239"/>
      <c r="AA59" s="109"/>
      <c r="AB59" s="109"/>
      <c r="AC59" s="109"/>
      <c r="AD59" s="109"/>
      <c r="AE59" s="109"/>
    </row>
    <row r="60" spans="1:31">
      <c r="C60" s="109"/>
      <c r="D60" s="109"/>
      <c r="E60" s="109"/>
      <c r="F60" s="109"/>
      <c r="H60" s="172"/>
      <c r="I60" s="172"/>
      <c r="J60" s="172"/>
      <c r="K60" s="172"/>
      <c r="L60" s="172"/>
      <c r="M60" s="172"/>
      <c r="N60" s="229"/>
      <c r="O60" s="229"/>
      <c r="P60" s="229"/>
      <c r="Q60" s="229"/>
      <c r="R60" s="229"/>
      <c r="S60" s="229"/>
      <c r="T60" s="229"/>
      <c r="U60" s="229"/>
      <c r="V60" s="229"/>
      <c r="W60" s="239"/>
      <c r="X60" s="240"/>
      <c r="Y60" s="239"/>
      <c r="Z60" s="239"/>
      <c r="AA60" s="68"/>
      <c r="AB60" s="68"/>
      <c r="AC60" s="68"/>
      <c r="AD60" s="68"/>
      <c r="AE60" s="68"/>
    </row>
    <row r="61" spans="1:31">
      <c r="C61" s="109"/>
      <c r="D61" s="109"/>
      <c r="E61" s="109"/>
      <c r="F61" s="109"/>
      <c r="H61" s="172"/>
      <c r="I61" s="172"/>
      <c r="J61" s="172"/>
      <c r="K61" s="172"/>
      <c r="L61" s="172"/>
      <c r="M61" s="172"/>
      <c r="N61" s="229"/>
      <c r="O61" s="229"/>
      <c r="P61" s="229"/>
      <c r="Q61" s="229"/>
      <c r="R61" s="229"/>
      <c r="S61" s="229"/>
      <c r="T61" s="229"/>
      <c r="U61" s="229"/>
      <c r="V61" s="229"/>
      <c r="W61" s="239"/>
      <c r="X61" s="240"/>
      <c r="Y61" s="239"/>
      <c r="Z61" s="239"/>
      <c r="AA61" s="188"/>
      <c r="AB61" s="239"/>
      <c r="AC61" s="239"/>
      <c r="AD61" s="188"/>
      <c r="AE61" s="188"/>
    </row>
    <row r="62" spans="1:31">
      <c r="A62" s="241"/>
      <c r="B62" s="241"/>
      <c r="C62" s="111"/>
      <c r="D62" s="111"/>
      <c r="E62" s="111"/>
      <c r="F62" s="111"/>
      <c r="G62" s="242"/>
      <c r="H62" s="172"/>
      <c r="I62" s="172"/>
      <c r="J62" s="172"/>
      <c r="K62" s="172"/>
      <c r="L62" s="172"/>
      <c r="M62" s="172"/>
      <c r="N62" s="229"/>
      <c r="O62" s="229"/>
      <c r="P62" s="229"/>
      <c r="Q62" s="229"/>
      <c r="R62" s="229"/>
      <c r="S62" s="229"/>
      <c r="T62" s="229"/>
      <c r="U62" s="229"/>
      <c r="V62" s="229"/>
      <c r="W62" s="239"/>
      <c r="X62" s="240"/>
      <c r="Y62" s="239"/>
      <c r="Z62" s="239"/>
      <c r="AA62" s="188"/>
      <c r="AB62" s="239"/>
      <c r="AC62" s="239"/>
      <c r="AD62" s="188"/>
      <c r="AE62" s="188"/>
    </row>
    <row r="63" spans="1:31">
      <c r="A63" s="107"/>
      <c r="B63" s="107"/>
      <c r="C63" s="107"/>
      <c r="D63" s="107"/>
      <c r="E63" s="107"/>
      <c r="F63" s="107"/>
      <c r="G63" s="235"/>
      <c r="H63" s="172"/>
      <c r="I63" s="172"/>
      <c r="J63" s="172"/>
      <c r="K63" s="172"/>
      <c r="L63" s="172"/>
      <c r="M63" s="172"/>
      <c r="N63" s="229"/>
      <c r="O63" s="229"/>
      <c r="P63" s="229"/>
      <c r="Q63" s="229"/>
      <c r="R63" s="229"/>
      <c r="S63" s="229"/>
      <c r="T63" s="229"/>
      <c r="U63" s="229"/>
      <c r="V63" s="229"/>
      <c r="W63" s="239"/>
      <c r="X63" s="240"/>
      <c r="Y63" s="239"/>
      <c r="Z63" s="239"/>
      <c r="AA63" s="188"/>
      <c r="AB63" s="239"/>
      <c r="AC63" s="239"/>
      <c r="AD63" s="188"/>
      <c r="AE63" s="188"/>
    </row>
    <row r="64" spans="1:31">
      <c r="C64" s="109"/>
      <c r="D64" s="109"/>
      <c r="E64" s="109"/>
      <c r="F64" s="109"/>
      <c r="H64" s="172"/>
      <c r="I64" s="172"/>
      <c r="J64" s="172"/>
      <c r="K64" s="172"/>
      <c r="L64" s="172"/>
      <c r="M64" s="172"/>
      <c r="N64" s="229"/>
      <c r="O64" s="229"/>
      <c r="P64" s="229"/>
      <c r="Q64" s="229"/>
      <c r="R64" s="229"/>
      <c r="S64" s="229"/>
      <c r="T64" s="229"/>
      <c r="U64" s="229"/>
      <c r="V64" s="229"/>
      <c r="W64" s="239"/>
      <c r="X64" s="240"/>
      <c r="Y64" s="239"/>
      <c r="Z64" s="239"/>
      <c r="AA64" s="188"/>
      <c r="AB64" s="239"/>
      <c r="AC64" s="239"/>
      <c r="AD64" s="188"/>
      <c r="AE64" s="188"/>
    </row>
    <row r="65" spans="1:31">
      <c r="A65" s="107"/>
      <c r="B65" s="107"/>
      <c r="C65" s="109"/>
      <c r="D65" s="109"/>
      <c r="E65" s="109"/>
      <c r="F65" s="109"/>
      <c r="H65" s="172"/>
      <c r="I65" s="172"/>
      <c r="J65" s="172"/>
      <c r="K65" s="172"/>
      <c r="L65" s="172"/>
      <c r="M65" s="172"/>
      <c r="N65" s="229"/>
      <c r="O65" s="229"/>
      <c r="P65" s="229"/>
      <c r="Q65" s="229"/>
      <c r="R65" s="229"/>
      <c r="S65" s="229"/>
      <c r="T65" s="229"/>
      <c r="U65" s="229"/>
      <c r="V65" s="229"/>
      <c r="W65" s="239"/>
      <c r="X65" s="240"/>
      <c r="Y65" s="239"/>
      <c r="Z65" s="239"/>
      <c r="AA65" s="188"/>
      <c r="AB65" s="239"/>
      <c r="AC65" s="239"/>
      <c r="AD65" s="188"/>
      <c r="AE65" s="188"/>
    </row>
    <row r="66" spans="1:31">
      <c r="C66" s="109"/>
      <c r="D66" s="109"/>
      <c r="E66" s="109"/>
      <c r="F66" s="109"/>
      <c r="H66" s="172"/>
      <c r="I66" s="172"/>
      <c r="J66" s="172"/>
      <c r="K66" s="172"/>
      <c r="L66" s="172"/>
      <c r="M66" s="172"/>
      <c r="N66" s="229"/>
      <c r="O66" s="229"/>
      <c r="P66" s="229"/>
      <c r="Q66" s="229"/>
      <c r="R66" s="229"/>
      <c r="S66" s="229"/>
      <c r="T66" s="229"/>
      <c r="U66" s="229"/>
      <c r="V66" s="229"/>
      <c r="W66" s="239"/>
      <c r="X66" s="240"/>
      <c r="Y66" s="239"/>
      <c r="Z66" s="239"/>
      <c r="AA66" s="188"/>
      <c r="AB66" s="239"/>
      <c r="AC66" s="239"/>
      <c r="AD66" s="188"/>
      <c r="AE66" s="188"/>
    </row>
    <row r="67" spans="1:31">
      <c r="C67" s="109"/>
      <c r="D67" s="109"/>
      <c r="E67" s="109"/>
      <c r="F67" s="109"/>
      <c r="H67" s="172"/>
      <c r="I67" s="172"/>
      <c r="J67" s="172"/>
      <c r="K67" s="172"/>
      <c r="L67" s="172"/>
      <c r="M67" s="172"/>
      <c r="N67" s="229"/>
      <c r="O67" s="229"/>
      <c r="P67" s="229"/>
      <c r="Q67" s="229"/>
      <c r="R67" s="229"/>
      <c r="S67" s="229"/>
      <c r="T67" s="229"/>
      <c r="U67" s="229"/>
      <c r="V67" s="229"/>
      <c r="W67" s="239"/>
      <c r="X67" s="240"/>
      <c r="Y67" s="239"/>
      <c r="Z67" s="239"/>
      <c r="AA67" s="188"/>
      <c r="AB67" s="239"/>
      <c r="AC67" s="239"/>
      <c r="AD67" s="188"/>
      <c r="AE67" s="188"/>
    </row>
    <row r="68" spans="1:31">
      <c r="A68" s="107"/>
      <c r="B68" s="107"/>
      <c r="C68" s="107"/>
      <c r="D68" s="107"/>
      <c r="E68" s="107"/>
      <c r="F68" s="107"/>
      <c r="G68" s="235"/>
      <c r="H68" s="172"/>
      <c r="I68" s="172"/>
      <c r="J68" s="172"/>
      <c r="K68" s="172"/>
      <c r="L68" s="172"/>
      <c r="M68" s="172"/>
      <c r="N68" s="229"/>
      <c r="O68" s="229"/>
      <c r="P68" s="229"/>
      <c r="Q68" s="229"/>
      <c r="R68" s="229"/>
      <c r="S68" s="229"/>
      <c r="T68" s="229"/>
      <c r="U68" s="229"/>
      <c r="V68" s="229"/>
      <c r="W68" s="239"/>
      <c r="X68" s="240"/>
      <c r="Y68" s="239"/>
      <c r="Z68" s="239"/>
      <c r="AA68" s="188"/>
      <c r="AB68" s="239"/>
      <c r="AC68" s="239"/>
      <c r="AD68" s="188"/>
      <c r="AE68" s="188"/>
    </row>
    <row r="69" spans="1:31">
      <c r="H69" s="172"/>
      <c r="I69" s="172"/>
      <c r="J69" s="172"/>
      <c r="K69" s="172"/>
      <c r="L69" s="172"/>
      <c r="M69" s="172"/>
      <c r="N69" s="229"/>
      <c r="O69" s="229"/>
      <c r="P69" s="229"/>
      <c r="Q69" s="229"/>
      <c r="R69" s="229"/>
      <c r="S69" s="229"/>
      <c r="T69" s="229"/>
      <c r="U69" s="229"/>
      <c r="V69" s="229"/>
      <c r="W69" s="239"/>
      <c r="X69" s="240"/>
      <c r="Y69" s="239"/>
      <c r="Z69" s="239"/>
      <c r="AA69" s="188"/>
      <c r="AB69" s="239"/>
      <c r="AC69" s="239"/>
      <c r="AD69" s="188"/>
      <c r="AE69" s="188"/>
    </row>
    <row r="70" spans="1:31">
      <c r="H70" s="172"/>
      <c r="I70" s="172"/>
      <c r="J70" s="172"/>
      <c r="K70" s="172"/>
      <c r="L70" s="172"/>
      <c r="M70" s="172"/>
      <c r="N70" s="229"/>
      <c r="O70" s="229"/>
      <c r="P70" s="229"/>
      <c r="Q70" s="229"/>
      <c r="R70" s="229"/>
      <c r="S70" s="229"/>
      <c r="T70" s="229"/>
      <c r="U70" s="229"/>
      <c r="V70" s="229"/>
      <c r="W70" s="239"/>
      <c r="X70" s="240"/>
      <c r="Y70" s="239"/>
      <c r="Z70" s="239"/>
      <c r="AA70" s="188"/>
      <c r="AB70" s="239"/>
      <c r="AC70" s="239"/>
      <c r="AD70" s="188"/>
      <c r="AE70" s="188"/>
    </row>
  </sheetData>
  <mergeCells count="4">
    <mergeCell ref="O1:V1"/>
    <mergeCell ref="W1:AF1"/>
    <mergeCell ref="AG1:AP1"/>
    <mergeCell ref="G1:N1"/>
  </mergeCells>
  <phoneticPr fontId="3" type="noConversion"/>
  <pageMargins left="0.25" right="0.2" top="0.25" bottom="0.2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9"/>
  <sheetViews>
    <sheetView workbookViewId="0">
      <pane xSplit="6" ySplit="2" topLeftCell="G3" activePane="bottomRight" state="frozen"/>
      <selection activeCell="B33" sqref="B33"/>
      <selection pane="topRight" activeCell="B33" sqref="B33"/>
      <selection pane="bottomLeft" activeCell="B33" sqref="B33"/>
      <selection pane="bottomRight" activeCell="A12" sqref="A12:XFD17"/>
    </sheetView>
  </sheetViews>
  <sheetFormatPr defaultRowHeight="12.75"/>
  <cols>
    <col min="1" max="1" width="7.42578125" style="187" customWidth="1"/>
    <col min="2" max="2" width="9" style="187" bestFit="1" customWidth="1"/>
    <col min="3" max="3" width="13.5703125" style="65" bestFit="1" customWidth="1"/>
    <col min="4" max="4" width="36.42578125" style="65" customWidth="1"/>
    <col min="5" max="5" width="6.5703125" style="65" bestFit="1" customWidth="1"/>
    <col min="6" max="6" width="5.5703125" style="65" customWidth="1"/>
    <col min="7" max="16" width="8.5703125" style="172" customWidth="1"/>
    <col min="17" max="20" width="9.42578125" style="65" customWidth="1"/>
    <col min="21" max="21" width="10.5703125" style="65" customWidth="1"/>
    <col min="22" max="22" width="8.42578125" style="65" customWidth="1"/>
    <col min="23" max="23" width="8" style="188" customWidth="1"/>
    <col min="24" max="24" width="10.42578125" style="188" customWidth="1"/>
    <col min="25" max="25" width="9.42578125" style="188" customWidth="1"/>
    <col min="26" max="26" width="8" style="188" customWidth="1"/>
    <col min="27" max="27" width="9.5703125" style="188" customWidth="1"/>
    <col min="28" max="28" width="6.42578125" style="188" customWidth="1"/>
    <col min="29" max="29" width="5.5703125" style="2" customWidth="1"/>
    <col min="30" max="30" width="9" style="2" customWidth="1"/>
    <col min="31" max="31" width="8.42578125" style="1" bestFit="1" customWidth="1"/>
    <col min="32" max="16384" width="9.140625" style="65"/>
  </cols>
  <sheetData>
    <row r="1" spans="1:51" s="52" customFormat="1" ht="13.5" thickBot="1">
      <c r="A1" s="116"/>
      <c r="B1" s="117"/>
      <c r="C1" s="118"/>
      <c r="D1" s="118"/>
      <c r="E1" s="119"/>
      <c r="F1" s="119"/>
      <c r="G1" s="120" t="s">
        <v>40</v>
      </c>
      <c r="H1" s="121"/>
      <c r="I1" s="121"/>
      <c r="J1" s="121"/>
      <c r="K1" s="122"/>
      <c r="L1" s="123" t="s">
        <v>41</v>
      </c>
      <c r="M1" s="124"/>
      <c r="N1" s="124"/>
      <c r="O1" s="124"/>
      <c r="P1" s="125"/>
      <c r="Q1" s="47" t="s">
        <v>42</v>
      </c>
      <c r="R1" s="126"/>
      <c r="S1" s="126"/>
      <c r="T1" s="127"/>
      <c r="U1" s="47" t="s">
        <v>41</v>
      </c>
      <c r="V1" s="48"/>
      <c r="W1" s="32" t="s">
        <v>13</v>
      </c>
      <c r="X1" s="33" t="s">
        <v>67</v>
      </c>
      <c r="Y1" s="34" t="s">
        <v>48</v>
      </c>
      <c r="Z1" s="32" t="s">
        <v>13</v>
      </c>
      <c r="AA1" s="33" t="s">
        <v>16</v>
      </c>
      <c r="AB1" s="34" t="s">
        <v>53</v>
      </c>
      <c r="AC1" s="36" t="s">
        <v>13</v>
      </c>
      <c r="AD1" s="37" t="s">
        <v>16</v>
      </c>
      <c r="AE1" s="38" t="s">
        <v>43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34.5" thickBot="1">
      <c r="A2" s="128" t="s">
        <v>26</v>
      </c>
      <c r="B2" s="129" t="s">
        <v>82</v>
      </c>
      <c r="C2" s="46" t="s">
        <v>18</v>
      </c>
      <c r="D2" s="53" t="s">
        <v>19</v>
      </c>
      <c r="E2" s="53" t="s">
        <v>74</v>
      </c>
      <c r="F2" s="54" t="s">
        <v>20</v>
      </c>
      <c r="G2" s="130" t="s">
        <v>58</v>
      </c>
      <c r="H2" s="131" t="s">
        <v>32</v>
      </c>
      <c r="I2" s="131" t="s">
        <v>10</v>
      </c>
      <c r="J2" s="131" t="s">
        <v>11</v>
      </c>
      <c r="K2" s="132" t="s">
        <v>12</v>
      </c>
      <c r="L2" s="130" t="s">
        <v>58</v>
      </c>
      <c r="M2" s="131" t="s">
        <v>32</v>
      </c>
      <c r="N2" s="131" t="s">
        <v>10</v>
      </c>
      <c r="O2" s="131" t="s">
        <v>38</v>
      </c>
      <c r="P2" s="132" t="s">
        <v>39</v>
      </c>
      <c r="Q2" s="26" t="s">
        <v>1</v>
      </c>
      <c r="R2" s="27" t="s">
        <v>3</v>
      </c>
      <c r="S2" s="27" t="s">
        <v>14</v>
      </c>
      <c r="T2" s="28" t="s">
        <v>15</v>
      </c>
      <c r="U2" s="26" t="s">
        <v>1</v>
      </c>
      <c r="V2" s="28" t="s">
        <v>15</v>
      </c>
      <c r="W2" s="29" t="s">
        <v>17</v>
      </c>
      <c r="X2" s="30" t="s">
        <v>17</v>
      </c>
      <c r="Y2" s="31" t="s">
        <v>17</v>
      </c>
      <c r="Z2" s="181" t="s">
        <v>64</v>
      </c>
      <c r="AA2" s="182" t="s">
        <v>64</v>
      </c>
      <c r="AB2" s="35" t="s">
        <v>64</v>
      </c>
      <c r="AC2" s="183" t="s">
        <v>44</v>
      </c>
      <c r="AD2" s="184" t="s">
        <v>44</v>
      </c>
      <c r="AE2" s="28" t="s">
        <v>44</v>
      </c>
      <c r="AF2" s="185"/>
      <c r="AG2" s="185"/>
      <c r="AH2" s="186"/>
      <c r="AI2" s="186"/>
      <c r="AJ2" s="186"/>
      <c r="AK2" s="186"/>
      <c r="AL2" s="12"/>
      <c r="AM2" s="12"/>
      <c r="AN2" s="12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</row>
    <row r="3" spans="1:51" ht="13.35" customHeight="1">
      <c r="A3" s="66">
        <v>11271</v>
      </c>
      <c r="B3" s="133" t="s">
        <v>143</v>
      </c>
      <c r="C3" s="25" t="str">
        <f>Rollover!A3</f>
        <v>Chevrolet</v>
      </c>
      <c r="D3" s="41" t="str">
        <f>Rollover!B3</f>
        <v>Trailblazer SUV FWD (Later Release)</v>
      </c>
      <c r="E3" s="7" t="s">
        <v>92</v>
      </c>
      <c r="F3" s="96">
        <f>Rollover!C3</f>
        <v>2021</v>
      </c>
      <c r="G3" s="8">
        <v>90.795000000000002</v>
      </c>
      <c r="H3" s="9">
        <v>28.062000000000001</v>
      </c>
      <c r="I3" s="9">
        <v>34.384999999999998</v>
      </c>
      <c r="J3" s="9">
        <v>886.01700000000005</v>
      </c>
      <c r="K3" s="10">
        <v>2042.7360000000001</v>
      </c>
      <c r="L3" s="8">
        <v>185.41</v>
      </c>
      <c r="M3" s="9">
        <v>22.013000000000002</v>
      </c>
      <c r="N3" s="9">
        <v>40.75</v>
      </c>
      <c r="O3" s="9">
        <v>22.038</v>
      </c>
      <c r="P3" s="10">
        <v>2299.375</v>
      </c>
      <c r="Q3" s="21">
        <f t="shared" ref="Q3:Q5" si="0">NORMDIST(LN(G3),7.45231,0.73998,1)</f>
        <v>3.4735786681506435E-5</v>
      </c>
      <c r="R3" s="5">
        <f t="shared" ref="R3:R5" si="1">1/(1+EXP(5.3895-0.0919*H3))</f>
        <v>5.6753934674754751E-2</v>
      </c>
      <c r="S3" s="5">
        <f t="shared" ref="S3:S5" si="2">1/(1+EXP(6.04044-0.002133*J3))</f>
        <v>1.5511115081119643E-2</v>
      </c>
      <c r="T3" s="22">
        <f t="shared" ref="T3:T5" si="3">1/(1+EXP(7.5969-0.0011*K3))</f>
        <v>4.7262281208529811E-3</v>
      </c>
      <c r="U3" s="21">
        <f t="shared" ref="U3:U5" si="4">NORMDIST(LN(L3),7.45231,0.73998,1)</f>
        <v>1.2923543824272684E-3</v>
      </c>
      <c r="V3" s="22">
        <f t="shared" ref="V3:V5" si="5">1/(1+EXP(6.3055-0.00094*P3))</f>
        <v>1.5610352284136739E-2</v>
      </c>
      <c r="W3" s="21">
        <f t="shared" ref="W3:W5" si="6">ROUND(1-(1-Q3)*(1-R3)*(1-S3)*(1-T3),3)</f>
        <v>7.5999999999999998E-2</v>
      </c>
      <c r="X3" s="5">
        <f t="shared" ref="X3:X5" si="7">IF(L3="N/A",L3,ROUND(1-(1-U3)*(1-V3),3))</f>
        <v>1.7000000000000001E-2</v>
      </c>
      <c r="Y3" s="22">
        <f t="shared" ref="Y3:Y5" si="8">ROUND(AVERAGE(W3:X3),3)</f>
        <v>4.7E-2</v>
      </c>
      <c r="Z3" s="23">
        <f t="shared" ref="Z3:Z5" si="9">ROUND(W3/0.15,2)</f>
        <v>0.51</v>
      </c>
      <c r="AA3" s="134">
        <f t="shared" ref="AA3:AA5" si="10">IF(L3="N/A", L3, ROUND(X3/0.15,2))</f>
        <v>0.11</v>
      </c>
      <c r="AB3" s="24">
        <f t="shared" ref="AB3:AB5" si="11">ROUND(Y3/0.15,2)</f>
        <v>0.31</v>
      </c>
      <c r="AC3" s="19">
        <f t="shared" ref="AC3:AC5" si="12">IF(Z3&lt;0.67,5,IF(Z3&lt;1,4,IF(Z3&lt;1.33,3,IF(Z3&lt;2.67,2,1))))</f>
        <v>5</v>
      </c>
      <c r="AD3" s="43">
        <f t="shared" ref="AD3:AD5" si="13">IF(L3="N/A",L3,IF(AA3&lt;0.67,5,IF(AA3&lt;1,4,IF(AA3&lt;1.33,3,IF(AA3&lt;2.67,2,1)))))</f>
        <v>5</v>
      </c>
      <c r="AE3" s="20">
        <f t="shared" ref="AE3:AE5" si="14">IF(AB3&lt;0.67,5,IF(AB3&lt;1,4,IF(AB3&lt;1.33,3,IF(AB3&lt;2.67,2,1))))</f>
        <v>5</v>
      </c>
      <c r="AF3" s="11"/>
      <c r="AG3" s="11"/>
      <c r="AH3" s="13"/>
      <c r="AI3" s="13"/>
      <c r="AJ3" s="13"/>
      <c r="AK3" s="13"/>
      <c r="AL3" s="12"/>
      <c r="AM3" s="12"/>
      <c r="AN3" s="12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</row>
    <row r="4" spans="1:51" ht="13.35" customHeight="1">
      <c r="A4" s="66">
        <v>11271</v>
      </c>
      <c r="B4" s="133" t="s">
        <v>143</v>
      </c>
      <c r="C4" s="25" t="str">
        <f>Rollover!A4</f>
        <v>Chevrolet</v>
      </c>
      <c r="D4" s="41" t="str">
        <f>Rollover!B4</f>
        <v>Trailblazer SUV AWD (Later Release)</v>
      </c>
      <c r="E4" s="7" t="s">
        <v>92</v>
      </c>
      <c r="F4" s="96">
        <f>Rollover!C4</f>
        <v>2021</v>
      </c>
      <c r="G4" s="8">
        <v>90.795000000000002</v>
      </c>
      <c r="H4" s="9">
        <v>28.062000000000001</v>
      </c>
      <c r="I4" s="9">
        <v>34.384999999999998</v>
      </c>
      <c r="J4" s="9">
        <v>886.01700000000005</v>
      </c>
      <c r="K4" s="10">
        <v>2042.7360000000001</v>
      </c>
      <c r="L4" s="8">
        <v>185.41</v>
      </c>
      <c r="M4" s="9">
        <v>22.013000000000002</v>
      </c>
      <c r="N4" s="9">
        <v>40.75</v>
      </c>
      <c r="O4" s="9">
        <v>22.038</v>
      </c>
      <c r="P4" s="10">
        <v>2299.375</v>
      </c>
      <c r="Q4" s="21">
        <f t="shared" si="0"/>
        <v>3.4735786681506435E-5</v>
      </c>
      <c r="R4" s="5">
        <f t="shared" si="1"/>
        <v>5.6753934674754751E-2</v>
      </c>
      <c r="S4" s="5">
        <f t="shared" si="2"/>
        <v>1.5511115081119643E-2</v>
      </c>
      <c r="T4" s="22">
        <f t="shared" si="3"/>
        <v>4.7262281208529811E-3</v>
      </c>
      <c r="U4" s="21">
        <f t="shared" si="4"/>
        <v>1.2923543824272684E-3</v>
      </c>
      <c r="V4" s="22">
        <f t="shared" si="5"/>
        <v>1.5610352284136739E-2</v>
      </c>
      <c r="W4" s="21">
        <f t="shared" si="6"/>
        <v>7.5999999999999998E-2</v>
      </c>
      <c r="X4" s="5">
        <f t="shared" si="7"/>
        <v>1.7000000000000001E-2</v>
      </c>
      <c r="Y4" s="22">
        <f t="shared" si="8"/>
        <v>4.7E-2</v>
      </c>
      <c r="Z4" s="23">
        <f t="shared" si="9"/>
        <v>0.51</v>
      </c>
      <c r="AA4" s="134">
        <f t="shared" si="10"/>
        <v>0.11</v>
      </c>
      <c r="AB4" s="24">
        <f t="shared" si="11"/>
        <v>0.31</v>
      </c>
      <c r="AC4" s="19">
        <f t="shared" si="12"/>
        <v>5</v>
      </c>
      <c r="AD4" s="43">
        <f t="shared" si="13"/>
        <v>5</v>
      </c>
      <c r="AE4" s="20">
        <f t="shared" si="14"/>
        <v>5</v>
      </c>
      <c r="AF4" s="11"/>
      <c r="AG4" s="11"/>
      <c r="AH4" s="13"/>
      <c r="AI4" s="13"/>
      <c r="AJ4" s="13"/>
      <c r="AK4" s="13"/>
      <c r="AL4" s="12"/>
      <c r="AM4" s="12"/>
      <c r="AN4" s="12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</row>
    <row r="5" spans="1:51">
      <c r="A5" s="66">
        <v>11271</v>
      </c>
      <c r="B5" s="133" t="s">
        <v>143</v>
      </c>
      <c r="C5" s="135" t="str">
        <f>Rollover!A5</f>
        <v>Buick</v>
      </c>
      <c r="D5" s="7" t="str">
        <f>Rollover!B5</f>
        <v>Encore GX SUV FWD</v>
      </c>
      <c r="E5" s="7" t="s">
        <v>92</v>
      </c>
      <c r="F5" s="96">
        <f>Rollover!C5</f>
        <v>2021</v>
      </c>
      <c r="G5" s="8">
        <v>90.795000000000002</v>
      </c>
      <c r="H5" s="9">
        <v>28.062000000000001</v>
      </c>
      <c r="I5" s="9">
        <v>34.384999999999998</v>
      </c>
      <c r="J5" s="9">
        <v>886.01700000000005</v>
      </c>
      <c r="K5" s="10">
        <v>2042.7360000000001</v>
      </c>
      <c r="L5" s="8">
        <v>185.41</v>
      </c>
      <c r="M5" s="9">
        <v>22.013000000000002</v>
      </c>
      <c r="N5" s="9">
        <v>40.75</v>
      </c>
      <c r="O5" s="9">
        <v>22.038</v>
      </c>
      <c r="P5" s="10">
        <v>2299.375</v>
      </c>
      <c r="Q5" s="21">
        <f t="shared" si="0"/>
        <v>3.4735786681506435E-5</v>
      </c>
      <c r="R5" s="5">
        <f t="shared" si="1"/>
        <v>5.6753934674754751E-2</v>
      </c>
      <c r="S5" s="5">
        <f t="shared" si="2"/>
        <v>1.5511115081119643E-2</v>
      </c>
      <c r="T5" s="22">
        <f t="shared" si="3"/>
        <v>4.7262281208529811E-3</v>
      </c>
      <c r="U5" s="21">
        <f t="shared" si="4"/>
        <v>1.2923543824272684E-3</v>
      </c>
      <c r="V5" s="22">
        <f t="shared" si="5"/>
        <v>1.5610352284136739E-2</v>
      </c>
      <c r="W5" s="21">
        <f t="shared" si="6"/>
        <v>7.5999999999999998E-2</v>
      </c>
      <c r="X5" s="5">
        <f t="shared" si="7"/>
        <v>1.7000000000000001E-2</v>
      </c>
      <c r="Y5" s="22">
        <f t="shared" si="8"/>
        <v>4.7E-2</v>
      </c>
      <c r="Z5" s="23">
        <f t="shared" si="9"/>
        <v>0.51</v>
      </c>
      <c r="AA5" s="134">
        <f t="shared" si="10"/>
        <v>0.11</v>
      </c>
      <c r="AB5" s="24">
        <f t="shared" si="11"/>
        <v>0.31</v>
      </c>
      <c r="AC5" s="19">
        <f t="shared" si="12"/>
        <v>5</v>
      </c>
      <c r="AD5" s="43">
        <f t="shared" si="13"/>
        <v>5</v>
      </c>
      <c r="AE5" s="20">
        <f t="shared" si="14"/>
        <v>5</v>
      </c>
      <c r="AF5" s="11"/>
      <c r="AG5" s="11"/>
      <c r="AH5" s="13"/>
      <c r="AI5" s="13"/>
      <c r="AJ5" s="13"/>
      <c r="AK5" s="13"/>
      <c r="AL5" s="12"/>
      <c r="AM5" s="12"/>
      <c r="AN5" s="12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>
      <c r="A6" s="66">
        <v>11271</v>
      </c>
      <c r="B6" s="133" t="s">
        <v>143</v>
      </c>
      <c r="C6" s="135" t="str">
        <f>Rollover!A6</f>
        <v>Buick</v>
      </c>
      <c r="D6" s="7" t="str">
        <f>Rollover!B6</f>
        <v>Encore GX SUV AWD</v>
      </c>
      <c r="E6" s="7" t="s">
        <v>92</v>
      </c>
      <c r="F6" s="96">
        <f>Rollover!C6</f>
        <v>2021</v>
      </c>
      <c r="G6" s="8">
        <v>90.795000000000002</v>
      </c>
      <c r="H6" s="9">
        <v>28.062000000000001</v>
      </c>
      <c r="I6" s="9">
        <v>34.384999999999998</v>
      </c>
      <c r="J6" s="9">
        <v>886.01700000000005</v>
      </c>
      <c r="K6" s="10">
        <v>2042.7360000000001</v>
      </c>
      <c r="L6" s="8">
        <v>185.41</v>
      </c>
      <c r="M6" s="9">
        <v>22.013000000000002</v>
      </c>
      <c r="N6" s="9">
        <v>40.75</v>
      </c>
      <c r="O6" s="9">
        <v>22.038</v>
      </c>
      <c r="P6" s="10">
        <v>2299.375</v>
      </c>
      <c r="Q6" s="21">
        <f t="shared" ref="Q6:Q23" si="15">NORMDIST(LN(G6),7.45231,0.73998,1)</f>
        <v>3.4735786681506435E-5</v>
      </c>
      <c r="R6" s="5">
        <f t="shared" ref="R6:R23" si="16">1/(1+EXP(5.3895-0.0919*H6))</f>
        <v>5.6753934674754751E-2</v>
      </c>
      <c r="S6" s="5">
        <f t="shared" ref="S6:S23" si="17">1/(1+EXP(6.04044-0.002133*J6))</f>
        <v>1.5511115081119643E-2</v>
      </c>
      <c r="T6" s="22">
        <f t="shared" ref="T6:T23" si="18">1/(1+EXP(7.5969-0.0011*K6))</f>
        <v>4.7262281208529811E-3</v>
      </c>
      <c r="U6" s="21">
        <f t="shared" ref="U6:U23" si="19">NORMDIST(LN(L6),7.45231,0.73998,1)</f>
        <v>1.2923543824272684E-3</v>
      </c>
      <c r="V6" s="22">
        <f t="shared" ref="V6:V23" si="20">1/(1+EXP(6.3055-0.00094*P6))</f>
        <v>1.5610352284136739E-2</v>
      </c>
      <c r="W6" s="21">
        <f t="shared" ref="W6:W23" si="21">ROUND(1-(1-Q6)*(1-R6)*(1-S6)*(1-T6),3)</f>
        <v>7.5999999999999998E-2</v>
      </c>
      <c r="X6" s="5">
        <f t="shared" ref="X6:X23" si="22">IF(L6="N/A",L6,ROUND(1-(1-U6)*(1-V6),3))</f>
        <v>1.7000000000000001E-2</v>
      </c>
      <c r="Y6" s="22">
        <f t="shared" ref="Y6:Y23" si="23">ROUND(AVERAGE(W6:X6),3)</f>
        <v>4.7E-2</v>
      </c>
      <c r="Z6" s="23">
        <f t="shared" ref="Z6:Z23" si="24">ROUND(W6/0.15,2)</f>
        <v>0.51</v>
      </c>
      <c r="AA6" s="134">
        <f t="shared" ref="AA6:AA23" si="25">IF(L6="N/A", L6, ROUND(X6/0.15,2))</f>
        <v>0.11</v>
      </c>
      <c r="AB6" s="24">
        <f t="shared" ref="AB6:AB23" si="26">ROUND(Y6/0.15,2)</f>
        <v>0.31</v>
      </c>
      <c r="AC6" s="19">
        <f t="shared" ref="AC6:AC23" si="27">IF(Z6&lt;0.67,5,IF(Z6&lt;1,4,IF(Z6&lt;1.33,3,IF(Z6&lt;2.67,2,1))))</f>
        <v>5</v>
      </c>
      <c r="AD6" s="43">
        <f t="shared" ref="AD6:AD23" si="28">IF(L6="N/A",L6,IF(AA6&lt;0.67,5,IF(AA6&lt;1,4,IF(AA6&lt;1.33,3,IF(AA6&lt;2.67,2,1)))))</f>
        <v>5</v>
      </c>
      <c r="AE6" s="20">
        <f t="shared" ref="AE6:AE23" si="29">IF(AB6&lt;0.67,5,IF(AB6&lt;1,4,IF(AB6&lt;1.33,3,IF(AB6&lt;2.67,2,1))))</f>
        <v>5</v>
      </c>
      <c r="AF6" s="11"/>
      <c r="AG6" s="11"/>
      <c r="AH6" s="13"/>
      <c r="AI6" s="13"/>
      <c r="AJ6" s="13"/>
      <c r="AK6" s="13"/>
      <c r="AL6" s="12"/>
      <c r="AM6" s="12"/>
      <c r="AN6" s="12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</row>
    <row r="7" spans="1:51">
      <c r="A7" s="15">
        <v>11293</v>
      </c>
      <c r="B7" s="133" t="s">
        <v>149</v>
      </c>
      <c r="C7" s="25" t="str">
        <f>Rollover!A7</f>
        <v xml:space="preserve">Ford </v>
      </c>
      <c r="D7" s="41" t="str">
        <f>Rollover!B7</f>
        <v>Transit Connect Wagon FWD</v>
      </c>
      <c r="E7" s="7" t="s">
        <v>92</v>
      </c>
      <c r="F7" s="96">
        <f>Rollover!C7</f>
        <v>2021</v>
      </c>
      <c r="G7" s="16">
        <v>78.284999999999997</v>
      </c>
      <c r="H7" s="17">
        <v>27.687000000000001</v>
      </c>
      <c r="I7" s="17">
        <v>25.097999999999999</v>
      </c>
      <c r="J7" s="17">
        <v>744.45299999999997</v>
      </c>
      <c r="K7" s="18">
        <v>1437.607</v>
      </c>
      <c r="L7" s="16">
        <v>265.33800000000002</v>
      </c>
      <c r="M7" s="17">
        <v>17.806999999999999</v>
      </c>
      <c r="N7" s="17">
        <v>57.42</v>
      </c>
      <c r="O7" s="17">
        <v>22.193000000000001</v>
      </c>
      <c r="P7" s="18">
        <v>3475.8009999999999</v>
      </c>
      <c r="Q7" s="21">
        <f t="shared" ref="Q7:Q8" si="30">NORMDIST(LN(G7),7.45231,0.73998,1)</f>
        <v>1.4676471639941581E-5</v>
      </c>
      <c r="R7" s="5">
        <f t="shared" ref="R7:R8" si="31">1/(1+EXP(5.3895-0.0919*H7))</f>
        <v>5.4936990539631511E-2</v>
      </c>
      <c r="S7" s="5">
        <f t="shared" ref="S7:S8" si="32">1/(1+EXP(6.04044-0.002133*J7))</f>
        <v>1.1515013473543121E-2</v>
      </c>
      <c r="T7" s="22">
        <f t="shared" ref="T7:T8" si="33">1/(1+EXP(7.5969-0.0011*K7))</f>
        <v>2.4346071367410431E-3</v>
      </c>
      <c r="U7" s="21">
        <f t="shared" ref="U7:U8" si="34">NORMDIST(LN(L7),7.45231,0.73998,1)</f>
        <v>5.7216899302127092E-3</v>
      </c>
      <c r="V7" s="22">
        <f t="shared" ref="V7:V8" si="35">1/(1+EXP(6.3055-0.00094*P7))</f>
        <v>4.5727602223232931E-2</v>
      </c>
      <c r="W7" s="21">
        <f t="shared" ref="W7:W8" si="36">ROUND(1-(1-Q7)*(1-R7)*(1-S7)*(1-T7),3)</f>
        <v>6.8000000000000005E-2</v>
      </c>
      <c r="X7" s="5">
        <f t="shared" ref="X7:X8" si="37">IF(L7="N/A",L7,ROUND(1-(1-U7)*(1-V7),3))</f>
        <v>5.0999999999999997E-2</v>
      </c>
      <c r="Y7" s="22">
        <f t="shared" ref="Y7:Y8" si="38">ROUND(AVERAGE(W7:X7),3)</f>
        <v>0.06</v>
      </c>
      <c r="Z7" s="23">
        <f t="shared" ref="Z7:Z8" si="39">ROUND(W7/0.15,2)</f>
        <v>0.45</v>
      </c>
      <c r="AA7" s="134">
        <f t="shared" ref="AA7:AA8" si="40">IF(L7="N/A", L7, ROUND(X7/0.15,2))</f>
        <v>0.34</v>
      </c>
      <c r="AB7" s="24">
        <f t="shared" ref="AB7:AB8" si="41">ROUND(Y7/0.15,2)</f>
        <v>0.4</v>
      </c>
      <c r="AC7" s="19">
        <f t="shared" ref="AC7:AC8" si="42">IF(Z7&lt;0.67,5,IF(Z7&lt;1,4,IF(Z7&lt;1.33,3,IF(Z7&lt;2.67,2,1))))</f>
        <v>5</v>
      </c>
      <c r="AD7" s="43">
        <f t="shared" ref="AD7:AD8" si="43">IF(L7="N/A",L7,IF(AA7&lt;0.67,5,IF(AA7&lt;1,4,IF(AA7&lt;1.33,3,IF(AA7&lt;2.67,2,1)))))</f>
        <v>5</v>
      </c>
      <c r="AE7" s="20">
        <f t="shared" ref="AE7:AE8" si="44">IF(AB7&lt;0.67,5,IF(AB7&lt;1,4,IF(AB7&lt;1.33,3,IF(AB7&lt;2.67,2,1))))</f>
        <v>5</v>
      </c>
      <c r="AF7" s="11"/>
      <c r="AG7" s="11"/>
      <c r="AH7" s="13"/>
      <c r="AI7" s="13"/>
      <c r="AJ7" s="13"/>
      <c r="AK7" s="13"/>
      <c r="AL7" s="12"/>
      <c r="AM7" s="12"/>
      <c r="AN7" s="12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</row>
    <row r="8" spans="1:51">
      <c r="A8" s="15">
        <v>11293</v>
      </c>
      <c r="B8" s="133" t="s">
        <v>149</v>
      </c>
      <c r="C8" s="135" t="str">
        <f>Rollover!A8</f>
        <v xml:space="preserve">Ford </v>
      </c>
      <c r="D8" s="7" t="str">
        <f>Rollover!B8</f>
        <v>Transit Connect Van FWD</v>
      </c>
      <c r="E8" s="7" t="s">
        <v>92</v>
      </c>
      <c r="F8" s="96">
        <f>Rollover!C8</f>
        <v>2021</v>
      </c>
      <c r="G8" s="16">
        <v>78.284999999999997</v>
      </c>
      <c r="H8" s="17">
        <v>27.687000000000001</v>
      </c>
      <c r="I8" s="17">
        <v>25.097999999999999</v>
      </c>
      <c r="J8" s="17">
        <v>744.45299999999997</v>
      </c>
      <c r="K8" s="18">
        <v>1437.607</v>
      </c>
      <c r="L8" s="16" t="s">
        <v>150</v>
      </c>
      <c r="M8" s="17"/>
      <c r="N8" s="17"/>
      <c r="O8" s="17"/>
      <c r="P8" s="18"/>
      <c r="Q8" s="21">
        <f t="shared" si="30"/>
        <v>1.4676471639941581E-5</v>
      </c>
      <c r="R8" s="5">
        <f t="shared" si="31"/>
        <v>5.4936990539631511E-2</v>
      </c>
      <c r="S8" s="5">
        <f t="shared" si="32"/>
        <v>1.1515013473543121E-2</v>
      </c>
      <c r="T8" s="22">
        <f t="shared" si="33"/>
        <v>2.4346071367410431E-3</v>
      </c>
      <c r="U8" s="21" t="e">
        <f t="shared" si="34"/>
        <v>#VALUE!</v>
      </c>
      <c r="V8" s="22">
        <f t="shared" si="35"/>
        <v>1.8229037773026034E-3</v>
      </c>
      <c r="W8" s="21">
        <f t="shared" si="36"/>
        <v>6.8000000000000005E-2</v>
      </c>
      <c r="X8" s="5" t="str">
        <f t="shared" si="37"/>
        <v>N/A</v>
      </c>
      <c r="Y8" s="22">
        <f t="shared" si="38"/>
        <v>6.8000000000000005E-2</v>
      </c>
      <c r="Z8" s="23">
        <f t="shared" si="39"/>
        <v>0.45</v>
      </c>
      <c r="AA8" s="134" t="str">
        <f t="shared" si="40"/>
        <v>N/A</v>
      </c>
      <c r="AB8" s="24">
        <f t="shared" si="41"/>
        <v>0.45</v>
      </c>
      <c r="AC8" s="19">
        <f t="shared" si="42"/>
        <v>5</v>
      </c>
      <c r="AD8" s="43" t="str">
        <f t="shared" si="43"/>
        <v>N/A</v>
      </c>
      <c r="AE8" s="20">
        <f t="shared" si="44"/>
        <v>5</v>
      </c>
      <c r="AF8" s="11"/>
      <c r="AG8" s="11"/>
      <c r="AH8" s="13"/>
      <c r="AI8" s="13"/>
      <c r="AJ8" s="13"/>
      <c r="AK8" s="13"/>
      <c r="AL8" s="12"/>
      <c r="AM8" s="12"/>
      <c r="AN8" s="12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</row>
    <row r="9" spans="1:51">
      <c r="A9" s="66">
        <v>11267</v>
      </c>
      <c r="B9" s="133" t="s">
        <v>140</v>
      </c>
      <c r="C9" s="25" t="str">
        <f>Rollover!A9</f>
        <v>Kia</v>
      </c>
      <c r="D9" s="41" t="str">
        <f>Rollover!B9</f>
        <v>K5 4DR FWD</v>
      </c>
      <c r="E9" s="7" t="s">
        <v>92</v>
      </c>
      <c r="F9" s="96">
        <f>Rollover!C9</f>
        <v>2021</v>
      </c>
      <c r="G9" s="8">
        <v>110.14400000000001</v>
      </c>
      <c r="H9" s="9">
        <v>25.866</v>
      </c>
      <c r="I9" s="9">
        <v>28.81</v>
      </c>
      <c r="J9" s="9">
        <v>846.61900000000003</v>
      </c>
      <c r="K9" s="10">
        <v>1173.597</v>
      </c>
      <c r="L9" s="8">
        <v>201.66300000000001</v>
      </c>
      <c r="M9" s="42">
        <v>25.321999999999999</v>
      </c>
      <c r="N9" s="9">
        <v>73.677999999999997</v>
      </c>
      <c r="O9" s="9">
        <v>27.437999999999999</v>
      </c>
      <c r="P9" s="10">
        <v>3054.8580000000002</v>
      </c>
      <c r="Q9" s="21">
        <f t="shared" si="15"/>
        <v>1.0079273895586684E-4</v>
      </c>
      <c r="R9" s="5">
        <f t="shared" si="16"/>
        <v>4.6868163686306558E-2</v>
      </c>
      <c r="S9" s="5">
        <f t="shared" si="17"/>
        <v>1.4278743182930412E-2</v>
      </c>
      <c r="T9" s="22">
        <f t="shared" si="18"/>
        <v>1.8220973352437615E-3</v>
      </c>
      <c r="U9" s="21">
        <f t="shared" si="19"/>
        <v>1.8676641942671772E-3</v>
      </c>
      <c r="V9" s="22">
        <f t="shared" si="20"/>
        <v>3.1251626465802755E-2</v>
      </c>
      <c r="W9" s="21">
        <f t="shared" si="21"/>
        <v>6.2E-2</v>
      </c>
      <c r="X9" s="5">
        <f t="shared" si="22"/>
        <v>3.3000000000000002E-2</v>
      </c>
      <c r="Y9" s="22">
        <f t="shared" si="23"/>
        <v>4.8000000000000001E-2</v>
      </c>
      <c r="Z9" s="23">
        <f t="shared" si="24"/>
        <v>0.41</v>
      </c>
      <c r="AA9" s="134">
        <f t="shared" si="25"/>
        <v>0.22</v>
      </c>
      <c r="AB9" s="24">
        <f t="shared" si="26"/>
        <v>0.32</v>
      </c>
      <c r="AC9" s="19">
        <f t="shared" si="27"/>
        <v>5</v>
      </c>
      <c r="AD9" s="43">
        <f t="shared" si="28"/>
        <v>5</v>
      </c>
      <c r="AE9" s="20">
        <f t="shared" si="29"/>
        <v>5</v>
      </c>
      <c r="AF9" s="11"/>
      <c r="AG9" s="11"/>
      <c r="AH9" s="13"/>
      <c r="AI9" s="13"/>
      <c r="AJ9" s="13"/>
      <c r="AK9" s="13"/>
      <c r="AL9" s="12"/>
      <c r="AM9" s="12"/>
      <c r="AN9" s="12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51" ht="13.35" customHeight="1">
      <c r="A10" s="15">
        <v>11080</v>
      </c>
      <c r="B10" s="133" t="s">
        <v>93</v>
      </c>
      <c r="C10" s="25" t="str">
        <f>Rollover!A10</f>
        <v>Kia</v>
      </c>
      <c r="D10" s="41" t="str">
        <f>Rollover!B10</f>
        <v>Seltos SUV FWD</v>
      </c>
      <c r="E10" s="7" t="s">
        <v>92</v>
      </c>
      <c r="F10" s="96">
        <f>Rollover!C10</f>
        <v>2021</v>
      </c>
      <c r="G10" s="16">
        <v>109.039</v>
      </c>
      <c r="H10" s="17">
        <v>30.085000000000001</v>
      </c>
      <c r="I10" s="17">
        <v>38.634</v>
      </c>
      <c r="J10" s="17">
        <v>757.82</v>
      </c>
      <c r="K10" s="18">
        <v>1902.3240000000001</v>
      </c>
      <c r="L10" s="16">
        <v>233.83699999999999</v>
      </c>
      <c r="M10" s="17">
        <v>19.001999999999999</v>
      </c>
      <c r="N10" s="17">
        <v>70.343000000000004</v>
      </c>
      <c r="O10" s="17">
        <v>30.202999999999999</v>
      </c>
      <c r="P10" s="18">
        <v>3351.54</v>
      </c>
      <c r="Q10" s="21">
        <f t="shared" si="15"/>
        <v>9.5494222878269731E-5</v>
      </c>
      <c r="R10" s="5">
        <f t="shared" si="16"/>
        <v>6.7566313341018355E-2</v>
      </c>
      <c r="S10" s="5">
        <f t="shared" si="17"/>
        <v>1.1844108023259633E-2</v>
      </c>
      <c r="T10" s="22">
        <f t="shared" si="18"/>
        <v>4.0525684957305186E-3</v>
      </c>
      <c r="U10" s="21">
        <f t="shared" si="19"/>
        <v>3.4706411568995173E-3</v>
      </c>
      <c r="V10" s="22">
        <f t="shared" si="20"/>
        <v>4.0892660504839071E-2</v>
      </c>
      <c r="W10" s="21">
        <f t="shared" si="21"/>
        <v>8.2000000000000003E-2</v>
      </c>
      <c r="X10" s="5">
        <f t="shared" si="22"/>
        <v>4.3999999999999997E-2</v>
      </c>
      <c r="Y10" s="22">
        <f t="shared" si="23"/>
        <v>6.3E-2</v>
      </c>
      <c r="Z10" s="23">
        <f t="shared" si="24"/>
        <v>0.55000000000000004</v>
      </c>
      <c r="AA10" s="134">
        <f t="shared" si="25"/>
        <v>0.28999999999999998</v>
      </c>
      <c r="AB10" s="24">
        <f t="shared" si="26"/>
        <v>0.42</v>
      </c>
      <c r="AC10" s="19">
        <f t="shared" si="27"/>
        <v>5</v>
      </c>
      <c r="AD10" s="43">
        <f t="shared" si="28"/>
        <v>5</v>
      </c>
      <c r="AE10" s="20">
        <f t="shared" si="29"/>
        <v>5</v>
      </c>
      <c r="AF10" s="11"/>
      <c r="AG10" s="11"/>
      <c r="AH10" s="13"/>
      <c r="AI10" s="13"/>
      <c r="AJ10" s="13"/>
      <c r="AK10" s="13"/>
      <c r="AL10" s="12"/>
      <c r="AM10" s="12"/>
      <c r="AN10" s="12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ht="13.35" customHeight="1">
      <c r="A11" s="15">
        <v>11080</v>
      </c>
      <c r="B11" s="133" t="s">
        <v>93</v>
      </c>
      <c r="C11" s="25" t="str">
        <f>Rollover!A11</f>
        <v>Kia</v>
      </c>
      <c r="D11" s="41" t="str">
        <f>Rollover!B11</f>
        <v>Seltos SUV AWD</v>
      </c>
      <c r="E11" s="7" t="s">
        <v>92</v>
      </c>
      <c r="F11" s="96">
        <f>Rollover!C11</f>
        <v>2021</v>
      </c>
      <c r="G11" s="16">
        <v>109.039</v>
      </c>
      <c r="H11" s="17">
        <v>30.085000000000001</v>
      </c>
      <c r="I11" s="17">
        <v>38.634</v>
      </c>
      <c r="J11" s="17">
        <v>757.82</v>
      </c>
      <c r="K11" s="18">
        <v>1902.3240000000001</v>
      </c>
      <c r="L11" s="16">
        <v>233.83699999999999</v>
      </c>
      <c r="M11" s="17">
        <v>19.001999999999999</v>
      </c>
      <c r="N11" s="17">
        <v>70.343000000000004</v>
      </c>
      <c r="O11" s="17">
        <v>30.202999999999999</v>
      </c>
      <c r="P11" s="18">
        <v>3351.54</v>
      </c>
      <c r="Q11" s="21">
        <f t="shared" si="15"/>
        <v>9.5494222878269731E-5</v>
      </c>
      <c r="R11" s="5">
        <f t="shared" si="16"/>
        <v>6.7566313341018355E-2</v>
      </c>
      <c r="S11" s="5">
        <f t="shared" si="17"/>
        <v>1.1844108023259633E-2</v>
      </c>
      <c r="T11" s="22">
        <f t="shared" si="18"/>
        <v>4.0525684957305186E-3</v>
      </c>
      <c r="U11" s="21">
        <f t="shared" si="19"/>
        <v>3.4706411568995173E-3</v>
      </c>
      <c r="V11" s="22">
        <f t="shared" si="20"/>
        <v>4.0892660504839071E-2</v>
      </c>
      <c r="W11" s="21">
        <f t="shared" si="21"/>
        <v>8.2000000000000003E-2</v>
      </c>
      <c r="X11" s="5">
        <f t="shared" si="22"/>
        <v>4.3999999999999997E-2</v>
      </c>
      <c r="Y11" s="22">
        <f t="shared" si="23"/>
        <v>6.3E-2</v>
      </c>
      <c r="Z11" s="23">
        <f t="shared" si="24"/>
        <v>0.55000000000000004</v>
      </c>
      <c r="AA11" s="134">
        <f t="shared" si="25"/>
        <v>0.28999999999999998</v>
      </c>
      <c r="AB11" s="24">
        <f t="shared" si="26"/>
        <v>0.42</v>
      </c>
      <c r="AC11" s="19">
        <f t="shared" si="27"/>
        <v>5</v>
      </c>
      <c r="AD11" s="43">
        <f t="shared" si="28"/>
        <v>5</v>
      </c>
      <c r="AE11" s="20">
        <f t="shared" si="29"/>
        <v>5</v>
      </c>
      <c r="AF11" s="11"/>
      <c r="AG11" s="11"/>
      <c r="AH11" s="13"/>
      <c r="AI11" s="13"/>
      <c r="AJ11" s="13"/>
      <c r="AK11" s="13"/>
      <c r="AL11" s="12"/>
      <c r="AM11" s="12"/>
      <c r="AN11" s="12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</row>
    <row r="12" spans="1:51" ht="13.35" customHeight="1">
      <c r="A12" s="66">
        <v>9582</v>
      </c>
      <c r="B12" s="66" t="s">
        <v>128</v>
      </c>
      <c r="C12" s="25" t="str">
        <f>Rollover!A12</f>
        <v>Lexus</v>
      </c>
      <c r="D12" s="41" t="str">
        <f>Rollover!B12</f>
        <v>RX 350 SUV FWD</v>
      </c>
      <c r="E12" s="7" t="s">
        <v>92</v>
      </c>
      <c r="F12" s="96">
        <f>Rollover!C12</f>
        <v>2021</v>
      </c>
      <c r="G12" s="8">
        <v>52.744999999999997</v>
      </c>
      <c r="H12" s="9">
        <v>17.954000000000001</v>
      </c>
      <c r="I12" s="9">
        <v>21.585999999999999</v>
      </c>
      <c r="J12" s="9">
        <v>487.70400000000001</v>
      </c>
      <c r="K12" s="10">
        <v>951.34</v>
      </c>
      <c r="L12" s="8">
        <v>164.94300000000001</v>
      </c>
      <c r="M12" s="9">
        <v>14.09</v>
      </c>
      <c r="N12" s="9">
        <v>44.07</v>
      </c>
      <c r="O12" s="9">
        <v>16.149000000000001</v>
      </c>
      <c r="P12" s="10">
        <v>2643.7849999999999</v>
      </c>
      <c r="Q12" s="21">
        <f t="shared" si="15"/>
        <v>1.2260374227483138E-6</v>
      </c>
      <c r="R12" s="5">
        <f t="shared" si="16"/>
        <v>2.3213651831515497E-2</v>
      </c>
      <c r="S12" s="5">
        <f t="shared" si="17"/>
        <v>6.6917383441974466E-3</v>
      </c>
      <c r="T12" s="22">
        <f t="shared" si="18"/>
        <v>1.4274659269909356E-3</v>
      </c>
      <c r="U12" s="21">
        <f t="shared" si="19"/>
        <v>7.5875116363981773E-4</v>
      </c>
      <c r="V12" s="22">
        <f t="shared" si="20"/>
        <v>2.1450107862666743E-2</v>
      </c>
      <c r="W12" s="21">
        <f t="shared" si="21"/>
        <v>3.1E-2</v>
      </c>
      <c r="X12" s="5">
        <f t="shared" si="22"/>
        <v>2.1999999999999999E-2</v>
      </c>
      <c r="Y12" s="22">
        <f t="shared" si="23"/>
        <v>2.7E-2</v>
      </c>
      <c r="Z12" s="23">
        <f t="shared" si="24"/>
        <v>0.21</v>
      </c>
      <c r="AA12" s="134">
        <f t="shared" si="25"/>
        <v>0.15</v>
      </c>
      <c r="AB12" s="24">
        <f t="shared" si="26"/>
        <v>0.18</v>
      </c>
      <c r="AC12" s="19">
        <f t="shared" si="27"/>
        <v>5</v>
      </c>
      <c r="AD12" s="43">
        <f t="shared" si="28"/>
        <v>5</v>
      </c>
      <c r="AE12" s="20">
        <f t="shared" si="29"/>
        <v>5</v>
      </c>
      <c r="AF12" s="11"/>
      <c r="AG12" s="11"/>
      <c r="AH12" s="13"/>
      <c r="AI12" s="13"/>
      <c r="AJ12" s="13"/>
      <c r="AK12" s="13"/>
      <c r="AL12" s="12"/>
      <c r="AM12" s="12"/>
      <c r="AN12" s="12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1:51" ht="13.35" customHeight="1">
      <c r="A13" s="66">
        <v>9582</v>
      </c>
      <c r="B13" s="66" t="s">
        <v>128</v>
      </c>
      <c r="C13" s="25" t="str">
        <f>Rollover!A13</f>
        <v>Lexus</v>
      </c>
      <c r="D13" s="41" t="str">
        <f>Rollover!B13</f>
        <v>RX 350 SUV AWD</v>
      </c>
      <c r="E13" s="7" t="s">
        <v>92</v>
      </c>
      <c r="F13" s="96">
        <f>Rollover!C13</f>
        <v>2021</v>
      </c>
      <c r="G13" s="8">
        <v>52.744999999999997</v>
      </c>
      <c r="H13" s="9">
        <v>17.954000000000001</v>
      </c>
      <c r="I13" s="9">
        <v>21.585999999999999</v>
      </c>
      <c r="J13" s="9">
        <v>487.70400000000001</v>
      </c>
      <c r="K13" s="10">
        <v>951.34</v>
      </c>
      <c r="L13" s="8">
        <v>164.94300000000001</v>
      </c>
      <c r="M13" s="9">
        <v>14.09</v>
      </c>
      <c r="N13" s="9">
        <v>44.07</v>
      </c>
      <c r="O13" s="9">
        <v>16.149000000000001</v>
      </c>
      <c r="P13" s="10">
        <v>2643.7849999999999</v>
      </c>
      <c r="Q13" s="21">
        <f t="shared" si="15"/>
        <v>1.2260374227483138E-6</v>
      </c>
      <c r="R13" s="5">
        <f t="shared" si="16"/>
        <v>2.3213651831515497E-2</v>
      </c>
      <c r="S13" s="5">
        <f t="shared" si="17"/>
        <v>6.6917383441974466E-3</v>
      </c>
      <c r="T13" s="22">
        <f t="shared" si="18"/>
        <v>1.4274659269909356E-3</v>
      </c>
      <c r="U13" s="21">
        <f t="shared" si="19"/>
        <v>7.5875116363981773E-4</v>
      </c>
      <c r="V13" s="22">
        <f t="shared" si="20"/>
        <v>2.1450107862666743E-2</v>
      </c>
      <c r="W13" s="21">
        <f t="shared" si="21"/>
        <v>3.1E-2</v>
      </c>
      <c r="X13" s="5">
        <f t="shared" si="22"/>
        <v>2.1999999999999999E-2</v>
      </c>
      <c r="Y13" s="22">
        <f t="shared" si="23"/>
        <v>2.7E-2</v>
      </c>
      <c r="Z13" s="23">
        <f t="shared" si="24"/>
        <v>0.21</v>
      </c>
      <c r="AA13" s="134">
        <f t="shared" si="25"/>
        <v>0.15</v>
      </c>
      <c r="AB13" s="24">
        <f t="shared" si="26"/>
        <v>0.18</v>
      </c>
      <c r="AC13" s="19">
        <f t="shared" si="27"/>
        <v>5</v>
      </c>
      <c r="AD13" s="43">
        <f t="shared" si="28"/>
        <v>5</v>
      </c>
      <c r="AE13" s="20">
        <f t="shared" si="29"/>
        <v>5</v>
      </c>
      <c r="AF13" s="11"/>
      <c r="AG13" s="11"/>
      <c r="AH13" s="13"/>
      <c r="AI13" s="13"/>
      <c r="AJ13" s="13"/>
      <c r="AK13" s="13"/>
      <c r="AL13" s="12"/>
      <c r="AM13" s="12"/>
      <c r="AN13" s="12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>
      <c r="A14" s="66">
        <v>9582</v>
      </c>
      <c r="B14" s="66" t="s">
        <v>128</v>
      </c>
      <c r="C14" s="135" t="str">
        <f>Rollover!A14</f>
        <v>Lexus</v>
      </c>
      <c r="D14" s="7" t="str">
        <f>Rollover!B14</f>
        <v>RX 350L SUV FWD</v>
      </c>
      <c r="E14" s="7" t="s">
        <v>92</v>
      </c>
      <c r="F14" s="96">
        <f>Rollover!C14</f>
        <v>2021</v>
      </c>
      <c r="G14" s="8">
        <v>52.744999999999997</v>
      </c>
      <c r="H14" s="9">
        <v>17.954000000000001</v>
      </c>
      <c r="I14" s="9">
        <v>21.585999999999999</v>
      </c>
      <c r="J14" s="9">
        <v>487.70400000000001</v>
      </c>
      <c r="K14" s="10">
        <v>951.34</v>
      </c>
      <c r="L14" s="8">
        <v>164.94300000000001</v>
      </c>
      <c r="M14" s="9">
        <v>14.09</v>
      </c>
      <c r="N14" s="9">
        <v>44.07</v>
      </c>
      <c r="O14" s="9">
        <v>16.149000000000001</v>
      </c>
      <c r="P14" s="10">
        <v>2643.7849999999999</v>
      </c>
      <c r="Q14" s="21">
        <f t="shared" si="15"/>
        <v>1.2260374227483138E-6</v>
      </c>
      <c r="R14" s="5">
        <f t="shared" si="16"/>
        <v>2.3213651831515497E-2</v>
      </c>
      <c r="S14" s="5">
        <f t="shared" si="17"/>
        <v>6.6917383441974466E-3</v>
      </c>
      <c r="T14" s="22">
        <f t="shared" si="18"/>
        <v>1.4274659269909356E-3</v>
      </c>
      <c r="U14" s="21">
        <f t="shared" si="19"/>
        <v>7.5875116363981773E-4</v>
      </c>
      <c r="V14" s="22">
        <f t="shared" si="20"/>
        <v>2.1450107862666743E-2</v>
      </c>
      <c r="W14" s="21">
        <f t="shared" si="21"/>
        <v>3.1E-2</v>
      </c>
      <c r="X14" s="5">
        <f t="shared" si="22"/>
        <v>2.1999999999999999E-2</v>
      </c>
      <c r="Y14" s="22">
        <f t="shared" si="23"/>
        <v>2.7E-2</v>
      </c>
      <c r="Z14" s="23">
        <f t="shared" si="24"/>
        <v>0.21</v>
      </c>
      <c r="AA14" s="134">
        <f t="shared" si="25"/>
        <v>0.15</v>
      </c>
      <c r="AB14" s="24">
        <f t="shared" si="26"/>
        <v>0.18</v>
      </c>
      <c r="AC14" s="19">
        <f t="shared" si="27"/>
        <v>5</v>
      </c>
      <c r="AD14" s="43">
        <f t="shared" si="28"/>
        <v>5</v>
      </c>
      <c r="AE14" s="20">
        <f t="shared" si="29"/>
        <v>5</v>
      </c>
      <c r="AF14" s="11"/>
      <c r="AG14" s="11"/>
      <c r="AH14" s="13"/>
      <c r="AI14" s="13"/>
      <c r="AJ14" s="13"/>
      <c r="AK14" s="13"/>
      <c r="AL14" s="12"/>
      <c r="AM14" s="12"/>
      <c r="AN14" s="12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</row>
    <row r="15" spans="1:51" ht="13.35" customHeight="1">
      <c r="A15" s="66">
        <v>9582</v>
      </c>
      <c r="B15" s="66" t="s">
        <v>128</v>
      </c>
      <c r="C15" s="135" t="str">
        <f>Rollover!A15</f>
        <v>Lexus</v>
      </c>
      <c r="D15" s="7" t="str">
        <f>Rollover!B15</f>
        <v>RX 350L SUV AWD</v>
      </c>
      <c r="E15" s="7" t="s">
        <v>92</v>
      </c>
      <c r="F15" s="96">
        <f>Rollover!C15</f>
        <v>2021</v>
      </c>
      <c r="G15" s="8">
        <v>52.744999999999997</v>
      </c>
      <c r="H15" s="9">
        <v>17.954000000000001</v>
      </c>
      <c r="I15" s="9">
        <v>21.585999999999999</v>
      </c>
      <c r="J15" s="9">
        <v>487.70400000000001</v>
      </c>
      <c r="K15" s="10">
        <v>951.34</v>
      </c>
      <c r="L15" s="8">
        <v>164.94300000000001</v>
      </c>
      <c r="M15" s="9">
        <v>14.09</v>
      </c>
      <c r="N15" s="9">
        <v>44.07</v>
      </c>
      <c r="O15" s="9">
        <v>16.149000000000001</v>
      </c>
      <c r="P15" s="10">
        <v>2643.7849999999999</v>
      </c>
      <c r="Q15" s="21">
        <f t="shared" si="15"/>
        <v>1.2260374227483138E-6</v>
      </c>
      <c r="R15" s="5">
        <f t="shared" si="16"/>
        <v>2.3213651831515497E-2</v>
      </c>
      <c r="S15" s="5">
        <f t="shared" si="17"/>
        <v>6.6917383441974466E-3</v>
      </c>
      <c r="T15" s="22">
        <f t="shared" si="18"/>
        <v>1.4274659269909356E-3</v>
      </c>
      <c r="U15" s="21">
        <f t="shared" si="19"/>
        <v>7.5875116363981773E-4</v>
      </c>
      <c r="V15" s="22">
        <f t="shared" si="20"/>
        <v>2.1450107862666743E-2</v>
      </c>
      <c r="W15" s="21">
        <f t="shared" si="21"/>
        <v>3.1E-2</v>
      </c>
      <c r="X15" s="5">
        <f t="shared" si="22"/>
        <v>2.1999999999999999E-2</v>
      </c>
      <c r="Y15" s="22">
        <f t="shared" si="23"/>
        <v>2.7E-2</v>
      </c>
      <c r="Z15" s="23">
        <f t="shared" si="24"/>
        <v>0.21</v>
      </c>
      <c r="AA15" s="134">
        <f t="shared" si="25"/>
        <v>0.15</v>
      </c>
      <c r="AB15" s="24">
        <f t="shared" si="26"/>
        <v>0.18</v>
      </c>
      <c r="AC15" s="19">
        <f t="shared" si="27"/>
        <v>5</v>
      </c>
      <c r="AD15" s="43">
        <f t="shared" si="28"/>
        <v>5</v>
      </c>
      <c r="AE15" s="20">
        <f t="shared" si="29"/>
        <v>5</v>
      </c>
      <c r="AF15" s="11"/>
      <c r="AG15" s="11"/>
      <c r="AH15" s="13"/>
      <c r="AI15" s="13"/>
      <c r="AJ15" s="13"/>
      <c r="AK15" s="13"/>
      <c r="AL15" s="12"/>
      <c r="AM15" s="12"/>
      <c r="AN15" s="12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13.35" customHeight="1">
      <c r="A16" s="66">
        <v>9582</v>
      </c>
      <c r="B16" s="66" t="s">
        <v>128</v>
      </c>
      <c r="C16" s="135" t="str">
        <f>Rollover!A16</f>
        <v>Lexus</v>
      </c>
      <c r="D16" s="7" t="str">
        <f>Rollover!B16</f>
        <v>RX 450h SUV AWD</v>
      </c>
      <c r="E16" s="7" t="s">
        <v>92</v>
      </c>
      <c r="F16" s="96">
        <f>Rollover!C16</f>
        <v>2021</v>
      </c>
      <c r="G16" s="8">
        <v>52.744999999999997</v>
      </c>
      <c r="H16" s="9">
        <v>17.954000000000001</v>
      </c>
      <c r="I16" s="9">
        <v>21.585999999999999</v>
      </c>
      <c r="J16" s="9">
        <v>487.70400000000001</v>
      </c>
      <c r="K16" s="10">
        <v>951.34</v>
      </c>
      <c r="L16" s="8">
        <v>164.94300000000001</v>
      </c>
      <c r="M16" s="9">
        <v>14.09</v>
      </c>
      <c r="N16" s="9">
        <v>44.07</v>
      </c>
      <c r="O16" s="9">
        <v>16.149000000000001</v>
      </c>
      <c r="P16" s="10">
        <v>2643.7849999999999</v>
      </c>
      <c r="Q16" s="21">
        <f t="shared" si="15"/>
        <v>1.2260374227483138E-6</v>
      </c>
      <c r="R16" s="5">
        <f t="shared" si="16"/>
        <v>2.3213651831515497E-2</v>
      </c>
      <c r="S16" s="5">
        <f t="shared" si="17"/>
        <v>6.6917383441974466E-3</v>
      </c>
      <c r="T16" s="22">
        <f t="shared" si="18"/>
        <v>1.4274659269909356E-3</v>
      </c>
      <c r="U16" s="21">
        <f t="shared" si="19"/>
        <v>7.5875116363981773E-4</v>
      </c>
      <c r="V16" s="22">
        <f t="shared" si="20"/>
        <v>2.1450107862666743E-2</v>
      </c>
      <c r="W16" s="21">
        <f t="shared" si="21"/>
        <v>3.1E-2</v>
      </c>
      <c r="X16" s="5">
        <f t="shared" si="22"/>
        <v>2.1999999999999999E-2</v>
      </c>
      <c r="Y16" s="22">
        <f t="shared" si="23"/>
        <v>2.7E-2</v>
      </c>
      <c r="Z16" s="23">
        <f t="shared" si="24"/>
        <v>0.21</v>
      </c>
      <c r="AA16" s="134">
        <f t="shared" si="25"/>
        <v>0.15</v>
      </c>
      <c r="AB16" s="24">
        <f t="shared" si="26"/>
        <v>0.18</v>
      </c>
      <c r="AC16" s="19">
        <f t="shared" si="27"/>
        <v>5</v>
      </c>
      <c r="AD16" s="43">
        <f t="shared" si="28"/>
        <v>5</v>
      </c>
      <c r="AE16" s="20">
        <f t="shared" si="29"/>
        <v>5</v>
      </c>
      <c r="AF16" s="11"/>
      <c r="AG16" s="11"/>
      <c r="AH16" s="13"/>
      <c r="AI16" s="13"/>
      <c r="AJ16" s="13"/>
      <c r="AK16" s="13"/>
      <c r="AL16" s="12"/>
      <c r="AM16" s="12"/>
      <c r="AN16" s="12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>
      <c r="A17" s="66">
        <v>9582</v>
      </c>
      <c r="B17" s="66" t="s">
        <v>128</v>
      </c>
      <c r="C17" s="135" t="str">
        <f>Rollover!A17</f>
        <v>Lexus</v>
      </c>
      <c r="D17" s="7" t="str">
        <f>Rollover!B17</f>
        <v>RX 450hL SUV AWD</v>
      </c>
      <c r="E17" s="7" t="s">
        <v>92</v>
      </c>
      <c r="F17" s="96">
        <f>Rollover!C17</f>
        <v>2021</v>
      </c>
      <c r="G17" s="8">
        <v>52.744999999999997</v>
      </c>
      <c r="H17" s="9">
        <v>17.954000000000001</v>
      </c>
      <c r="I17" s="9">
        <v>21.585999999999999</v>
      </c>
      <c r="J17" s="9">
        <v>487.70400000000001</v>
      </c>
      <c r="K17" s="10">
        <v>951.34</v>
      </c>
      <c r="L17" s="8">
        <v>164.94300000000001</v>
      </c>
      <c r="M17" s="9">
        <v>14.09</v>
      </c>
      <c r="N17" s="9">
        <v>44.07</v>
      </c>
      <c r="O17" s="9">
        <v>16.149000000000001</v>
      </c>
      <c r="P17" s="10">
        <v>2643.7849999999999</v>
      </c>
      <c r="Q17" s="21">
        <f t="shared" si="15"/>
        <v>1.2260374227483138E-6</v>
      </c>
      <c r="R17" s="5">
        <f t="shared" si="16"/>
        <v>2.3213651831515497E-2</v>
      </c>
      <c r="S17" s="5">
        <f t="shared" si="17"/>
        <v>6.6917383441974466E-3</v>
      </c>
      <c r="T17" s="22">
        <f t="shared" si="18"/>
        <v>1.4274659269909356E-3</v>
      </c>
      <c r="U17" s="21">
        <f t="shared" si="19"/>
        <v>7.5875116363981773E-4</v>
      </c>
      <c r="V17" s="22">
        <f t="shared" si="20"/>
        <v>2.1450107862666743E-2</v>
      </c>
      <c r="W17" s="21">
        <f t="shared" si="21"/>
        <v>3.1E-2</v>
      </c>
      <c r="X17" s="5">
        <f t="shared" si="22"/>
        <v>2.1999999999999999E-2</v>
      </c>
      <c r="Y17" s="22">
        <f t="shared" si="23"/>
        <v>2.7E-2</v>
      </c>
      <c r="Z17" s="23">
        <f t="shared" si="24"/>
        <v>0.21</v>
      </c>
      <c r="AA17" s="134">
        <f t="shared" si="25"/>
        <v>0.15</v>
      </c>
      <c r="AB17" s="24">
        <f t="shared" si="26"/>
        <v>0.18</v>
      </c>
      <c r="AC17" s="19">
        <f t="shared" si="27"/>
        <v>5</v>
      </c>
      <c r="AD17" s="43">
        <f t="shared" si="28"/>
        <v>5</v>
      </c>
      <c r="AE17" s="20">
        <f t="shared" si="29"/>
        <v>5</v>
      </c>
      <c r="AF17" s="11"/>
      <c r="AG17" s="11"/>
      <c r="AH17" s="13"/>
      <c r="AI17" s="13"/>
      <c r="AJ17" s="13"/>
      <c r="AK17" s="13"/>
      <c r="AL17" s="12"/>
      <c r="AM17" s="12"/>
      <c r="AN17" s="12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</row>
    <row r="18" spans="1:51">
      <c r="A18" s="66">
        <v>9996</v>
      </c>
      <c r="B18" s="66" t="s">
        <v>130</v>
      </c>
      <c r="C18" s="25" t="str">
        <f>Rollover!A18</f>
        <v>Mercedes-Benz</v>
      </c>
      <c r="D18" s="41" t="str">
        <f>Rollover!B18</f>
        <v>E-Class 4DR RWD</v>
      </c>
      <c r="E18" s="7" t="s">
        <v>124</v>
      </c>
      <c r="F18" s="96">
        <f>Rollover!C18</f>
        <v>2021</v>
      </c>
      <c r="G18" s="8">
        <v>132.1</v>
      </c>
      <c r="H18" s="9">
        <v>27.399000000000001</v>
      </c>
      <c r="I18" s="9">
        <v>25.407</v>
      </c>
      <c r="J18" s="9">
        <v>661.35400000000004</v>
      </c>
      <c r="K18" s="10">
        <v>991.79200000000003</v>
      </c>
      <c r="L18" s="8">
        <v>215.435</v>
      </c>
      <c r="M18" s="9">
        <v>10.717000000000001</v>
      </c>
      <c r="N18" s="9">
        <v>46.110999999999997</v>
      </c>
      <c r="O18" s="9">
        <v>4.03</v>
      </c>
      <c r="P18" s="10">
        <v>2640.8069999999998</v>
      </c>
      <c r="Q18" s="21">
        <f t="shared" si="15"/>
        <v>2.5889663176553344E-4</v>
      </c>
      <c r="R18" s="5">
        <f t="shared" si="16"/>
        <v>5.3578918943123478E-2</v>
      </c>
      <c r="S18" s="5">
        <f t="shared" si="17"/>
        <v>9.6627053769668455E-3</v>
      </c>
      <c r="T18" s="22">
        <f t="shared" si="18"/>
        <v>1.4923216217691761E-3</v>
      </c>
      <c r="U18" s="21">
        <f t="shared" si="19"/>
        <v>2.4738841769613123E-3</v>
      </c>
      <c r="V18" s="22">
        <f t="shared" si="20"/>
        <v>2.1391428779464677E-2</v>
      </c>
      <c r="W18" s="21">
        <f t="shared" si="21"/>
        <v>6.4000000000000001E-2</v>
      </c>
      <c r="X18" s="5">
        <f t="shared" si="22"/>
        <v>2.4E-2</v>
      </c>
      <c r="Y18" s="22">
        <f t="shared" si="23"/>
        <v>4.3999999999999997E-2</v>
      </c>
      <c r="Z18" s="23">
        <f t="shared" si="24"/>
        <v>0.43</v>
      </c>
      <c r="AA18" s="134">
        <f t="shared" si="25"/>
        <v>0.16</v>
      </c>
      <c r="AB18" s="24">
        <f t="shared" si="26"/>
        <v>0.28999999999999998</v>
      </c>
      <c r="AC18" s="19">
        <f t="shared" si="27"/>
        <v>5</v>
      </c>
      <c r="AD18" s="43">
        <f t="shared" si="28"/>
        <v>5</v>
      </c>
      <c r="AE18" s="20">
        <f t="shared" si="29"/>
        <v>5</v>
      </c>
      <c r="AF18" s="11"/>
      <c r="AG18" s="11"/>
      <c r="AH18" s="13"/>
      <c r="AI18" s="13"/>
      <c r="AJ18" s="13"/>
      <c r="AK18" s="13"/>
      <c r="AL18" s="12"/>
      <c r="AM18" s="12"/>
      <c r="AN18" s="12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>
      <c r="A19" s="66">
        <v>9996</v>
      </c>
      <c r="B19" s="66" t="s">
        <v>130</v>
      </c>
      <c r="C19" s="25" t="str">
        <f>Rollover!A19</f>
        <v>Mercedes-Benz</v>
      </c>
      <c r="D19" s="41" t="str">
        <f>Rollover!B19</f>
        <v>E-Class 4DR 4WD</v>
      </c>
      <c r="E19" s="7" t="s">
        <v>124</v>
      </c>
      <c r="F19" s="96">
        <f>Rollover!C19</f>
        <v>2021</v>
      </c>
      <c r="G19" s="8">
        <v>132.1</v>
      </c>
      <c r="H19" s="9">
        <v>27.399000000000001</v>
      </c>
      <c r="I19" s="9">
        <v>25.407</v>
      </c>
      <c r="J19" s="9">
        <v>661.35400000000004</v>
      </c>
      <c r="K19" s="10">
        <v>991.79200000000003</v>
      </c>
      <c r="L19" s="8">
        <v>215.435</v>
      </c>
      <c r="M19" s="9">
        <v>10.717000000000001</v>
      </c>
      <c r="N19" s="9">
        <v>46.110999999999997</v>
      </c>
      <c r="O19" s="9">
        <v>4.03</v>
      </c>
      <c r="P19" s="10">
        <v>2640.8069999999998</v>
      </c>
      <c r="Q19" s="21">
        <f t="shared" si="15"/>
        <v>2.5889663176553344E-4</v>
      </c>
      <c r="R19" s="5">
        <f t="shared" si="16"/>
        <v>5.3578918943123478E-2</v>
      </c>
      <c r="S19" s="5">
        <f t="shared" si="17"/>
        <v>9.6627053769668455E-3</v>
      </c>
      <c r="T19" s="22">
        <f t="shared" si="18"/>
        <v>1.4923216217691761E-3</v>
      </c>
      <c r="U19" s="21">
        <f t="shared" si="19"/>
        <v>2.4738841769613123E-3</v>
      </c>
      <c r="V19" s="22">
        <f t="shared" si="20"/>
        <v>2.1391428779464677E-2</v>
      </c>
      <c r="W19" s="21">
        <f t="shared" si="21"/>
        <v>6.4000000000000001E-2</v>
      </c>
      <c r="X19" s="5">
        <f t="shared" si="22"/>
        <v>2.4E-2</v>
      </c>
      <c r="Y19" s="22">
        <f t="shared" si="23"/>
        <v>4.3999999999999997E-2</v>
      </c>
      <c r="Z19" s="23">
        <f t="shared" si="24"/>
        <v>0.43</v>
      </c>
      <c r="AA19" s="134">
        <f t="shared" si="25"/>
        <v>0.16</v>
      </c>
      <c r="AB19" s="24">
        <f t="shared" si="26"/>
        <v>0.28999999999999998</v>
      </c>
      <c r="AC19" s="19">
        <f t="shared" si="27"/>
        <v>5</v>
      </c>
      <c r="AD19" s="43">
        <f t="shared" si="28"/>
        <v>5</v>
      </c>
      <c r="AE19" s="20">
        <f t="shared" si="29"/>
        <v>5</v>
      </c>
      <c r="AF19" s="11"/>
      <c r="AG19" s="11"/>
      <c r="AH19" s="13"/>
      <c r="AI19" s="13"/>
      <c r="AJ19" s="13"/>
      <c r="AK19" s="13"/>
      <c r="AL19" s="12"/>
      <c r="AM19" s="12"/>
      <c r="AN19" s="12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>
      <c r="A20" s="66">
        <v>9996</v>
      </c>
      <c r="B20" s="66" t="s">
        <v>130</v>
      </c>
      <c r="C20" s="135" t="str">
        <f>Rollover!A20</f>
        <v>Mercedes-Benz</v>
      </c>
      <c r="D20" s="7" t="str">
        <f>Rollover!B20</f>
        <v>E-Class SW RWD</v>
      </c>
      <c r="E20" s="7" t="s">
        <v>124</v>
      </c>
      <c r="F20" s="96">
        <f>Rollover!C20</f>
        <v>2021</v>
      </c>
      <c r="G20" s="8">
        <v>132.1</v>
      </c>
      <c r="H20" s="9">
        <v>27.399000000000001</v>
      </c>
      <c r="I20" s="9">
        <v>25.407</v>
      </c>
      <c r="J20" s="9">
        <v>661.35400000000004</v>
      </c>
      <c r="K20" s="10">
        <v>991.79200000000003</v>
      </c>
      <c r="L20" s="8">
        <v>215.435</v>
      </c>
      <c r="M20" s="9">
        <v>10.717000000000001</v>
      </c>
      <c r="N20" s="9">
        <v>46.110999999999997</v>
      </c>
      <c r="O20" s="9">
        <v>4.03</v>
      </c>
      <c r="P20" s="10">
        <v>2640.8069999999998</v>
      </c>
      <c r="Q20" s="21">
        <f t="shared" si="15"/>
        <v>2.5889663176553344E-4</v>
      </c>
      <c r="R20" s="5">
        <f t="shared" si="16"/>
        <v>5.3578918943123478E-2</v>
      </c>
      <c r="S20" s="5">
        <f t="shared" si="17"/>
        <v>9.6627053769668455E-3</v>
      </c>
      <c r="T20" s="22">
        <f t="shared" si="18"/>
        <v>1.4923216217691761E-3</v>
      </c>
      <c r="U20" s="21">
        <f t="shared" si="19"/>
        <v>2.4738841769613123E-3</v>
      </c>
      <c r="V20" s="22">
        <f t="shared" si="20"/>
        <v>2.1391428779464677E-2</v>
      </c>
      <c r="W20" s="21">
        <f t="shared" si="21"/>
        <v>6.4000000000000001E-2</v>
      </c>
      <c r="X20" s="5">
        <f t="shared" si="22"/>
        <v>2.4E-2</v>
      </c>
      <c r="Y20" s="22">
        <f t="shared" si="23"/>
        <v>4.3999999999999997E-2</v>
      </c>
      <c r="Z20" s="23">
        <f t="shared" si="24"/>
        <v>0.43</v>
      </c>
      <c r="AA20" s="134">
        <f t="shared" si="25"/>
        <v>0.16</v>
      </c>
      <c r="AB20" s="24">
        <f t="shared" si="26"/>
        <v>0.28999999999999998</v>
      </c>
      <c r="AC20" s="19">
        <f t="shared" si="27"/>
        <v>5</v>
      </c>
      <c r="AD20" s="43">
        <f t="shared" si="28"/>
        <v>5</v>
      </c>
      <c r="AE20" s="20">
        <f t="shared" si="29"/>
        <v>5</v>
      </c>
      <c r="AF20" s="11"/>
      <c r="AG20" s="11"/>
      <c r="AH20" s="13"/>
      <c r="AI20" s="13"/>
      <c r="AJ20" s="13"/>
      <c r="AK20" s="13"/>
      <c r="AL20" s="12"/>
      <c r="AM20" s="12"/>
      <c r="AN20" s="12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</row>
    <row r="21" spans="1:51" ht="13.35" customHeight="1">
      <c r="A21" s="66">
        <v>9996</v>
      </c>
      <c r="B21" s="66" t="s">
        <v>130</v>
      </c>
      <c r="C21" s="135" t="str">
        <f>Rollover!A21</f>
        <v>Mercedes-Benz</v>
      </c>
      <c r="D21" s="7" t="str">
        <f>Rollover!B21</f>
        <v>E-Class SW 4WD</v>
      </c>
      <c r="E21" s="7" t="s">
        <v>124</v>
      </c>
      <c r="F21" s="96">
        <f>Rollover!C21</f>
        <v>2021</v>
      </c>
      <c r="G21" s="8">
        <v>132.1</v>
      </c>
      <c r="H21" s="9">
        <v>27.399000000000001</v>
      </c>
      <c r="I21" s="9">
        <v>25.407</v>
      </c>
      <c r="J21" s="9">
        <v>661.35400000000004</v>
      </c>
      <c r="K21" s="10">
        <v>991.79200000000003</v>
      </c>
      <c r="L21" s="8">
        <v>215.435</v>
      </c>
      <c r="M21" s="9">
        <v>10.717000000000001</v>
      </c>
      <c r="N21" s="9">
        <v>46.110999999999997</v>
      </c>
      <c r="O21" s="9">
        <v>4.03</v>
      </c>
      <c r="P21" s="10">
        <v>2640.8069999999998</v>
      </c>
      <c r="Q21" s="21">
        <f t="shared" si="15"/>
        <v>2.5889663176553344E-4</v>
      </c>
      <c r="R21" s="5">
        <f t="shared" si="16"/>
        <v>5.3578918943123478E-2</v>
      </c>
      <c r="S21" s="5">
        <f t="shared" si="17"/>
        <v>9.6627053769668455E-3</v>
      </c>
      <c r="T21" s="22">
        <f t="shared" si="18"/>
        <v>1.4923216217691761E-3</v>
      </c>
      <c r="U21" s="21">
        <f t="shared" si="19"/>
        <v>2.4738841769613123E-3</v>
      </c>
      <c r="V21" s="22">
        <f t="shared" si="20"/>
        <v>2.1391428779464677E-2</v>
      </c>
      <c r="W21" s="21">
        <f t="shared" si="21"/>
        <v>6.4000000000000001E-2</v>
      </c>
      <c r="X21" s="5">
        <f t="shared" si="22"/>
        <v>2.4E-2</v>
      </c>
      <c r="Y21" s="22">
        <f t="shared" si="23"/>
        <v>4.3999999999999997E-2</v>
      </c>
      <c r="Z21" s="23">
        <f t="shared" si="24"/>
        <v>0.43</v>
      </c>
      <c r="AA21" s="134">
        <f t="shared" si="25"/>
        <v>0.16</v>
      </c>
      <c r="AB21" s="24">
        <f t="shared" si="26"/>
        <v>0.28999999999999998</v>
      </c>
      <c r="AC21" s="19">
        <f t="shared" si="27"/>
        <v>5</v>
      </c>
      <c r="AD21" s="43">
        <f t="shared" si="28"/>
        <v>5</v>
      </c>
      <c r="AE21" s="20">
        <f t="shared" si="29"/>
        <v>5</v>
      </c>
      <c r="AF21" s="11"/>
      <c r="AG21" s="11"/>
      <c r="AH21" s="13"/>
      <c r="AI21" s="13"/>
      <c r="AJ21" s="13"/>
      <c r="AK21" s="13"/>
      <c r="AL21" s="12"/>
      <c r="AM21" s="12"/>
      <c r="AN21" s="12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13.35" customHeight="1">
      <c r="A22" s="66">
        <v>10190</v>
      </c>
      <c r="B22" s="66" t="s">
        <v>132</v>
      </c>
      <c r="C22" s="25" t="str">
        <f>Rollover!A22</f>
        <v>Mercedes-Benz</v>
      </c>
      <c r="D22" s="41" t="str">
        <f>Rollover!B22</f>
        <v>GLC Class SUV RWD</v>
      </c>
      <c r="E22" s="7" t="s">
        <v>127</v>
      </c>
      <c r="F22" s="96">
        <f>Rollover!C22</f>
        <v>2021</v>
      </c>
      <c r="G22" s="8">
        <v>69.179000000000002</v>
      </c>
      <c r="H22" s="9">
        <v>24.146000000000001</v>
      </c>
      <c r="I22" s="9">
        <v>17.63</v>
      </c>
      <c r="J22" s="9">
        <v>519.72500000000002</v>
      </c>
      <c r="K22" s="10">
        <v>1819.8219999999999</v>
      </c>
      <c r="L22" s="8">
        <v>134.40600000000001</v>
      </c>
      <c r="M22" s="9">
        <v>14.952999999999999</v>
      </c>
      <c r="N22" s="9">
        <v>46.433999999999997</v>
      </c>
      <c r="O22" s="9">
        <v>18.882999999999999</v>
      </c>
      <c r="P22" s="10">
        <v>3486.9830000000002</v>
      </c>
      <c r="Q22" s="21">
        <f t="shared" si="15"/>
        <v>6.9466741254767415E-6</v>
      </c>
      <c r="R22" s="5">
        <f t="shared" si="16"/>
        <v>4.029174994847378E-2</v>
      </c>
      <c r="S22" s="5">
        <f t="shared" si="17"/>
        <v>7.1613718830006506E-3</v>
      </c>
      <c r="T22" s="22">
        <f t="shared" si="18"/>
        <v>3.7022854683052683E-3</v>
      </c>
      <c r="U22" s="21">
        <f t="shared" si="19"/>
        <v>2.8238565112398976E-4</v>
      </c>
      <c r="V22" s="22">
        <f t="shared" si="20"/>
        <v>4.6188466230564086E-2</v>
      </c>
      <c r="W22" s="21">
        <f t="shared" si="21"/>
        <v>5.0999999999999997E-2</v>
      </c>
      <c r="X22" s="5">
        <f t="shared" si="22"/>
        <v>4.5999999999999999E-2</v>
      </c>
      <c r="Y22" s="22">
        <f t="shared" si="23"/>
        <v>4.9000000000000002E-2</v>
      </c>
      <c r="Z22" s="23">
        <f t="shared" si="24"/>
        <v>0.34</v>
      </c>
      <c r="AA22" s="134">
        <f t="shared" si="25"/>
        <v>0.31</v>
      </c>
      <c r="AB22" s="24">
        <f t="shared" si="26"/>
        <v>0.33</v>
      </c>
      <c r="AC22" s="19">
        <f t="shared" si="27"/>
        <v>5</v>
      </c>
      <c r="AD22" s="43">
        <f t="shared" si="28"/>
        <v>5</v>
      </c>
      <c r="AE22" s="20">
        <f t="shared" si="29"/>
        <v>5</v>
      </c>
      <c r="AF22" s="11"/>
      <c r="AG22" s="11"/>
      <c r="AH22" s="13"/>
      <c r="AI22" s="13"/>
      <c r="AJ22" s="13"/>
      <c r="AK22" s="13"/>
      <c r="AL22" s="12"/>
      <c r="AM22" s="12"/>
      <c r="AN22" s="12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13.35" customHeight="1">
      <c r="A23" s="66">
        <v>10190</v>
      </c>
      <c r="B23" s="66" t="s">
        <v>132</v>
      </c>
      <c r="C23" s="25" t="str">
        <f>Rollover!A23</f>
        <v>Mercedes-Benz</v>
      </c>
      <c r="D23" s="41" t="str">
        <f>Rollover!B23</f>
        <v>GLC Class SUV 4WD</v>
      </c>
      <c r="E23" s="7" t="s">
        <v>127</v>
      </c>
      <c r="F23" s="96">
        <f>Rollover!C23</f>
        <v>2021</v>
      </c>
      <c r="G23" s="8">
        <v>69.179000000000002</v>
      </c>
      <c r="H23" s="9">
        <v>24.146000000000001</v>
      </c>
      <c r="I23" s="9">
        <v>17.63</v>
      </c>
      <c r="J23" s="9">
        <v>519.72500000000002</v>
      </c>
      <c r="K23" s="10">
        <v>1819.8219999999999</v>
      </c>
      <c r="L23" s="8">
        <v>134.40600000000001</v>
      </c>
      <c r="M23" s="9">
        <v>14.952999999999999</v>
      </c>
      <c r="N23" s="9">
        <v>46.433999999999997</v>
      </c>
      <c r="O23" s="9">
        <v>18.882999999999999</v>
      </c>
      <c r="P23" s="10">
        <v>3486.9830000000002</v>
      </c>
      <c r="Q23" s="21">
        <f t="shared" si="15"/>
        <v>6.9466741254767415E-6</v>
      </c>
      <c r="R23" s="5">
        <f t="shared" si="16"/>
        <v>4.029174994847378E-2</v>
      </c>
      <c r="S23" s="5">
        <f t="shared" si="17"/>
        <v>7.1613718830006506E-3</v>
      </c>
      <c r="T23" s="22">
        <f t="shared" si="18"/>
        <v>3.7022854683052683E-3</v>
      </c>
      <c r="U23" s="21">
        <f t="shared" si="19"/>
        <v>2.8238565112398976E-4</v>
      </c>
      <c r="V23" s="22">
        <f t="shared" si="20"/>
        <v>4.6188466230564086E-2</v>
      </c>
      <c r="W23" s="21">
        <f t="shared" si="21"/>
        <v>5.0999999999999997E-2</v>
      </c>
      <c r="X23" s="5">
        <f t="shared" si="22"/>
        <v>4.5999999999999999E-2</v>
      </c>
      <c r="Y23" s="22">
        <f t="shared" si="23"/>
        <v>4.9000000000000002E-2</v>
      </c>
      <c r="Z23" s="23">
        <f t="shared" si="24"/>
        <v>0.34</v>
      </c>
      <c r="AA23" s="134">
        <f t="shared" si="25"/>
        <v>0.31</v>
      </c>
      <c r="AB23" s="24">
        <f t="shared" si="26"/>
        <v>0.33</v>
      </c>
      <c r="AC23" s="19">
        <f t="shared" si="27"/>
        <v>5</v>
      </c>
      <c r="AD23" s="43">
        <f t="shared" si="28"/>
        <v>5</v>
      </c>
      <c r="AE23" s="20">
        <f t="shared" si="29"/>
        <v>5</v>
      </c>
      <c r="AF23" s="11"/>
      <c r="AG23" s="11"/>
      <c r="AH23" s="13"/>
      <c r="AI23" s="13"/>
      <c r="AJ23" s="13"/>
      <c r="AK23" s="13"/>
      <c r="AL23" s="12"/>
      <c r="AM23" s="12"/>
      <c r="AN23" s="12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</row>
    <row r="24" spans="1:51">
      <c r="A24" s="66">
        <v>10913</v>
      </c>
      <c r="B24" s="133" t="s">
        <v>134</v>
      </c>
      <c r="C24" s="25" t="str">
        <f>Rollover!A24</f>
        <v>Subaru</v>
      </c>
      <c r="D24" s="41" t="str">
        <f>Rollover!B24</f>
        <v>Outback SW AWD</v>
      </c>
      <c r="E24" s="7" t="s">
        <v>127</v>
      </c>
      <c r="F24" s="96">
        <f>Rollover!C24</f>
        <v>2021</v>
      </c>
      <c r="G24" s="8">
        <v>28.306000000000001</v>
      </c>
      <c r="H24" s="9">
        <v>12.315</v>
      </c>
      <c r="I24" s="9">
        <v>17.428000000000001</v>
      </c>
      <c r="J24" s="9">
        <v>448.30399999999997</v>
      </c>
      <c r="K24" s="10">
        <v>1098.097</v>
      </c>
      <c r="L24" s="8">
        <v>116.06399999999999</v>
      </c>
      <c r="M24" s="9">
        <v>7.4880000000000004</v>
      </c>
      <c r="N24" s="9">
        <v>51.052</v>
      </c>
      <c r="O24" s="9">
        <v>9.1820000000000004</v>
      </c>
      <c r="P24" s="10">
        <v>2825.4050000000002</v>
      </c>
      <c r="Q24" s="21">
        <f t="shared" ref="Q24:Q28" si="45">NORMDIST(LN(G24),7.45231,0.73998,1)</f>
        <v>1.4026591142925212E-8</v>
      </c>
      <c r="R24" s="5">
        <f t="shared" ref="R24:R28" si="46">1/(1+EXP(5.3895-0.0919*H24))</f>
        <v>1.3956549841022738E-2</v>
      </c>
      <c r="S24" s="5">
        <f t="shared" ref="S24:S28" si="47">1/(1+EXP(6.04044-0.002133*J24))</f>
        <v>6.1556663809201528E-3</v>
      </c>
      <c r="T24" s="22">
        <f t="shared" ref="T24:T28" si="48">1/(1+EXP(7.5969-0.0011*K24))</f>
        <v>1.677129065411007E-3</v>
      </c>
      <c r="U24" s="21">
        <f t="shared" ref="U24:U28" si="49">NORMDIST(LN(L24),7.45231,0.73998,1)</f>
        <v>1.3303625193766548E-4</v>
      </c>
      <c r="V24" s="22">
        <f t="shared" ref="V24:V28" si="50">1/(1+EXP(6.3055-0.00094*P24))</f>
        <v>2.5342104773144802E-2</v>
      </c>
      <c r="W24" s="21">
        <f t="shared" ref="W24:W28" si="51">ROUND(1-(1-Q24)*(1-R24)*(1-S24)*(1-T24),3)</f>
        <v>2.1999999999999999E-2</v>
      </c>
      <c r="X24" s="5">
        <f t="shared" ref="X24:X28" si="52">IF(L24="N/A",L24,ROUND(1-(1-U24)*(1-V24),3))</f>
        <v>2.5000000000000001E-2</v>
      </c>
      <c r="Y24" s="22">
        <f t="shared" ref="Y24:Y28" si="53">ROUND(AVERAGE(W24:X24),3)</f>
        <v>2.4E-2</v>
      </c>
      <c r="Z24" s="23">
        <f t="shared" ref="Z24:Z28" si="54">ROUND(W24/0.15,2)</f>
        <v>0.15</v>
      </c>
      <c r="AA24" s="134">
        <f t="shared" ref="AA24:AA28" si="55">IF(L24="N/A", L24, ROUND(X24/0.15,2))</f>
        <v>0.17</v>
      </c>
      <c r="AB24" s="24">
        <f t="shared" ref="AB24:AB28" si="56">ROUND(Y24/0.15,2)</f>
        <v>0.16</v>
      </c>
      <c r="AC24" s="19">
        <f t="shared" ref="AC24:AC28" si="57">IF(Z24&lt;0.67,5,IF(Z24&lt;1,4,IF(Z24&lt;1.33,3,IF(Z24&lt;2.67,2,1))))</f>
        <v>5</v>
      </c>
      <c r="AD24" s="43">
        <f t="shared" ref="AD24:AD28" si="58">IF(L24="N/A",L24,IF(AA24&lt;0.67,5,IF(AA24&lt;1,4,IF(AA24&lt;1.33,3,IF(AA24&lt;2.67,2,1)))))</f>
        <v>5</v>
      </c>
      <c r="AE24" s="20">
        <f t="shared" ref="AE24:AE28" si="59">IF(AB24&lt;0.67,5,IF(AB24&lt;1,4,IF(AB24&lt;1.33,3,IF(AB24&lt;2.67,2,1))))</f>
        <v>5</v>
      </c>
      <c r="AF24" s="11"/>
      <c r="AG24" s="11"/>
      <c r="AH24" s="13"/>
      <c r="AI24" s="13"/>
      <c r="AJ24" s="13"/>
      <c r="AK24" s="13"/>
      <c r="AL24" s="12"/>
      <c r="AM24" s="12"/>
      <c r="AN24" s="12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1:51" ht="13.35" customHeight="1">
      <c r="A25" s="66">
        <v>10912</v>
      </c>
      <c r="B25" s="133" t="s">
        <v>135</v>
      </c>
      <c r="C25" s="135" t="str">
        <f>Rollover!A25</f>
        <v>Subaru</v>
      </c>
      <c r="D25" s="7" t="str">
        <f>Rollover!B25</f>
        <v>Legacy 4DR AWD</v>
      </c>
      <c r="E25" s="7" t="s">
        <v>127</v>
      </c>
      <c r="F25" s="96">
        <f>Rollover!C25</f>
        <v>2021</v>
      </c>
      <c r="G25" s="8">
        <v>50.405999999999999</v>
      </c>
      <c r="H25" s="9">
        <v>19.109000000000002</v>
      </c>
      <c r="I25" s="9">
        <v>30.044</v>
      </c>
      <c r="J25" s="9">
        <v>960.92200000000003</v>
      </c>
      <c r="K25" s="10">
        <v>1487.779</v>
      </c>
      <c r="L25" s="8">
        <v>220.37899999999999</v>
      </c>
      <c r="M25" s="9">
        <v>18.289000000000001</v>
      </c>
      <c r="N25" s="9">
        <v>62.070999999999998</v>
      </c>
      <c r="O25" s="9">
        <v>17.741</v>
      </c>
      <c r="P25" s="10">
        <v>2584.3000000000002</v>
      </c>
      <c r="Q25" s="21">
        <f t="shared" si="45"/>
        <v>9.0583371576187033E-7</v>
      </c>
      <c r="R25" s="5">
        <f t="shared" si="46"/>
        <v>2.5746247689558976E-2</v>
      </c>
      <c r="S25" s="5">
        <f t="shared" si="47"/>
        <v>1.8149547585362569E-2</v>
      </c>
      <c r="T25" s="22">
        <f t="shared" si="48"/>
        <v>2.5723926859840185E-3</v>
      </c>
      <c r="U25" s="21">
        <f t="shared" si="49"/>
        <v>2.7200176585358768E-3</v>
      </c>
      <c r="V25" s="22">
        <f t="shared" si="50"/>
        <v>2.0307310419881684E-2</v>
      </c>
      <c r="W25" s="21">
        <f t="shared" si="51"/>
        <v>4.5999999999999999E-2</v>
      </c>
      <c r="X25" s="5">
        <f t="shared" si="52"/>
        <v>2.3E-2</v>
      </c>
      <c r="Y25" s="22">
        <f t="shared" si="53"/>
        <v>3.5000000000000003E-2</v>
      </c>
      <c r="Z25" s="23">
        <f t="shared" si="54"/>
        <v>0.31</v>
      </c>
      <c r="AA25" s="134">
        <f t="shared" si="55"/>
        <v>0.15</v>
      </c>
      <c r="AB25" s="24">
        <f t="shared" si="56"/>
        <v>0.23</v>
      </c>
      <c r="AC25" s="19">
        <f t="shared" si="57"/>
        <v>5</v>
      </c>
      <c r="AD25" s="43">
        <f t="shared" si="58"/>
        <v>5</v>
      </c>
      <c r="AE25" s="20">
        <f t="shared" si="59"/>
        <v>5</v>
      </c>
      <c r="AF25" s="11"/>
      <c r="AG25" s="11"/>
      <c r="AH25" s="13"/>
      <c r="AI25" s="13"/>
      <c r="AJ25" s="13"/>
      <c r="AK25" s="13"/>
      <c r="AL25" s="12"/>
      <c r="AM25" s="12"/>
      <c r="AN25" s="12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>
      <c r="A26" s="66">
        <v>11289</v>
      </c>
      <c r="B26" s="133" t="s">
        <v>147</v>
      </c>
      <c r="C26" s="25" t="str">
        <f>Rollover!A26</f>
        <v>Toyota</v>
      </c>
      <c r="D26" s="41" t="str">
        <f>Rollover!B26</f>
        <v>Corolla 4DR FWD</v>
      </c>
      <c r="E26" s="7" t="s">
        <v>92</v>
      </c>
      <c r="F26" s="96">
        <f>Rollover!C26</f>
        <v>2021</v>
      </c>
      <c r="G26" s="8">
        <v>91.650999999999996</v>
      </c>
      <c r="H26" s="9">
        <v>23.234999999999999</v>
      </c>
      <c r="I26" s="9">
        <v>26.536999999999999</v>
      </c>
      <c r="J26" s="9">
        <v>576.39200000000005</v>
      </c>
      <c r="K26" s="10">
        <v>1468.913</v>
      </c>
      <c r="L26" s="8">
        <v>137.24600000000001</v>
      </c>
      <c r="M26" s="9">
        <v>29.167000000000002</v>
      </c>
      <c r="N26" s="9">
        <v>42.531999999999996</v>
      </c>
      <c r="O26" s="9">
        <v>15.147</v>
      </c>
      <c r="P26" s="10">
        <v>1633.365</v>
      </c>
      <c r="Q26" s="21">
        <f t="shared" si="45"/>
        <v>3.6635357850424766E-5</v>
      </c>
      <c r="R26" s="5">
        <f t="shared" si="46"/>
        <v>3.7176133909351469E-2</v>
      </c>
      <c r="S26" s="5">
        <f t="shared" si="47"/>
        <v>8.0740290023368078E-3</v>
      </c>
      <c r="T26" s="22">
        <f t="shared" si="48"/>
        <v>2.5196920889331599E-3</v>
      </c>
      <c r="U26" s="21">
        <f t="shared" si="49"/>
        <v>3.1341151458402674E-4</v>
      </c>
      <c r="V26" s="22">
        <f t="shared" si="50"/>
        <v>8.4079266218954202E-3</v>
      </c>
      <c r="W26" s="21">
        <f t="shared" si="51"/>
        <v>4.7E-2</v>
      </c>
      <c r="X26" s="5">
        <f t="shared" si="52"/>
        <v>8.9999999999999993E-3</v>
      </c>
      <c r="Y26" s="22">
        <f t="shared" si="53"/>
        <v>2.8000000000000001E-2</v>
      </c>
      <c r="Z26" s="23">
        <f t="shared" si="54"/>
        <v>0.31</v>
      </c>
      <c r="AA26" s="134">
        <f t="shared" si="55"/>
        <v>0.06</v>
      </c>
      <c r="AB26" s="24">
        <f t="shared" si="56"/>
        <v>0.19</v>
      </c>
      <c r="AC26" s="19">
        <f t="shared" si="57"/>
        <v>5</v>
      </c>
      <c r="AD26" s="43">
        <f t="shared" si="58"/>
        <v>5</v>
      </c>
      <c r="AE26" s="20">
        <f t="shared" si="59"/>
        <v>5</v>
      </c>
      <c r="AF26" s="11"/>
      <c r="AG26" s="11"/>
      <c r="AH26" s="13"/>
      <c r="AI26" s="13"/>
      <c r="AJ26" s="13"/>
      <c r="AK26" s="13"/>
      <c r="AL26" s="12"/>
      <c r="AM26" s="12"/>
      <c r="AN26" s="12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</row>
    <row r="27" spans="1:51">
      <c r="A27" s="66">
        <v>11289</v>
      </c>
      <c r="B27" s="133" t="s">
        <v>147</v>
      </c>
      <c r="C27" s="135" t="str">
        <f>Rollover!A27</f>
        <v>Toyota</v>
      </c>
      <c r="D27" s="7" t="str">
        <f>Rollover!B27</f>
        <v>Corolla Hybrid 4DR FWD</v>
      </c>
      <c r="E27" s="7" t="s">
        <v>92</v>
      </c>
      <c r="F27" s="96">
        <f>Rollover!C27</f>
        <v>2021</v>
      </c>
      <c r="G27" s="8">
        <v>91.650999999999996</v>
      </c>
      <c r="H27" s="9">
        <v>23.234999999999999</v>
      </c>
      <c r="I27" s="9">
        <v>26.536999999999999</v>
      </c>
      <c r="J27" s="9">
        <v>576.39200000000005</v>
      </c>
      <c r="K27" s="10">
        <v>1468.913</v>
      </c>
      <c r="L27" s="8">
        <v>137.24600000000001</v>
      </c>
      <c r="M27" s="9">
        <v>29.167000000000002</v>
      </c>
      <c r="N27" s="9">
        <v>42.531999999999996</v>
      </c>
      <c r="O27" s="9">
        <v>15.147</v>
      </c>
      <c r="P27" s="10">
        <v>1633.365</v>
      </c>
      <c r="Q27" s="21">
        <f t="shared" si="45"/>
        <v>3.6635357850424766E-5</v>
      </c>
      <c r="R27" s="5">
        <f t="shared" si="46"/>
        <v>3.7176133909351469E-2</v>
      </c>
      <c r="S27" s="5">
        <f t="shared" si="47"/>
        <v>8.0740290023368078E-3</v>
      </c>
      <c r="T27" s="22">
        <f t="shared" si="48"/>
        <v>2.5196920889331599E-3</v>
      </c>
      <c r="U27" s="21">
        <f t="shared" si="49"/>
        <v>3.1341151458402674E-4</v>
      </c>
      <c r="V27" s="22">
        <f t="shared" si="50"/>
        <v>8.4079266218954202E-3</v>
      </c>
      <c r="W27" s="21">
        <f t="shared" si="51"/>
        <v>4.7E-2</v>
      </c>
      <c r="X27" s="5">
        <f t="shared" si="52"/>
        <v>8.9999999999999993E-3</v>
      </c>
      <c r="Y27" s="22">
        <f t="shared" si="53"/>
        <v>2.8000000000000001E-2</v>
      </c>
      <c r="Z27" s="23">
        <f t="shared" si="54"/>
        <v>0.31</v>
      </c>
      <c r="AA27" s="134">
        <f t="shared" si="55"/>
        <v>0.06</v>
      </c>
      <c r="AB27" s="24">
        <f t="shared" si="56"/>
        <v>0.19</v>
      </c>
      <c r="AC27" s="19">
        <f t="shared" si="57"/>
        <v>5</v>
      </c>
      <c r="AD27" s="43">
        <f t="shared" si="58"/>
        <v>5</v>
      </c>
      <c r="AE27" s="20">
        <f t="shared" si="59"/>
        <v>5</v>
      </c>
      <c r="AF27" s="11"/>
      <c r="AG27" s="11"/>
      <c r="AH27" s="13"/>
      <c r="AI27" s="13"/>
      <c r="AJ27" s="13"/>
      <c r="AK27" s="13"/>
      <c r="AL27" s="12"/>
      <c r="AM27" s="12"/>
      <c r="AN27" s="12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1">
      <c r="A28" s="66">
        <v>11289</v>
      </c>
      <c r="B28" s="136" t="s">
        <v>147</v>
      </c>
      <c r="C28" s="135" t="str">
        <f>Rollover!A28</f>
        <v>Toyota</v>
      </c>
      <c r="D28" s="7" t="str">
        <f>Rollover!B28</f>
        <v>Corolla Hatchback 5HB FWD</v>
      </c>
      <c r="E28" s="7" t="s">
        <v>92</v>
      </c>
      <c r="F28" s="96">
        <f>Rollover!C28</f>
        <v>2021</v>
      </c>
      <c r="G28" s="8">
        <v>91.650999999999996</v>
      </c>
      <c r="H28" s="9">
        <v>23.234999999999999</v>
      </c>
      <c r="I28" s="9">
        <v>26.536999999999999</v>
      </c>
      <c r="J28" s="9">
        <v>576.39200000000005</v>
      </c>
      <c r="K28" s="10">
        <v>1468.913</v>
      </c>
      <c r="L28" s="8">
        <v>137.24600000000001</v>
      </c>
      <c r="M28" s="9">
        <v>29.167000000000002</v>
      </c>
      <c r="N28" s="9">
        <v>42.531999999999996</v>
      </c>
      <c r="O28" s="9">
        <v>15.147</v>
      </c>
      <c r="P28" s="10">
        <v>1633.365</v>
      </c>
      <c r="Q28" s="21">
        <f t="shared" si="45"/>
        <v>3.6635357850424766E-5</v>
      </c>
      <c r="R28" s="5">
        <f t="shared" si="46"/>
        <v>3.7176133909351469E-2</v>
      </c>
      <c r="S28" s="5">
        <f t="shared" si="47"/>
        <v>8.0740290023368078E-3</v>
      </c>
      <c r="T28" s="22">
        <f t="shared" si="48"/>
        <v>2.5196920889331599E-3</v>
      </c>
      <c r="U28" s="21">
        <f t="shared" si="49"/>
        <v>3.1341151458402674E-4</v>
      </c>
      <c r="V28" s="22">
        <f t="shared" si="50"/>
        <v>8.4079266218954202E-3</v>
      </c>
      <c r="W28" s="21">
        <f t="shared" si="51"/>
        <v>4.7E-2</v>
      </c>
      <c r="X28" s="5">
        <f t="shared" si="52"/>
        <v>8.9999999999999993E-3</v>
      </c>
      <c r="Y28" s="22">
        <f t="shared" si="53"/>
        <v>2.8000000000000001E-2</v>
      </c>
      <c r="Z28" s="23">
        <f t="shared" si="54"/>
        <v>0.31</v>
      </c>
      <c r="AA28" s="134">
        <f t="shared" si="55"/>
        <v>0.06</v>
      </c>
      <c r="AB28" s="24">
        <f t="shared" si="56"/>
        <v>0.19</v>
      </c>
      <c r="AC28" s="19">
        <f t="shared" si="57"/>
        <v>5</v>
      </c>
      <c r="AD28" s="43">
        <f t="shared" si="58"/>
        <v>5</v>
      </c>
      <c r="AE28" s="20">
        <f t="shared" si="59"/>
        <v>5</v>
      </c>
      <c r="AF28" s="11"/>
      <c r="AG28" s="11"/>
      <c r="AH28" s="13"/>
      <c r="AI28" s="13"/>
      <c r="AJ28" s="13"/>
      <c r="AK28" s="13"/>
      <c r="AL28" s="12"/>
      <c r="AM28" s="12"/>
      <c r="AN28" s="12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1">
      <c r="AE29" s="2"/>
    </row>
    <row r="30" spans="1:51">
      <c r="AE30" s="2"/>
    </row>
    <row r="31" spans="1:51">
      <c r="AE31" s="2"/>
    </row>
    <row r="32" spans="1:51">
      <c r="AE32" s="2"/>
    </row>
    <row r="33" spans="31:31">
      <c r="AE33" s="2"/>
    </row>
    <row r="34" spans="31:31">
      <c r="AE34" s="2"/>
    </row>
    <row r="35" spans="31:31">
      <c r="AE35" s="2"/>
    </row>
    <row r="36" spans="31:31">
      <c r="AE36" s="2"/>
    </row>
    <row r="37" spans="31:31">
      <c r="AE37" s="2"/>
    </row>
    <row r="38" spans="31:31">
      <c r="AE38" s="2"/>
    </row>
    <row r="39" spans="31:31">
      <c r="AE39" s="2"/>
    </row>
    <row r="40" spans="31:31">
      <c r="AE40" s="2"/>
    </row>
    <row r="41" spans="31:31">
      <c r="AE41" s="2"/>
    </row>
    <row r="42" spans="31:31">
      <c r="AE42" s="2"/>
    </row>
    <row r="43" spans="31:31">
      <c r="AE43" s="2"/>
    </row>
    <row r="44" spans="31:31">
      <c r="AE44" s="2"/>
    </row>
    <row r="45" spans="31:31">
      <c r="AE45" s="2"/>
    </row>
    <row r="46" spans="31:31">
      <c r="AE46" s="2"/>
    </row>
    <row r="47" spans="31:31">
      <c r="AE47" s="2"/>
    </row>
    <row r="48" spans="31:31">
      <c r="AE48" s="2"/>
    </row>
    <row r="49" spans="31:31">
      <c r="AE49" s="2"/>
    </row>
    <row r="50" spans="31:31">
      <c r="AE50" s="2"/>
    </row>
    <row r="51" spans="31:31">
      <c r="AE51" s="2"/>
    </row>
    <row r="52" spans="31:31">
      <c r="AE52" s="2"/>
    </row>
    <row r="53" spans="31:31">
      <c r="AE53" s="2"/>
    </row>
    <row r="54" spans="31:31">
      <c r="AE54" s="2"/>
    </row>
    <row r="55" spans="31:31">
      <c r="AE55" s="2"/>
    </row>
    <row r="56" spans="31:31">
      <c r="AE56" s="2"/>
    </row>
    <row r="57" spans="31:31">
      <c r="AE57" s="2"/>
    </row>
    <row r="58" spans="31:31">
      <c r="AE58" s="2"/>
    </row>
    <row r="59" spans="31:31">
      <c r="AE59" s="2"/>
    </row>
    <row r="60" spans="31:31">
      <c r="AE60" s="2"/>
    </row>
    <row r="61" spans="31:31">
      <c r="AE61" s="2"/>
    </row>
    <row r="62" spans="31:31">
      <c r="AE62" s="2"/>
    </row>
    <row r="63" spans="31:31">
      <c r="AE63" s="2"/>
    </row>
    <row r="64" spans="31:31">
      <c r="AE64" s="2"/>
    </row>
    <row r="65" spans="31:31">
      <c r="AE65" s="2"/>
    </row>
    <row r="66" spans="31:31">
      <c r="AE66" s="2"/>
    </row>
    <row r="67" spans="31:31">
      <c r="AE67" s="2"/>
    </row>
    <row r="68" spans="31:31">
      <c r="AE68" s="2"/>
    </row>
    <row r="69" spans="31:31">
      <c r="AE69" s="2"/>
    </row>
    <row r="70" spans="31:31">
      <c r="AE70" s="2"/>
    </row>
    <row r="71" spans="31:31">
      <c r="AE71" s="2"/>
    </row>
    <row r="72" spans="31:31">
      <c r="AE72" s="2"/>
    </row>
    <row r="73" spans="31:31">
      <c r="AE73" s="2"/>
    </row>
    <row r="74" spans="31:31">
      <c r="AE74" s="2"/>
    </row>
    <row r="75" spans="31:31">
      <c r="AE75" s="2"/>
    </row>
    <row r="76" spans="31:31">
      <c r="AE76" s="2"/>
    </row>
    <row r="77" spans="31:31">
      <c r="AE77" s="2"/>
    </row>
    <row r="78" spans="31:31">
      <c r="AE78" s="2"/>
    </row>
    <row r="79" spans="31:31">
      <c r="AE79" s="2"/>
    </row>
    <row r="80" spans="31:31">
      <c r="AE80" s="2"/>
    </row>
    <row r="81" spans="31:31">
      <c r="AE81" s="2"/>
    </row>
    <row r="82" spans="31:31">
      <c r="AE82" s="2"/>
    </row>
    <row r="83" spans="31:31">
      <c r="AE83" s="2"/>
    </row>
    <row r="84" spans="31:31">
      <c r="AE84" s="2"/>
    </row>
    <row r="85" spans="31:31">
      <c r="AE85" s="2"/>
    </row>
    <row r="86" spans="31:31">
      <c r="AE86" s="2"/>
    </row>
    <row r="87" spans="31:31">
      <c r="AE87" s="2"/>
    </row>
    <row r="88" spans="31:31">
      <c r="AE88" s="2"/>
    </row>
    <row r="89" spans="31:31">
      <c r="AE89" s="2"/>
    </row>
    <row r="90" spans="31:31">
      <c r="AE90" s="2"/>
    </row>
    <row r="91" spans="31:31">
      <c r="AE91" s="2"/>
    </row>
    <row r="92" spans="31:31">
      <c r="AE92" s="2"/>
    </row>
    <row r="93" spans="31:31">
      <c r="AE93" s="2"/>
    </row>
    <row r="94" spans="31:31">
      <c r="AE94" s="2"/>
    </row>
    <row r="95" spans="31:31">
      <c r="AE95" s="2"/>
    </row>
    <row r="96" spans="31:31">
      <c r="AE96" s="2"/>
    </row>
    <row r="97" spans="31:31">
      <c r="AE97" s="2"/>
    </row>
    <row r="98" spans="31:31">
      <c r="AE98" s="2"/>
    </row>
    <row r="99" spans="31:31">
      <c r="AE99" s="2"/>
    </row>
    <row r="100" spans="31:31">
      <c r="AE100" s="2"/>
    </row>
    <row r="101" spans="31:31">
      <c r="AE101" s="2"/>
    </row>
    <row r="102" spans="31:31">
      <c r="AE102" s="2"/>
    </row>
    <row r="103" spans="31:31">
      <c r="AE103" s="2"/>
    </row>
    <row r="104" spans="31:31">
      <c r="AE104" s="2"/>
    </row>
    <row r="105" spans="31:31">
      <c r="AE105" s="2"/>
    </row>
    <row r="106" spans="31:31">
      <c r="AE106" s="2"/>
    </row>
    <row r="107" spans="31:31">
      <c r="AE107" s="2"/>
    </row>
    <row r="108" spans="31:31">
      <c r="AE108" s="2"/>
    </row>
    <row r="109" spans="31:31">
      <c r="AE109" s="2"/>
    </row>
    <row r="110" spans="31:31">
      <c r="AE110" s="2"/>
    </row>
    <row r="111" spans="31:31">
      <c r="AE111" s="2"/>
    </row>
    <row r="112" spans="31:31">
      <c r="AE112" s="2"/>
    </row>
    <row r="113" spans="31:31">
      <c r="AE113" s="2"/>
    </row>
    <row r="114" spans="31:31">
      <c r="AE114" s="2"/>
    </row>
    <row r="115" spans="31:31">
      <c r="AE115" s="2"/>
    </row>
    <row r="116" spans="31:31">
      <c r="AE116" s="2"/>
    </row>
    <row r="117" spans="31:31">
      <c r="AE117" s="2"/>
    </row>
    <row r="118" spans="31:31">
      <c r="AE118" s="2"/>
    </row>
    <row r="119" spans="31:31">
      <c r="AE119" s="2"/>
    </row>
    <row r="120" spans="31:31">
      <c r="AE120" s="2"/>
    </row>
    <row r="121" spans="31:31">
      <c r="AE121" s="2"/>
    </row>
    <row r="122" spans="31:31">
      <c r="AE122" s="2"/>
    </row>
    <row r="123" spans="31:31">
      <c r="AE123" s="2"/>
    </row>
    <row r="124" spans="31:31">
      <c r="AE124" s="2"/>
    </row>
    <row r="125" spans="31:31">
      <c r="AE125" s="2"/>
    </row>
    <row r="126" spans="31:31">
      <c r="AE126" s="2"/>
    </row>
    <row r="127" spans="31:31">
      <c r="AE127" s="2"/>
    </row>
    <row r="128" spans="31:31">
      <c r="AE128" s="2"/>
    </row>
    <row r="129" spans="31:31">
      <c r="AE129" s="2"/>
    </row>
    <row r="130" spans="31:31">
      <c r="AE130" s="2"/>
    </row>
    <row r="131" spans="31:31">
      <c r="AE131" s="2"/>
    </row>
    <row r="132" spans="31:31">
      <c r="AE132" s="2"/>
    </row>
    <row r="133" spans="31:31">
      <c r="AE133" s="2"/>
    </row>
    <row r="134" spans="31:31">
      <c r="AE134" s="2"/>
    </row>
    <row r="135" spans="31:31">
      <c r="AE135" s="2"/>
    </row>
    <row r="136" spans="31:31">
      <c r="AE136" s="2"/>
    </row>
    <row r="137" spans="31:31">
      <c r="AE137" s="2"/>
    </row>
    <row r="138" spans="31:31">
      <c r="AE138" s="2"/>
    </row>
    <row r="139" spans="31:31">
      <c r="AE139" s="2"/>
    </row>
    <row r="140" spans="31:31">
      <c r="AE140" s="2"/>
    </row>
    <row r="141" spans="31:31">
      <c r="AE141" s="2"/>
    </row>
    <row r="142" spans="31:31">
      <c r="AE142" s="2"/>
    </row>
    <row r="143" spans="31:31">
      <c r="AE143" s="2"/>
    </row>
    <row r="144" spans="31:31">
      <c r="AE144" s="2"/>
    </row>
    <row r="145" spans="31:31">
      <c r="AE145" s="2"/>
    </row>
    <row r="146" spans="31:31">
      <c r="AE146" s="2"/>
    </row>
    <row r="147" spans="31:31">
      <c r="AE147" s="2"/>
    </row>
    <row r="148" spans="31:31">
      <c r="AE148" s="2"/>
    </row>
    <row r="149" spans="31:31">
      <c r="AE149" s="2"/>
    </row>
    <row r="150" spans="31:31">
      <c r="AE150" s="2"/>
    </row>
    <row r="151" spans="31:31">
      <c r="AE151" s="2"/>
    </row>
    <row r="152" spans="31:31">
      <c r="AE152" s="2"/>
    </row>
    <row r="153" spans="31:31">
      <c r="AE153" s="2"/>
    </row>
    <row r="154" spans="31:31">
      <c r="AE154" s="2"/>
    </row>
    <row r="155" spans="31:31">
      <c r="AE155" s="2"/>
    </row>
    <row r="156" spans="31:31">
      <c r="AE156" s="2"/>
    </row>
    <row r="157" spans="31:31">
      <c r="AE157" s="2"/>
    </row>
    <row r="158" spans="31:31">
      <c r="AE158" s="2"/>
    </row>
    <row r="159" spans="31:31">
      <c r="AE159" s="2"/>
    </row>
    <row r="160" spans="31:31">
      <c r="AE160" s="2"/>
    </row>
    <row r="161" spans="31:31">
      <c r="AE161" s="2"/>
    </row>
    <row r="162" spans="31:31">
      <c r="AE162" s="2"/>
    </row>
    <row r="163" spans="31:31">
      <c r="AE163" s="2"/>
    </row>
    <row r="164" spans="31:31">
      <c r="AE164" s="2"/>
    </row>
    <row r="165" spans="31:31">
      <c r="AE165" s="2"/>
    </row>
    <row r="166" spans="31:31">
      <c r="AE166" s="2"/>
    </row>
    <row r="167" spans="31:31">
      <c r="AE167" s="2"/>
    </row>
    <row r="168" spans="31:31">
      <c r="AE168" s="2"/>
    </row>
    <row r="169" spans="31:31">
      <c r="AE169" s="2"/>
    </row>
    <row r="170" spans="31:31">
      <c r="AE170" s="2"/>
    </row>
    <row r="171" spans="31:31">
      <c r="AE171" s="2"/>
    </row>
    <row r="172" spans="31:31">
      <c r="AE172" s="2"/>
    </row>
    <row r="173" spans="31:31">
      <c r="AE173" s="2"/>
    </row>
    <row r="174" spans="31:31">
      <c r="AE174" s="2"/>
    </row>
    <row r="175" spans="31:31">
      <c r="AE175" s="2"/>
    </row>
    <row r="176" spans="31:31">
      <c r="AE176" s="2"/>
    </row>
    <row r="177" spans="31:31">
      <c r="AE177" s="2"/>
    </row>
    <row r="178" spans="31:31">
      <c r="AE178" s="2"/>
    </row>
    <row r="179" spans="31:31">
      <c r="AE179" s="2"/>
    </row>
    <row r="180" spans="31:31">
      <c r="AE180" s="2"/>
    </row>
    <row r="181" spans="31:31">
      <c r="AE181" s="2"/>
    </row>
    <row r="182" spans="31:31">
      <c r="AE182" s="2"/>
    </row>
    <row r="183" spans="31:31">
      <c r="AE183" s="2"/>
    </row>
    <row r="184" spans="31:31">
      <c r="AE184" s="2"/>
    </row>
    <row r="185" spans="31:31">
      <c r="AE185" s="2"/>
    </row>
    <row r="186" spans="31:31">
      <c r="AE186" s="2"/>
    </row>
    <row r="187" spans="31:31">
      <c r="AE187" s="2"/>
    </row>
    <row r="188" spans="31:31">
      <c r="AE188" s="2"/>
    </row>
    <row r="189" spans="31:31">
      <c r="AE189" s="2"/>
    </row>
  </sheetData>
  <mergeCells count="4">
    <mergeCell ref="G1:K1"/>
    <mergeCell ref="L1:P1"/>
    <mergeCell ref="Q1:T1"/>
    <mergeCell ref="U1:V1"/>
  </mergeCells>
  <phoneticPr fontId="3" type="noConversion"/>
  <pageMargins left="0.25" right="0.2" top="0.25" bottom="0.2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0"/>
  <sheetViews>
    <sheetView zoomScaleNormal="100" workbookViewId="0">
      <pane xSplit="6" ySplit="2" topLeftCell="G3" activePane="bottomRight" state="frozen"/>
      <selection activeCell="B33" sqref="B33"/>
      <selection pane="topRight" activeCell="B33" sqref="B33"/>
      <selection pane="bottomLeft" activeCell="B33" sqref="B33"/>
      <selection pane="bottomRight" activeCell="A12" sqref="A12:XFD17"/>
    </sheetView>
  </sheetViews>
  <sheetFormatPr defaultColWidth="9.42578125" defaultRowHeight="14.1" customHeight="1"/>
  <cols>
    <col min="1" max="1" width="8.5703125" style="175" bestFit="1" customWidth="1"/>
    <col min="2" max="2" width="9" style="175" bestFit="1" customWidth="1"/>
    <col min="3" max="3" width="13.5703125" style="176" bestFit="1" customWidth="1"/>
    <col min="4" max="4" width="36.42578125" style="176" bestFit="1" customWidth="1"/>
    <col min="5" max="5" width="6.5703125" style="177" customWidth="1"/>
    <col min="6" max="6" width="7.42578125" style="178" bestFit="1" customWidth="1"/>
    <col min="7" max="10" width="8.5703125" style="172" customWidth="1"/>
    <col min="11" max="11" width="9.5703125" style="172" customWidth="1"/>
    <col min="12" max="12" width="7" style="172" customWidth="1"/>
    <col min="13" max="13" width="7.42578125" style="172" customWidth="1"/>
    <col min="14" max="14" width="7.5703125" style="179" customWidth="1"/>
    <col min="15" max="15" width="8.5703125" style="179" bestFit="1" customWidth="1"/>
    <col min="16" max="16" width="8.42578125" style="180" customWidth="1"/>
    <col min="17" max="17" width="9.42578125" style="179" customWidth="1"/>
    <col min="18" max="18" width="10.42578125" style="172" customWidth="1"/>
    <col min="19" max="19" width="6" style="175" customWidth="1"/>
    <col min="20" max="20" width="10.42578125" style="175" bestFit="1" customWidth="1"/>
    <col min="21" max="21" width="10.42578125" style="175" customWidth="1"/>
    <col min="22" max="22" width="10.42578125" style="175" bestFit="1" customWidth="1"/>
    <col min="23" max="16384" width="9.42578125" style="172"/>
  </cols>
  <sheetData>
    <row r="1" spans="1:38" s="114" customFormat="1" ht="14.1" customHeight="1" thickBot="1">
      <c r="A1" s="147"/>
      <c r="B1" s="148"/>
      <c r="C1" s="149"/>
      <c r="D1" s="149"/>
      <c r="E1" s="150"/>
      <c r="F1" s="151"/>
      <c r="G1" s="152" t="s">
        <v>46</v>
      </c>
      <c r="H1" s="153"/>
      <c r="I1" s="153"/>
      <c r="J1" s="153"/>
      <c r="K1" s="113"/>
      <c r="L1" s="152" t="s">
        <v>46</v>
      </c>
      <c r="M1" s="113"/>
      <c r="N1" s="154" t="s">
        <v>13</v>
      </c>
      <c r="O1" s="155" t="s">
        <v>13</v>
      </c>
      <c r="P1" s="38" t="s">
        <v>45</v>
      </c>
      <c r="Q1" s="154" t="s">
        <v>13</v>
      </c>
      <c r="R1" s="131" t="s">
        <v>13</v>
      </c>
      <c r="S1" s="38" t="s">
        <v>13</v>
      </c>
      <c r="T1" s="36" t="s">
        <v>59</v>
      </c>
      <c r="U1" s="37" t="s">
        <v>75</v>
      </c>
      <c r="V1" s="38" t="s">
        <v>59</v>
      </c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s="115" customFormat="1" ht="45.75" thickBot="1">
      <c r="A2" s="36" t="s">
        <v>26</v>
      </c>
      <c r="B2" s="37" t="s">
        <v>82</v>
      </c>
      <c r="C2" s="156" t="s">
        <v>18</v>
      </c>
      <c r="D2" s="156" t="s">
        <v>19</v>
      </c>
      <c r="E2" s="157" t="s">
        <v>74</v>
      </c>
      <c r="F2" s="158" t="s">
        <v>20</v>
      </c>
      <c r="G2" s="130" t="s">
        <v>58</v>
      </c>
      <c r="H2" s="131" t="s">
        <v>71</v>
      </c>
      <c r="I2" s="131" t="s">
        <v>72</v>
      </c>
      <c r="J2" s="131" t="s">
        <v>70</v>
      </c>
      <c r="K2" s="159" t="s">
        <v>39</v>
      </c>
      <c r="L2" s="154" t="s">
        <v>1</v>
      </c>
      <c r="M2" s="160" t="s">
        <v>15</v>
      </c>
      <c r="N2" s="154" t="s">
        <v>17</v>
      </c>
      <c r="O2" s="155" t="s">
        <v>65</v>
      </c>
      <c r="P2" s="38" t="s">
        <v>44</v>
      </c>
      <c r="Q2" s="130" t="s">
        <v>78</v>
      </c>
      <c r="R2" s="131" t="s">
        <v>79</v>
      </c>
      <c r="S2" s="161" t="s">
        <v>80</v>
      </c>
      <c r="T2" s="130" t="s">
        <v>77</v>
      </c>
      <c r="U2" s="131" t="s">
        <v>76</v>
      </c>
      <c r="V2" s="161" t="s">
        <v>81</v>
      </c>
      <c r="W2" s="4"/>
      <c r="X2" s="4"/>
      <c r="Y2" s="39"/>
      <c r="Z2" s="39"/>
      <c r="AA2" s="39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38" ht="14.1" customHeight="1">
      <c r="A3" s="162">
        <v>11054</v>
      </c>
      <c r="B3" s="163" t="s">
        <v>125</v>
      </c>
      <c r="C3" s="164" t="str">
        <f>Rollover!A3</f>
        <v>Chevrolet</v>
      </c>
      <c r="D3" s="164" t="str">
        <f>Rollover!B3</f>
        <v>Trailblazer SUV FWD (Later Release)</v>
      </c>
      <c r="E3" s="62" t="s">
        <v>126</v>
      </c>
      <c r="F3" s="165">
        <f>Rollover!C3</f>
        <v>2021</v>
      </c>
      <c r="G3" s="166">
        <v>336.51400000000001</v>
      </c>
      <c r="H3" s="9">
        <v>16.571999999999999</v>
      </c>
      <c r="I3" s="9">
        <v>37.764000000000003</v>
      </c>
      <c r="J3" s="167">
        <v>18.177</v>
      </c>
      <c r="K3" s="10">
        <v>2630.681</v>
      </c>
      <c r="L3" s="21">
        <f t="shared" ref="L3:L5" si="0">NORMDIST(LN(G3),7.45231,0.73998,1)</f>
        <v>1.3631823406957523E-2</v>
      </c>
      <c r="M3" s="22">
        <f t="shared" ref="M3:M5" si="1">1/(1+EXP(6.3055-0.00094*K3))</f>
        <v>2.1193076434665531E-2</v>
      </c>
      <c r="N3" s="21">
        <f t="shared" ref="N3:N5" si="2">ROUND(1-(1-L3)*(1-M3),3)</f>
        <v>3.5000000000000003E-2</v>
      </c>
      <c r="O3" s="5">
        <f t="shared" ref="O3:O5" si="3">ROUND(N3/0.15,2)</f>
        <v>0.23</v>
      </c>
      <c r="P3" s="20">
        <f t="shared" ref="P3:P5" si="4">IF(O3&lt;0.67,5,IF(O3&lt;1,4,IF(O3&lt;1.33,3,IF(O3&lt;2.67,2,1))))</f>
        <v>5</v>
      </c>
      <c r="Q3" s="168">
        <f>ROUND((0.8*'Side MDB'!W3+0.2*'Side Pole'!N3),3)</f>
        <v>6.8000000000000005E-2</v>
      </c>
      <c r="R3" s="169">
        <f t="shared" ref="R3:R5" si="5">ROUND((Q3)/0.15,2)</f>
        <v>0.45</v>
      </c>
      <c r="S3" s="20">
        <f t="shared" ref="S3:S5" si="6">IF(R3&lt;0.67,5,IF(R3&lt;1,4,IF(R3&lt;1.33,3,IF(R3&lt;2.67,2,1))))</f>
        <v>5</v>
      </c>
      <c r="T3" s="168">
        <f>ROUND(((0.8*'Side MDB'!W3+0.2*'Side Pole'!N3)+(IF('Side MDB'!X3="N/A",(0.8*'Side MDB'!W3+0.2*'Side Pole'!N3),'Side MDB'!X3)))/2,3)</f>
        <v>4.2000000000000003E-2</v>
      </c>
      <c r="U3" s="169">
        <f t="shared" ref="U3:U5" si="7">ROUND((T3)/0.15,2)</f>
        <v>0.28000000000000003</v>
      </c>
      <c r="V3" s="20">
        <f t="shared" ref="V3:V5" si="8">IF(U3&lt;0.67,5,IF(U3&lt;1,4,IF(U3&lt;1.33,3,IF(U3&lt;2.67,2,1))))</f>
        <v>5</v>
      </c>
      <c r="W3" s="13"/>
      <c r="X3" s="13"/>
      <c r="Y3" s="170"/>
      <c r="Z3" s="170"/>
      <c r="AA3" s="170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</row>
    <row r="4" spans="1:38" ht="14.1" customHeight="1">
      <c r="A4" s="162">
        <v>11054</v>
      </c>
      <c r="B4" s="163" t="s">
        <v>125</v>
      </c>
      <c r="C4" s="164" t="str">
        <f>Rollover!A4</f>
        <v>Chevrolet</v>
      </c>
      <c r="D4" s="164" t="str">
        <f>Rollover!B4</f>
        <v>Trailblazer SUV AWD (Later Release)</v>
      </c>
      <c r="E4" s="62" t="s">
        <v>126</v>
      </c>
      <c r="F4" s="165">
        <f>Rollover!C4</f>
        <v>2021</v>
      </c>
      <c r="G4" s="166">
        <v>336.51400000000001</v>
      </c>
      <c r="H4" s="9">
        <v>16.571999999999999</v>
      </c>
      <c r="I4" s="9">
        <v>37.764000000000003</v>
      </c>
      <c r="J4" s="167">
        <v>18.177</v>
      </c>
      <c r="K4" s="10">
        <v>2630.681</v>
      </c>
      <c r="L4" s="21">
        <f t="shared" si="0"/>
        <v>1.3631823406957523E-2</v>
      </c>
      <c r="M4" s="22">
        <f t="shared" si="1"/>
        <v>2.1193076434665531E-2</v>
      </c>
      <c r="N4" s="21">
        <f t="shared" si="2"/>
        <v>3.5000000000000003E-2</v>
      </c>
      <c r="O4" s="5">
        <f t="shared" si="3"/>
        <v>0.23</v>
      </c>
      <c r="P4" s="20">
        <f t="shared" si="4"/>
        <v>5</v>
      </c>
      <c r="Q4" s="168">
        <f>ROUND((0.8*'Side MDB'!W4+0.2*'Side Pole'!N4),3)</f>
        <v>6.8000000000000005E-2</v>
      </c>
      <c r="R4" s="169">
        <f t="shared" si="5"/>
        <v>0.45</v>
      </c>
      <c r="S4" s="20">
        <f t="shared" si="6"/>
        <v>5</v>
      </c>
      <c r="T4" s="168">
        <f>ROUND(((0.8*'Side MDB'!W4+0.2*'Side Pole'!N4)+(IF('Side MDB'!X4="N/A",(0.8*'Side MDB'!W4+0.2*'Side Pole'!N4),'Side MDB'!X4)))/2,3)</f>
        <v>4.2000000000000003E-2</v>
      </c>
      <c r="U4" s="169">
        <f t="shared" si="7"/>
        <v>0.28000000000000003</v>
      </c>
      <c r="V4" s="20">
        <f t="shared" si="8"/>
        <v>5</v>
      </c>
      <c r="W4" s="13"/>
      <c r="X4" s="13"/>
      <c r="Y4" s="170"/>
      <c r="Z4" s="170"/>
      <c r="AA4" s="170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</row>
    <row r="5" spans="1:38" ht="14.1" customHeight="1">
      <c r="A5" s="162">
        <v>11054</v>
      </c>
      <c r="B5" s="163" t="s">
        <v>125</v>
      </c>
      <c r="C5" s="173" t="str">
        <f>Rollover!A5</f>
        <v>Buick</v>
      </c>
      <c r="D5" s="173" t="str">
        <f>Rollover!B5</f>
        <v>Encore GX SUV FWD</v>
      </c>
      <c r="E5" s="62" t="s">
        <v>126</v>
      </c>
      <c r="F5" s="165">
        <f>Rollover!C5</f>
        <v>2021</v>
      </c>
      <c r="G5" s="166">
        <v>336.51400000000001</v>
      </c>
      <c r="H5" s="9">
        <v>16.571999999999999</v>
      </c>
      <c r="I5" s="9">
        <v>37.764000000000003</v>
      </c>
      <c r="J5" s="167">
        <v>18.177</v>
      </c>
      <c r="K5" s="10">
        <v>2630.681</v>
      </c>
      <c r="L5" s="21">
        <f t="shared" si="0"/>
        <v>1.3631823406957523E-2</v>
      </c>
      <c r="M5" s="22">
        <f t="shared" si="1"/>
        <v>2.1193076434665531E-2</v>
      </c>
      <c r="N5" s="21">
        <f t="shared" si="2"/>
        <v>3.5000000000000003E-2</v>
      </c>
      <c r="O5" s="5">
        <f t="shared" si="3"/>
        <v>0.23</v>
      </c>
      <c r="P5" s="20">
        <f t="shared" si="4"/>
        <v>5</v>
      </c>
      <c r="Q5" s="168">
        <f>ROUND((0.8*'Side MDB'!W5+0.2*'Side Pole'!N5),3)</f>
        <v>6.8000000000000005E-2</v>
      </c>
      <c r="R5" s="169">
        <f t="shared" si="5"/>
        <v>0.45</v>
      </c>
      <c r="S5" s="20">
        <f t="shared" si="6"/>
        <v>5</v>
      </c>
      <c r="T5" s="168">
        <f>ROUND(((0.8*'Side MDB'!W5+0.2*'Side Pole'!N5)+(IF('Side MDB'!X5="N/A",(0.8*'Side MDB'!W5+0.2*'Side Pole'!N5),'Side MDB'!X5)))/2,3)</f>
        <v>4.2000000000000003E-2</v>
      </c>
      <c r="U5" s="169">
        <f t="shared" si="7"/>
        <v>0.28000000000000003</v>
      </c>
      <c r="V5" s="20">
        <f t="shared" si="8"/>
        <v>5</v>
      </c>
      <c r="W5" s="13"/>
      <c r="X5" s="13"/>
      <c r="Y5" s="170"/>
      <c r="Z5" s="170"/>
      <c r="AA5" s="170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</row>
    <row r="6" spans="1:38" ht="14.1" customHeight="1">
      <c r="A6" s="162">
        <v>11054</v>
      </c>
      <c r="B6" s="163" t="s">
        <v>125</v>
      </c>
      <c r="C6" s="173" t="str">
        <f>Rollover!A6</f>
        <v>Buick</v>
      </c>
      <c r="D6" s="173" t="str">
        <f>Rollover!B6</f>
        <v>Encore GX SUV AWD</v>
      </c>
      <c r="E6" s="62" t="s">
        <v>126</v>
      </c>
      <c r="F6" s="165">
        <f>Rollover!C6</f>
        <v>2021</v>
      </c>
      <c r="G6" s="166">
        <v>336.51400000000001</v>
      </c>
      <c r="H6" s="9">
        <v>16.571999999999999</v>
      </c>
      <c r="I6" s="9">
        <v>37.764000000000003</v>
      </c>
      <c r="J6" s="167">
        <v>18.177</v>
      </c>
      <c r="K6" s="10">
        <v>2630.681</v>
      </c>
      <c r="L6" s="21">
        <f t="shared" ref="L6:L22" si="9">NORMDIST(LN(G6),7.45231,0.73998,1)</f>
        <v>1.3631823406957523E-2</v>
      </c>
      <c r="M6" s="22">
        <f t="shared" ref="M6:M22" si="10">1/(1+EXP(6.3055-0.00094*K6))</f>
        <v>2.1193076434665531E-2</v>
      </c>
      <c r="N6" s="21">
        <f t="shared" ref="N6:N22" si="11">ROUND(1-(1-L6)*(1-M6),3)</f>
        <v>3.5000000000000003E-2</v>
      </c>
      <c r="O6" s="5">
        <f t="shared" ref="O6:O23" si="12">ROUND(N6/0.15,2)</f>
        <v>0.23</v>
      </c>
      <c r="P6" s="20">
        <f t="shared" ref="P6:P23" si="13">IF(O6&lt;0.67,5,IF(O6&lt;1,4,IF(O6&lt;1.33,3,IF(O6&lt;2.67,2,1))))</f>
        <v>5</v>
      </c>
      <c r="Q6" s="168">
        <f>ROUND((0.8*'Side MDB'!W6+0.2*'Side Pole'!N6),3)</f>
        <v>6.8000000000000005E-2</v>
      </c>
      <c r="R6" s="169">
        <f t="shared" ref="R6:R23" si="14">ROUND((Q6)/0.15,2)</f>
        <v>0.45</v>
      </c>
      <c r="S6" s="20">
        <f t="shared" ref="S6:S23" si="15">IF(R6&lt;0.67,5,IF(R6&lt;1,4,IF(R6&lt;1.33,3,IF(R6&lt;2.67,2,1))))</f>
        <v>5</v>
      </c>
      <c r="T6" s="168">
        <f>ROUND(((0.8*'Side MDB'!W6+0.2*'Side Pole'!N6)+(IF('Side MDB'!X6="N/A",(0.8*'Side MDB'!W6+0.2*'Side Pole'!N6),'Side MDB'!X6)))/2,3)</f>
        <v>4.2000000000000003E-2</v>
      </c>
      <c r="U6" s="169">
        <f t="shared" ref="U6:U23" si="16">ROUND((T6)/0.15,2)</f>
        <v>0.28000000000000003</v>
      </c>
      <c r="V6" s="20">
        <f t="shared" ref="V6:V23" si="17">IF(U6&lt;0.67,5,IF(U6&lt;1,4,IF(U6&lt;1.33,3,IF(U6&lt;2.67,2,1))))</f>
        <v>5</v>
      </c>
      <c r="W6" s="13"/>
      <c r="X6" s="13"/>
      <c r="Y6" s="170"/>
      <c r="Z6" s="170"/>
      <c r="AA6" s="170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</row>
    <row r="7" spans="1:38" ht="14.1" customHeight="1">
      <c r="A7" s="174">
        <v>11290</v>
      </c>
      <c r="B7" s="163" t="s">
        <v>151</v>
      </c>
      <c r="C7" s="164" t="str">
        <f>Rollover!A7</f>
        <v xml:space="preserve">Ford </v>
      </c>
      <c r="D7" s="164" t="str">
        <f>Rollover!B7</f>
        <v>Transit Connect Wagon FWD</v>
      </c>
      <c r="E7" s="62" t="s">
        <v>92</v>
      </c>
      <c r="F7" s="165">
        <f>Rollover!C7</f>
        <v>2021</v>
      </c>
      <c r="G7" s="166">
        <v>182.506</v>
      </c>
      <c r="H7" s="9">
        <v>21.222000000000001</v>
      </c>
      <c r="I7" s="9">
        <v>36.950000000000003</v>
      </c>
      <c r="J7" s="167">
        <v>22.695</v>
      </c>
      <c r="K7" s="10">
        <v>3228.5889999999999</v>
      </c>
      <c r="L7" s="21">
        <f t="shared" ref="L7:L8" si="18">NORMDIST(LN(G7),7.45231,0.73998,1)</f>
        <v>1.2043627234715223E-3</v>
      </c>
      <c r="M7" s="22">
        <f t="shared" ref="M7:M8" si="19">1/(1+EXP(6.3055-0.00094*K7))</f>
        <v>3.6592741054187881E-2</v>
      </c>
      <c r="N7" s="21">
        <f t="shared" ref="N7:N8" si="20">ROUND(1-(1-L7)*(1-M7),3)</f>
        <v>3.7999999999999999E-2</v>
      </c>
      <c r="O7" s="5">
        <f t="shared" ref="O7:O8" si="21">ROUND(N7/0.15,2)</f>
        <v>0.25</v>
      </c>
      <c r="P7" s="20">
        <f t="shared" ref="P7:P8" si="22">IF(O7&lt;0.67,5,IF(O7&lt;1,4,IF(O7&lt;1.33,3,IF(O7&lt;2.67,2,1))))</f>
        <v>5</v>
      </c>
      <c r="Q7" s="168">
        <f>ROUND((0.8*'Side MDB'!W7+0.2*'Side Pole'!N7),3)</f>
        <v>6.2E-2</v>
      </c>
      <c r="R7" s="169">
        <f t="shared" ref="R7:R8" si="23">ROUND((Q7)/0.15,2)</f>
        <v>0.41</v>
      </c>
      <c r="S7" s="20">
        <f t="shared" ref="S7:S8" si="24">IF(R7&lt;0.67,5,IF(R7&lt;1,4,IF(R7&lt;1.33,3,IF(R7&lt;2.67,2,1))))</f>
        <v>5</v>
      </c>
      <c r="T7" s="168">
        <f>ROUND(((0.8*'Side MDB'!W7+0.2*'Side Pole'!N7)+(IF('Side MDB'!X7="N/A",(0.8*'Side MDB'!W7+0.2*'Side Pole'!N7),'Side MDB'!X7)))/2,3)</f>
        <v>5.7000000000000002E-2</v>
      </c>
      <c r="U7" s="169">
        <f t="shared" ref="U7:U8" si="25">ROUND((T7)/0.15,2)</f>
        <v>0.38</v>
      </c>
      <c r="V7" s="20">
        <f t="shared" ref="V7:V8" si="26">IF(U7&lt;0.67,5,IF(U7&lt;1,4,IF(U7&lt;1.33,3,IF(U7&lt;2.67,2,1))))</f>
        <v>5</v>
      </c>
      <c r="W7" s="13"/>
      <c r="X7" s="13"/>
      <c r="Y7" s="170"/>
      <c r="Z7" s="170"/>
      <c r="AA7" s="170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</row>
    <row r="8" spans="1:38" ht="14.1" customHeight="1">
      <c r="A8" s="162">
        <v>11290</v>
      </c>
      <c r="B8" s="163" t="s">
        <v>151</v>
      </c>
      <c r="C8" s="173" t="str">
        <f>Rollover!A8</f>
        <v xml:space="preserve">Ford </v>
      </c>
      <c r="D8" s="173" t="str">
        <f>Rollover!B8</f>
        <v>Transit Connect Van FWD</v>
      </c>
      <c r="E8" s="62" t="s">
        <v>92</v>
      </c>
      <c r="F8" s="165">
        <f>Rollover!C8</f>
        <v>2021</v>
      </c>
      <c r="G8" s="166">
        <v>182.506</v>
      </c>
      <c r="H8" s="9">
        <v>21.222000000000001</v>
      </c>
      <c r="I8" s="9">
        <v>36.950000000000003</v>
      </c>
      <c r="J8" s="167">
        <v>22.695</v>
      </c>
      <c r="K8" s="10">
        <v>3228.5889999999999</v>
      </c>
      <c r="L8" s="21">
        <f t="shared" si="18"/>
        <v>1.2043627234715223E-3</v>
      </c>
      <c r="M8" s="22">
        <f t="shared" si="19"/>
        <v>3.6592741054187881E-2</v>
      </c>
      <c r="N8" s="21">
        <f t="shared" si="20"/>
        <v>3.7999999999999999E-2</v>
      </c>
      <c r="O8" s="5">
        <f t="shared" si="21"/>
        <v>0.25</v>
      </c>
      <c r="P8" s="20">
        <f t="shared" si="22"/>
        <v>5</v>
      </c>
      <c r="Q8" s="168">
        <f>ROUND((0.8*'Side MDB'!W8+0.2*'Side Pole'!N8),3)</f>
        <v>6.2E-2</v>
      </c>
      <c r="R8" s="169">
        <f t="shared" si="23"/>
        <v>0.41</v>
      </c>
      <c r="S8" s="20">
        <f t="shared" si="24"/>
        <v>5</v>
      </c>
      <c r="T8" s="168">
        <f>ROUND(((0.8*'Side MDB'!W8+0.2*'Side Pole'!N8)+(IF('Side MDB'!X8="N/A",(0.8*'Side MDB'!W8+0.2*'Side Pole'!N8),'Side MDB'!X8)))/2,3)</f>
        <v>6.2E-2</v>
      </c>
      <c r="U8" s="169">
        <f t="shared" si="25"/>
        <v>0.41</v>
      </c>
      <c r="V8" s="20">
        <f t="shared" si="26"/>
        <v>5</v>
      </c>
      <c r="W8" s="13"/>
      <c r="X8" s="13"/>
      <c r="Y8" s="170"/>
      <c r="Z8" s="170"/>
      <c r="AA8" s="170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14.1" customHeight="1">
      <c r="A9" s="162">
        <v>11269</v>
      </c>
      <c r="B9" s="163" t="s">
        <v>142</v>
      </c>
      <c r="C9" s="164" t="str">
        <f>Rollover!A9</f>
        <v>Kia</v>
      </c>
      <c r="D9" s="164" t="str">
        <f>Rollover!B9</f>
        <v>K5 4DR FWD</v>
      </c>
      <c r="E9" s="62" t="s">
        <v>92</v>
      </c>
      <c r="F9" s="165">
        <f>Rollover!C9</f>
        <v>2021</v>
      </c>
      <c r="G9" s="166">
        <v>296.85399999999998</v>
      </c>
      <c r="H9" s="9">
        <v>23.672999999999998</v>
      </c>
      <c r="I9" s="9">
        <v>31.783999999999999</v>
      </c>
      <c r="J9" s="167">
        <v>15.914</v>
      </c>
      <c r="K9" s="167">
        <v>2621.0100000000002</v>
      </c>
      <c r="L9" s="21">
        <f t="shared" si="9"/>
        <v>8.7226614174344165E-3</v>
      </c>
      <c r="M9" s="22">
        <f t="shared" si="10"/>
        <v>2.1005317314864116E-2</v>
      </c>
      <c r="N9" s="21">
        <f t="shared" si="11"/>
        <v>0.03</v>
      </c>
      <c r="O9" s="5">
        <f t="shared" si="12"/>
        <v>0.2</v>
      </c>
      <c r="P9" s="20">
        <f t="shared" si="13"/>
        <v>5</v>
      </c>
      <c r="Q9" s="168">
        <f>ROUND((0.8*'Side MDB'!W9+0.2*'Side Pole'!N9),3)</f>
        <v>5.6000000000000001E-2</v>
      </c>
      <c r="R9" s="169">
        <f t="shared" si="14"/>
        <v>0.37</v>
      </c>
      <c r="S9" s="20">
        <f t="shared" si="15"/>
        <v>5</v>
      </c>
      <c r="T9" s="168">
        <f>ROUND(((0.8*'Side MDB'!W9+0.2*'Side Pole'!N9)+(IF('Side MDB'!X9="N/A",(0.8*'Side MDB'!W9+0.2*'Side Pole'!N9),'Side MDB'!X9)))/2,3)</f>
        <v>4.3999999999999997E-2</v>
      </c>
      <c r="U9" s="169">
        <f t="shared" si="16"/>
        <v>0.28999999999999998</v>
      </c>
      <c r="V9" s="20">
        <f t="shared" si="17"/>
        <v>5</v>
      </c>
      <c r="W9" s="13"/>
      <c r="X9" s="13"/>
      <c r="Y9" s="170"/>
      <c r="Z9" s="170"/>
      <c r="AA9" s="170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14.1" customHeight="1">
      <c r="A10" s="174">
        <v>11078</v>
      </c>
      <c r="B10" s="163" t="s">
        <v>91</v>
      </c>
      <c r="C10" s="164" t="str">
        <f>Rollover!A10</f>
        <v>Kia</v>
      </c>
      <c r="D10" s="164" t="str">
        <f>Rollover!B10</f>
        <v>Seltos SUV FWD</v>
      </c>
      <c r="E10" s="62" t="s">
        <v>92</v>
      </c>
      <c r="F10" s="165">
        <f>Rollover!C10</f>
        <v>2021</v>
      </c>
      <c r="G10" s="166">
        <v>225.005</v>
      </c>
      <c r="H10" s="9">
        <v>21.611000000000001</v>
      </c>
      <c r="I10" s="9">
        <v>32.741999999999997</v>
      </c>
      <c r="J10" s="167">
        <v>13.589</v>
      </c>
      <c r="K10" s="10">
        <v>1927.626</v>
      </c>
      <c r="L10" s="21">
        <f t="shared" si="9"/>
        <v>2.964530963824544E-3</v>
      </c>
      <c r="M10" s="22">
        <f t="shared" si="10"/>
        <v>1.1057452974636553E-2</v>
      </c>
      <c r="N10" s="21">
        <f t="shared" si="11"/>
        <v>1.4E-2</v>
      </c>
      <c r="O10" s="5">
        <f t="shared" si="12"/>
        <v>0.09</v>
      </c>
      <c r="P10" s="20">
        <f t="shared" si="13"/>
        <v>5</v>
      </c>
      <c r="Q10" s="168">
        <f>ROUND((0.8*'Side MDB'!W10+0.2*'Side Pole'!N10),3)</f>
        <v>6.8000000000000005E-2</v>
      </c>
      <c r="R10" s="169">
        <f t="shared" si="14"/>
        <v>0.45</v>
      </c>
      <c r="S10" s="20">
        <f t="shared" si="15"/>
        <v>5</v>
      </c>
      <c r="T10" s="168">
        <f>ROUND(((0.8*'Side MDB'!W10+0.2*'Side Pole'!N10)+(IF('Side MDB'!X10="N/A",(0.8*'Side MDB'!W10+0.2*'Side Pole'!N10),'Side MDB'!X10)))/2,3)</f>
        <v>5.6000000000000001E-2</v>
      </c>
      <c r="U10" s="169">
        <f t="shared" si="16"/>
        <v>0.37</v>
      </c>
      <c r="V10" s="20">
        <f t="shared" si="17"/>
        <v>5</v>
      </c>
      <c r="W10" s="13"/>
      <c r="X10" s="13"/>
      <c r="Y10" s="170"/>
      <c r="Z10" s="170"/>
      <c r="AA10" s="170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14.1" customHeight="1">
      <c r="A11" s="162">
        <v>11078</v>
      </c>
      <c r="B11" s="163" t="s">
        <v>91</v>
      </c>
      <c r="C11" s="164" t="str">
        <f>Rollover!A11</f>
        <v>Kia</v>
      </c>
      <c r="D11" s="164" t="str">
        <f>Rollover!B11</f>
        <v>Seltos SUV AWD</v>
      </c>
      <c r="E11" s="62" t="s">
        <v>92</v>
      </c>
      <c r="F11" s="165">
        <f>Rollover!C11</f>
        <v>2021</v>
      </c>
      <c r="G11" s="166">
        <v>225.005</v>
      </c>
      <c r="H11" s="9">
        <v>21.611000000000001</v>
      </c>
      <c r="I11" s="9">
        <v>32.741999999999997</v>
      </c>
      <c r="J11" s="167">
        <v>13.589</v>
      </c>
      <c r="K11" s="10">
        <v>1927.626</v>
      </c>
      <c r="L11" s="21">
        <f t="shared" si="9"/>
        <v>2.964530963824544E-3</v>
      </c>
      <c r="M11" s="22">
        <f t="shared" si="10"/>
        <v>1.1057452974636553E-2</v>
      </c>
      <c r="N11" s="21">
        <f t="shared" si="11"/>
        <v>1.4E-2</v>
      </c>
      <c r="O11" s="5">
        <f t="shared" si="12"/>
        <v>0.09</v>
      </c>
      <c r="P11" s="20">
        <f t="shared" si="13"/>
        <v>5</v>
      </c>
      <c r="Q11" s="168">
        <f>ROUND((0.8*'Side MDB'!W11+0.2*'Side Pole'!N11),3)</f>
        <v>6.8000000000000005E-2</v>
      </c>
      <c r="R11" s="169">
        <f t="shared" si="14"/>
        <v>0.45</v>
      </c>
      <c r="S11" s="20">
        <f t="shared" si="15"/>
        <v>5</v>
      </c>
      <c r="T11" s="168">
        <f>ROUND(((0.8*'Side MDB'!W11+0.2*'Side Pole'!N11)+(IF('Side MDB'!X11="N/A",(0.8*'Side MDB'!W11+0.2*'Side Pole'!N11),'Side MDB'!X11)))/2,3)</f>
        <v>5.6000000000000001E-2</v>
      </c>
      <c r="U11" s="169">
        <f t="shared" si="16"/>
        <v>0.37</v>
      </c>
      <c r="V11" s="20">
        <f t="shared" si="17"/>
        <v>5</v>
      </c>
      <c r="W11" s="13"/>
      <c r="X11" s="13"/>
      <c r="Y11" s="170"/>
      <c r="Z11" s="170"/>
      <c r="AA11" s="170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14.1" customHeight="1">
      <c r="A12" s="163">
        <v>9584</v>
      </c>
      <c r="B12" s="163" t="s">
        <v>129</v>
      </c>
      <c r="C12" s="164" t="str">
        <f>Rollover!A12</f>
        <v>Lexus</v>
      </c>
      <c r="D12" s="164" t="str">
        <f>Rollover!B12</f>
        <v>RX 350 SUV FWD</v>
      </c>
      <c r="E12" s="62" t="s">
        <v>92</v>
      </c>
      <c r="F12" s="165">
        <f>Rollover!C12</f>
        <v>2021</v>
      </c>
      <c r="G12" s="166">
        <v>274.66899999999998</v>
      </c>
      <c r="H12" s="9">
        <v>17.404</v>
      </c>
      <c r="I12" s="9">
        <v>44.133000000000003</v>
      </c>
      <c r="J12" s="167">
        <v>23.085000000000001</v>
      </c>
      <c r="K12" s="167">
        <v>3046.7280000000001</v>
      </c>
      <c r="L12" s="21">
        <f t="shared" si="9"/>
        <v>6.5295672439673645E-3</v>
      </c>
      <c r="M12" s="22">
        <f t="shared" si="10"/>
        <v>3.1021086128331075E-2</v>
      </c>
      <c r="N12" s="21">
        <f t="shared" si="11"/>
        <v>3.6999999999999998E-2</v>
      </c>
      <c r="O12" s="5">
        <f t="shared" si="12"/>
        <v>0.25</v>
      </c>
      <c r="P12" s="20">
        <f t="shared" si="13"/>
        <v>5</v>
      </c>
      <c r="Q12" s="168">
        <f>ROUND((0.8*'Side MDB'!W12+0.2*'Side Pole'!N12),3)</f>
        <v>3.2000000000000001E-2</v>
      </c>
      <c r="R12" s="169">
        <f t="shared" si="14"/>
        <v>0.21</v>
      </c>
      <c r="S12" s="20">
        <f t="shared" si="15"/>
        <v>5</v>
      </c>
      <c r="T12" s="168">
        <f>ROUND(((0.8*'Side MDB'!W12+0.2*'Side Pole'!N12)+(IF('Side MDB'!X12="N/A",(0.8*'Side MDB'!W12+0.2*'Side Pole'!N12),'Side MDB'!X12)))/2,3)</f>
        <v>2.7E-2</v>
      </c>
      <c r="U12" s="169">
        <f t="shared" si="16"/>
        <v>0.18</v>
      </c>
      <c r="V12" s="20">
        <f t="shared" si="17"/>
        <v>5</v>
      </c>
      <c r="W12" s="13"/>
      <c r="X12" s="13"/>
      <c r="Y12" s="170"/>
      <c r="Z12" s="170"/>
      <c r="AA12" s="170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1:38" ht="14.1" customHeight="1">
      <c r="A13" s="163">
        <v>9584</v>
      </c>
      <c r="B13" s="163" t="s">
        <v>129</v>
      </c>
      <c r="C13" s="164" t="str">
        <f>Rollover!A13</f>
        <v>Lexus</v>
      </c>
      <c r="D13" s="164" t="str">
        <f>Rollover!B13</f>
        <v>RX 350 SUV AWD</v>
      </c>
      <c r="E13" s="62" t="s">
        <v>92</v>
      </c>
      <c r="F13" s="165">
        <f>Rollover!C13</f>
        <v>2021</v>
      </c>
      <c r="G13" s="166">
        <v>274.66899999999998</v>
      </c>
      <c r="H13" s="9">
        <v>17.404</v>
      </c>
      <c r="I13" s="9">
        <v>44.133000000000003</v>
      </c>
      <c r="J13" s="167">
        <v>23.085000000000001</v>
      </c>
      <c r="K13" s="167">
        <v>3046.7280000000001</v>
      </c>
      <c r="L13" s="21">
        <f t="shared" si="9"/>
        <v>6.5295672439673645E-3</v>
      </c>
      <c r="M13" s="22">
        <f t="shared" si="10"/>
        <v>3.1021086128331075E-2</v>
      </c>
      <c r="N13" s="21">
        <f t="shared" si="11"/>
        <v>3.6999999999999998E-2</v>
      </c>
      <c r="O13" s="5">
        <f t="shared" si="12"/>
        <v>0.25</v>
      </c>
      <c r="P13" s="20">
        <f t="shared" si="13"/>
        <v>5</v>
      </c>
      <c r="Q13" s="168">
        <f>ROUND((0.8*'Side MDB'!W13+0.2*'Side Pole'!N13),3)</f>
        <v>3.2000000000000001E-2</v>
      </c>
      <c r="R13" s="169">
        <f t="shared" si="14"/>
        <v>0.21</v>
      </c>
      <c r="S13" s="20">
        <f t="shared" si="15"/>
        <v>5</v>
      </c>
      <c r="T13" s="168">
        <f>ROUND(((0.8*'Side MDB'!W13+0.2*'Side Pole'!N13)+(IF('Side MDB'!X13="N/A",(0.8*'Side MDB'!W13+0.2*'Side Pole'!N13),'Side MDB'!X13)))/2,3)</f>
        <v>2.7E-2</v>
      </c>
      <c r="U13" s="169">
        <f t="shared" si="16"/>
        <v>0.18</v>
      </c>
      <c r="V13" s="20">
        <f t="shared" si="17"/>
        <v>5</v>
      </c>
      <c r="W13" s="13"/>
      <c r="X13" s="13"/>
      <c r="Y13" s="170"/>
      <c r="Z13" s="170"/>
      <c r="AA13" s="170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1:38" ht="14.1" customHeight="1">
      <c r="A14" s="163">
        <v>9584</v>
      </c>
      <c r="B14" s="163" t="s">
        <v>129</v>
      </c>
      <c r="C14" s="173" t="str">
        <f>Rollover!A14</f>
        <v>Lexus</v>
      </c>
      <c r="D14" s="173" t="str">
        <f>Rollover!B14</f>
        <v>RX 350L SUV FWD</v>
      </c>
      <c r="E14" s="62" t="s">
        <v>92</v>
      </c>
      <c r="F14" s="165">
        <f>Rollover!C14</f>
        <v>2021</v>
      </c>
      <c r="G14" s="166">
        <v>274.66899999999998</v>
      </c>
      <c r="H14" s="9">
        <v>17.404</v>
      </c>
      <c r="I14" s="9">
        <v>44.133000000000003</v>
      </c>
      <c r="J14" s="167">
        <v>23.085000000000001</v>
      </c>
      <c r="K14" s="167">
        <v>3046.7280000000001</v>
      </c>
      <c r="L14" s="21">
        <f t="shared" si="9"/>
        <v>6.5295672439673645E-3</v>
      </c>
      <c r="M14" s="22">
        <f t="shared" si="10"/>
        <v>3.1021086128331075E-2</v>
      </c>
      <c r="N14" s="21">
        <f t="shared" si="11"/>
        <v>3.6999999999999998E-2</v>
      </c>
      <c r="O14" s="5">
        <f t="shared" si="12"/>
        <v>0.25</v>
      </c>
      <c r="P14" s="20">
        <f t="shared" si="13"/>
        <v>5</v>
      </c>
      <c r="Q14" s="168">
        <f>ROUND((0.8*'Side MDB'!W14+0.2*'Side Pole'!N14),3)</f>
        <v>3.2000000000000001E-2</v>
      </c>
      <c r="R14" s="169">
        <f t="shared" si="14"/>
        <v>0.21</v>
      </c>
      <c r="S14" s="20">
        <f t="shared" si="15"/>
        <v>5</v>
      </c>
      <c r="T14" s="168">
        <f>ROUND(((0.8*'Side MDB'!W14+0.2*'Side Pole'!N14)+(IF('Side MDB'!X14="N/A",(0.8*'Side MDB'!W14+0.2*'Side Pole'!N14),'Side MDB'!X14)))/2,3)</f>
        <v>2.7E-2</v>
      </c>
      <c r="U14" s="169">
        <f t="shared" si="16"/>
        <v>0.18</v>
      </c>
      <c r="V14" s="20">
        <f t="shared" si="17"/>
        <v>5</v>
      </c>
      <c r="W14" s="13"/>
      <c r="X14" s="13"/>
      <c r="Y14" s="170"/>
      <c r="Z14" s="170"/>
      <c r="AA14" s="170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5" spans="1:38" ht="12" customHeight="1">
      <c r="A15" s="163">
        <v>9584</v>
      </c>
      <c r="B15" s="163" t="s">
        <v>129</v>
      </c>
      <c r="C15" s="173" t="str">
        <f>Rollover!A15</f>
        <v>Lexus</v>
      </c>
      <c r="D15" s="173" t="str">
        <f>Rollover!B15</f>
        <v>RX 350L SUV AWD</v>
      </c>
      <c r="E15" s="62" t="s">
        <v>92</v>
      </c>
      <c r="F15" s="165">
        <f>Rollover!C15</f>
        <v>2021</v>
      </c>
      <c r="G15" s="166">
        <v>274.66899999999998</v>
      </c>
      <c r="H15" s="9">
        <v>17.404</v>
      </c>
      <c r="I15" s="9">
        <v>44.133000000000003</v>
      </c>
      <c r="J15" s="167">
        <v>23.085000000000001</v>
      </c>
      <c r="K15" s="167">
        <v>3046.7280000000001</v>
      </c>
      <c r="L15" s="21">
        <f t="shared" si="9"/>
        <v>6.5295672439673645E-3</v>
      </c>
      <c r="M15" s="22">
        <f t="shared" si="10"/>
        <v>3.1021086128331075E-2</v>
      </c>
      <c r="N15" s="21">
        <f t="shared" si="11"/>
        <v>3.6999999999999998E-2</v>
      </c>
      <c r="O15" s="5">
        <f t="shared" si="12"/>
        <v>0.25</v>
      </c>
      <c r="P15" s="20">
        <f t="shared" si="13"/>
        <v>5</v>
      </c>
      <c r="Q15" s="168">
        <f>ROUND((0.8*'Side MDB'!W15+0.2*'Side Pole'!N15),3)</f>
        <v>3.2000000000000001E-2</v>
      </c>
      <c r="R15" s="169">
        <f t="shared" si="14"/>
        <v>0.21</v>
      </c>
      <c r="S15" s="20">
        <f t="shared" si="15"/>
        <v>5</v>
      </c>
      <c r="T15" s="168">
        <f>ROUND(((0.8*'Side MDB'!W15+0.2*'Side Pole'!N15)+(IF('Side MDB'!X15="N/A",(0.8*'Side MDB'!W15+0.2*'Side Pole'!N15),'Side MDB'!X15)))/2,3)</f>
        <v>2.7E-2</v>
      </c>
      <c r="U15" s="169">
        <f t="shared" si="16"/>
        <v>0.18</v>
      </c>
      <c r="V15" s="20">
        <f t="shared" si="17"/>
        <v>5</v>
      </c>
      <c r="W15" s="13"/>
      <c r="X15" s="13"/>
      <c r="Y15" s="170"/>
      <c r="Z15" s="170"/>
      <c r="AA15" s="170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</row>
    <row r="16" spans="1:38" ht="14.1" customHeight="1">
      <c r="A16" s="163">
        <v>9584</v>
      </c>
      <c r="B16" s="163" t="s">
        <v>129</v>
      </c>
      <c r="C16" s="173" t="str">
        <f>Rollover!A16</f>
        <v>Lexus</v>
      </c>
      <c r="D16" s="173" t="str">
        <f>Rollover!B16</f>
        <v>RX 450h SUV AWD</v>
      </c>
      <c r="E16" s="62" t="s">
        <v>92</v>
      </c>
      <c r="F16" s="165">
        <f>Rollover!C16</f>
        <v>2021</v>
      </c>
      <c r="G16" s="166">
        <v>274.66899999999998</v>
      </c>
      <c r="H16" s="9">
        <v>17.404</v>
      </c>
      <c r="I16" s="9">
        <v>44.133000000000003</v>
      </c>
      <c r="J16" s="167">
        <v>23.085000000000001</v>
      </c>
      <c r="K16" s="167">
        <v>3046.7280000000001</v>
      </c>
      <c r="L16" s="21">
        <f t="shared" si="9"/>
        <v>6.5295672439673645E-3</v>
      </c>
      <c r="M16" s="22">
        <f t="shared" si="10"/>
        <v>3.1021086128331075E-2</v>
      </c>
      <c r="N16" s="21">
        <f t="shared" si="11"/>
        <v>3.6999999999999998E-2</v>
      </c>
      <c r="O16" s="5">
        <f t="shared" si="12"/>
        <v>0.25</v>
      </c>
      <c r="P16" s="20">
        <f t="shared" si="13"/>
        <v>5</v>
      </c>
      <c r="Q16" s="168">
        <f>ROUND((0.8*'Side MDB'!W16+0.2*'Side Pole'!N16),3)</f>
        <v>3.2000000000000001E-2</v>
      </c>
      <c r="R16" s="169">
        <f t="shared" si="14"/>
        <v>0.21</v>
      </c>
      <c r="S16" s="20">
        <f t="shared" si="15"/>
        <v>5</v>
      </c>
      <c r="T16" s="168">
        <f>ROUND(((0.8*'Side MDB'!W16+0.2*'Side Pole'!N16)+(IF('Side MDB'!X16="N/A",(0.8*'Side MDB'!W16+0.2*'Side Pole'!N16),'Side MDB'!X16)))/2,3)</f>
        <v>2.7E-2</v>
      </c>
      <c r="U16" s="169">
        <f t="shared" si="16"/>
        <v>0.18</v>
      </c>
      <c r="V16" s="20">
        <f t="shared" si="17"/>
        <v>5</v>
      </c>
      <c r="W16" s="13"/>
      <c r="X16" s="13"/>
      <c r="Y16" s="170"/>
      <c r="Z16" s="170"/>
      <c r="AA16" s="170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</row>
    <row r="17" spans="1:38" ht="14.1" customHeight="1">
      <c r="A17" s="163">
        <v>9584</v>
      </c>
      <c r="B17" s="163" t="s">
        <v>129</v>
      </c>
      <c r="C17" s="173" t="str">
        <f>Rollover!A17</f>
        <v>Lexus</v>
      </c>
      <c r="D17" s="173" t="str">
        <f>Rollover!B17</f>
        <v>RX 450hL SUV AWD</v>
      </c>
      <c r="E17" s="62" t="s">
        <v>92</v>
      </c>
      <c r="F17" s="165">
        <f>Rollover!C17</f>
        <v>2021</v>
      </c>
      <c r="G17" s="166">
        <v>274.66899999999998</v>
      </c>
      <c r="H17" s="9">
        <v>17.404</v>
      </c>
      <c r="I17" s="9">
        <v>44.133000000000003</v>
      </c>
      <c r="J17" s="167">
        <v>23.085000000000001</v>
      </c>
      <c r="K17" s="167">
        <v>3046.7280000000001</v>
      </c>
      <c r="L17" s="21">
        <f t="shared" si="9"/>
        <v>6.5295672439673645E-3</v>
      </c>
      <c r="M17" s="22">
        <f t="shared" si="10"/>
        <v>3.1021086128331075E-2</v>
      </c>
      <c r="N17" s="21">
        <f t="shared" si="11"/>
        <v>3.6999999999999998E-2</v>
      </c>
      <c r="O17" s="5">
        <f t="shared" si="12"/>
        <v>0.25</v>
      </c>
      <c r="P17" s="20">
        <f t="shared" si="13"/>
        <v>5</v>
      </c>
      <c r="Q17" s="168">
        <f>ROUND((0.8*'Side MDB'!W17+0.2*'Side Pole'!N17),3)</f>
        <v>3.2000000000000001E-2</v>
      </c>
      <c r="R17" s="169">
        <f t="shared" si="14"/>
        <v>0.21</v>
      </c>
      <c r="S17" s="20">
        <f t="shared" si="15"/>
        <v>5</v>
      </c>
      <c r="T17" s="168">
        <f>ROUND(((0.8*'Side MDB'!W17+0.2*'Side Pole'!N17)+(IF('Side MDB'!X17="N/A",(0.8*'Side MDB'!W17+0.2*'Side Pole'!N17),'Side MDB'!X17)))/2,3)</f>
        <v>2.7E-2</v>
      </c>
      <c r="U17" s="169">
        <f t="shared" si="16"/>
        <v>0.18</v>
      </c>
      <c r="V17" s="20">
        <f t="shared" si="17"/>
        <v>5</v>
      </c>
      <c r="W17" s="13"/>
      <c r="X17" s="13"/>
      <c r="Y17" s="170"/>
      <c r="Z17" s="170"/>
      <c r="AA17" s="170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</row>
    <row r="18" spans="1:38" ht="14.1" customHeight="1">
      <c r="A18" s="163">
        <v>9994</v>
      </c>
      <c r="B18" s="163" t="s">
        <v>131</v>
      </c>
      <c r="C18" s="164" t="str">
        <f>Rollover!A18</f>
        <v>Mercedes-Benz</v>
      </c>
      <c r="D18" s="164" t="str">
        <f>Rollover!B18</f>
        <v>E-Class 4DR RWD</v>
      </c>
      <c r="E18" s="62" t="s">
        <v>124</v>
      </c>
      <c r="F18" s="165">
        <f>Rollover!C18</f>
        <v>2021</v>
      </c>
      <c r="G18" s="166">
        <v>326.46600000000001</v>
      </c>
      <c r="H18" s="9">
        <v>18.033000000000001</v>
      </c>
      <c r="I18" s="9">
        <v>42.878999999999998</v>
      </c>
      <c r="J18" s="167">
        <v>21.378</v>
      </c>
      <c r="K18" s="167">
        <v>3719.7150000000001</v>
      </c>
      <c r="L18" s="21">
        <f t="shared" si="9"/>
        <v>1.2266174645319287E-2</v>
      </c>
      <c r="M18" s="22">
        <f t="shared" si="10"/>
        <v>5.6841486938133429E-2</v>
      </c>
      <c r="N18" s="21">
        <f t="shared" si="11"/>
        <v>6.8000000000000005E-2</v>
      </c>
      <c r="O18" s="5">
        <f t="shared" si="12"/>
        <v>0.45</v>
      </c>
      <c r="P18" s="20">
        <f t="shared" si="13"/>
        <v>5</v>
      </c>
      <c r="Q18" s="168">
        <f>ROUND((0.8*'Side MDB'!W18+0.2*'Side Pole'!N18),3)</f>
        <v>6.5000000000000002E-2</v>
      </c>
      <c r="R18" s="169">
        <f t="shared" si="14"/>
        <v>0.43</v>
      </c>
      <c r="S18" s="20">
        <f t="shared" si="15"/>
        <v>5</v>
      </c>
      <c r="T18" s="168">
        <f>ROUND(((0.8*'Side MDB'!W18+0.2*'Side Pole'!N18)+(IF('Side MDB'!X18="N/A",(0.8*'Side MDB'!W18+0.2*'Side Pole'!N18),'Side MDB'!X18)))/2,3)</f>
        <v>4.3999999999999997E-2</v>
      </c>
      <c r="U18" s="169">
        <f t="shared" si="16"/>
        <v>0.28999999999999998</v>
      </c>
      <c r="V18" s="20">
        <f t="shared" si="17"/>
        <v>5</v>
      </c>
      <c r="W18" s="13"/>
      <c r="X18" s="13"/>
      <c r="Y18" s="170"/>
      <c r="Z18" s="170"/>
      <c r="AA18" s="170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</row>
    <row r="19" spans="1:38" ht="14.1" customHeight="1">
      <c r="A19" s="163">
        <v>9994</v>
      </c>
      <c r="B19" s="163" t="s">
        <v>131</v>
      </c>
      <c r="C19" s="164" t="str">
        <f>Rollover!A19</f>
        <v>Mercedes-Benz</v>
      </c>
      <c r="D19" s="164" t="str">
        <f>Rollover!B19</f>
        <v>E-Class 4DR 4WD</v>
      </c>
      <c r="E19" s="62" t="s">
        <v>124</v>
      </c>
      <c r="F19" s="165">
        <f>Rollover!C19</f>
        <v>2021</v>
      </c>
      <c r="G19" s="166">
        <v>326.46600000000001</v>
      </c>
      <c r="H19" s="9">
        <v>18.033000000000001</v>
      </c>
      <c r="I19" s="9">
        <v>42.878999999999998</v>
      </c>
      <c r="J19" s="167">
        <v>21.378</v>
      </c>
      <c r="K19" s="167">
        <v>3719.7150000000001</v>
      </c>
      <c r="L19" s="21">
        <f t="shared" si="9"/>
        <v>1.2266174645319287E-2</v>
      </c>
      <c r="M19" s="22">
        <f t="shared" si="10"/>
        <v>5.6841486938133429E-2</v>
      </c>
      <c r="N19" s="21">
        <f t="shared" si="11"/>
        <v>6.8000000000000005E-2</v>
      </c>
      <c r="O19" s="5">
        <f t="shared" si="12"/>
        <v>0.45</v>
      </c>
      <c r="P19" s="20">
        <f t="shared" si="13"/>
        <v>5</v>
      </c>
      <c r="Q19" s="168">
        <f>ROUND((0.8*'Side MDB'!W19+0.2*'Side Pole'!N19),3)</f>
        <v>6.5000000000000002E-2</v>
      </c>
      <c r="R19" s="169">
        <f t="shared" si="14"/>
        <v>0.43</v>
      </c>
      <c r="S19" s="20">
        <f t="shared" si="15"/>
        <v>5</v>
      </c>
      <c r="T19" s="168">
        <f>ROUND(((0.8*'Side MDB'!W19+0.2*'Side Pole'!N19)+(IF('Side MDB'!X19="N/A",(0.8*'Side MDB'!W19+0.2*'Side Pole'!N19),'Side MDB'!X19)))/2,3)</f>
        <v>4.3999999999999997E-2</v>
      </c>
      <c r="U19" s="169">
        <f t="shared" si="16"/>
        <v>0.28999999999999998</v>
      </c>
      <c r="V19" s="20">
        <f t="shared" si="17"/>
        <v>5</v>
      </c>
      <c r="W19" s="13"/>
      <c r="X19" s="13"/>
      <c r="Y19" s="170"/>
      <c r="Z19" s="170"/>
      <c r="AA19" s="170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</row>
    <row r="20" spans="1:38" ht="14.1" customHeight="1">
      <c r="A20" s="163">
        <v>9994</v>
      </c>
      <c r="B20" s="163" t="s">
        <v>131</v>
      </c>
      <c r="C20" s="173" t="str">
        <f>Rollover!A20</f>
        <v>Mercedes-Benz</v>
      </c>
      <c r="D20" s="173" t="str">
        <f>Rollover!B20</f>
        <v>E-Class SW RWD</v>
      </c>
      <c r="E20" s="62" t="s">
        <v>124</v>
      </c>
      <c r="F20" s="165">
        <f>Rollover!C20</f>
        <v>2021</v>
      </c>
      <c r="G20" s="166">
        <v>326.46600000000001</v>
      </c>
      <c r="H20" s="9">
        <v>18.033000000000001</v>
      </c>
      <c r="I20" s="9">
        <v>42.878999999999998</v>
      </c>
      <c r="J20" s="167">
        <v>21.378</v>
      </c>
      <c r="K20" s="167">
        <v>3719.7150000000001</v>
      </c>
      <c r="L20" s="21">
        <f t="shared" si="9"/>
        <v>1.2266174645319287E-2</v>
      </c>
      <c r="M20" s="22">
        <f t="shared" si="10"/>
        <v>5.6841486938133429E-2</v>
      </c>
      <c r="N20" s="21">
        <f t="shared" si="11"/>
        <v>6.8000000000000005E-2</v>
      </c>
      <c r="O20" s="5">
        <f t="shared" si="12"/>
        <v>0.45</v>
      </c>
      <c r="P20" s="20">
        <f t="shared" si="13"/>
        <v>5</v>
      </c>
      <c r="Q20" s="168">
        <f>ROUND((0.8*'Side MDB'!W20+0.2*'Side Pole'!N20),3)</f>
        <v>6.5000000000000002E-2</v>
      </c>
      <c r="R20" s="169">
        <f t="shared" si="14"/>
        <v>0.43</v>
      </c>
      <c r="S20" s="20">
        <f t="shared" si="15"/>
        <v>5</v>
      </c>
      <c r="T20" s="168">
        <f>ROUND(((0.8*'Side MDB'!W20+0.2*'Side Pole'!N20)+(IF('Side MDB'!X20="N/A",(0.8*'Side MDB'!W20+0.2*'Side Pole'!N20),'Side MDB'!X20)))/2,3)</f>
        <v>4.3999999999999997E-2</v>
      </c>
      <c r="U20" s="169">
        <f t="shared" si="16"/>
        <v>0.28999999999999998</v>
      </c>
      <c r="V20" s="20">
        <f t="shared" si="17"/>
        <v>5</v>
      </c>
      <c r="W20" s="13"/>
      <c r="X20" s="13"/>
      <c r="Y20" s="170"/>
      <c r="Z20" s="170"/>
      <c r="AA20" s="170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</row>
    <row r="21" spans="1:38" ht="14.1" customHeight="1">
      <c r="A21" s="163">
        <v>9994</v>
      </c>
      <c r="B21" s="163" t="s">
        <v>131</v>
      </c>
      <c r="C21" s="173" t="str">
        <f>Rollover!A21</f>
        <v>Mercedes-Benz</v>
      </c>
      <c r="D21" s="173" t="str">
        <f>Rollover!B21</f>
        <v>E-Class SW 4WD</v>
      </c>
      <c r="E21" s="62" t="s">
        <v>124</v>
      </c>
      <c r="F21" s="165">
        <f>Rollover!C21</f>
        <v>2021</v>
      </c>
      <c r="G21" s="166">
        <v>326.46600000000001</v>
      </c>
      <c r="H21" s="9">
        <v>18.033000000000001</v>
      </c>
      <c r="I21" s="9">
        <v>42.878999999999998</v>
      </c>
      <c r="J21" s="167">
        <v>21.378</v>
      </c>
      <c r="K21" s="167">
        <v>3719.7150000000001</v>
      </c>
      <c r="L21" s="21">
        <f t="shared" si="9"/>
        <v>1.2266174645319287E-2</v>
      </c>
      <c r="M21" s="22">
        <f t="shared" si="10"/>
        <v>5.6841486938133429E-2</v>
      </c>
      <c r="N21" s="21">
        <f t="shared" si="11"/>
        <v>6.8000000000000005E-2</v>
      </c>
      <c r="O21" s="5">
        <f t="shared" si="12"/>
        <v>0.45</v>
      </c>
      <c r="P21" s="20">
        <f t="shared" si="13"/>
        <v>5</v>
      </c>
      <c r="Q21" s="168">
        <f>ROUND((0.8*'Side MDB'!W21+0.2*'Side Pole'!N21),3)</f>
        <v>6.5000000000000002E-2</v>
      </c>
      <c r="R21" s="169">
        <f t="shared" si="14"/>
        <v>0.43</v>
      </c>
      <c r="S21" s="20">
        <f t="shared" si="15"/>
        <v>5</v>
      </c>
      <c r="T21" s="168">
        <f>ROUND(((0.8*'Side MDB'!W21+0.2*'Side Pole'!N21)+(IF('Side MDB'!X21="N/A",(0.8*'Side MDB'!W21+0.2*'Side Pole'!N21),'Side MDB'!X21)))/2,3)</f>
        <v>4.3999999999999997E-2</v>
      </c>
      <c r="U21" s="169">
        <f t="shared" si="16"/>
        <v>0.28999999999999998</v>
      </c>
      <c r="V21" s="20">
        <f t="shared" si="17"/>
        <v>5</v>
      </c>
      <c r="W21" s="13"/>
      <c r="X21" s="13"/>
      <c r="Y21" s="170"/>
      <c r="Z21" s="170"/>
      <c r="AA21" s="170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</row>
    <row r="22" spans="1:38" ht="14.1" customHeight="1">
      <c r="A22" s="163">
        <v>10194</v>
      </c>
      <c r="B22" s="163" t="s">
        <v>133</v>
      </c>
      <c r="C22" s="164" t="str">
        <f>Rollover!A22</f>
        <v>Mercedes-Benz</v>
      </c>
      <c r="D22" s="164" t="str">
        <f>Rollover!B22</f>
        <v>GLC Class SUV RWD</v>
      </c>
      <c r="E22" s="62" t="s">
        <v>127</v>
      </c>
      <c r="F22" s="165">
        <f>Rollover!C22</f>
        <v>2021</v>
      </c>
      <c r="G22" s="166">
        <v>205.548</v>
      </c>
      <c r="H22" s="9">
        <v>29.670999999999999</v>
      </c>
      <c r="I22" s="9">
        <v>39.713999999999999</v>
      </c>
      <c r="J22" s="167">
        <v>24.49</v>
      </c>
      <c r="K22" s="167">
        <v>3501.1680000000001</v>
      </c>
      <c r="L22" s="21">
        <f t="shared" si="9"/>
        <v>2.0271701273248412E-3</v>
      </c>
      <c r="M22" s="22">
        <f t="shared" si="10"/>
        <v>4.6779459811198632E-2</v>
      </c>
      <c r="N22" s="21">
        <f t="shared" si="11"/>
        <v>4.9000000000000002E-2</v>
      </c>
      <c r="O22" s="5">
        <f t="shared" si="12"/>
        <v>0.33</v>
      </c>
      <c r="P22" s="20">
        <f t="shared" si="13"/>
        <v>5</v>
      </c>
      <c r="Q22" s="168">
        <f>ROUND((0.8*'Side MDB'!W22+0.2*'Side Pole'!N22),3)</f>
        <v>5.0999999999999997E-2</v>
      </c>
      <c r="R22" s="169">
        <f t="shared" si="14"/>
        <v>0.34</v>
      </c>
      <c r="S22" s="20">
        <f t="shared" si="15"/>
        <v>5</v>
      </c>
      <c r="T22" s="168">
        <f>ROUND(((0.8*'Side MDB'!W22+0.2*'Side Pole'!N22)+(IF('Side MDB'!X22="N/A",(0.8*'Side MDB'!W22+0.2*'Side Pole'!N22),'Side MDB'!X22)))/2,3)</f>
        <v>4.8000000000000001E-2</v>
      </c>
      <c r="U22" s="169">
        <f t="shared" si="16"/>
        <v>0.32</v>
      </c>
      <c r="V22" s="20">
        <f t="shared" si="17"/>
        <v>5</v>
      </c>
      <c r="W22" s="13"/>
      <c r="X22" s="13"/>
      <c r="Y22" s="170"/>
      <c r="Z22" s="170"/>
      <c r="AA22" s="170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</row>
    <row r="23" spans="1:38" ht="14.1" customHeight="1">
      <c r="A23" s="163">
        <v>10194</v>
      </c>
      <c r="B23" s="163" t="s">
        <v>133</v>
      </c>
      <c r="C23" s="164" t="str">
        <f>Rollover!A23</f>
        <v>Mercedes-Benz</v>
      </c>
      <c r="D23" s="164" t="str">
        <f>Rollover!B23</f>
        <v>GLC Class SUV 4WD</v>
      </c>
      <c r="E23" s="62" t="s">
        <v>127</v>
      </c>
      <c r="F23" s="165">
        <f>Rollover!C23</f>
        <v>2021</v>
      </c>
      <c r="G23" s="166">
        <v>205.548</v>
      </c>
      <c r="H23" s="9">
        <v>29.670999999999999</v>
      </c>
      <c r="I23" s="9">
        <v>39.713999999999999</v>
      </c>
      <c r="J23" s="167">
        <v>24.49</v>
      </c>
      <c r="K23" s="167">
        <v>3501.1680000000001</v>
      </c>
      <c r="L23" s="21">
        <f>NORMDIST(LN(G23),7.45231,0.73998,1)</f>
        <v>2.0271701273248412E-3</v>
      </c>
      <c r="M23" s="22">
        <f>1/(1+EXP(6.3055-0.00094*K23))</f>
        <v>4.6779459811198632E-2</v>
      </c>
      <c r="N23" s="21">
        <f>ROUND(1-(1-L23)*(1-M23),3)</f>
        <v>4.9000000000000002E-2</v>
      </c>
      <c r="O23" s="5">
        <f t="shared" si="12"/>
        <v>0.33</v>
      </c>
      <c r="P23" s="20">
        <f t="shared" si="13"/>
        <v>5</v>
      </c>
      <c r="Q23" s="168">
        <f>ROUND((0.8*'Side MDB'!W23+0.2*'Side Pole'!N23),3)</f>
        <v>5.0999999999999997E-2</v>
      </c>
      <c r="R23" s="169">
        <f t="shared" si="14"/>
        <v>0.34</v>
      </c>
      <c r="S23" s="20">
        <f t="shared" si="15"/>
        <v>5</v>
      </c>
      <c r="T23" s="168">
        <f>ROUND(((0.8*'Side MDB'!W23+0.2*'Side Pole'!N23)+(IF('Side MDB'!X23="N/A",(0.8*'Side MDB'!W23+0.2*'Side Pole'!N23),'Side MDB'!X23)))/2,3)</f>
        <v>4.8000000000000001E-2</v>
      </c>
      <c r="U23" s="169">
        <f t="shared" si="16"/>
        <v>0.32</v>
      </c>
      <c r="V23" s="20">
        <f t="shared" si="17"/>
        <v>5</v>
      </c>
      <c r="W23" s="13"/>
      <c r="X23" s="13"/>
      <c r="Y23" s="170"/>
      <c r="Z23" s="170"/>
      <c r="AA23" s="170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</row>
    <row r="24" spans="1:38" ht="14.1" customHeight="1">
      <c r="A24" s="162">
        <v>10911</v>
      </c>
      <c r="B24" s="163" t="s">
        <v>136</v>
      </c>
      <c r="C24" s="164" t="str">
        <f>Rollover!A24</f>
        <v>Subaru</v>
      </c>
      <c r="D24" s="164" t="str">
        <f>Rollover!B24</f>
        <v>Outback SW AWD</v>
      </c>
      <c r="E24" s="62" t="s">
        <v>127</v>
      </c>
      <c r="F24" s="165">
        <f>Rollover!C24</f>
        <v>2021</v>
      </c>
      <c r="G24" s="166">
        <v>145.62</v>
      </c>
      <c r="H24" s="9">
        <v>18.956</v>
      </c>
      <c r="I24" s="9">
        <v>43.360999999999997</v>
      </c>
      <c r="J24" s="167">
        <v>21.535</v>
      </c>
      <c r="K24" s="167">
        <v>2999.2440000000001</v>
      </c>
      <c r="L24" s="21">
        <f t="shared" ref="L24:L28" si="27">NORMDIST(LN(G24),7.45231,0.73998,1)</f>
        <v>4.1934813984900748E-4</v>
      </c>
      <c r="M24" s="22">
        <f t="shared" ref="M24:M28" si="28">1/(1+EXP(6.3055-0.00094*K24))</f>
        <v>2.9707136613067439E-2</v>
      </c>
      <c r="N24" s="21">
        <f t="shared" ref="N24:N28" si="29">ROUND(1-(1-L24)*(1-M24),3)</f>
        <v>0.03</v>
      </c>
      <c r="O24" s="5">
        <f t="shared" ref="O24:O28" si="30">ROUND(N24/0.15,2)</f>
        <v>0.2</v>
      </c>
      <c r="P24" s="20">
        <f t="shared" ref="P24:P28" si="31">IF(O24&lt;0.67,5,IF(O24&lt;1,4,IF(O24&lt;1.33,3,IF(O24&lt;2.67,2,1))))</f>
        <v>5</v>
      </c>
      <c r="Q24" s="168">
        <f>ROUND((0.8*'Side MDB'!W24+0.2*'Side Pole'!N24),3)</f>
        <v>2.4E-2</v>
      </c>
      <c r="R24" s="169">
        <f t="shared" ref="R24:R28" si="32">ROUND((Q24)/0.15,2)</f>
        <v>0.16</v>
      </c>
      <c r="S24" s="20">
        <f t="shared" ref="S24:S28" si="33">IF(R24&lt;0.67,5,IF(R24&lt;1,4,IF(R24&lt;1.33,3,IF(R24&lt;2.67,2,1))))</f>
        <v>5</v>
      </c>
      <c r="T24" s="168">
        <f>ROUND(((0.8*'Side MDB'!W24+0.2*'Side Pole'!N24)+(IF('Side MDB'!X24="N/A",(0.8*'Side MDB'!W24+0.2*'Side Pole'!N24),'Side MDB'!X24)))/2,3)</f>
        <v>2.4E-2</v>
      </c>
      <c r="U24" s="169">
        <f t="shared" ref="U24:U28" si="34">ROUND((T24)/0.15,2)</f>
        <v>0.16</v>
      </c>
      <c r="V24" s="20">
        <f t="shared" ref="V24:V28" si="35">IF(U24&lt;0.67,5,IF(U24&lt;1,4,IF(U24&lt;1.33,3,IF(U24&lt;2.67,2,1))))</f>
        <v>5</v>
      </c>
      <c r="W24" s="13"/>
      <c r="X24" s="13"/>
      <c r="Y24" s="170"/>
      <c r="Z24" s="170"/>
      <c r="AA24" s="170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</row>
    <row r="25" spans="1:38" ht="12" customHeight="1">
      <c r="A25" s="162">
        <v>10846</v>
      </c>
      <c r="B25" s="163" t="s">
        <v>137</v>
      </c>
      <c r="C25" s="173" t="str">
        <f>Rollover!A25</f>
        <v>Subaru</v>
      </c>
      <c r="D25" s="173" t="str">
        <f>Rollover!B25</f>
        <v>Legacy 4DR AWD</v>
      </c>
      <c r="E25" s="62" t="s">
        <v>127</v>
      </c>
      <c r="F25" s="165">
        <f>Rollover!C25</f>
        <v>2021</v>
      </c>
      <c r="G25" s="166">
        <v>103.797</v>
      </c>
      <c r="H25" s="9">
        <v>19.646999999999998</v>
      </c>
      <c r="I25" s="9">
        <v>38.470999999999997</v>
      </c>
      <c r="J25" s="167">
        <v>14.347</v>
      </c>
      <c r="K25" s="10">
        <v>3028.7040000000002</v>
      </c>
      <c r="L25" s="21">
        <f t="shared" si="27"/>
        <v>7.316153487279784E-5</v>
      </c>
      <c r="M25" s="22">
        <f t="shared" si="28"/>
        <v>3.0515840093706635E-2</v>
      </c>
      <c r="N25" s="21">
        <f t="shared" si="29"/>
        <v>3.1E-2</v>
      </c>
      <c r="O25" s="5">
        <f t="shared" si="30"/>
        <v>0.21</v>
      </c>
      <c r="P25" s="20">
        <f t="shared" si="31"/>
        <v>5</v>
      </c>
      <c r="Q25" s="168">
        <f>ROUND((0.8*'Side MDB'!W25+0.2*'Side Pole'!N25),3)</f>
        <v>4.2999999999999997E-2</v>
      </c>
      <c r="R25" s="169">
        <f t="shared" si="32"/>
        <v>0.28999999999999998</v>
      </c>
      <c r="S25" s="20">
        <f t="shared" si="33"/>
        <v>5</v>
      </c>
      <c r="T25" s="168">
        <f>ROUND(((0.8*'Side MDB'!W25+0.2*'Side Pole'!N25)+(IF('Side MDB'!X25="N/A",(0.8*'Side MDB'!W25+0.2*'Side Pole'!N25),'Side MDB'!X25)))/2,3)</f>
        <v>3.3000000000000002E-2</v>
      </c>
      <c r="U25" s="169">
        <f t="shared" si="34"/>
        <v>0.22</v>
      </c>
      <c r="V25" s="20">
        <f t="shared" si="35"/>
        <v>5</v>
      </c>
      <c r="W25" s="13"/>
      <c r="X25" s="13"/>
      <c r="Y25" s="170"/>
      <c r="Z25" s="170"/>
      <c r="AA25" s="170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</row>
    <row r="26" spans="1:38" ht="14.1" customHeight="1">
      <c r="A26" s="163">
        <v>10650</v>
      </c>
      <c r="B26" s="163" t="s">
        <v>139</v>
      </c>
      <c r="C26" s="164" t="str">
        <f>Rollover!A26</f>
        <v>Toyota</v>
      </c>
      <c r="D26" s="164" t="str">
        <f>Rollover!B26</f>
        <v>Corolla 4DR FWD</v>
      </c>
      <c r="E26" s="62" t="s">
        <v>92</v>
      </c>
      <c r="F26" s="165">
        <f>Rollover!C26</f>
        <v>2021</v>
      </c>
      <c r="G26" s="166">
        <v>239.12200000000001</v>
      </c>
      <c r="H26" s="9">
        <v>14.971</v>
      </c>
      <c r="I26" s="9">
        <v>31.571999999999999</v>
      </c>
      <c r="J26" s="167">
        <v>21.445</v>
      </c>
      <c r="K26" s="10">
        <v>2769.5720000000001</v>
      </c>
      <c r="L26" s="21">
        <f t="shared" si="27"/>
        <v>3.7988325969970905E-3</v>
      </c>
      <c r="M26" s="22">
        <f t="shared" si="28"/>
        <v>2.4077571975424518E-2</v>
      </c>
      <c r="N26" s="21">
        <f t="shared" si="29"/>
        <v>2.8000000000000001E-2</v>
      </c>
      <c r="O26" s="5">
        <f t="shared" si="30"/>
        <v>0.19</v>
      </c>
      <c r="P26" s="20">
        <f t="shared" si="31"/>
        <v>5</v>
      </c>
      <c r="Q26" s="168">
        <f>ROUND((0.8*'Side MDB'!W26+0.2*'Side Pole'!N26),3)</f>
        <v>4.2999999999999997E-2</v>
      </c>
      <c r="R26" s="169">
        <f t="shared" si="32"/>
        <v>0.28999999999999998</v>
      </c>
      <c r="S26" s="20">
        <f t="shared" si="33"/>
        <v>5</v>
      </c>
      <c r="T26" s="168">
        <f>ROUND(((0.8*'Side MDB'!W26+0.2*'Side Pole'!N26)+(IF('Side MDB'!X26="N/A",(0.8*'Side MDB'!W26+0.2*'Side Pole'!N26),'Side MDB'!X26)))/2,3)</f>
        <v>2.5999999999999999E-2</v>
      </c>
      <c r="U26" s="169">
        <f t="shared" si="34"/>
        <v>0.17</v>
      </c>
      <c r="V26" s="20">
        <f t="shared" si="35"/>
        <v>5</v>
      </c>
      <c r="W26" s="13"/>
      <c r="X26" s="13"/>
      <c r="Y26" s="170"/>
      <c r="Z26" s="170"/>
      <c r="AA26" s="170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</row>
    <row r="27" spans="1:38" ht="14.1" customHeight="1">
      <c r="A27" s="163">
        <v>10650</v>
      </c>
      <c r="B27" s="163" t="s">
        <v>139</v>
      </c>
      <c r="C27" s="173" t="str">
        <f>Rollover!A27</f>
        <v>Toyota</v>
      </c>
      <c r="D27" s="173" t="str">
        <f>Rollover!B27</f>
        <v>Corolla Hybrid 4DR FWD</v>
      </c>
      <c r="E27" s="62" t="s">
        <v>92</v>
      </c>
      <c r="F27" s="165">
        <f>Rollover!C27</f>
        <v>2021</v>
      </c>
      <c r="G27" s="166">
        <v>239.12200000000001</v>
      </c>
      <c r="H27" s="9">
        <v>14.971</v>
      </c>
      <c r="I27" s="9">
        <v>31.571999999999999</v>
      </c>
      <c r="J27" s="167">
        <v>21.445</v>
      </c>
      <c r="K27" s="10">
        <v>2769.5720000000001</v>
      </c>
      <c r="L27" s="21">
        <f t="shared" si="27"/>
        <v>3.7988325969970905E-3</v>
      </c>
      <c r="M27" s="22">
        <f t="shared" si="28"/>
        <v>2.4077571975424518E-2</v>
      </c>
      <c r="N27" s="21">
        <f t="shared" si="29"/>
        <v>2.8000000000000001E-2</v>
      </c>
      <c r="O27" s="5">
        <f t="shared" si="30"/>
        <v>0.19</v>
      </c>
      <c r="P27" s="20">
        <f t="shared" si="31"/>
        <v>5</v>
      </c>
      <c r="Q27" s="168">
        <f>ROUND((0.8*'Side MDB'!W27+0.2*'Side Pole'!N27),3)</f>
        <v>4.2999999999999997E-2</v>
      </c>
      <c r="R27" s="169">
        <f t="shared" si="32"/>
        <v>0.28999999999999998</v>
      </c>
      <c r="S27" s="20">
        <f t="shared" si="33"/>
        <v>5</v>
      </c>
      <c r="T27" s="168">
        <f>ROUND(((0.8*'Side MDB'!W27+0.2*'Side Pole'!N27)+(IF('Side MDB'!X27="N/A",(0.8*'Side MDB'!W27+0.2*'Side Pole'!N27),'Side MDB'!X27)))/2,3)</f>
        <v>2.5999999999999999E-2</v>
      </c>
      <c r="U27" s="169">
        <f t="shared" si="34"/>
        <v>0.17</v>
      </c>
      <c r="V27" s="20">
        <f t="shared" si="35"/>
        <v>5</v>
      </c>
      <c r="W27" s="13"/>
      <c r="X27" s="13"/>
      <c r="Y27" s="170"/>
      <c r="Z27" s="170"/>
      <c r="AA27" s="170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</row>
    <row r="28" spans="1:38" ht="14.1" customHeight="1">
      <c r="A28" s="163">
        <v>10650</v>
      </c>
      <c r="B28" s="163" t="s">
        <v>139</v>
      </c>
      <c r="C28" s="173" t="str">
        <f>Rollover!A28</f>
        <v>Toyota</v>
      </c>
      <c r="D28" s="173" t="str">
        <f>Rollover!B28</f>
        <v>Corolla Hatchback 5HB FWD</v>
      </c>
      <c r="E28" s="62" t="s">
        <v>92</v>
      </c>
      <c r="F28" s="165">
        <f>Rollover!C28</f>
        <v>2021</v>
      </c>
      <c r="G28" s="166">
        <v>239.12200000000001</v>
      </c>
      <c r="H28" s="9">
        <v>14.971</v>
      </c>
      <c r="I28" s="9">
        <v>31.571999999999999</v>
      </c>
      <c r="J28" s="167">
        <v>21.445</v>
      </c>
      <c r="K28" s="10">
        <v>2769.5720000000001</v>
      </c>
      <c r="L28" s="21">
        <f t="shared" si="27"/>
        <v>3.7988325969970905E-3</v>
      </c>
      <c r="M28" s="22">
        <f t="shared" si="28"/>
        <v>2.4077571975424518E-2</v>
      </c>
      <c r="N28" s="21">
        <f t="shared" si="29"/>
        <v>2.8000000000000001E-2</v>
      </c>
      <c r="O28" s="5">
        <f t="shared" si="30"/>
        <v>0.19</v>
      </c>
      <c r="P28" s="20">
        <f t="shared" si="31"/>
        <v>5</v>
      </c>
      <c r="Q28" s="168">
        <f>ROUND((0.8*'Side MDB'!W28+0.2*'Side Pole'!N28),3)</f>
        <v>4.2999999999999997E-2</v>
      </c>
      <c r="R28" s="169">
        <f t="shared" si="32"/>
        <v>0.28999999999999998</v>
      </c>
      <c r="S28" s="20">
        <f t="shared" si="33"/>
        <v>5</v>
      </c>
      <c r="T28" s="168">
        <f>ROUND(((0.8*'Side MDB'!W28+0.2*'Side Pole'!N28)+(IF('Side MDB'!X28="N/A",(0.8*'Side MDB'!W28+0.2*'Side Pole'!N28),'Side MDB'!X28)))/2,3)</f>
        <v>2.5999999999999999E-2</v>
      </c>
      <c r="U28" s="169">
        <f t="shared" si="34"/>
        <v>0.17</v>
      </c>
      <c r="V28" s="20">
        <f t="shared" si="35"/>
        <v>5</v>
      </c>
      <c r="W28" s="13"/>
      <c r="X28" s="13"/>
      <c r="Y28" s="170"/>
      <c r="Z28" s="170"/>
      <c r="AA28" s="170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</row>
    <row r="29" spans="1:38" ht="14.1" customHeight="1">
      <c r="N29" s="172"/>
      <c r="O29" s="172"/>
      <c r="P29" s="175"/>
      <c r="Q29" s="172"/>
    </row>
    <row r="30" spans="1:38" ht="14.1" customHeight="1">
      <c r="N30" s="172"/>
      <c r="O30" s="172"/>
      <c r="P30" s="175"/>
      <c r="Q30" s="172"/>
    </row>
    <row r="31" spans="1:38" ht="14.1" customHeight="1">
      <c r="N31" s="172"/>
      <c r="O31" s="172"/>
      <c r="P31" s="175"/>
      <c r="Q31" s="172"/>
    </row>
    <row r="32" spans="1:38" ht="14.1" customHeight="1">
      <c r="N32" s="172"/>
      <c r="O32" s="172"/>
      <c r="P32" s="175"/>
      <c r="Q32" s="172"/>
    </row>
    <row r="33" spans="14:17" ht="14.1" customHeight="1">
      <c r="N33" s="172"/>
      <c r="O33" s="172"/>
      <c r="P33" s="175"/>
      <c r="Q33" s="172"/>
    </row>
    <row r="34" spans="14:17" ht="14.1" customHeight="1">
      <c r="N34" s="172"/>
      <c r="O34" s="172"/>
      <c r="P34" s="175"/>
      <c r="Q34" s="172"/>
    </row>
    <row r="35" spans="14:17" ht="14.1" customHeight="1">
      <c r="N35" s="172"/>
      <c r="O35" s="172"/>
      <c r="P35" s="175"/>
      <c r="Q35" s="172"/>
    </row>
    <row r="36" spans="14:17" ht="14.1" customHeight="1">
      <c r="N36" s="172"/>
      <c r="O36" s="172"/>
      <c r="P36" s="175"/>
      <c r="Q36" s="172"/>
    </row>
    <row r="37" spans="14:17" ht="14.1" customHeight="1">
      <c r="N37" s="172"/>
      <c r="O37" s="172"/>
      <c r="P37" s="175"/>
      <c r="Q37" s="172"/>
    </row>
    <row r="38" spans="14:17" ht="14.1" customHeight="1">
      <c r="N38" s="172"/>
      <c r="O38" s="172"/>
      <c r="P38" s="175"/>
      <c r="Q38" s="172"/>
    </row>
    <row r="39" spans="14:17" ht="14.1" customHeight="1">
      <c r="N39" s="172"/>
      <c r="O39" s="172"/>
      <c r="P39" s="175"/>
      <c r="Q39" s="172"/>
    </row>
    <row r="40" spans="14:17" ht="14.1" customHeight="1">
      <c r="N40" s="172"/>
      <c r="O40" s="172"/>
      <c r="P40" s="175"/>
      <c r="Q40" s="172"/>
    </row>
    <row r="41" spans="14:17" ht="14.1" customHeight="1">
      <c r="N41" s="172"/>
      <c r="O41" s="172"/>
      <c r="P41" s="175"/>
      <c r="Q41" s="172"/>
    </row>
    <row r="42" spans="14:17" ht="14.1" customHeight="1">
      <c r="N42" s="172"/>
      <c r="O42" s="172"/>
      <c r="P42" s="175"/>
      <c r="Q42" s="172"/>
    </row>
    <row r="43" spans="14:17" ht="14.1" customHeight="1">
      <c r="N43" s="172"/>
      <c r="O43" s="172"/>
      <c r="P43" s="175"/>
      <c r="Q43" s="172"/>
    </row>
    <row r="44" spans="14:17" ht="14.1" customHeight="1">
      <c r="N44" s="172"/>
      <c r="O44" s="172"/>
      <c r="P44" s="175"/>
      <c r="Q44" s="172"/>
    </row>
    <row r="45" spans="14:17" ht="14.1" customHeight="1">
      <c r="N45" s="172"/>
      <c r="O45" s="172"/>
      <c r="P45" s="175"/>
      <c r="Q45" s="172"/>
    </row>
    <row r="46" spans="14:17" ht="14.1" customHeight="1">
      <c r="N46" s="172"/>
      <c r="O46" s="172"/>
      <c r="P46" s="175"/>
      <c r="Q46" s="172"/>
    </row>
    <row r="47" spans="14:17" ht="14.1" customHeight="1">
      <c r="N47" s="172"/>
      <c r="O47" s="172"/>
      <c r="P47" s="175"/>
      <c r="Q47" s="172"/>
    </row>
    <row r="48" spans="14:17" ht="14.1" customHeight="1">
      <c r="N48" s="172"/>
      <c r="O48" s="172"/>
      <c r="P48" s="175"/>
      <c r="Q48" s="172"/>
    </row>
    <row r="49" spans="14:17" ht="14.1" customHeight="1">
      <c r="N49" s="172"/>
      <c r="O49" s="172"/>
      <c r="P49" s="175"/>
      <c r="Q49" s="172"/>
    </row>
    <row r="50" spans="14:17" ht="14.1" customHeight="1">
      <c r="N50" s="172"/>
      <c r="O50" s="172"/>
      <c r="P50" s="175"/>
      <c r="Q50" s="172"/>
    </row>
    <row r="51" spans="14:17" ht="14.1" customHeight="1">
      <c r="N51" s="172"/>
      <c r="O51" s="172"/>
      <c r="P51" s="175"/>
      <c r="Q51" s="172"/>
    </row>
    <row r="52" spans="14:17" ht="14.1" customHeight="1">
      <c r="N52" s="172"/>
      <c r="O52" s="172"/>
      <c r="P52" s="175"/>
      <c r="Q52" s="172"/>
    </row>
    <row r="53" spans="14:17" ht="14.1" customHeight="1">
      <c r="N53" s="172"/>
      <c r="O53" s="172"/>
      <c r="P53" s="175"/>
      <c r="Q53" s="172"/>
    </row>
    <row r="54" spans="14:17" ht="14.1" customHeight="1">
      <c r="N54" s="172"/>
      <c r="O54" s="172"/>
      <c r="P54" s="175"/>
      <c r="Q54" s="172"/>
    </row>
    <row r="55" spans="14:17" ht="14.1" customHeight="1">
      <c r="N55" s="172"/>
      <c r="O55" s="172"/>
      <c r="P55" s="175"/>
      <c r="Q55" s="172"/>
    </row>
    <row r="56" spans="14:17" ht="14.1" customHeight="1">
      <c r="N56" s="172"/>
      <c r="O56" s="172"/>
      <c r="P56" s="175"/>
      <c r="Q56" s="172"/>
    </row>
    <row r="57" spans="14:17" ht="14.1" customHeight="1">
      <c r="N57" s="172"/>
      <c r="O57" s="172"/>
      <c r="P57" s="175"/>
      <c r="Q57" s="172"/>
    </row>
    <row r="58" spans="14:17" ht="14.1" customHeight="1">
      <c r="N58" s="172"/>
      <c r="O58" s="172"/>
      <c r="P58" s="175"/>
      <c r="Q58" s="172"/>
    </row>
    <row r="59" spans="14:17" ht="14.1" customHeight="1">
      <c r="N59" s="172"/>
      <c r="O59" s="172"/>
      <c r="P59" s="175"/>
      <c r="Q59" s="172"/>
    </row>
    <row r="60" spans="14:17" ht="14.1" customHeight="1">
      <c r="N60" s="172"/>
      <c r="O60" s="172"/>
      <c r="P60" s="175"/>
      <c r="Q60" s="172"/>
    </row>
    <row r="61" spans="14:17" ht="14.1" customHeight="1">
      <c r="N61" s="172"/>
      <c r="O61" s="172"/>
      <c r="P61" s="175"/>
      <c r="Q61" s="172"/>
    </row>
    <row r="62" spans="14:17" ht="14.1" customHeight="1">
      <c r="N62" s="172"/>
      <c r="O62" s="172"/>
      <c r="P62" s="175"/>
      <c r="Q62" s="172"/>
    </row>
    <row r="63" spans="14:17" ht="14.1" customHeight="1">
      <c r="N63" s="172"/>
      <c r="O63" s="172"/>
      <c r="P63" s="175"/>
      <c r="Q63" s="172"/>
    </row>
    <row r="64" spans="14:17" ht="14.1" customHeight="1">
      <c r="N64" s="172"/>
      <c r="O64" s="172"/>
      <c r="P64" s="175"/>
      <c r="Q64" s="172"/>
    </row>
    <row r="65" spans="14:17" ht="14.1" customHeight="1">
      <c r="N65" s="172"/>
      <c r="O65" s="172"/>
      <c r="P65" s="175"/>
      <c r="Q65" s="172"/>
    </row>
    <row r="66" spans="14:17" ht="14.1" customHeight="1">
      <c r="N66" s="172"/>
      <c r="O66" s="172"/>
      <c r="P66" s="175"/>
      <c r="Q66" s="172"/>
    </row>
    <row r="67" spans="14:17" ht="14.1" customHeight="1">
      <c r="N67" s="172"/>
      <c r="O67" s="172"/>
      <c r="P67" s="175"/>
      <c r="Q67" s="172"/>
    </row>
    <row r="68" spans="14:17" ht="14.1" customHeight="1">
      <c r="N68" s="172"/>
      <c r="O68" s="172"/>
      <c r="P68" s="175"/>
      <c r="Q68" s="172"/>
    </row>
    <row r="69" spans="14:17" ht="14.1" customHeight="1">
      <c r="N69" s="172"/>
      <c r="O69" s="172"/>
      <c r="P69" s="175"/>
      <c r="Q69" s="172"/>
    </row>
    <row r="70" spans="14:17" ht="14.1" customHeight="1">
      <c r="N70" s="172"/>
      <c r="O70" s="172"/>
      <c r="P70" s="175"/>
      <c r="Q70" s="172"/>
    </row>
    <row r="71" spans="14:17" ht="14.1" customHeight="1">
      <c r="N71" s="172"/>
      <c r="O71" s="172"/>
      <c r="P71" s="175"/>
      <c r="Q71" s="172"/>
    </row>
    <row r="72" spans="14:17" ht="14.1" customHeight="1">
      <c r="N72" s="172"/>
      <c r="O72" s="172"/>
      <c r="P72" s="175"/>
      <c r="Q72" s="172"/>
    </row>
    <row r="73" spans="14:17" ht="14.1" customHeight="1">
      <c r="N73" s="172"/>
      <c r="O73" s="172"/>
      <c r="P73" s="175"/>
      <c r="Q73" s="172"/>
    </row>
    <row r="74" spans="14:17" ht="14.1" customHeight="1">
      <c r="N74" s="172"/>
      <c r="O74" s="172"/>
      <c r="P74" s="175"/>
      <c r="Q74" s="172"/>
    </row>
    <row r="75" spans="14:17" ht="14.1" customHeight="1">
      <c r="N75" s="172"/>
      <c r="O75" s="172"/>
      <c r="P75" s="175"/>
      <c r="Q75" s="172"/>
    </row>
    <row r="76" spans="14:17" ht="14.1" customHeight="1">
      <c r="N76" s="172"/>
      <c r="O76" s="172"/>
      <c r="P76" s="175"/>
      <c r="Q76" s="172"/>
    </row>
    <row r="77" spans="14:17" ht="14.1" customHeight="1">
      <c r="N77" s="172"/>
      <c r="O77" s="172"/>
      <c r="P77" s="175"/>
      <c r="Q77" s="172"/>
    </row>
    <row r="78" spans="14:17" ht="14.1" customHeight="1">
      <c r="N78" s="172"/>
      <c r="O78" s="172"/>
      <c r="P78" s="175"/>
      <c r="Q78" s="172"/>
    </row>
    <row r="79" spans="14:17" ht="14.1" customHeight="1">
      <c r="N79" s="172"/>
      <c r="O79" s="172"/>
      <c r="P79" s="175"/>
      <c r="Q79" s="172"/>
    </row>
    <row r="80" spans="14:17" ht="14.1" customHeight="1">
      <c r="N80" s="172"/>
      <c r="O80" s="172"/>
      <c r="P80" s="175"/>
      <c r="Q80" s="172"/>
    </row>
    <row r="81" spans="14:17" ht="14.1" customHeight="1">
      <c r="N81" s="172"/>
      <c r="O81" s="172"/>
      <c r="P81" s="175"/>
      <c r="Q81" s="172"/>
    </row>
    <row r="82" spans="14:17" ht="14.1" customHeight="1">
      <c r="N82" s="172"/>
      <c r="O82" s="172"/>
      <c r="P82" s="175"/>
      <c r="Q82" s="172"/>
    </row>
    <row r="83" spans="14:17" ht="14.1" customHeight="1">
      <c r="N83" s="172"/>
      <c r="O83" s="172"/>
      <c r="P83" s="175"/>
      <c r="Q83" s="172"/>
    </row>
    <row r="84" spans="14:17" ht="14.1" customHeight="1">
      <c r="N84" s="172"/>
      <c r="O84" s="172"/>
      <c r="P84" s="175"/>
      <c r="Q84" s="172"/>
    </row>
    <row r="85" spans="14:17" ht="14.1" customHeight="1">
      <c r="N85" s="172"/>
      <c r="O85" s="172"/>
      <c r="P85" s="175"/>
      <c r="Q85" s="172"/>
    </row>
    <row r="86" spans="14:17" ht="14.1" customHeight="1">
      <c r="N86" s="172"/>
      <c r="O86" s="172"/>
      <c r="P86" s="175"/>
      <c r="Q86" s="172"/>
    </row>
    <row r="87" spans="14:17" ht="14.1" customHeight="1">
      <c r="N87" s="172"/>
      <c r="O87" s="172"/>
      <c r="P87" s="175"/>
      <c r="Q87" s="172"/>
    </row>
    <row r="88" spans="14:17" ht="14.1" customHeight="1">
      <c r="N88" s="172"/>
      <c r="O88" s="172"/>
      <c r="P88" s="175"/>
      <c r="Q88" s="172"/>
    </row>
    <row r="89" spans="14:17" ht="14.1" customHeight="1">
      <c r="N89" s="172"/>
      <c r="O89" s="172"/>
      <c r="P89" s="175"/>
      <c r="Q89" s="172"/>
    </row>
    <row r="90" spans="14:17" ht="14.1" customHeight="1">
      <c r="N90" s="172"/>
      <c r="O90" s="172"/>
      <c r="P90" s="175"/>
      <c r="Q90" s="172"/>
    </row>
    <row r="91" spans="14:17" ht="14.1" customHeight="1">
      <c r="N91" s="172"/>
      <c r="O91" s="172"/>
      <c r="P91" s="175"/>
      <c r="Q91" s="172"/>
    </row>
    <row r="92" spans="14:17" ht="14.1" customHeight="1">
      <c r="N92" s="172"/>
      <c r="O92" s="172"/>
      <c r="P92" s="175"/>
      <c r="Q92" s="172"/>
    </row>
    <row r="93" spans="14:17" ht="14.1" customHeight="1">
      <c r="N93" s="172"/>
      <c r="O93" s="172"/>
      <c r="P93" s="175"/>
      <c r="Q93" s="172"/>
    </row>
    <row r="94" spans="14:17" ht="14.1" customHeight="1">
      <c r="N94" s="172"/>
      <c r="O94" s="172"/>
      <c r="P94" s="175"/>
      <c r="Q94" s="172"/>
    </row>
    <row r="95" spans="14:17" ht="14.1" customHeight="1">
      <c r="N95" s="172"/>
      <c r="O95" s="172"/>
      <c r="P95" s="175"/>
      <c r="Q95" s="172"/>
    </row>
    <row r="96" spans="14:17" ht="14.1" customHeight="1">
      <c r="N96" s="172"/>
      <c r="O96" s="172"/>
      <c r="P96" s="175"/>
      <c r="Q96" s="172"/>
    </row>
    <row r="97" spans="14:17" ht="14.1" customHeight="1">
      <c r="N97" s="172"/>
      <c r="O97" s="172"/>
      <c r="P97" s="175"/>
      <c r="Q97" s="172"/>
    </row>
    <row r="98" spans="14:17" ht="14.1" customHeight="1">
      <c r="N98" s="172"/>
      <c r="O98" s="172"/>
      <c r="P98" s="175"/>
      <c r="Q98" s="172"/>
    </row>
    <row r="99" spans="14:17" ht="14.1" customHeight="1">
      <c r="N99" s="172"/>
      <c r="O99" s="172"/>
      <c r="P99" s="175"/>
      <c r="Q99" s="172"/>
    </row>
    <row r="100" spans="14:17" ht="14.1" customHeight="1">
      <c r="N100" s="172"/>
      <c r="O100" s="172"/>
      <c r="P100" s="175"/>
      <c r="Q100" s="172"/>
    </row>
    <row r="101" spans="14:17" ht="14.1" customHeight="1">
      <c r="N101" s="172"/>
      <c r="O101" s="172"/>
      <c r="P101" s="175"/>
      <c r="Q101" s="172"/>
    </row>
    <row r="102" spans="14:17" ht="14.1" customHeight="1">
      <c r="N102" s="172"/>
      <c r="O102" s="172"/>
      <c r="P102" s="175"/>
      <c r="Q102" s="172"/>
    </row>
    <row r="103" spans="14:17" ht="14.1" customHeight="1">
      <c r="N103" s="172"/>
      <c r="O103" s="172"/>
      <c r="P103" s="175"/>
      <c r="Q103" s="172"/>
    </row>
    <row r="104" spans="14:17" ht="14.1" customHeight="1">
      <c r="N104" s="172"/>
      <c r="O104" s="172"/>
      <c r="P104" s="175"/>
      <c r="Q104" s="172"/>
    </row>
    <row r="105" spans="14:17" ht="14.1" customHeight="1">
      <c r="N105" s="172"/>
      <c r="O105" s="172"/>
      <c r="P105" s="175"/>
      <c r="Q105" s="172"/>
    </row>
    <row r="106" spans="14:17" ht="14.1" customHeight="1">
      <c r="N106" s="172"/>
      <c r="O106" s="172"/>
      <c r="P106" s="175"/>
      <c r="Q106" s="172"/>
    </row>
    <row r="107" spans="14:17" ht="14.1" customHeight="1">
      <c r="N107" s="172"/>
      <c r="O107" s="172"/>
      <c r="P107" s="175"/>
      <c r="Q107" s="172"/>
    </row>
    <row r="108" spans="14:17" ht="14.1" customHeight="1">
      <c r="N108" s="172"/>
      <c r="O108" s="172"/>
      <c r="P108" s="175"/>
      <c r="Q108" s="172"/>
    </row>
    <row r="109" spans="14:17" ht="14.1" customHeight="1">
      <c r="N109" s="172"/>
      <c r="O109" s="172"/>
      <c r="P109" s="175"/>
      <c r="Q109" s="172"/>
    </row>
    <row r="110" spans="14:17" ht="14.1" customHeight="1">
      <c r="N110" s="172"/>
      <c r="O110" s="172"/>
      <c r="P110" s="175"/>
      <c r="Q110" s="172"/>
    </row>
    <row r="111" spans="14:17" ht="14.1" customHeight="1">
      <c r="N111" s="172"/>
      <c r="O111" s="172"/>
      <c r="P111" s="175"/>
      <c r="Q111" s="172"/>
    </row>
    <row r="112" spans="14:17" ht="14.1" customHeight="1">
      <c r="N112" s="172"/>
      <c r="O112" s="172"/>
      <c r="P112" s="175"/>
      <c r="Q112" s="172"/>
    </row>
    <row r="113" spans="14:17" ht="14.1" customHeight="1">
      <c r="N113" s="172"/>
      <c r="O113" s="172"/>
      <c r="P113" s="175"/>
      <c r="Q113" s="172"/>
    </row>
    <row r="114" spans="14:17" ht="14.1" customHeight="1">
      <c r="N114" s="172"/>
      <c r="O114" s="172"/>
      <c r="P114" s="175"/>
      <c r="Q114" s="172"/>
    </row>
    <row r="115" spans="14:17" ht="14.1" customHeight="1">
      <c r="N115" s="172"/>
      <c r="O115" s="172"/>
      <c r="P115" s="175"/>
      <c r="Q115" s="172"/>
    </row>
    <row r="116" spans="14:17" ht="14.1" customHeight="1">
      <c r="N116" s="172"/>
      <c r="O116" s="172"/>
      <c r="P116" s="175"/>
      <c r="Q116" s="172"/>
    </row>
    <row r="117" spans="14:17" ht="14.1" customHeight="1">
      <c r="N117" s="172"/>
      <c r="O117" s="172"/>
      <c r="P117" s="175"/>
      <c r="Q117" s="172"/>
    </row>
    <row r="118" spans="14:17" ht="14.1" customHeight="1">
      <c r="N118" s="172"/>
      <c r="O118" s="172"/>
      <c r="P118" s="175"/>
      <c r="Q118" s="172"/>
    </row>
    <row r="119" spans="14:17" ht="14.1" customHeight="1">
      <c r="N119" s="172"/>
      <c r="O119" s="172"/>
      <c r="P119" s="175"/>
      <c r="Q119" s="172"/>
    </row>
    <row r="120" spans="14:17" ht="14.1" customHeight="1">
      <c r="N120" s="172"/>
      <c r="O120" s="172"/>
      <c r="P120" s="175"/>
      <c r="Q120" s="172"/>
    </row>
    <row r="121" spans="14:17" ht="14.1" customHeight="1">
      <c r="N121" s="172"/>
      <c r="O121" s="172"/>
      <c r="P121" s="175"/>
      <c r="Q121" s="172"/>
    </row>
    <row r="122" spans="14:17" ht="14.1" customHeight="1">
      <c r="N122" s="172"/>
      <c r="O122" s="172"/>
      <c r="P122" s="175"/>
      <c r="Q122" s="172"/>
    </row>
    <row r="123" spans="14:17" ht="14.1" customHeight="1">
      <c r="N123" s="172"/>
      <c r="O123" s="172"/>
      <c r="P123" s="175"/>
      <c r="Q123" s="172"/>
    </row>
    <row r="124" spans="14:17" ht="14.1" customHeight="1">
      <c r="N124" s="172"/>
      <c r="O124" s="172"/>
      <c r="P124" s="175"/>
      <c r="Q124" s="172"/>
    </row>
    <row r="125" spans="14:17" ht="14.1" customHeight="1">
      <c r="N125" s="172"/>
      <c r="O125" s="172"/>
      <c r="P125" s="175"/>
      <c r="Q125" s="172"/>
    </row>
    <row r="126" spans="14:17" ht="14.1" customHeight="1">
      <c r="N126" s="172"/>
      <c r="O126" s="172"/>
      <c r="P126" s="175"/>
      <c r="Q126" s="172"/>
    </row>
    <row r="127" spans="14:17" ht="14.1" customHeight="1">
      <c r="N127" s="172"/>
      <c r="O127" s="172"/>
      <c r="P127" s="175"/>
      <c r="Q127" s="172"/>
    </row>
    <row r="128" spans="14:17" ht="14.1" customHeight="1">
      <c r="N128" s="172"/>
      <c r="O128" s="172"/>
      <c r="P128" s="175"/>
      <c r="Q128" s="172"/>
    </row>
    <row r="129" spans="14:17" ht="14.1" customHeight="1">
      <c r="N129" s="172"/>
      <c r="O129" s="172"/>
      <c r="P129" s="175"/>
      <c r="Q129" s="172"/>
    </row>
    <row r="130" spans="14:17" ht="14.1" customHeight="1">
      <c r="N130" s="172"/>
      <c r="O130" s="172"/>
      <c r="P130" s="175"/>
      <c r="Q130" s="172"/>
    </row>
    <row r="131" spans="14:17" ht="14.1" customHeight="1">
      <c r="N131" s="172"/>
      <c r="O131" s="172"/>
      <c r="P131" s="175"/>
      <c r="Q131" s="172"/>
    </row>
    <row r="132" spans="14:17" ht="14.1" customHeight="1">
      <c r="N132" s="172"/>
      <c r="O132" s="172"/>
      <c r="P132" s="175"/>
      <c r="Q132" s="172"/>
    </row>
    <row r="133" spans="14:17" ht="14.1" customHeight="1">
      <c r="N133" s="172"/>
      <c r="O133" s="172"/>
      <c r="P133" s="175"/>
      <c r="Q133" s="172"/>
    </row>
    <row r="134" spans="14:17" ht="14.1" customHeight="1">
      <c r="N134" s="172"/>
      <c r="O134" s="172"/>
      <c r="P134" s="175"/>
      <c r="Q134" s="172"/>
    </row>
    <row r="135" spans="14:17" ht="14.1" customHeight="1">
      <c r="N135" s="172"/>
      <c r="O135" s="172"/>
      <c r="P135" s="175"/>
      <c r="Q135" s="172"/>
    </row>
    <row r="136" spans="14:17" ht="14.1" customHeight="1">
      <c r="N136" s="172"/>
      <c r="O136" s="172"/>
      <c r="P136" s="175"/>
      <c r="Q136" s="172"/>
    </row>
    <row r="137" spans="14:17" ht="14.1" customHeight="1">
      <c r="N137" s="172"/>
      <c r="O137" s="172"/>
      <c r="P137" s="175"/>
      <c r="Q137" s="172"/>
    </row>
    <row r="138" spans="14:17" ht="14.1" customHeight="1">
      <c r="N138" s="172"/>
      <c r="O138" s="172"/>
      <c r="P138" s="175"/>
      <c r="Q138" s="172"/>
    </row>
    <row r="139" spans="14:17" ht="14.1" customHeight="1">
      <c r="N139" s="172"/>
      <c r="O139" s="172"/>
      <c r="P139" s="175"/>
      <c r="Q139" s="172"/>
    </row>
    <row r="140" spans="14:17" ht="14.1" customHeight="1">
      <c r="N140" s="172"/>
      <c r="O140" s="172"/>
      <c r="P140" s="175"/>
      <c r="Q140" s="172"/>
    </row>
    <row r="141" spans="14:17" ht="14.1" customHeight="1">
      <c r="N141" s="172"/>
      <c r="O141" s="172"/>
      <c r="P141" s="175"/>
      <c r="Q141" s="172"/>
    </row>
    <row r="142" spans="14:17" ht="14.1" customHeight="1">
      <c r="N142" s="172"/>
      <c r="O142" s="172"/>
      <c r="P142" s="175"/>
      <c r="Q142" s="172"/>
    </row>
    <row r="143" spans="14:17" ht="14.1" customHeight="1">
      <c r="N143" s="172"/>
      <c r="O143" s="172"/>
      <c r="P143" s="175"/>
      <c r="Q143" s="172"/>
    </row>
    <row r="144" spans="14:17" ht="14.1" customHeight="1">
      <c r="N144" s="172"/>
      <c r="O144" s="172"/>
      <c r="P144" s="175"/>
      <c r="Q144" s="172"/>
    </row>
    <row r="145" spans="14:17" ht="14.1" customHeight="1">
      <c r="N145" s="172"/>
      <c r="O145" s="172"/>
      <c r="P145" s="175"/>
      <c r="Q145" s="172"/>
    </row>
    <row r="146" spans="14:17" ht="14.1" customHeight="1">
      <c r="N146" s="172"/>
      <c r="O146" s="172"/>
      <c r="P146" s="175"/>
      <c r="Q146" s="172"/>
    </row>
    <row r="147" spans="14:17" ht="14.1" customHeight="1">
      <c r="N147" s="172"/>
      <c r="O147" s="172"/>
      <c r="P147" s="175"/>
      <c r="Q147" s="172"/>
    </row>
    <row r="148" spans="14:17" ht="14.1" customHeight="1">
      <c r="N148" s="172"/>
      <c r="O148" s="172"/>
      <c r="P148" s="175"/>
      <c r="Q148" s="172"/>
    </row>
    <row r="149" spans="14:17" ht="14.1" customHeight="1">
      <c r="N149" s="172"/>
      <c r="O149" s="172"/>
      <c r="P149" s="175"/>
      <c r="Q149" s="172"/>
    </row>
    <row r="150" spans="14:17" ht="14.1" customHeight="1">
      <c r="N150" s="172"/>
      <c r="O150" s="172"/>
      <c r="P150" s="175"/>
      <c r="Q150" s="172"/>
    </row>
    <row r="151" spans="14:17" ht="14.1" customHeight="1">
      <c r="N151" s="172"/>
      <c r="O151" s="172"/>
      <c r="P151" s="175"/>
      <c r="Q151" s="172"/>
    </row>
    <row r="152" spans="14:17" ht="14.1" customHeight="1">
      <c r="N152" s="172"/>
      <c r="O152" s="172"/>
      <c r="P152" s="175"/>
      <c r="Q152" s="172"/>
    </row>
    <row r="153" spans="14:17" ht="14.1" customHeight="1">
      <c r="N153" s="172"/>
      <c r="O153" s="172"/>
      <c r="P153" s="175"/>
      <c r="Q153" s="172"/>
    </row>
    <row r="154" spans="14:17" ht="14.1" customHeight="1">
      <c r="N154" s="172"/>
      <c r="O154" s="172"/>
      <c r="P154" s="175"/>
      <c r="Q154" s="172"/>
    </row>
    <row r="155" spans="14:17" ht="14.1" customHeight="1">
      <c r="N155" s="172"/>
      <c r="O155" s="172"/>
      <c r="P155" s="175"/>
      <c r="Q155" s="172"/>
    </row>
    <row r="156" spans="14:17" ht="14.1" customHeight="1">
      <c r="N156" s="172"/>
      <c r="O156" s="172"/>
      <c r="P156" s="175"/>
      <c r="Q156" s="172"/>
    </row>
    <row r="157" spans="14:17" ht="14.1" customHeight="1">
      <c r="N157" s="172"/>
      <c r="O157" s="172"/>
      <c r="P157" s="175"/>
      <c r="Q157" s="172"/>
    </row>
    <row r="158" spans="14:17" ht="14.1" customHeight="1">
      <c r="N158" s="172"/>
      <c r="O158" s="172"/>
      <c r="P158" s="175"/>
      <c r="Q158" s="172"/>
    </row>
    <row r="159" spans="14:17" ht="14.1" customHeight="1">
      <c r="N159" s="172"/>
      <c r="O159" s="172"/>
      <c r="P159" s="175"/>
      <c r="Q159" s="172"/>
    </row>
    <row r="160" spans="14:17" ht="14.1" customHeight="1">
      <c r="N160" s="172"/>
      <c r="O160" s="172"/>
      <c r="P160" s="175"/>
      <c r="Q160" s="172"/>
    </row>
  </sheetData>
  <mergeCells count="2">
    <mergeCell ref="G1:K1"/>
    <mergeCell ref="L1:M1"/>
  </mergeCells>
  <phoneticPr fontId="3" type="noConversion"/>
  <pageMargins left="0.25" right="0.2" top="0.25" bottom="0.25" header="0.3" footer="0.3"/>
  <pageSetup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zoomScale="96" zoomScaleNormal="96" workbookViewId="0">
      <pane xSplit="4" ySplit="2" topLeftCell="E3" activePane="bottomRight" state="frozen"/>
      <selection activeCell="B33" sqref="B33"/>
      <selection pane="topRight" activeCell="B33" sqref="B33"/>
      <selection pane="bottomLeft" activeCell="B33" sqref="B33"/>
      <selection pane="bottomRight" activeCell="A12" sqref="A12:XFD17"/>
    </sheetView>
  </sheetViews>
  <sheetFormatPr defaultColWidth="9.42578125" defaultRowHeight="14.85" customHeight="1"/>
  <cols>
    <col min="1" max="1" width="9.42578125" style="101" customWidth="1"/>
    <col min="2" max="2" width="12.5703125" style="101" customWidth="1"/>
    <col min="3" max="3" width="38.5703125" style="101" customWidth="1"/>
    <col min="4" max="4" width="5.5703125" style="101" customWidth="1"/>
    <col min="5" max="5" width="6.42578125" style="105" customWidth="1"/>
    <col min="6" max="6" width="5.42578125" style="108" customWidth="1"/>
    <col min="7" max="8" width="6.42578125" style="108" customWidth="1"/>
    <col min="9" max="9" width="5.5703125" style="108" bestFit="1" customWidth="1"/>
    <col min="10" max="10" width="7.42578125" style="108" customWidth="1"/>
    <col min="11" max="11" width="9.42578125" style="108" customWidth="1"/>
    <col min="12" max="12" width="11" style="108" customWidth="1"/>
    <col min="13" max="13" width="10" style="108" customWidth="1"/>
    <col min="14" max="14" width="7.42578125" style="105" customWidth="1"/>
    <col min="15" max="15" width="9" style="106" customWidth="1"/>
    <col min="16" max="16" width="9.5703125" style="101" customWidth="1"/>
    <col min="17" max="16384" width="9.42578125" style="101"/>
  </cols>
  <sheetData>
    <row r="1" spans="1:16" s="81" customFormat="1" ht="33.75">
      <c r="A1" s="71" t="s">
        <v>73</v>
      </c>
      <c r="B1" s="72" t="s">
        <v>18</v>
      </c>
      <c r="C1" s="72" t="s">
        <v>19</v>
      </c>
      <c r="D1" s="73" t="s">
        <v>20</v>
      </c>
      <c r="E1" s="74" t="s">
        <v>49</v>
      </c>
      <c r="F1" s="75"/>
      <c r="G1" s="76"/>
      <c r="H1" s="74" t="s">
        <v>51</v>
      </c>
      <c r="I1" s="75"/>
      <c r="J1" s="75"/>
      <c r="K1" s="77" t="s">
        <v>54</v>
      </c>
      <c r="L1" s="77" t="s">
        <v>84</v>
      </c>
      <c r="M1" s="77" t="s">
        <v>83</v>
      </c>
      <c r="N1" s="78" t="s">
        <v>55</v>
      </c>
      <c r="O1" s="79" t="s">
        <v>48</v>
      </c>
      <c r="P1" s="80" t="s">
        <v>48</v>
      </c>
    </row>
    <row r="2" spans="1:16" s="95" customFormat="1" ht="12" thickBot="1">
      <c r="A2" s="82"/>
      <c r="B2" s="83"/>
      <c r="C2" s="83"/>
      <c r="D2" s="84"/>
      <c r="E2" s="85" t="s">
        <v>13</v>
      </c>
      <c r="F2" s="86" t="s">
        <v>52</v>
      </c>
      <c r="G2" s="87" t="s">
        <v>53</v>
      </c>
      <c r="H2" s="88" t="s">
        <v>13</v>
      </c>
      <c r="I2" s="89" t="s">
        <v>52</v>
      </c>
      <c r="J2" s="90" t="s">
        <v>53</v>
      </c>
      <c r="K2" s="91" t="s">
        <v>13</v>
      </c>
      <c r="L2" s="91" t="s">
        <v>13</v>
      </c>
      <c r="M2" s="91" t="s">
        <v>48</v>
      </c>
      <c r="N2" s="92"/>
      <c r="O2" s="93" t="s">
        <v>56</v>
      </c>
      <c r="P2" s="94" t="s">
        <v>57</v>
      </c>
    </row>
    <row r="3" spans="1:16" ht="14.85" customHeight="1">
      <c r="A3" s="45">
        <v>44159</v>
      </c>
      <c r="B3" s="41" t="str">
        <f>Rollover!A3</f>
        <v>Chevrolet</v>
      </c>
      <c r="C3" s="41" t="str">
        <f>Rollover!B3</f>
        <v>Trailblazer SUV FWD (Later Release)</v>
      </c>
      <c r="D3" s="96">
        <f>Rollover!C3</f>
        <v>2021</v>
      </c>
      <c r="E3" s="19">
        <f>Front!AW3</f>
        <v>5</v>
      </c>
      <c r="F3" s="41">
        <f>Front!AX3</f>
        <v>4</v>
      </c>
      <c r="G3" s="44">
        <f>Front!AY3</f>
        <v>5</v>
      </c>
      <c r="H3" s="19">
        <f>'Side MDB'!AC3</f>
        <v>5</v>
      </c>
      <c r="I3" s="43">
        <f>'Side MDB'!AD3</f>
        <v>5</v>
      </c>
      <c r="J3" s="20">
        <f>'Side MDB'!AE3</f>
        <v>5</v>
      </c>
      <c r="K3" s="97">
        <f>'Side Pole'!P3</f>
        <v>5</v>
      </c>
      <c r="L3" s="97">
        <f>'Side Pole'!S3</f>
        <v>5</v>
      </c>
      <c r="M3" s="98">
        <f>'Side Pole'!V3</f>
        <v>5</v>
      </c>
      <c r="N3" s="99">
        <f>Rollover!J3</f>
        <v>4</v>
      </c>
      <c r="O3" s="100">
        <f>ROUND(5/12*Front!AV3+4/12*'Side Pole'!U3+3/12*Rollover!I3,2)</f>
        <v>0.66</v>
      </c>
      <c r="P3" s="44">
        <f t="shared" ref="P3:P5" si="0">IF(O3&lt;0.67,5,IF(O3&lt;1,4,IF(O3&lt;1.33,3,IF(O3&lt;2.67,2,1))))</f>
        <v>5</v>
      </c>
    </row>
    <row r="4" spans="1:16" ht="14.85" customHeight="1">
      <c r="A4" s="45">
        <v>44159</v>
      </c>
      <c r="B4" s="41" t="str">
        <f>Rollover!A4</f>
        <v>Chevrolet</v>
      </c>
      <c r="C4" s="41" t="str">
        <f>Rollover!B4</f>
        <v>Trailblazer SUV AWD (Later Release)</v>
      </c>
      <c r="D4" s="96">
        <f>Rollover!C4</f>
        <v>2021</v>
      </c>
      <c r="E4" s="19">
        <f>Front!AW4</f>
        <v>5</v>
      </c>
      <c r="F4" s="41">
        <f>Front!AX4</f>
        <v>4</v>
      </c>
      <c r="G4" s="44">
        <f>Front!AY4</f>
        <v>5</v>
      </c>
      <c r="H4" s="19">
        <f>'Side MDB'!AC4</f>
        <v>5</v>
      </c>
      <c r="I4" s="43">
        <f>'Side MDB'!AD4</f>
        <v>5</v>
      </c>
      <c r="J4" s="20">
        <f>'Side MDB'!AE4</f>
        <v>5</v>
      </c>
      <c r="K4" s="97">
        <f>'Side Pole'!P4</f>
        <v>5</v>
      </c>
      <c r="L4" s="97">
        <f>'Side Pole'!S4</f>
        <v>5</v>
      </c>
      <c r="M4" s="98">
        <f>'Side Pole'!V4</f>
        <v>5</v>
      </c>
      <c r="N4" s="99">
        <f>Rollover!J4</f>
        <v>4</v>
      </c>
      <c r="O4" s="100">
        <f>ROUND(5/12*Front!AV4+4/12*'Side Pole'!U4+3/12*Rollover!I4,2)</f>
        <v>0.65</v>
      </c>
      <c r="P4" s="44">
        <f t="shared" si="0"/>
        <v>5</v>
      </c>
    </row>
    <row r="5" spans="1:16" ht="14.85" customHeight="1">
      <c r="A5" s="45">
        <v>44159</v>
      </c>
      <c r="B5" s="7" t="str">
        <f>Rollover!A5</f>
        <v>Buick</v>
      </c>
      <c r="C5" s="7" t="str">
        <f>Rollover!B5</f>
        <v>Encore GX SUV FWD</v>
      </c>
      <c r="D5" s="96">
        <f>Rollover!C5</f>
        <v>2021</v>
      </c>
      <c r="E5" s="19">
        <f>Front!AW5</f>
        <v>5</v>
      </c>
      <c r="F5" s="41">
        <f>Front!AX5</f>
        <v>4</v>
      </c>
      <c r="G5" s="44">
        <f>Front!AY5</f>
        <v>5</v>
      </c>
      <c r="H5" s="19">
        <f>'Side MDB'!AC5</f>
        <v>5</v>
      </c>
      <c r="I5" s="43">
        <f>'Side MDB'!AD5</f>
        <v>5</v>
      </c>
      <c r="J5" s="20">
        <f>'Side MDB'!AE5</f>
        <v>5</v>
      </c>
      <c r="K5" s="97">
        <f>'Side Pole'!P5</f>
        <v>5</v>
      </c>
      <c r="L5" s="97">
        <f>'Side Pole'!S5</f>
        <v>5</v>
      </c>
      <c r="M5" s="98">
        <f>'Side Pole'!V5</f>
        <v>5</v>
      </c>
      <c r="N5" s="99">
        <f>Rollover!J5</f>
        <v>4</v>
      </c>
      <c r="O5" s="100">
        <f>ROUND(5/12*Front!AV5+4/12*'Side Pole'!U5+3/12*Rollover!I5,2)</f>
        <v>0.66</v>
      </c>
      <c r="P5" s="44">
        <f t="shared" si="0"/>
        <v>5</v>
      </c>
    </row>
    <row r="6" spans="1:16" ht="14.85" customHeight="1">
      <c r="A6" s="45">
        <v>44159</v>
      </c>
      <c r="B6" s="7" t="str">
        <f>Rollover!A6</f>
        <v>Buick</v>
      </c>
      <c r="C6" s="7" t="str">
        <f>Rollover!B6</f>
        <v>Encore GX SUV AWD</v>
      </c>
      <c r="D6" s="96">
        <f>Rollover!C6</f>
        <v>2021</v>
      </c>
      <c r="E6" s="19">
        <f>Front!AW6</f>
        <v>5</v>
      </c>
      <c r="F6" s="41">
        <f>Front!AX6</f>
        <v>4</v>
      </c>
      <c r="G6" s="44">
        <f>Front!AY6</f>
        <v>5</v>
      </c>
      <c r="H6" s="19">
        <f>'Side MDB'!AC6</f>
        <v>5</v>
      </c>
      <c r="I6" s="43">
        <f>'Side MDB'!AD6</f>
        <v>5</v>
      </c>
      <c r="J6" s="20">
        <f>'Side MDB'!AE6</f>
        <v>5</v>
      </c>
      <c r="K6" s="97">
        <f>'Side Pole'!P6</f>
        <v>5</v>
      </c>
      <c r="L6" s="97">
        <f>'Side Pole'!S6</f>
        <v>5</v>
      </c>
      <c r="M6" s="98">
        <f>'Side Pole'!V6</f>
        <v>5</v>
      </c>
      <c r="N6" s="99">
        <f>Rollover!J6</f>
        <v>4</v>
      </c>
      <c r="O6" s="100">
        <f>ROUND(5/12*Front!AV6+4/12*'Side Pole'!U6+3/12*Rollover!I6,2)</f>
        <v>0.65</v>
      </c>
      <c r="P6" s="44">
        <f t="shared" ref="P6" si="1">IF(O6&lt;0.67,5,IF(O6&lt;1,4,IF(O6&lt;1.33,3,IF(O6&lt;2.67,2,1))))</f>
        <v>5</v>
      </c>
    </row>
    <row r="7" spans="1:16" ht="14.85" customHeight="1">
      <c r="A7" s="146">
        <v>44187</v>
      </c>
      <c r="B7" s="41" t="str">
        <f>Rollover!A7</f>
        <v xml:space="preserve">Ford </v>
      </c>
      <c r="C7" s="41" t="str">
        <f>Rollover!B7</f>
        <v>Transit Connect Wagon FWD</v>
      </c>
      <c r="D7" s="96">
        <f>Rollover!C7</f>
        <v>2021</v>
      </c>
      <c r="E7" s="19">
        <f>Front!AW7</f>
        <v>5</v>
      </c>
      <c r="F7" s="41">
        <f>Front!AX7</f>
        <v>4</v>
      </c>
      <c r="G7" s="44">
        <f>Front!AY7</f>
        <v>4</v>
      </c>
      <c r="H7" s="19">
        <f>'Side MDB'!AC7</f>
        <v>5</v>
      </c>
      <c r="I7" s="43">
        <f>'Side MDB'!AD7</f>
        <v>5</v>
      </c>
      <c r="J7" s="20">
        <f>'Side MDB'!AE7</f>
        <v>5</v>
      </c>
      <c r="K7" s="97">
        <f>'Side Pole'!P7</f>
        <v>5</v>
      </c>
      <c r="L7" s="97">
        <f>'Side Pole'!S7</f>
        <v>5</v>
      </c>
      <c r="M7" s="98">
        <f>'Side Pole'!V7</f>
        <v>5</v>
      </c>
      <c r="N7" s="99">
        <f>Rollover!J7</f>
        <v>4</v>
      </c>
      <c r="O7" s="100">
        <f>ROUND(5/12*Front!AV7+4/12*'Side Pole'!U7+3/12*Rollover!I7,2)</f>
        <v>0.72</v>
      </c>
      <c r="P7" s="44">
        <f t="shared" ref="P7:P8" si="2">IF(O7&lt;0.67,5,IF(O7&lt;1,4,IF(O7&lt;1.33,3,IF(O7&lt;2.67,2,1))))</f>
        <v>4</v>
      </c>
    </row>
    <row r="8" spans="1:16" ht="14.85" customHeight="1">
      <c r="A8" s="146">
        <v>44187</v>
      </c>
      <c r="B8" s="7" t="str">
        <f>Rollover!A8</f>
        <v xml:space="preserve">Ford </v>
      </c>
      <c r="C8" s="7" t="str">
        <f>Rollover!B8</f>
        <v>Transit Connect Van FWD</v>
      </c>
      <c r="D8" s="96">
        <f>Rollover!C8</f>
        <v>2021</v>
      </c>
      <c r="E8" s="19">
        <f>Front!AW8</f>
        <v>5</v>
      </c>
      <c r="F8" s="41">
        <f>Front!AX8</f>
        <v>4</v>
      </c>
      <c r="G8" s="44">
        <f>Front!AY8</f>
        <v>4</v>
      </c>
      <c r="H8" s="19">
        <f>'Side MDB'!AC8</f>
        <v>5</v>
      </c>
      <c r="I8" s="43" t="str">
        <f>'Side MDB'!AD8</f>
        <v>N/A</v>
      </c>
      <c r="J8" s="20">
        <f>'Side MDB'!AE8</f>
        <v>5</v>
      </c>
      <c r="K8" s="97">
        <f>'Side Pole'!P8</f>
        <v>5</v>
      </c>
      <c r="L8" s="97">
        <f>'Side Pole'!S8</f>
        <v>5</v>
      </c>
      <c r="M8" s="98">
        <f>'Side Pole'!V8</f>
        <v>5</v>
      </c>
      <c r="N8" s="99" t="e">
        <f>Rollover!J8</f>
        <v>#NUM!</v>
      </c>
      <c r="O8" s="100" t="e">
        <f>ROUND(5/12*Front!AV8+4/12*'Side Pole'!U8+3/12*Rollover!I8,2)</f>
        <v>#NUM!</v>
      </c>
      <c r="P8" s="44" t="e">
        <f t="shared" si="2"/>
        <v>#NUM!</v>
      </c>
    </row>
    <row r="9" spans="1:16" ht="14.85" customHeight="1">
      <c r="A9" s="45">
        <v>44131</v>
      </c>
      <c r="B9" s="41" t="str">
        <f>Rollover!A9</f>
        <v>Kia</v>
      </c>
      <c r="C9" s="41" t="str">
        <f>Rollover!B9</f>
        <v>K5 4DR FWD</v>
      </c>
      <c r="D9" s="96">
        <f>Rollover!C9</f>
        <v>2021</v>
      </c>
      <c r="E9" s="19">
        <f>Front!AW9</f>
        <v>5</v>
      </c>
      <c r="F9" s="41">
        <f>Front!AX9</f>
        <v>4</v>
      </c>
      <c r="G9" s="44">
        <f>Front!AY9</f>
        <v>4</v>
      </c>
      <c r="H9" s="19">
        <f>'Side MDB'!AC9</f>
        <v>5</v>
      </c>
      <c r="I9" s="43">
        <f>'Side MDB'!AD9</f>
        <v>5</v>
      </c>
      <c r="J9" s="20">
        <f>'Side MDB'!AE9</f>
        <v>5</v>
      </c>
      <c r="K9" s="97">
        <f>'Side Pole'!P9</f>
        <v>5</v>
      </c>
      <c r="L9" s="97">
        <f>'Side Pole'!S9</f>
        <v>5</v>
      </c>
      <c r="M9" s="98">
        <f>'Side Pole'!V9</f>
        <v>5</v>
      </c>
      <c r="N9" s="99">
        <f>Rollover!J9</f>
        <v>4</v>
      </c>
      <c r="O9" s="100">
        <f>ROUND(5/12*Front!AV9+4/12*'Side Pole'!U9+3/12*Rollover!I9,2)</f>
        <v>0.56999999999999995</v>
      </c>
      <c r="P9" s="44">
        <f t="shared" ref="P9:P28" si="3">IF(O9&lt;0.67,5,IF(O9&lt;1,4,IF(O9&lt;1.33,3,IF(O9&lt;2.67,2,1))))</f>
        <v>5</v>
      </c>
    </row>
    <row r="10" spans="1:16" ht="14.85" customHeight="1">
      <c r="A10" s="45">
        <v>44048</v>
      </c>
      <c r="B10" s="41" t="str">
        <f>Rollover!A10</f>
        <v>Kia</v>
      </c>
      <c r="C10" s="41" t="str">
        <f>Rollover!B10</f>
        <v>Seltos SUV FWD</v>
      </c>
      <c r="D10" s="96">
        <f>Rollover!C10</f>
        <v>2021</v>
      </c>
      <c r="E10" s="19">
        <f>Front!AW10</f>
        <v>5</v>
      </c>
      <c r="F10" s="41">
        <f>Front!AX10</f>
        <v>4</v>
      </c>
      <c r="G10" s="44">
        <f>Front!AY10</f>
        <v>4</v>
      </c>
      <c r="H10" s="19">
        <f>'Side MDB'!AC10</f>
        <v>5</v>
      </c>
      <c r="I10" s="43">
        <f>'Side MDB'!AD10</f>
        <v>5</v>
      </c>
      <c r="J10" s="20">
        <f>'Side MDB'!AE10</f>
        <v>5</v>
      </c>
      <c r="K10" s="97">
        <f>'Side Pole'!P10</f>
        <v>5</v>
      </c>
      <c r="L10" s="97">
        <f>'Side Pole'!S10</f>
        <v>5</v>
      </c>
      <c r="M10" s="98">
        <f>'Side Pole'!V10</f>
        <v>5</v>
      </c>
      <c r="N10" s="99">
        <f>Rollover!J10</f>
        <v>4</v>
      </c>
      <c r="O10" s="100">
        <f>ROUND(5/12*Front!AV10+4/12*'Side Pole'!U10+3/12*Rollover!I10,2)</f>
        <v>0.7</v>
      </c>
      <c r="P10" s="44">
        <f t="shared" si="3"/>
        <v>4</v>
      </c>
    </row>
    <row r="11" spans="1:16" ht="14.85" customHeight="1">
      <c r="A11" s="45">
        <v>44048</v>
      </c>
      <c r="B11" s="41" t="str">
        <f>Rollover!A11</f>
        <v>Kia</v>
      </c>
      <c r="C11" s="41" t="str">
        <f>Rollover!B11</f>
        <v>Seltos SUV AWD</v>
      </c>
      <c r="D11" s="96">
        <f>Rollover!C11</f>
        <v>2021</v>
      </c>
      <c r="E11" s="19">
        <f>Front!AW11</f>
        <v>5</v>
      </c>
      <c r="F11" s="41">
        <f>Front!AX11</f>
        <v>4</v>
      </c>
      <c r="G11" s="44">
        <f>Front!AY11</f>
        <v>4</v>
      </c>
      <c r="H11" s="19">
        <f>'Side MDB'!AC11</f>
        <v>5</v>
      </c>
      <c r="I11" s="43">
        <f>'Side MDB'!AD11</f>
        <v>5</v>
      </c>
      <c r="J11" s="20">
        <f>'Side MDB'!AE11</f>
        <v>5</v>
      </c>
      <c r="K11" s="97">
        <f>'Side Pole'!P11</f>
        <v>5</v>
      </c>
      <c r="L11" s="97">
        <f>'Side Pole'!S11</f>
        <v>5</v>
      </c>
      <c r="M11" s="98">
        <f>'Side Pole'!V11</f>
        <v>5</v>
      </c>
      <c r="N11" s="99">
        <f>Rollover!J11</f>
        <v>4</v>
      </c>
      <c r="O11" s="100">
        <f>ROUND(5/12*Front!AV11+4/12*'Side Pole'!U11+3/12*Rollover!I11,2)</f>
        <v>0.67</v>
      </c>
      <c r="P11" s="44">
        <f t="shared" si="3"/>
        <v>4</v>
      </c>
    </row>
    <row r="12" spans="1:16" ht="14.85" customHeight="1">
      <c r="A12" s="45">
        <v>44239</v>
      </c>
      <c r="B12" s="41" t="str">
        <f>Rollover!A12</f>
        <v>Lexus</v>
      </c>
      <c r="C12" s="41" t="str">
        <f>Rollover!B12</f>
        <v>RX 350 SUV FWD</v>
      </c>
      <c r="D12" s="96">
        <f>Rollover!C12</f>
        <v>2021</v>
      </c>
      <c r="E12" s="19">
        <f>Front!AW12</f>
        <v>3</v>
      </c>
      <c r="F12" s="41">
        <f>Front!AX12</f>
        <v>4</v>
      </c>
      <c r="G12" s="44">
        <f>Front!AY12</f>
        <v>4</v>
      </c>
      <c r="H12" s="19">
        <f>'Side MDB'!AC12</f>
        <v>5</v>
      </c>
      <c r="I12" s="43">
        <f>'Side MDB'!AD12</f>
        <v>5</v>
      </c>
      <c r="J12" s="20">
        <f>'Side MDB'!AE12</f>
        <v>5</v>
      </c>
      <c r="K12" s="97">
        <f>'Side Pole'!P12</f>
        <v>5</v>
      </c>
      <c r="L12" s="97">
        <f>'Side Pole'!S12</f>
        <v>5</v>
      </c>
      <c r="M12" s="98">
        <f>'Side Pole'!V12</f>
        <v>5</v>
      </c>
      <c r="N12" s="99">
        <f>Rollover!J12</f>
        <v>4</v>
      </c>
      <c r="O12" s="100">
        <f>ROUND(5/12*Front!AV12+4/12*'Side Pole'!U12+3/12*Rollover!I12,2)</f>
        <v>0.74</v>
      </c>
      <c r="P12" s="44">
        <f t="shared" si="3"/>
        <v>4</v>
      </c>
    </row>
    <row r="13" spans="1:16" ht="14.85" customHeight="1">
      <c r="A13" s="45">
        <v>44239</v>
      </c>
      <c r="B13" s="41" t="str">
        <f>Rollover!A13</f>
        <v>Lexus</v>
      </c>
      <c r="C13" s="41" t="str">
        <f>Rollover!B13</f>
        <v>RX 350 SUV AWD</v>
      </c>
      <c r="D13" s="96">
        <f>Rollover!C13</f>
        <v>2021</v>
      </c>
      <c r="E13" s="19">
        <f>Front!AW13</f>
        <v>3</v>
      </c>
      <c r="F13" s="41">
        <f>Front!AX13</f>
        <v>4</v>
      </c>
      <c r="G13" s="44">
        <f>Front!AY13</f>
        <v>4</v>
      </c>
      <c r="H13" s="19">
        <f>'Side MDB'!AC13</f>
        <v>5</v>
      </c>
      <c r="I13" s="43">
        <f>'Side MDB'!AD13</f>
        <v>5</v>
      </c>
      <c r="J13" s="20">
        <f>'Side MDB'!AE13</f>
        <v>5</v>
      </c>
      <c r="K13" s="97">
        <f>'Side Pole'!P13</f>
        <v>5</v>
      </c>
      <c r="L13" s="97">
        <f>'Side Pole'!S13</f>
        <v>5</v>
      </c>
      <c r="M13" s="98">
        <f>'Side Pole'!V13</f>
        <v>5</v>
      </c>
      <c r="N13" s="99">
        <f>Rollover!J13</f>
        <v>4</v>
      </c>
      <c r="O13" s="100">
        <f>ROUND(5/12*Front!AV13+4/12*'Side Pole'!U13+3/12*Rollover!I13,2)</f>
        <v>0.71</v>
      </c>
      <c r="P13" s="44">
        <f t="shared" si="3"/>
        <v>4</v>
      </c>
    </row>
    <row r="14" spans="1:16" ht="14.85" customHeight="1">
      <c r="A14" s="45">
        <v>44239</v>
      </c>
      <c r="B14" s="7" t="str">
        <f>Rollover!A14</f>
        <v>Lexus</v>
      </c>
      <c r="C14" s="7" t="str">
        <f>Rollover!B14</f>
        <v>RX 350L SUV FWD</v>
      </c>
      <c r="D14" s="96">
        <f>Rollover!C14</f>
        <v>2021</v>
      </c>
      <c r="E14" s="19">
        <f>Front!AW14</f>
        <v>3</v>
      </c>
      <c r="F14" s="41">
        <f>Front!AX14</f>
        <v>4</v>
      </c>
      <c r="G14" s="44">
        <f>Front!AY14</f>
        <v>4</v>
      </c>
      <c r="H14" s="19">
        <f>'Side MDB'!AC14</f>
        <v>5</v>
      </c>
      <c r="I14" s="43">
        <f>'Side MDB'!AD14</f>
        <v>5</v>
      </c>
      <c r="J14" s="20">
        <f>'Side MDB'!AE14</f>
        <v>5</v>
      </c>
      <c r="K14" s="97">
        <f>'Side Pole'!P14</f>
        <v>5</v>
      </c>
      <c r="L14" s="97">
        <f>'Side Pole'!S14</f>
        <v>5</v>
      </c>
      <c r="M14" s="98">
        <f>'Side Pole'!V14</f>
        <v>5</v>
      </c>
      <c r="N14" s="99">
        <f>Rollover!J14</f>
        <v>4</v>
      </c>
      <c r="O14" s="100">
        <f>ROUND(5/12*Front!AV14+4/12*'Side Pole'!U14+3/12*Rollover!I14,2)</f>
        <v>0.74</v>
      </c>
      <c r="P14" s="44">
        <f t="shared" si="3"/>
        <v>4</v>
      </c>
    </row>
    <row r="15" spans="1:16" ht="14.85" customHeight="1">
      <c r="A15" s="45">
        <v>44239</v>
      </c>
      <c r="B15" s="7" t="str">
        <f>Rollover!A15</f>
        <v>Lexus</v>
      </c>
      <c r="C15" s="7" t="str">
        <f>Rollover!B15</f>
        <v>RX 350L SUV AWD</v>
      </c>
      <c r="D15" s="96">
        <f>Rollover!C15</f>
        <v>2021</v>
      </c>
      <c r="E15" s="19">
        <f>Front!AW15</f>
        <v>3</v>
      </c>
      <c r="F15" s="41">
        <f>Front!AX15</f>
        <v>4</v>
      </c>
      <c r="G15" s="44">
        <f>Front!AY15</f>
        <v>4</v>
      </c>
      <c r="H15" s="19">
        <f>'Side MDB'!AC15</f>
        <v>5</v>
      </c>
      <c r="I15" s="43">
        <f>'Side MDB'!AD15</f>
        <v>5</v>
      </c>
      <c r="J15" s="20">
        <f>'Side MDB'!AE15</f>
        <v>5</v>
      </c>
      <c r="K15" s="97">
        <f>'Side Pole'!P15</f>
        <v>5</v>
      </c>
      <c r="L15" s="97">
        <f>'Side Pole'!S15</f>
        <v>5</v>
      </c>
      <c r="M15" s="98">
        <f>'Side Pole'!V15</f>
        <v>5</v>
      </c>
      <c r="N15" s="99">
        <f>Rollover!J15</f>
        <v>4</v>
      </c>
      <c r="O15" s="100">
        <f>ROUND(5/12*Front!AV15+4/12*'Side Pole'!U15+3/12*Rollover!I15,2)</f>
        <v>0.72</v>
      </c>
      <c r="P15" s="44">
        <f t="shared" si="3"/>
        <v>4</v>
      </c>
    </row>
    <row r="16" spans="1:16" ht="14.85" customHeight="1">
      <c r="A16" s="45">
        <v>44239</v>
      </c>
      <c r="B16" s="7" t="str">
        <f>Rollover!A16</f>
        <v>Lexus</v>
      </c>
      <c r="C16" s="7" t="str">
        <f>Rollover!B16</f>
        <v>RX 450h SUV AWD</v>
      </c>
      <c r="D16" s="96">
        <f>Rollover!C16</f>
        <v>2021</v>
      </c>
      <c r="E16" s="19">
        <f>Front!AW16</f>
        <v>3</v>
      </c>
      <c r="F16" s="41">
        <f>Front!AX16</f>
        <v>4</v>
      </c>
      <c r="G16" s="44">
        <f>Front!AY16</f>
        <v>4</v>
      </c>
      <c r="H16" s="19">
        <f>'Side MDB'!AC16</f>
        <v>5</v>
      </c>
      <c r="I16" s="43">
        <f>'Side MDB'!AD16</f>
        <v>5</v>
      </c>
      <c r="J16" s="20">
        <f>'Side MDB'!AE16</f>
        <v>5</v>
      </c>
      <c r="K16" s="97">
        <f>'Side Pole'!P16</f>
        <v>5</v>
      </c>
      <c r="L16" s="97">
        <f>'Side Pole'!S16</f>
        <v>5</v>
      </c>
      <c r="M16" s="98">
        <f>'Side Pole'!V16</f>
        <v>5</v>
      </c>
      <c r="N16" s="99">
        <f>Rollover!J16</f>
        <v>4</v>
      </c>
      <c r="O16" s="100">
        <f>ROUND(5/12*Front!AV16+4/12*'Side Pole'!U16+3/12*Rollover!I16,2)</f>
        <v>0.71</v>
      </c>
      <c r="P16" s="44">
        <f t="shared" si="3"/>
        <v>4</v>
      </c>
    </row>
    <row r="17" spans="1:16" ht="14.85" customHeight="1">
      <c r="A17" s="45">
        <v>44239</v>
      </c>
      <c r="B17" s="7" t="str">
        <f>Rollover!A17</f>
        <v>Lexus</v>
      </c>
      <c r="C17" s="7" t="str">
        <f>Rollover!B17</f>
        <v>RX 450hL SUV AWD</v>
      </c>
      <c r="D17" s="96">
        <f>Rollover!C17</f>
        <v>2021</v>
      </c>
      <c r="E17" s="19">
        <f>Front!AW17</f>
        <v>3</v>
      </c>
      <c r="F17" s="41">
        <f>Front!AX17</f>
        <v>4</v>
      </c>
      <c r="G17" s="44">
        <f>Front!AY17</f>
        <v>4</v>
      </c>
      <c r="H17" s="19">
        <f>'Side MDB'!AC17</f>
        <v>5</v>
      </c>
      <c r="I17" s="43">
        <f>'Side MDB'!AD17</f>
        <v>5</v>
      </c>
      <c r="J17" s="20">
        <f>'Side MDB'!AE17</f>
        <v>5</v>
      </c>
      <c r="K17" s="97">
        <f>'Side Pole'!P17</f>
        <v>5</v>
      </c>
      <c r="L17" s="97">
        <f>'Side Pole'!S17</f>
        <v>5</v>
      </c>
      <c r="M17" s="98">
        <f>'Side Pole'!V17</f>
        <v>5</v>
      </c>
      <c r="N17" s="99">
        <f>Rollover!J17</f>
        <v>4</v>
      </c>
      <c r="O17" s="100">
        <f>ROUND(5/12*Front!AV17+4/12*'Side Pole'!U17+3/12*Rollover!I17,2)</f>
        <v>0.72</v>
      </c>
      <c r="P17" s="44">
        <f t="shared" si="3"/>
        <v>4</v>
      </c>
    </row>
    <row r="18" spans="1:16" ht="14.85" customHeight="1">
      <c r="A18" s="146">
        <v>43842</v>
      </c>
      <c r="B18" s="41" t="str">
        <f>Rollover!A18</f>
        <v>Mercedes-Benz</v>
      </c>
      <c r="C18" s="41" t="str">
        <f>Rollover!B18</f>
        <v>E-Class 4DR RWD</v>
      </c>
      <c r="D18" s="96">
        <f>Rollover!C18</f>
        <v>2021</v>
      </c>
      <c r="E18" s="19">
        <f>Front!AW18</f>
        <v>4</v>
      </c>
      <c r="F18" s="41">
        <f>Front!AX18</f>
        <v>5</v>
      </c>
      <c r="G18" s="44">
        <f>Front!AY18</f>
        <v>5</v>
      </c>
      <c r="H18" s="19">
        <f>'Side MDB'!AC18</f>
        <v>5</v>
      </c>
      <c r="I18" s="43">
        <f>'Side MDB'!AD18</f>
        <v>5</v>
      </c>
      <c r="J18" s="20">
        <f>'Side MDB'!AE18</f>
        <v>5</v>
      </c>
      <c r="K18" s="97">
        <f>'Side Pole'!P18</f>
        <v>5</v>
      </c>
      <c r="L18" s="97">
        <f>'Side Pole'!S18</f>
        <v>5</v>
      </c>
      <c r="M18" s="98">
        <f>'Side Pole'!V18</f>
        <v>5</v>
      </c>
      <c r="N18" s="99">
        <f>Rollover!J18</f>
        <v>5</v>
      </c>
      <c r="O18" s="100">
        <f>ROUND(5/12*Front!AV18+4/12*'Side Pole'!U18+3/12*Rollover!I18,2)</f>
        <v>0.51</v>
      </c>
      <c r="P18" s="44">
        <f t="shared" si="3"/>
        <v>5</v>
      </c>
    </row>
    <row r="19" spans="1:16" ht="14.85" customHeight="1">
      <c r="A19" s="146">
        <v>43842</v>
      </c>
      <c r="B19" s="41" t="str">
        <f>Rollover!A19</f>
        <v>Mercedes-Benz</v>
      </c>
      <c r="C19" s="41" t="str">
        <f>Rollover!B19</f>
        <v>E-Class 4DR 4WD</v>
      </c>
      <c r="D19" s="96">
        <f>Rollover!C19</f>
        <v>2021</v>
      </c>
      <c r="E19" s="19">
        <f>Front!AW19</f>
        <v>4</v>
      </c>
      <c r="F19" s="41">
        <f>Front!AX19</f>
        <v>5</v>
      </c>
      <c r="G19" s="44">
        <f>Front!AY19</f>
        <v>5</v>
      </c>
      <c r="H19" s="19">
        <f>'Side MDB'!AC19</f>
        <v>5</v>
      </c>
      <c r="I19" s="43">
        <f>'Side MDB'!AD19</f>
        <v>5</v>
      </c>
      <c r="J19" s="20">
        <f>'Side MDB'!AE19</f>
        <v>5</v>
      </c>
      <c r="K19" s="97">
        <f>'Side Pole'!P19</f>
        <v>5</v>
      </c>
      <c r="L19" s="97">
        <f>'Side Pole'!S19</f>
        <v>5</v>
      </c>
      <c r="M19" s="98">
        <f>'Side Pole'!V19</f>
        <v>5</v>
      </c>
      <c r="N19" s="99">
        <f>Rollover!J19</f>
        <v>5</v>
      </c>
      <c r="O19" s="100">
        <f>ROUND(5/12*Front!AV19+4/12*'Side Pole'!U19+3/12*Rollover!I19,2)</f>
        <v>0.51</v>
      </c>
      <c r="P19" s="44">
        <f t="shared" ref="P19:P21" si="4">IF(O19&lt;0.67,5,IF(O19&lt;1,4,IF(O19&lt;1.33,3,IF(O19&lt;2.67,2,1))))</f>
        <v>5</v>
      </c>
    </row>
    <row r="20" spans="1:16" ht="14.85" customHeight="1">
      <c r="A20" s="146">
        <v>43842</v>
      </c>
      <c r="B20" s="7" t="str">
        <f>Rollover!A20</f>
        <v>Mercedes-Benz</v>
      </c>
      <c r="C20" s="7" t="str">
        <f>Rollover!B20</f>
        <v>E-Class SW RWD</v>
      </c>
      <c r="D20" s="96">
        <f>Rollover!C20</f>
        <v>2021</v>
      </c>
      <c r="E20" s="19">
        <f>Front!AW20</f>
        <v>4</v>
      </c>
      <c r="F20" s="41">
        <f>Front!AX20</f>
        <v>5</v>
      </c>
      <c r="G20" s="44">
        <f>Front!AY20</f>
        <v>5</v>
      </c>
      <c r="H20" s="19">
        <f>'Side MDB'!AC20</f>
        <v>5</v>
      </c>
      <c r="I20" s="43">
        <f>'Side MDB'!AD20</f>
        <v>5</v>
      </c>
      <c r="J20" s="20">
        <f>'Side MDB'!AE20</f>
        <v>5</v>
      </c>
      <c r="K20" s="97">
        <f>'Side Pole'!P20</f>
        <v>5</v>
      </c>
      <c r="L20" s="97">
        <f>'Side Pole'!S20</f>
        <v>5</v>
      </c>
      <c r="M20" s="98">
        <f>'Side Pole'!V20</f>
        <v>5</v>
      </c>
      <c r="N20" s="99">
        <f>Rollover!J20</f>
        <v>5</v>
      </c>
      <c r="O20" s="100">
        <f>ROUND(5/12*Front!AV20+4/12*'Side Pole'!U20+3/12*Rollover!I20,2)</f>
        <v>0.51</v>
      </c>
      <c r="P20" s="44">
        <f t="shared" si="4"/>
        <v>5</v>
      </c>
    </row>
    <row r="21" spans="1:16" ht="14.85" customHeight="1">
      <c r="A21" s="146">
        <v>43842</v>
      </c>
      <c r="B21" s="7" t="str">
        <f>Rollover!A21</f>
        <v>Mercedes-Benz</v>
      </c>
      <c r="C21" s="7" t="str">
        <f>Rollover!B21</f>
        <v>E-Class SW 4WD</v>
      </c>
      <c r="D21" s="96">
        <f>Rollover!C21</f>
        <v>2021</v>
      </c>
      <c r="E21" s="19">
        <f>Front!AW21</f>
        <v>4</v>
      </c>
      <c r="F21" s="41">
        <f>Front!AX21</f>
        <v>5</v>
      </c>
      <c r="G21" s="44">
        <f>Front!AY21</f>
        <v>5</v>
      </c>
      <c r="H21" s="19">
        <f>'Side MDB'!AC21</f>
        <v>5</v>
      </c>
      <c r="I21" s="43">
        <f>'Side MDB'!AD21</f>
        <v>5</v>
      </c>
      <c r="J21" s="20">
        <f>'Side MDB'!AE21</f>
        <v>5</v>
      </c>
      <c r="K21" s="97">
        <f>'Side Pole'!P21</f>
        <v>5</v>
      </c>
      <c r="L21" s="97">
        <f>'Side Pole'!S21</f>
        <v>5</v>
      </c>
      <c r="M21" s="98">
        <f>'Side Pole'!V21</f>
        <v>5</v>
      </c>
      <c r="N21" s="99">
        <f>Rollover!J21</f>
        <v>5</v>
      </c>
      <c r="O21" s="100">
        <f>ROUND(5/12*Front!AV21+4/12*'Side Pole'!U21+3/12*Rollover!I21,2)</f>
        <v>0.51</v>
      </c>
      <c r="P21" s="44">
        <f t="shared" si="4"/>
        <v>5</v>
      </c>
    </row>
    <row r="22" spans="1:16" ht="14.85" customHeight="1">
      <c r="A22" s="45">
        <v>44239</v>
      </c>
      <c r="B22" s="41" t="str">
        <f>Rollover!A22</f>
        <v>Mercedes-Benz</v>
      </c>
      <c r="C22" s="41" t="str">
        <f>Rollover!B22</f>
        <v>GLC Class SUV RWD</v>
      </c>
      <c r="D22" s="96">
        <f>Rollover!C22</f>
        <v>2021</v>
      </c>
      <c r="E22" s="19">
        <f>Front!AW22</f>
        <v>5</v>
      </c>
      <c r="F22" s="41">
        <f>Front!AX22</f>
        <v>5</v>
      </c>
      <c r="G22" s="44">
        <f>Front!AY22</f>
        <v>5</v>
      </c>
      <c r="H22" s="19">
        <f>'Side MDB'!AC22</f>
        <v>5</v>
      </c>
      <c r="I22" s="43">
        <f>'Side MDB'!AD22</f>
        <v>5</v>
      </c>
      <c r="J22" s="20">
        <f>'Side MDB'!AE22</f>
        <v>5</v>
      </c>
      <c r="K22" s="97">
        <f>'Side Pole'!P22</f>
        <v>5</v>
      </c>
      <c r="L22" s="97">
        <f>'Side Pole'!S22</f>
        <v>5</v>
      </c>
      <c r="M22" s="98">
        <f>'Side Pole'!V22</f>
        <v>5</v>
      </c>
      <c r="N22" s="99">
        <f>Rollover!J22</f>
        <v>4</v>
      </c>
      <c r="O22" s="100">
        <f>ROUND(5/12*Front!AV22+4/12*'Side Pole'!U22+3/12*Rollover!I22,2)</f>
        <v>0.65</v>
      </c>
      <c r="P22" s="44">
        <f t="shared" si="3"/>
        <v>5</v>
      </c>
    </row>
    <row r="23" spans="1:16" ht="14.85" customHeight="1">
      <c r="A23" s="45">
        <v>44239</v>
      </c>
      <c r="B23" s="41" t="str">
        <f>Rollover!A23</f>
        <v>Mercedes-Benz</v>
      </c>
      <c r="C23" s="41" t="str">
        <f>Rollover!B23</f>
        <v>GLC Class SUV 4WD</v>
      </c>
      <c r="D23" s="96">
        <f>Rollover!C23</f>
        <v>2021</v>
      </c>
      <c r="E23" s="19">
        <f>Front!AW23</f>
        <v>5</v>
      </c>
      <c r="F23" s="41">
        <f>Front!AX23</f>
        <v>5</v>
      </c>
      <c r="G23" s="44">
        <f>Front!AY23</f>
        <v>5</v>
      </c>
      <c r="H23" s="19">
        <f>'Side MDB'!AC23</f>
        <v>5</v>
      </c>
      <c r="I23" s="43">
        <f>'Side MDB'!AD23</f>
        <v>5</v>
      </c>
      <c r="J23" s="20">
        <f>'Side MDB'!AE23</f>
        <v>5</v>
      </c>
      <c r="K23" s="97">
        <f>'Side Pole'!P23</f>
        <v>5</v>
      </c>
      <c r="L23" s="97">
        <f>'Side Pole'!S23</f>
        <v>5</v>
      </c>
      <c r="M23" s="98">
        <f>'Side Pole'!V23</f>
        <v>5</v>
      </c>
      <c r="N23" s="99">
        <f>Rollover!J23</f>
        <v>4</v>
      </c>
      <c r="O23" s="100">
        <f>ROUND(5/12*Front!AV23+4/12*'Side Pole'!U23+3/12*Rollover!I23,2)</f>
        <v>0.65</v>
      </c>
      <c r="P23" s="44">
        <f t="shared" si="3"/>
        <v>5</v>
      </c>
    </row>
    <row r="24" spans="1:16" ht="14.85" customHeight="1">
      <c r="A24" s="146">
        <v>44187</v>
      </c>
      <c r="B24" s="41" t="str">
        <f>Rollover!A24</f>
        <v>Subaru</v>
      </c>
      <c r="C24" s="41" t="str">
        <f>Rollover!B24</f>
        <v>Outback SW AWD</v>
      </c>
      <c r="D24" s="96">
        <f>Rollover!C24</f>
        <v>2021</v>
      </c>
      <c r="E24" s="19">
        <f>Front!AW24</f>
        <v>5</v>
      </c>
      <c r="F24" s="41">
        <f>Front!AX24</f>
        <v>4</v>
      </c>
      <c r="G24" s="44">
        <f>Front!AY24</f>
        <v>5</v>
      </c>
      <c r="H24" s="19">
        <f>'Side MDB'!AC24</f>
        <v>5</v>
      </c>
      <c r="I24" s="43">
        <f>'Side MDB'!AD24</f>
        <v>5</v>
      </c>
      <c r="J24" s="20">
        <f>'Side MDB'!AE24</f>
        <v>5</v>
      </c>
      <c r="K24" s="97">
        <f>'Side Pole'!P24</f>
        <v>5</v>
      </c>
      <c r="L24" s="97">
        <f>'Side Pole'!S24</f>
        <v>5</v>
      </c>
      <c r="M24" s="98">
        <f>'Side Pole'!V24</f>
        <v>5</v>
      </c>
      <c r="N24" s="99">
        <f>Rollover!J24</f>
        <v>4</v>
      </c>
      <c r="O24" s="100">
        <f>ROUND(5/12*Front!AV24+4/12*'Side Pole'!U24+3/12*Rollover!I24,2)</f>
        <v>0.61</v>
      </c>
      <c r="P24" s="44">
        <f t="shared" si="3"/>
        <v>5</v>
      </c>
    </row>
    <row r="25" spans="1:16" ht="14.85" customHeight="1">
      <c r="A25" s="146">
        <v>44187</v>
      </c>
      <c r="B25" s="7" t="str">
        <f>Rollover!A25</f>
        <v>Subaru</v>
      </c>
      <c r="C25" s="7" t="str">
        <f>Rollover!B25</f>
        <v>Legacy 4DR AWD</v>
      </c>
      <c r="D25" s="96">
        <f>Rollover!C25</f>
        <v>2021</v>
      </c>
      <c r="E25" s="19">
        <f>Front!AW25</f>
        <v>5</v>
      </c>
      <c r="F25" s="41">
        <f>Front!AX25</f>
        <v>4</v>
      </c>
      <c r="G25" s="44">
        <f>Front!AY25</f>
        <v>5</v>
      </c>
      <c r="H25" s="19">
        <f>'Side MDB'!AC25</f>
        <v>5</v>
      </c>
      <c r="I25" s="43">
        <f>'Side MDB'!AD25</f>
        <v>5</v>
      </c>
      <c r="J25" s="20">
        <f>'Side MDB'!AE25</f>
        <v>5</v>
      </c>
      <c r="K25" s="97">
        <f>'Side Pole'!P25</f>
        <v>5</v>
      </c>
      <c r="L25" s="97">
        <f>'Side Pole'!S25</f>
        <v>5</v>
      </c>
      <c r="M25" s="98">
        <f>'Side Pole'!V25</f>
        <v>5</v>
      </c>
      <c r="N25" s="99">
        <f>Rollover!J25</f>
        <v>5</v>
      </c>
      <c r="O25" s="100">
        <f>ROUND(5/12*Front!AV25+4/12*'Side Pole'!U25+3/12*Rollover!I25,2)</f>
        <v>0.49</v>
      </c>
      <c r="P25" s="44">
        <f t="shared" si="3"/>
        <v>5</v>
      </c>
    </row>
    <row r="26" spans="1:16" ht="14.85" customHeight="1">
      <c r="A26" s="146">
        <v>44180</v>
      </c>
      <c r="B26" s="41" t="str">
        <f>Rollover!A26</f>
        <v>Toyota</v>
      </c>
      <c r="C26" s="41" t="str">
        <f>Rollover!B26</f>
        <v>Corolla 4DR FWD</v>
      </c>
      <c r="D26" s="96">
        <f>Rollover!C26</f>
        <v>2021</v>
      </c>
      <c r="E26" s="19">
        <f>Front!AW26</f>
        <v>5</v>
      </c>
      <c r="F26" s="41">
        <f>Front!AX26</f>
        <v>5</v>
      </c>
      <c r="G26" s="44">
        <f>Front!AY26</f>
        <v>5</v>
      </c>
      <c r="H26" s="19">
        <f>'Side MDB'!AC26</f>
        <v>5</v>
      </c>
      <c r="I26" s="43">
        <f>'Side MDB'!AD26</f>
        <v>5</v>
      </c>
      <c r="J26" s="20">
        <f>'Side MDB'!AE26</f>
        <v>5</v>
      </c>
      <c r="K26" s="97">
        <f>'Side Pole'!P26</f>
        <v>5</v>
      </c>
      <c r="L26" s="97">
        <f>'Side Pole'!S26</f>
        <v>5</v>
      </c>
      <c r="M26" s="98">
        <f>'Side Pole'!V26</f>
        <v>5</v>
      </c>
      <c r="N26" s="99">
        <f>Rollover!J26</f>
        <v>4</v>
      </c>
      <c r="O26" s="100">
        <f>ROUND(5/12*Front!AV26+4/12*'Side Pole'!U26+3/12*Rollover!I26,2)</f>
        <v>0.49</v>
      </c>
      <c r="P26" s="44">
        <f t="shared" ref="P26:P27" si="5">IF(O26&lt;0.67,5,IF(O26&lt;1,4,IF(O26&lt;1.33,3,IF(O26&lt;2.67,2,1))))</f>
        <v>5</v>
      </c>
    </row>
    <row r="27" spans="1:16" ht="14.85" customHeight="1">
      <c r="A27" s="146">
        <v>44180</v>
      </c>
      <c r="B27" s="7" t="str">
        <f>Rollover!A27</f>
        <v>Toyota</v>
      </c>
      <c r="C27" s="7" t="str">
        <f>Rollover!B27</f>
        <v>Corolla Hybrid 4DR FWD</v>
      </c>
      <c r="D27" s="96">
        <f>Rollover!C27</f>
        <v>2021</v>
      </c>
      <c r="E27" s="19">
        <f>Front!AW27</f>
        <v>5</v>
      </c>
      <c r="F27" s="41">
        <f>Front!AX27</f>
        <v>5</v>
      </c>
      <c r="G27" s="44">
        <f>Front!AY27</f>
        <v>5</v>
      </c>
      <c r="H27" s="19">
        <f>'Side MDB'!AC27</f>
        <v>5</v>
      </c>
      <c r="I27" s="43">
        <f>'Side MDB'!AD27</f>
        <v>5</v>
      </c>
      <c r="J27" s="20">
        <f>'Side MDB'!AE27</f>
        <v>5</v>
      </c>
      <c r="K27" s="97">
        <f>'Side Pole'!P27</f>
        <v>5</v>
      </c>
      <c r="L27" s="97">
        <f>'Side Pole'!S27</f>
        <v>5</v>
      </c>
      <c r="M27" s="98">
        <f>'Side Pole'!V27</f>
        <v>5</v>
      </c>
      <c r="N27" s="99">
        <f>Rollover!J27</f>
        <v>4</v>
      </c>
      <c r="O27" s="100">
        <f>ROUND(5/12*Front!AV27+4/12*'Side Pole'!U27+3/12*Rollover!I27,2)</f>
        <v>0.49</v>
      </c>
      <c r="P27" s="44">
        <f t="shared" si="5"/>
        <v>5</v>
      </c>
    </row>
    <row r="28" spans="1:16" ht="14.85" customHeight="1">
      <c r="A28" s="146">
        <v>44180</v>
      </c>
      <c r="B28" s="7" t="str">
        <f>Rollover!A28</f>
        <v>Toyota</v>
      </c>
      <c r="C28" s="7" t="str">
        <f>Rollover!B28</f>
        <v>Corolla Hatchback 5HB FWD</v>
      </c>
      <c r="D28" s="96">
        <f>Rollover!C28</f>
        <v>2021</v>
      </c>
      <c r="E28" s="19">
        <f>Front!AW28</f>
        <v>5</v>
      </c>
      <c r="F28" s="41">
        <f>Front!AX28</f>
        <v>5</v>
      </c>
      <c r="G28" s="44">
        <f>Front!AY28</f>
        <v>5</v>
      </c>
      <c r="H28" s="19">
        <f>'Side MDB'!AC28</f>
        <v>5</v>
      </c>
      <c r="I28" s="43">
        <f>'Side MDB'!AD28</f>
        <v>5</v>
      </c>
      <c r="J28" s="20">
        <f>'Side MDB'!AE28</f>
        <v>5</v>
      </c>
      <c r="K28" s="97">
        <f>'Side Pole'!P28</f>
        <v>5</v>
      </c>
      <c r="L28" s="97">
        <f>'Side Pole'!S28</f>
        <v>5</v>
      </c>
      <c r="M28" s="98">
        <f>'Side Pole'!V28</f>
        <v>5</v>
      </c>
      <c r="N28" s="99">
        <f>Rollover!J28</f>
        <v>4</v>
      </c>
      <c r="O28" s="100">
        <f>ROUND(5/12*Front!AV28+4/12*'Side Pole'!U28+3/12*Rollover!I28,2)</f>
        <v>0.49</v>
      </c>
      <c r="P28" s="44">
        <f t="shared" si="3"/>
        <v>5</v>
      </c>
    </row>
    <row r="29" spans="1:16" ht="14.85" customHeight="1">
      <c r="E29" s="102"/>
      <c r="F29" s="103"/>
      <c r="G29" s="103"/>
      <c r="H29" s="103"/>
      <c r="I29" s="103"/>
      <c r="J29" s="103"/>
      <c r="K29" s="104"/>
      <c r="L29" s="104"/>
      <c r="M29" s="104"/>
    </row>
    <row r="30" spans="1:16" ht="14.85" customHeight="1">
      <c r="E30" s="102"/>
      <c r="F30" s="107"/>
      <c r="G30" s="107"/>
      <c r="K30" s="104"/>
      <c r="L30" s="104"/>
      <c r="M30" s="104"/>
    </row>
    <row r="31" spans="1:16" ht="14.85" customHeight="1">
      <c r="B31" s="107"/>
      <c r="K31" s="104"/>
      <c r="L31" s="104"/>
      <c r="M31" s="104"/>
    </row>
    <row r="32" spans="1:16" ht="14.85" customHeight="1">
      <c r="B32" s="107"/>
    </row>
    <row r="33" spans="2:6" ht="14.85" customHeight="1">
      <c r="B33" s="107"/>
    </row>
    <row r="34" spans="2:6" ht="14.85" customHeight="1">
      <c r="B34" s="107"/>
    </row>
    <row r="35" spans="2:6" ht="14.85" customHeight="1">
      <c r="B35" s="107"/>
      <c r="C35" s="107"/>
      <c r="D35" s="107"/>
    </row>
    <row r="36" spans="2:6" ht="14.85" customHeight="1">
      <c r="B36" s="107"/>
      <c r="C36" s="107"/>
      <c r="D36" s="107"/>
    </row>
    <row r="37" spans="2:6" ht="14.85" customHeight="1">
      <c r="B37" s="107"/>
      <c r="C37" s="107"/>
      <c r="D37" s="107"/>
    </row>
    <row r="38" spans="2:6" ht="14.85" customHeight="1">
      <c r="B38" s="107"/>
      <c r="C38" s="107"/>
      <c r="D38" s="107"/>
    </row>
    <row r="39" spans="2:6" ht="14.85" customHeight="1">
      <c r="B39" s="107"/>
      <c r="C39" s="107"/>
      <c r="D39" s="107"/>
    </row>
    <row r="40" spans="2:6" ht="14.85" customHeight="1">
      <c r="B40" s="107"/>
      <c r="C40" s="107"/>
      <c r="D40" s="107"/>
    </row>
    <row r="41" spans="2:6" ht="14.85" customHeight="1">
      <c r="B41" s="107"/>
      <c r="C41" s="107"/>
      <c r="D41" s="107"/>
    </row>
    <row r="44" spans="2:6" ht="14.85" customHeight="1">
      <c r="B44" s="109"/>
      <c r="C44" s="109"/>
      <c r="D44" s="109"/>
      <c r="E44" s="102"/>
      <c r="F44" s="107"/>
    </row>
    <row r="45" spans="2:6" ht="14.85" customHeight="1">
      <c r="B45" s="109"/>
      <c r="C45" s="109"/>
      <c r="D45" s="109"/>
      <c r="E45" s="102"/>
      <c r="F45" s="107"/>
    </row>
    <row r="46" spans="2:6" ht="14.85" customHeight="1">
      <c r="B46" s="109"/>
      <c r="C46" s="109"/>
      <c r="D46" s="109"/>
      <c r="E46" s="102"/>
      <c r="F46" s="107"/>
    </row>
    <row r="47" spans="2:6" ht="14.85" customHeight="1">
      <c r="B47" s="109"/>
      <c r="C47" s="109"/>
      <c r="D47" s="109"/>
      <c r="E47" s="102"/>
      <c r="F47" s="107"/>
    </row>
    <row r="48" spans="2:6" ht="14.85" customHeight="1">
      <c r="B48" s="109"/>
      <c r="C48" s="109"/>
      <c r="D48" s="109"/>
      <c r="E48" s="102"/>
      <c r="F48" s="107"/>
    </row>
    <row r="49" spans="2:10" ht="14.85" customHeight="1">
      <c r="B49" s="109"/>
      <c r="C49" s="109"/>
      <c r="D49" s="109"/>
      <c r="E49" s="102"/>
      <c r="F49" s="107"/>
    </row>
    <row r="50" spans="2:10" ht="14.85" customHeight="1">
      <c r="B50" s="109"/>
      <c r="C50" s="109"/>
      <c r="D50" s="109"/>
      <c r="E50" s="102"/>
      <c r="F50" s="107"/>
    </row>
    <row r="51" spans="2:10" ht="14.85" customHeight="1">
      <c r="B51" s="109"/>
      <c r="C51" s="109"/>
      <c r="D51" s="109"/>
      <c r="E51" s="102"/>
      <c r="F51" s="107"/>
    </row>
    <row r="52" spans="2:10" ht="14.85" customHeight="1">
      <c r="B52" s="109"/>
      <c r="C52" s="109"/>
      <c r="D52" s="109"/>
      <c r="E52" s="102"/>
      <c r="F52" s="107"/>
    </row>
    <row r="53" spans="2:10" ht="14.85" customHeight="1">
      <c r="B53" s="109"/>
      <c r="C53" s="109"/>
      <c r="D53" s="109"/>
      <c r="E53" s="102"/>
      <c r="F53" s="107"/>
    </row>
    <row r="54" spans="2:10" ht="14.85" customHeight="1">
      <c r="E54" s="102"/>
      <c r="F54" s="107"/>
    </row>
    <row r="55" spans="2:10" ht="14.85" customHeight="1">
      <c r="E55" s="102"/>
      <c r="F55" s="107"/>
    </row>
    <row r="56" spans="2:10" ht="14.85" customHeight="1">
      <c r="B56" s="109"/>
      <c r="C56" s="109"/>
      <c r="D56" s="109"/>
      <c r="E56" s="102"/>
      <c r="F56" s="107"/>
    </row>
    <row r="57" spans="2:10" ht="14.85" customHeight="1">
      <c r="B57" s="109"/>
      <c r="C57" s="109"/>
      <c r="D57" s="109"/>
      <c r="E57" s="102"/>
      <c r="F57" s="107"/>
    </row>
    <row r="58" spans="2:10" ht="14.85" customHeight="1">
      <c r="B58" s="109"/>
      <c r="C58" s="109"/>
      <c r="D58" s="109"/>
      <c r="E58" s="102"/>
      <c r="F58" s="107"/>
    </row>
    <row r="59" spans="2:10" ht="14.85" customHeight="1">
      <c r="B59" s="109"/>
      <c r="C59" s="109"/>
      <c r="D59" s="109"/>
      <c r="E59" s="102"/>
      <c r="F59" s="107"/>
      <c r="H59" s="110"/>
      <c r="I59" s="110"/>
      <c r="J59" s="110"/>
    </row>
    <row r="60" spans="2:10" ht="14.85" customHeight="1">
      <c r="B60" s="109"/>
      <c r="C60" s="109"/>
      <c r="D60" s="109"/>
      <c r="H60" s="110"/>
      <c r="I60" s="110"/>
      <c r="J60" s="110"/>
    </row>
    <row r="61" spans="2:10" ht="14.85" customHeight="1">
      <c r="B61" s="109"/>
      <c r="C61" s="109"/>
      <c r="D61" s="109"/>
      <c r="H61" s="110"/>
      <c r="I61" s="110"/>
      <c r="J61" s="110"/>
    </row>
    <row r="62" spans="2:10" ht="14.85" customHeight="1">
      <c r="B62" s="111"/>
      <c r="C62" s="111"/>
      <c r="D62" s="111"/>
      <c r="E62" s="112"/>
      <c r="H62" s="110"/>
      <c r="I62" s="110"/>
      <c r="J62" s="110"/>
    </row>
    <row r="63" spans="2:10" ht="14.85" customHeight="1">
      <c r="B63" s="107"/>
      <c r="C63" s="107"/>
      <c r="D63" s="107"/>
      <c r="H63" s="110"/>
      <c r="I63" s="110"/>
      <c r="J63" s="110"/>
    </row>
    <row r="64" spans="2:10" ht="14.85" customHeight="1">
      <c r="B64" s="109"/>
      <c r="C64" s="109"/>
      <c r="D64" s="109"/>
      <c r="H64" s="110"/>
      <c r="I64" s="110"/>
      <c r="J64" s="110"/>
    </row>
    <row r="65" spans="2:10" ht="14.85" customHeight="1">
      <c r="B65" s="109"/>
      <c r="C65" s="109"/>
      <c r="D65" s="109"/>
      <c r="H65" s="110"/>
      <c r="I65" s="110"/>
      <c r="J65" s="110"/>
    </row>
    <row r="66" spans="2:10" ht="14.85" customHeight="1">
      <c r="B66" s="109"/>
      <c r="C66" s="109"/>
      <c r="D66" s="109"/>
      <c r="H66" s="110"/>
      <c r="I66" s="110"/>
      <c r="J66" s="110"/>
    </row>
    <row r="67" spans="2:10" ht="14.85" customHeight="1">
      <c r="B67" s="109"/>
      <c r="C67" s="109"/>
      <c r="D67" s="109"/>
      <c r="H67" s="110"/>
      <c r="I67" s="110"/>
      <c r="J67" s="110"/>
    </row>
    <row r="68" spans="2:10" ht="14.85" customHeight="1">
      <c r="B68" s="107"/>
      <c r="C68" s="107"/>
      <c r="D68" s="107"/>
      <c r="H68" s="110"/>
      <c r="I68" s="110"/>
      <c r="J68" s="110"/>
    </row>
    <row r="69" spans="2:10" ht="14.85" customHeight="1">
      <c r="H69" s="110"/>
      <c r="I69" s="110"/>
      <c r="J69" s="110"/>
    </row>
    <row r="70" spans="2:10" ht="14.85" customHeight="1">
      <c r="H70" s="110"/>
      <c r="I70" s="110"/>
      <c r="J70" s="110"/>
    </row>
  </sheetData>
  <mergeCells count="7">
    <mergeCell ref="E1:G1"/>
    <mergeCell ref="H1:J1"/>
    <mergeCell ref="A1:A2"/>
    <mergeCell ref="N1:N2"/>
    <mergeCell ref="B1:B2"/>
    <mergeCell ref="C1:C2"/>
    <mergeCell ref="D1:D2"/>
  </mergeCells>
  <phoneticPr fontId="3" type="noConversion"/>
  <pageMargins left="0.25" right="0.2" top="0.25" bottom="0.2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Rollover</vt:lpstr>
      <vt:lpstr>Front</vt:lpstr>
      <vt:lpstr>Side MDB</vt:lpstr>
      <vt:lpstr>Side Pole</vt:lpstr>
      <vt:lpstr>Comb VSS+Overall Ratings</vt:lpstr>
      <vt:lpstr>'Comb VSS+Overall Ratings'!Print_Area</vt:lpstr>
      <vt:lpstr>Front!Print_Area</vt:lpstr>
      <vt:lpstr>'Side MDB'!Print_Area</vt:lpstr>
      <vt:lpstr>'Side Pole'!Print_Area</vt:lpstr>
      <vt:lpstr>'Comb VSS+Overall Ratings'!Print_Titles</vt:lpstr>
      <vt:lpstr>Front!Print_Titles</vt:lpstr>
      <vt:lpstr>Rollover!Print_Titles</vt:lpstr>
      <vt:lpstr>'Side MDB'!Print_Titles</vt:lpstr>
      <vt:lpstr>'Side Pole'!Print_Titles</vt:lpstr>
    </vt:vector>
  </TitlesOfParts>
  <Company>USDOT\NHTSA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McKoy</dc:creator>
  <cp:lastModifiedBy>USDOT_User</cp:lastModifiedBy>
  <cp:lastPrinted>2012-05-02T13:38:27Z</cp:lastPrinted>
  <dcterms:created xsi:type="dcterms:W3CDTF">2007-06-14T17:31:50Z</dcterms:created>
  <dcterms:modified xsi:type="dcterms:W3CDTF">2021-02-11T18:35:51Z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