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1 web and docket data\"/>
    </mc:Choice>
  </mc:AlternateContent>
  <bookViews>
    <workbookView xWindow="8985" yWindow="765" windowWidth="11565" windowHeight="6945" tabRatio="516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F11" i="21" l="1"/>
  <c r="F10" i="21"/>
  <c r="C3" i="22" l="1"/>
  <c r="D3" i="22"/>
  <c r="F3" i="22"/>
  <c r="C4" i="22"/>
  <c r="D4" i="22"/>
  <c r="F4" i="22"/>
  <c r="G3" i="24" l="1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B3" i="31"/>
  <c r="C3" i="31"/>
  <c r="D3" i="31"/>
  <c r="B4" i="31"/>
  <c r="C4" i="31"/>
  <c r="D4" i="31"/>
  <c r="B5" i="31"/>
  <c r="C5" i="31"/>
  <c r="D5" i="31"/>
  <c r="B6" i="31"/>
  <c r="C6" i="31"/>
  <c r="D6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Q3" i="22"/>
  <c r="R3" i="22"/>
  <c r="S3" i="22"/>
  <c r="T3" i="22"/>
  <c r="U3" i="22"/>
  <c r="V3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G7" i="24"/>
  <c r="H7" i="24" s="1"/>
  <c r="I7" i="24" s="1"/>
  <c r="J7" i="24" s="1"/>
  <c r="N7" i="31" s="1"/>
  <c r="B7" i="31"/>
  <c r="C7" i="31"/>
  <c r="D7" i="31"/>
  <c r="C7" i="29"/>
  <c r="D7" i="29"/>
  <c r="F7" i="29"/>
  <c r="L7" i="29"/>
  <c r="M7" i="29"/>
  <c r="C7" i="22"/>
  <c r="D7" i="22"/>
  <c r="F7" i="22"/>
  <c r="Q7" i="22"/>
  <c r="R7" i="22"/>
  <c r="S7" i="22"/>
  <c r="T7" i="22"/>
  <c r="U7" i="22"/>
  <c r="V7" i="22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G9" i="24"/>
  <c r="H9" i="24" s="1"/>
  <c r="I9" i="24" s="1"/>
  <c r="J9" i="24" s="1"/>
  <c r="N9" i="31" s="1"/>
  <c r="B9" i="31"/>
  <c r="C9" i="31"/>
  <c r="D9" i="31"/>
  <c r="C9" i="29"/>
  <c r="D9" i="29"/>
  <c r="F9" i="29"/>
  <c r="L9" i="29"/>
  <c r="M9" i="29"/>
  <c r="C9" i="22"/>
  <c r="D9" i="22"/>
  <c r="F9" i="22"/>
  <c r="Q9" i="22"/>
  <c r="R9" i="22"/>
  <c r="S9" i="22"/>
  <c r="T9" i="22"/>
  <c r="U9" i="22"/>
  <c r="V9" i="22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2" i="22"/>
  <c r="D12" i="22"/>
  <c r="F12" i="22"/>
  <c r="Q12" i="22"/>
  <c r="R12" i="22"/>
  <c r="S12" i="22"/>
  <c r="T12" i="22"/>
  <c r="U12" i="22"/>
  <c r="V12" i="22"/>
  <c r="C13" i="22"/>
  <c r="D13" i="22"/>
  <c r="F13" i="22"/>
  <c r="Q13" i="22"/>
  <c r="R13" i="22"/>
  <c r="S13" i="22"/>
  <c r="T13" i="22"/>
  <c r="U13" i="22"/>
  <c r="V13" i="22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C16" i="22"/>
  <c r="D16" i="22"/>
  <c r="F16" i="22"/>
  <c r="Q16" i="22"/>
  <c r="R16" i="22"/>
  <c r="S16" i="22"/>
  <c r="T16" i="22"/>
  <c r="U16" i="22"/>
  <c r="V16" i="22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X16" i="22" l="1"/>
  <c r="AA16" i="22" s="1"/>
  <c r="AD16" i="22" s="1"/>
  <c r="I16" i="31" s="1"/>
  <c r="AF4" i="21"/>
  <c r="AF3" i="21"/>
  <c r="AA5" i="21"/>
  <c r="AF5" i="21"/>
  <c r="AF7" i="21"/>
  <c r="X4" i="22"/>
  <c r="AA4" i="22" s="1"/>
  <c r="AD4" i="22" s="1"/>
  <c r="I4" i="31" s="1"/>
  <c r="AA6" i="21"/>
  <c r="W5" i="22"/>
  <c r="AA16" i="21"/>
  <c r="N7" i="29"/>
  <c r="O7" i="29" s="1"/>
  <c r="P7" i="29" s="1"/>
  <c r="K7" i="31" s="1"/>
  <c r="AK3" i="21"/>
  <c r="N4" i="29"/>
  <c r="O4" i="29" s="1"/>
  <c r="P4" i="29" s="1"/>
  <c r="K4" i="31" s="1"/>
  <c r="N6" i="29"/>
  <c r="O6" i="29" s="1"/>
  <c r="P6" i="29" s="1"/>
  <c r="K6" i="31" s="1"/>
  <c r="AP6" i="21"/>
  <c r="AF6" i="21"/>
  <c r="X6" i="22"/>
  <c r="AA6" i="22" s="1"/>
  <c r="AD6" i="22" s="1"/>
  <c r="I6" i="31" s="1"/>
  <c r="W6" i="22"/>
  <c r="W3" i="22"/>
  <c r="Z3" i="22" s="1"/>
  <c r="AC3" i="22" s="1"/>
  <c r="H3" i="31" s="1"/>
  <c r="AP7" i="21"/>
  <c r="X14" i="22"/>
  <c r="AA14" i="22" s="1"/>
  <c r="AD14" i="22" s="1"/>
  <c r="I14" i="31" s="1"/>
  <c r="AK9" i="21"/>
  <c r="AP4" i="21"/>
  <c r="X3" i="22"/>
  <c r="AA3" i="22" s="1"/>
  <c r="AD3" i="22" s="1"/>
  <c r="I3" i="31" s="1"/>
  <c r="N5" i="29"/>
  <c r="O5" i="29" s="1"/>
  <c r="P5" i="29" s="1"/>
  <c r="K5" i="31" s="1"/>
  <c r="AP5" i="21"/>
  <c r="AA4" i="21"/>
  <c r="X5" i="22"/>
  <c r="AA5" i="22" s="1"/>
  <c r="AD5" i="22" s="1"/>
  <c r="I5" i="31" s="1"/>
  <c r="W4" i="22"/>
  <c r="Q4" i="29" s="1"/>
  <c r="R4" i="29" s="1"/>
  <c r="S4" i="29" s="1"/>
  <c r="L4" i="31" s="1"/>
  <c r="AF9" i="21"/>
  <c r="AK4" i="21"/>
  <c r="AP15" i="21"/>
  <c r="N13" i="29"/>
  <c r="O13" i="29" s="1"/>
  <c r="P13" i="29" s="1"/>
  <c r="K13" i="31" s="1"/>
  <c r="AK6" i="21"/>
  <c r="W9" i="22"/>
  <c r="Z9" i="22" s="1"/>
  <c r="AC9" i="22" s="1"/>
  <c r="H9" i="31" s="1"/>
  <c r="AK5" i="21"/>
  <c r="AA3" i="21"/>
  <c r="AP3" i="21"/>
  <c r="X7" i="22"/>
  <c r="AA7" i="22" s="1"/>
  <c r="AD7" i="22" s="1"/>
  <c r="I7" i="31" s="1"/>
  <c r="W7" i="22"/>
  <c r="Z7" i="22" s="1"/>
  <c r="AC7" i="22" s="1"/>
  <c r="H7" i="31" s="1"/>
  <c r="N3" i="29"/>
  <c r="O3" i="29" s="1"/>
  <c r="P3" i="29" s="1"/>
  <c r="K3" i="31" s="1"/>
  <c r="AA15" i="21"/>
  <c r="X15" i="22"/>
  <c r="AA15" i="22" s="1"/>
  <c r="AD15" i="22" s="1"/>
  <c r="I15" i="31" s="1"/>
  <c r="AP9" i="21"/>
  <c r="X9" i="22"/>
  <c r="AA9" i="22" s="1"/>
  <c r="AD9" i="22" s="1"/>
  <c r="I9" i="31" s="1"/>
  <c r="N9" i="29"/>
  <c r="O9" i="29" s="1"/>
  <c r="P9" i="29" s="1"/>
  <c r="K9" i="31" s="1"/>
  <c r="AK7" i="21"/>
  <c r="AA7" i="21"/>
  <c r="X13" i="22"/>
  <c r="AA13" i="22" s="1"/>
  <c r="AD13" i="22" s="1"/>
  <c r="I13" i="31" s="1"/>
  <c r="AP14" i="21"/>
  <c r="AF14" i="21"/>
  <c r="AA14" i="21"/>
  <c r="AK13" i="21"/>
  <c r="AA13" i="21"/>
  <c r="W15" i="22"/>
  <c r="Z15" i="22" s="1"/>
  <c r="AC15" i="22" s="1"/>
  <c r="H15" i="31" s="1"/>
  <c r="N16" i="29"/>
  <c r="O16" i="29" s="1"/>
  <c r="P16" i="29" s="1"/>
  <c r="K16" i="31" s="1"/>
  <c r="AA9" i="21"/>
  <c r="AP12" i="21"/>
  <c r="AA12" i="21"/>
  <c r="N14" i="29"/>
  <c r="O14" i="29" s="1"/>
  <c r="P14" i="29" s="1"/>
  <c r="K14" i="31" s="1"/>
  <c r="AK16" i="21"/>
  <c r="AP16" i="21"/>
  <c r="AP13" i="21"/>
  <c r="X12" i="22"/>
  <c r="AA12" i="22" s="1"/>
  <c r="AD12" i="22" s="1"/>
  <c r="I12" i="31" s="1"/>
  <c r="W12" i="22"/>
  <c r="AK15" i="21"/>
  <c r="AK12" i="21"/>
  <c r="N12" i="29"/>
  <c r="O12" i="29" s="1"/>
  <c r="P12" i="29" s="1"/>
  <c r="K12" i="31" s="1"/>
  <c r="N15" i="29"/>
  <c r="O15" i="29" s="1"/>
  <c r="P15" i="29" s="1"/>
  <c r="K15" i="31" s="1"/>
  <c r="AK14" i="21"/>
  <c r="AR14" i="21" s="1"/>
  <c r="W16" i="22"/>
  <c r="AF16" i="21"/>
  <c r="AF13" i="21"/>
  <c r="W13" i="22"/>
  <c r="AF15" i="21"/>
  <c r="AF12" i="21"/>
  <c r="W14" i="22"/>
  <c r="AQ3" i="21" l="1"/>
  <c r="AT3" i="21" s="1"/>
  <c r="AW3" i="21" s="1"/>
  <c r="E3" i="31" s="1"/>
  <c r="AR6" i="21"/>
  <c r="Y6" i="22"/>
  <c r="AB6" i="22" s="1"/>
  <c r="AE6" i="22" s="1"/>
  <c r="J6" i="31" s="1"/>
  <c r="AQ4" i="21"/>
  <c r="AT4" i="21" s="1"/>
  <c r="AW4" i="21" s="1"/>
  <c r="E4" i="31" s="1"/>
  <c r="Y5" i="22"/>
  <c r="AB5" i="22" s="1"/>
  <c r="AE5" i="22" s="1"/>
  <c r="J5" i="31" s="1"/>
  <c r="Y9" i="22"/>
  <c r="AB9" i="22" s="1"/>
  <c r="AE9" i="22" s="1"/>
  <c r="J9" i="31" s="1"/>
  <c r="AR7" i="21"/>
  <c r="AU7" i="21" s="1"/>
  <c r="AX7" i="21" s="1"/>
  <c r="F7" i="31" s="1"/>
  <c r="Z6" i="22"/>
  <c r="AC6" i="22" s="1"/>
  <c r="H6" i="31" s="1"/>
  <c r="AR15" i="21"/>
  <c r="AR12" i="21"/>
  <c r="AU12" i="21" s="1"/>
  <c r="AX12" i="21" s="1"/>
  <c r="F12" i="31" s="1"/>
  <c r="T6" i="29"/>
  <c r="U6" i="29" s="1"/>
  <c r="V6" i="29" s="1"/>
  <c r="M6" i="31" s="1"/>
  <c r="Q6" i="29"/>
  <c r="R6" i="29" s="1"/>
  <c r="S6" i="29" s="1"/>
  <c r="L6" i="31" s="1"/>
  <c r="Q9" i="29"/>
  <c r="R9" i="29" s="1"/>
  <c r="S9" i="29" s="1"/>
  <c r="L9" i="31" s="1"/>
  <c r="Z5" i="22"/>
  <c r="AC5" i="22" s="1"/>
  <c r="H5" i="31" s="1"/>
  <c r="AQ5" i="21"/>
  <c r="AT5" i="21" s="1"/>
  <c r="AW5" i="21" s="1"/>
  <c r="E5" i="31" s="1"/>
  <c r="AQ9" i="21"/>
  <c r="AT9" i="21" s="1"/>
  <c r="AW9" i="21" s="1"/>
  <c r="E9" i="31" s="1"/>
  <c r="Y15" i="22"/>
  <c r="AB15" i="22" s="1"/>
  <c r="AE15" i="22" s="1"/>
  <c r="J15" i="31" s="1"/>
  <c r="AQ6" i="21"/>
  <c r="AT6" i="21" s="1"/>
  <c r="AW6" i="21" s="1"/>
  <c r="E6" i="31" s="1"/>
  <c r="AR9" i="21"/>
  <c r="AQ7" i="21"/>
  <c r="AT7" i="21" s="1"/>
  <c r="AW7" i="21" s="1"/>
  <c r="E7" i="31" s="1"/>
  <c r="AQ13" i="21"/>
  <c r="AT13" i="21" s="1"/>
  <c r="AW13" i="21" s="1"/>
  <c r="E13" i="31" s="1"/>
  <c r="AR5" i="21"/>
  <c r="AQ12" i="21"/>
  <c r="AT12" i="21" s="1"/>
  <c r="AW12" i="21" s="1"/>
  <c r="E12" i="31" s="1"/>
  <c r="AR13" i="21"/>
  <c r="AU13" i="21" s="1"/>
  <c r="AX13" i="21" s="1"/>
  <c r="F13" i="31" s="1"/>
  <c r="AQ15" i="21"/>
  <c r="AT15" i="21" s="1"/>
  <c r="AW15" i="21" s="1"/>
  <c r="E15" i="31" s="1"/>
  <c r="AQ16" i="21"/>
  <c r="AT16" i="21" s="1"/>
  <c r="AW16" i="21" s="1"/>
  <c r="E16" i="31" s="1"/>
  <c r="T9" i="29"/>
  <c r="U9" i="29" s="1"/>
  <c r="V9" i="29" s="1"/>
  <c r="M9" i="31" s="1"/>
  <c r="AR3" i="21"/>
  <c r="AS3" i="21" s="1"/>
  <c r="AV3" i="21" s="1"/>
  <c r="Q5" i="29"/>
  <c r="R5" i="29" s="1"/>
  <c r="S5" i="29" s="1"/>
  <c r="L5" i="31" s="1"/>
  <c r="AQ14" i="21"/>
  <c r="AT14" i="21" s="1"/>
  <c r="AW14" i="21" s="1"/>
  <c r="E14" i="31" s="1"/>
  <c r="T5" i="29"/>
  <c r="U5" i="29" s="1"/>
  <c r="V5" i="29" s="1"/>
  <c r="M5" i="31" s="1"/>
  <c r="AR4" i="21"/>
  <c r="Y4" i="22"/>
  <c r="AB4" i="22" s="1"/>
  <c r="AE4" i="22" s="1"/>
  <c r="J4" i="31" s="1"/>
  <c r="Z4" i="22"/>
  <c r="AC4" i="22" s="1"/>
  <c r="H4" i="31" s="1"/>
  <c r="Y3" i="22"/>
  <c r="AB3" i="22" s="1"/>
  <c r="AE3" i="22" s="1"/>
  <c r="J3" i="31" s="1"/>
  <c r="Q7" i="29"/>
  <c r="R7" i="29" s="1"/>
  <c r="S7" i="29" s="1"/>
  <c r="L7" i="31" s="1"/>
  <c r="T4" i="29"/>
  <c r="U4" i="29" s="1"/>
  <c r="V4" i="29" s="1"/>
  <c r="M4" i="31" s="1"/>
  <c r="Y7" i="22"/>
  <c r="AB7" i="22" s="1"/>
  <c r="AE7" i="22" s="1"/>
  <c r="J7" i="31" s="1"/>
  <c r="T7" i="29"/>
  <c r="U7" i="29" s="1"/>
  <c r="V7" i="29" s="1"/>
  <c r="M7" i="31" s="1"/>
  <c r="AR16" i="21"/>
  <c r="AU16" i="21" s="1"/>
  <c r="AX16" i="21" s="1"/>
  <c r="F16" i="31" s="1"/>
  <c r="T3" i="29"/>
  <c r="U3" i="29" s="1"/>
  <c r="V3" i="29" s="1"/>
  <c r="M3" i="31" s="1"/>
  <c r="Q3" i="29"/>
  <c r="R3" i="29" s="1"/>
  <c r="S3" i="29" s="1"/>
  <c r="L3" i="31" s="1"/>
  <c r="AU5" i="21"/>
  <c r="AX5" i="21" s="1"/>
  <c r="F5" i="31" s="1"/>
  <c r="Q12" i="29"/>
  <c r="R12" i="29" s="1"/>
  <c r="S12" i="29" s="1"/>
  <c r="L12" i="31" s="1"/>
  <c r="T12" i="29"/>
  <c r="U12" i="29" s="1"/>
  <c r="V12" i="29" s="1"/>
  <c r="M12" i="31" s="1"/>
  <c r="Z12" i="22"/>
  <c r="AC12" i="22" s="1"/>
  <c r="H12" i="31" s="1"/>
  <c r="Y12" i="22"/>
  <c r="AB12" i="22" s="1"/>
  <c r="AE12" i="22" s="1"/>
  <c r="J12" i="31" s="1"/>
  <c r="T15" i="29"/>
  <c r="U15" i="29" s="1"/>
  <c r="V15" i="29" s="1"/>
  <c r="M15" i="31" s="1"/>
  <c r="Q15" i="29"/>
  <c r="R15" i="29" s="1"/>
  <c r="S15" i="29" s="1"/>
  <c r="L15" i="31" s="1"/>
  <c r="AS14" i="21"/>
  <c r="AV14" i="21" s="1"/>
  <c r="AU14" i="21"/>
  <c r="AX14" i="21" s="1"/>
  <c r="F14" i="31" s="1"/>
  <c r="Z14" i="22"/>
  <c r="AC14" i="22" s="1"/>
  <c r="H14" i="31" s="1"/>
  <c r="T14" i="29"/>
  <c r="U14" i="29" s="1"/>
  <c r="V14" i="29" s="1"/>
  <c r="M14" i="31" s="1"/>
  <c r="Q14" i="29"/>
  <c r="R14" i="29" s="1"/>
  <c r="S14" i="29" s="1"/>
  <c r="L14" i="31" s="1"/>
  <c r="Y14" i="22"/>
  <c r="AB14" i="22" s="1"/>
  <c r="AE14" i="22" s="1"/>
  <c r="J14" i="31" s="1"/>
  <c r="T16" i="29"/>
  <c r="U16" i="29" s="1"/>
  <c r="V16" i="29" s="1"/>
  <c r="M16" i="31" s="1"/>
  <c r="Z16" i="22"/>
  <c r="AC16" i="22" s="1"/>
  <c r="H16" i="31" s="1"/>
  <c r="Q16" i="29"/>
  <c r="R16" i="29" s="1"/>
  <c r="S16" i="29" s="1"/>
  <c r="L16" i="31" s="1"/>
  <c r="Y16" i="22"/>
  <c r="AB16" i="22" s="1"/>
  <c r="AE16" i="22" s="1"/>
  <c r="J16" i="31" s="1"/>
  <c r="Y13" i="22"/>
  <c r="AB13" i="22" s="1"/>
  <c r="AE13" i="22" s="1"/>
  <c r="J13" i="31" s="1"/>
  <c r="T13" i="29"/>
  <c r="U13" i="29" s="1"/>
  <c r="V13" i="29" s="1"/>
  <c r="M13" i="31" s="1"/>
  <c r="Z13" i="22"/>
  <c r="AC13" i="22" s="1"/>
  <c r="H13" i="31" s="1"/>
  <c r="Q13" i="29"/>
  <c r="R13" i="29" s="1"/>
  <c r="S13" i="29" s="1"/>
  <c r="L13" i="31" s="1"/>
  <c r="AS6" i="21" l="1"/>
  <c r="AV6" i="21" s="1"/>
  <c r="AU6" i="21"/>
  <c r="AX6" i="21" s="1"/>
  <c r="F6" i="31" s="1"/>
  <c r="AS9" i="21"/>
  <c r="AV9" i="21" s="1"/>
  <c r="AY9" i="21" s="1"/>
  <c r="G9" i="31" s="1"/>
  <c r="AS4" i="21"/>
  <c r="AV4" i="21" s="1"/>
  <c r="O4" i="31" s="1"/>
  <c r="P4" i="31" s="1"/>
  <c r="AS5" i="21"/>
  <c r="AV5" i="21" s="1"/>
  <c r="O5" i="31" s="1"/>
  <c r="P5" i="31" s="1"/>
  <c r="AU3" i="21"/>
  <c r="AX3" i="21" s="1"/>
  <c r="F3" i="31" s="1"/>
  <c r="AS15" i="21"/>
  <c r="AV15" i="21" s="1"/>
  <c r="O15" i="31" s="1"/>
  <c r="P15" i="31" s="1"/>
  <c r="AU15" i="21"/>
  <c r="AX15" i="21" s="1"/>
  <c r="F15" i="31" s="1"/>
  <c r="AS7" i="21"/>
  <c r="AV7" i="21" s="1"/>
  <c r="AY7" i="21" s="1"/>
  <c r="G7" i="31" s="1"/>
  <c r="AU9" i="21"/>
  <c r="AX9" i="21" s="1"/>
  <c r="F9" i="31" s="1"/>
  <c r="AS13" i="21"/>
  <c r="AV13" i="21" s="1"/>
  <c r="O13" i="31" s="1"/>
  <c r="P13" i="31" s="1"/>
  <c r="AS16" i="21"/>
  <c r="AV16" i="21" s="1"/>
  <c r="O16" i="31" s="1"/>
  <c r="P16" i="31" s="1"/>
  <c r="AS12" i="21"/>
  <c r="AV12" i="21" s="1"/>
  <c r="AY12" i="21" s="1"/>
  <c r="G12" i="31" s="1"/>
  <c r="AU4" i="21"/>
  <c r="AX4" i="21" s="1"/>
  <c r="F4" i="31" s="1"/>
  <c r="O6" i="31"/>
  <c r="P6" i="31" s="1"/>
  <c r="AY6" i="21"/>
  <c r="G6" i="31" s="1"/>
  <c r="O3" i="31"/>
  <c r="P3" i="31" s="1"/>
  <c r="AY3" i="21"/>
  <c r="G3" i="31" s="1"/>
  <c r="O14" i="31"/>
  <c r="P14" i="31" s="1"/>
  <c r="AY14" i="21"/>
  <c r="G14" i="31" s="1"/>
  <c r="AY13" i="21" l="1"/>
  <c r="G13" i="31" s="1"/>
  <c r="AY5" i="21"/>
  <c r="G5" i="31" s="1"/>
  <c r="O9" i="31"/>
  <c r="P9" i="31" s="1"/>
  <c r="AY4" i="21"/>
  <c r="G4" i="31" s="1"/>
  <c r="AY15" i="21"/>
  <c r="G15" i="31" s="1"/>
  <c r="O7" i="31"/>
  <c r="P7" i="31" s="1"/>
  <c r="AY16" i="21"/>
  <c r="G16" i="31" s="1"/>
  <c r="O12" i="31"/>
  <c r="P12" i="31" s="1"/>
  <c r="C8" i="29" l="1"/>
  <c r="D8" i="29"/>
  <c r="F8" i="29"/>
  <c r="L8" i="29"/>
  <c r="M8" i="29"/>
  <c r="N8" i="29" l="1"/>
  <c r="O8" i="29" s="1"/>
  <c r="P8" i="29" s="1"/>
  <c r="D11" i="31" l="1"/>
  <c r="C11" i="31"/>
  <c r="B11" i="31"/>
  <c r="M11" i="29"/>
  <c r="L11" i="29"/>
  <c r="F11" i="29"/>
  <c r="D11" i="29"/>
  <c r="C11" i="29"/>
  <c r="V11" i="22"/>
  <c r="U11" i="22"/>
  <c r="T11" i="22"/>
  <c r="S11" i="22"/>
  <c r="R11" i="22"/>
  <c r="Q11" i="22"/>
  <c r="F11" i="22"/>
  <c r="D11" i="22"/>
  <c r="C11" i="22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D11" i="21"/>
  <c r="C11" i="21"/>
  <c r="G11" i="24"/>
  <c r="H11" i="24" s="1"/>
  <c r="I11" i="24" s="1"/>
  <c r="J11" i="24" s="1"/>
  <c r="N11" i="31" s="1"/>
  <c r="X11" i="22" l="1"/>
  <c r="AA11" i="22" s="1"/>
  <c r="AD11" i="22" s="1"/>
  <c r="I11" i="31" s="1"/>
  <c r="N11" i="29"/>
  <c r="W11" i="22"/>
  <c r="AF11" i="21"/>
  <c r="AP11" i="21"/>
  <c r="AA11" i="21"/>
  <c r="AK11" i="21"/>
  <c r="AR11" i="21" l="1"/>
  <c r="AU11" i="21" s="1"/>
  <c r="AX11" i="21" s="1"/>
  <c r="F11" i="31" s="1"/>
  <c r="AQ11" i="21"/>
  <c r="AT11" i="21" s="1"/>
  <c r="AW11" i="21" s="1"/>
  <c r="E11" i="31" s="1"/>
  <c r="T11" i="29"/>
  <c r="U11" i="29" s="1"/>
  <c r="V11" i="29" s="1"/>
  <c r="M11" i="31" s="1"/>
  <c r="O11" i="29"/>
  <c r="P11" i="29" s="1"/>
  <c r="K11" i="31" s="1"/>
  <c r="Q11" i="29"/>
  <c r="R11" i="29" s="1"/>
  <c r="S11" i="29" s="1"/>
  <c r="L11" i="31" s="1"/>
  <c r="Y11" i="22"/>
  <c r="AB11" i="22" s="1"/>
  <c r="AE11" i="22" s="1"/>
  <c r="J11" i="31" s="1"/>
  <c r="Z11" i="22"/>
  <c r="AC11" i="22" s="1"/>
  <c r="H11" i="31" s="1"/>
  <c r="AS11" i="21" l="1"/>
  <c r="AV11" i="21" s="1"/>
  <c r="AY11" i="21" s="1"/>
  <c r="G11" i="31" s="1"/>
  <c r="O11" i="31" l="1"/>
  <c r="P11" i="31" s="1"/>
  <c r="F10" i="22" l="1"/>
  <c r="D10" i="31"/>
  <c r="C10" i="31"/>
  <c r="B10" i="31"/>
  <c r="M10" i="29"/>
  <c r="L10" i="29"/>
  <c r="F10" i="29"/>
  <c r="D10" i="29"/>
  <c r="C10" i="29"/>
  <c r="V10" i="22"/>
  <c r="U10" i="22"/>
  <c r="T10" i="22"/>
  <c r="S10" i="22"/>
  <c r="R10" i="22"/>
  <c r="Q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D10" i="21"/>
  <c r="C10" i="21"/>
  <c r="G10" i="24"/>
  <c r="H10" i="24" s="1"/>
  <c r="I10" i="24" s="1"/>
  <c r="J10" i="24" s="1"/>
  <c r="N10" i="31" s="1"/>
  <c r="AP10" i="21" l="1"/>
  <c r="X10" i="22"/>
  <c r="AA10" i="22" s="1"/>
  <c r="AD10" i="22" s="1"/>
  <c r="I10" i="31" s="1"/>
  <c r="N10" i="29"/>
  <c r="O10" i="29" s="1"/>
  <c r="P10" i="29" s="1"/>
  <c r="K10" i="31" s="1"/>
  <c r="W10" i="22"/>
  <c r="AA10" i="21"/>
  <c r="AF10" i="21"/>
  <c r="AK10" i="21"/>
  <c r="AR10" i="21" l="1"/>
  <c r="AU10" i="21" s="1"/>
  <c r="AX10" i="21" s="1"/>
  <c r="F10" i="31" s="1"/>
  <c r="AQ10" i="21"/>
  <c r="AT10" i="21" s="1"/>
  <c r="AW10" i="21" s="1"/>
  <c r="E10" i="31" s="1"/>
  <c r="Q10" i="29"/>
  <c r="R10" i="29" s="1"/>
  <c r="S10" i="29" s="1"/>
  <c r="L10" i="31" s="1"/>
  <c r="Z10" i="22"/>
  <c r="AC10" i="22" s="1"/>
  <c r="H10" i="31" s="1"/>
  <c r="T10" i="29"/>
  <c r="U10" i="29" s="1"/>
  <c r="V10" i="29" s="1"/>
  <c r="M10" i="31" s="1"/>
  <c r="Y10" i="22"/>
  <c r="AB10" i="22" s="1"/>
  <c r="AE10" i="22" s="1"/>
  <c r="J10" i="31" s="1"/>
  <c r="AS10" i="21" l="1"/>
  <c r="AV10" i="21" s="1"/>
  <c r="AY10" i="21" s="1"/>
  <c r="G10" i="31" s="1"/>
  <c r="O10" i="31" l="1"/>
  <c r="P10" i="31" s="1"/>
  <c r="C8" i="21" l="1"/>
  <c r="D8" i="31" l="1"/>
  <c r="C8" i="31"/>
  <c r="B8" i="31"/>
  <c r="V8" i="22"/>
  <c r="U8" i="22"/>
  <c r="T8" i="22"/>
  <c r="S8" i="22"/>
  <c r="R8" i="22"/>
  <c r="Q8" i="22"/>
  <c r="F8" i="22"/>
  <c r="D8" i="22"/>
  <c r="C8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G8" i="24"/>
  <c r="H8" i="24" s="1"/>
  <c r="I8" i="24" s="1"/>
  <c r="J8" i="24" s="1"/>
  <c r="N8" i="31" s="1"/>
  <c r="X8" i="22" l="1"/>
  <c r="AA8" i="21"/>
  <c r="AF8" i="21"/>
  <c r="K8" i="31"/>
  <c r="AK8" i="21"/>
  <c r="AP8" i="21"/>
  <c r="W8" i="22"/>
  <c r="Z8" i="22" l="1"/>
  <c r="AC8" i="22" s="1"/>
  <c r="H8" i="31" s="1"/>
  <c r="Q8" i="29"/>
  <c r="R8" i="29" s="1"/>
  <c r="S8" i="29" s="1"/>
  <c r="L8" i="31" s="1"/>
  <c r="T8" i="29"/>
  <c r="U8" i="29" s="1"/>
  <c r="V8" i="29" s="1"/>
  <c r="M8" i="31" s="1"/>
  <c r="Y8" i="22"/>
  <c r="AB8" i="22" s="1"/>
  <c r="AE8" i="22" s="1"/>
  <c r="J8" i="31" s="1"/>
  <c r="AQ8" i="21"/>
  <c r="AT8" i="21" s="1"/>
  <c r="AW8" i="21" s="1"/>
  <c r="E8" i="31" s="1"/>
  <c r="AA8" i="22"/>
  <c r="AD8" i="22" s="1"/>
  <c r="I8" i="31" s="1"/>
  <c r="AR8" i="21"/>
  <c r="AU8" i="21" l="1"/>
  <c r="AX8" i="21" s="1"/>
  <c r="F8" i="31" s="1"/>
  <c r="AS8" i="21"/>
  <c r="AV8" i="21" s="1"/>
  <c r="AY8" i="21" l="1"/>
  <c r="G8" i="31" s="1"/>
  <c r="O8" i="31"/>
  <c r="P8" i="31" s="1"/>
</calcChain>
</file>

<file path=xl/sharedStrings.xml><?xml version="1.0" encoding="utf-8"?>
<sst xmlns="http://schemas.openxmlformats.org/spreadsheetml/2006/main" count="314" uniqueCount="132">
  <si>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</si>
  <si>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</si>
  <si>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</si>
  <si>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</si>
  <si>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</si>
  <si>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</si>
  <si>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</si>
  <si>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</si>
  <si>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</si>
  <si>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</si>
  <si>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</si>
  <si>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</si>
  <si>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</si>
  <si>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</si>
  <si>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</si>
  <si>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</si>
  <si>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</si>
  <si>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</si>
  <si>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</si>
  <si>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</si>
  <si>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</si>
  <si>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</si>
  <si>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</si>
  <si>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</si>
  <si>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</si>
  <si>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</si>
  <si>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</si>
  <si>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</si>
  <si>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</si>
  <si>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</si>
  <si>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</si>
  <si>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</si>
  <si>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</si>
  <si>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</si>
  <si>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</si>
  <si>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</si>
  <si>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</si>
  <si>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</si>
  <si>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</si>
  <si>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</si>
  <si>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</si>
  <si>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</si>
  <si>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</si>
  <si>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</si>
  <si>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</si>
  <si>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</si>
  <si>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</si>
  <si>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</si>
  <si>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</si>
  <si>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</si>
  <si>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</si>
  <si>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</si>
  <si>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</si>
  <si>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</si>
  <si>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</si>
  <si>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</si>
  <si>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</si>
  <si>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</si>
  <si>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</si>
  <si>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</si>
  <si>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</si>
  <si>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</si>
  <si>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</si>
  <si>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</si>
  <si>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</si>
  <si>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</si>
  <si>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</si>
  <si>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</si>
  <si>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</si>
  <si>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</si>
  <si>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</si>
  <si>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</si>
  <si>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</si>
  <si>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</si>
  <si>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</si>
  <si>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</si>
  <si>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</si>
  <si>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</si>
  <si>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</si>
  <si>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</si>
  <si>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</si>
  <si>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</si>
  <si>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</si>
  <si>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Overall Side STARS</t>
  </si>
  <si>
    <t>Overall Side Driver STARS</t>
  </si>
  <si>
    <t>Rollover</t>
  </si>
  <si>
    <t>Kia</t>
  </si>
  <si>
    <t>Seltos SUV FWD</t>
  </si>
  <si>
    <t>Seltos SUV AWD</t>
  </si>
  <si>
    <t>Y</t>
  </si>
  <si>
    <t>N</t>
  </si>
  <si>
    <t>O20214201</t>
  </si>
  <si>
    <t>MGA</t>
  </si>
  <si>
    <t>O20214202</t>
  </si>
  <si>
    <t>O20214200</t>
  </si>
  <si>
    <t>Buick</t>
  </si>
  <si>
    <t>Chevrolet</t>
  </si>
  <si>
    <t>Encore GX SUV FWD</t>
  </si>
  <si>
    <t>Encore GX SUV AWD</t>
  </si>
  <si>
    <t xml:space="preserve">Ford </t>
  </si>
  <si>
    <t>Transit Connect Wagon FWD</t>
  </si>
  <si>
    <t>Transit Connect Van FWD</t>
  </si>
  <si>
    <t>K5 4DR FWD</t>
  </si>
  <si>
    <t>Subaru</t>
  </si>
  <si>
    <t>Outback SW AWD</t>
  </si>
  <si>
    <t>Legacy 4DR AWD</t>
  </si>
  <si>
    <t>Toyota</t>
  </si>
  <si>
    <t>Corolla 4DR FWD</t>
  </si>
  <si>
    <t>Corolla Hybrid 4DR FWD</t>
  </si>
  <si>
    <t>Corolla Hatchback 5HB FWD</t>
  </si>
  <si>
    <t>M20200101</t>
  </si>
  <si>
    <t>Calspan</t>
  </si>
  <si>
    <t>KARCO</t>
  </si>
  <si>
    <t>O20205504</t>
  </si>
  <si>
    <t>O20205501</t>
  </si>
  <si>
    <t>O20205503</t>
  </si>
  <si>
    <t>O20205500</t>
  </si>
  <si>
    <t>O20195100</t>
  </si>
  <si>
    <t>O20195101</t>
  </si>
  <si>
    <t>O20214205</t>
  </si>
  <si>
    <t>O20214203</t>
  </si>
  <si>
    <t>O20214204</t>
  </si>
  <si>
    <t>O20210101</t>
  </si>
  <si>
    <t>O20210100</t>
  </si>
  <si>
    <t>Trailblazer SUV FWD (Later Release)</t>
  </si>
  <si>
    <t>Trailblazer SUV AWD (Later Release)</t>
  </si>
  <si>
    <t>O20215104</t>
  </si>
  <si>
    <t>M20210218</t>
  </si>
  <si>
    <t>M20210220</t>
  </si>
  <si>
    <t>N/A</t>
  </si>
  <si>
    <t>M20210219</t>
  </si>
  <si>
    <t>O20215500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</si>
</sst>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6" formatCode="[$-409]mmmm\-yy;@"/>
    <numFmt numFmtId="167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167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34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/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2" fontId="5" fillId="0" borderId="20" xfId="0" applyNumberFormat="1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5" fillId="0" borderId="38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/>
    <xf numFmtId="0" fontId="5" fillId="0" borderId="0" xfId="0" applyFont="1" applyFill="1" applyAlignment="1"/>
    <xf numFmtId="2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5" fillId="0" borderId="0" xfId="0" applyNumberFormat="1" applyFont="1" applyFill="1" applyAlignment="1"/>
    <xf numFmtId="164" fontId="4" fillId="0" borderId="0" xfId="0" applyNumberFormat="1" applyFont="1" applyFill="1" applyAlignment="1"/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164" fontId="5" fillId="0" borderId="19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5" fillId="0" borderId="4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" fontId="3" fillId="0" borderId="4" xfId="0" applyNumberFormat="1" applyFont="1" applyFill="1" applyBorder="1" applyAlignment="1"/>
    <xf numFmtId="1" fontId="5" fillId="0" borderId="2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 applyProtection="1">
      <alignment horizontal="center"/>
    </xf>
    <xf numFmtId="164" fontId="5" fillId="0" borderId="24" xfId="0" applyNumberFormat="1" applyFont="1" applyFill="1" applyBorder="1" applyAlignment="1" applyProtection="1">
      <alignment horizontal="center"/>
    </xf>
    <xf numFmtId="1" fontId="5" fillId="0" borderId="24" xfId="0" applyNumberFormat="1" applyFont="1" applyFill="1" applyBorder="1" applyAlignment="1" applyProtection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" fontId="5" fillId="0" borderId="21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>
      <alignment horizontal="center" wrapText="1"/>
    </xf>
    <xf numFmtId="164" fontId="5" fillId="0" borderId="26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27" xfId="0" applyNumberFormat="1" applyFont="1" applyFill="1" applyBorder="1" applyAlignment="1">
      <alignment horizontal="center" wrapText="1"/>
    </xf>
    <xf numFmtId="2" fontId="5" fillId="0" borderId="28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" fontId="5" fillId="0" borderId="28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/>
    <xf numFmtId="0" fontId="5" fillId="0" borderId="24" xfId="0" applyFont="1" applyFill="1" applyBorder="1" applyAlignment="1"/>
    <xf numFmtId="0" fontId="5" fillId="0" borderId="25" xfId="0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26" xfId="0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 wrapText="1"/>
    </xf>
    <xf numFmtId="164" fontId="5" fillId="0" borderId="29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35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/>
    <xf numFmtId="164" fontId="5" fillId="0" borderId="0" xfId="0" applyNumberFormat="1" applyFont="1" applyFill="1"/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  <xf numFmtId="164" fontId="5" fillId="0" borderId="30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0"/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7" sqref="A7:XFD8"/>
    </sheetView>
  </sheetViews>
  <sheetFormatPr defaultColWidth="9.42578125" defaultRowHeight="13.35" customHeight="1"/>
  <cols>
    <col min="1" max="1" width="13.5703125" style="66" customWidth="1"/>
    <col min="2" max="2" width="39.28515625" style="66" bestFit="1" customWidth="1"/>
    <col min="3" max="3" width="4.5703125" style="63" bestFit="1" customWidth="1"/>
    <col min="4" max="4" width="4.42578125" style="63" bestFit="1" customWidth="1"/>
    <col min="5" max="5" width="18" style="63" bestFit="1" customWidth="1"/>
    <col min="6" max="6" width="13.42578125" style="63" bestFit="1" customWidth="1"/>
    <col min="7" max="7" width="7.5703125" style="67" customWidth="1"/>
    <col min="8" max="8" width="7.42578125" style="67" bestFit="1" customWidth="1"/>
    <col min="9" max="9" width="7.5703125" style="68" bestFit="1" customWidth="1"/>
    <col min="10" max="10" width="7.42578125" style="67" bestFit="1" customWidth="1"/>
    <col min="11" max="16384" width="9.42578125" style="63"/>
  </cols>
  <sheetData>
    <row r="1" spans="1:10" s="50" customFormat="1" ht="13.35" customHeight="1" thickBot="1">
      <c r="A1" s="47"/>
      <c r="B1" s="47"/>
      <c r="C1" s="47"/>
      <c r="D1" s="47"/>
      <c r="E1" s="47"/>
      <c r="F1" s="47"/>
      <c r="G1" s="48"/>
      <c r="H1" s="48"/>
      <c r="I1" s="49"/>
      <c r="J1" s="48" t="s">
        <v>85</v>
      </c>
    </row>
    <row r="2" spans="1:10" s="50" customFormat="1" ht="13.35" customHeight="1" thickBot="1">
      <c r="A2" s="46" t="s">
        <v>18</v>
      </c>
      <c r="B2" s="51" t="s">
        <v>19</v>
      </c>
      <c r="C2" s="51" t="s">
        <v>20</v>
      </c>
      <c r="D2" s="51" t="s">
        <v>21</v>
      </c>
      <c r="E2" s="51" t="s">
        <v>68</v>
      </c>
      <c r="F2" s="52" t="s">
        <v>69</v>
      </c>
      <c r="G2" s="53" t="s">
        <v>47</v>
      </c>
      <c r="H2" s="54" t="s">
        <v>8</v>
      </c>
      <c r="I2" s="55" t="s">
        <v>66</v>
      </c>
      <c r="J2" s="56" t="s">
        <v>57</v>
      </c>
    </row>
    <row r="3" spans="1:10" ht="13.35" customHeight="1" thickBot="1">
      <c r="A3" s="113" t="s">
        <v>96</v>
      </c>
      <c r="B3" s="114" t="s">
        <v>124</v>
      </c>
      <c r="C3" s="57">
        <v>2021</v>
      </c>
      <c r="D3" s="15">
        <v>1.2</v>
      </c>
      <c r="E3" s="15" t="s">
        <v>89</v>
      </c>
      <c r="F3" s="58" t="s">
        <v>90</v>
      </c>
      <c r="G3" s="59">
        <f t="shared" ref="G3:G5" si="0">IF(F3="Y",((1/(1+EXP(2.6968+(1.1686*LN(D3-0.9)))))),((1/(1+EXP(2.8891+(1.1686*(LN(D3-0.9))))))))</f>
        <v>0.1851047975833634</v>
      </c>
      <c r="H3" s="60">
        <f t="shared" ref="H3:H5" si="1">ROUND(G3,3)</f>
        <v>0.185</v>
      </c>
      <c r="I3" s="61">
        <f t="shared" ref="I3:I5" si="2">ROUND(H3/0.15,2)</f>
        <v>1.23</v>
      </c>
      <c r="J3" s="62">
        <f t="shared" ref="J3:J5" si="3">IF(I3&lt;0.673,5,IF(I3&lt;1.33,4,IF(I3&lt;2,3,IF(I3&lt;2.67,2,1))))</f>
        <v>4</v>
      </c>
    </row>
    <row r="4" spans="1:10" ht="13.35" customHeight="1" thickBot="1">
      <c r="A4" s="113" t="s">
        <v>96</v>
      </c>
      <c r="B4" s="114" t="s">
        <v>125</v>
      </c>
      <c r="C4" s="57">
        <v>2021</v>
      </c>
      <c r="D4" s="64">
        <v>1.21</v>
      </c>
      <c r="E4" s="64" t="s">
        <v>89</v>
      </c>
      <c r="F4" s="65" t="s">
        <v>90</v>
      </c>
      <c r="G4" s="59">
        <f t="shared" si="0"/>
        <v>0.17939444452697093</v>
      </c>
      <c r="H4" s="60">
        <f t="shared" si="1"/>
        <v>0.17899999999999999</v>
      </c>
      <c r="I4" s="61">
        <f t="shared" si="2"/>
        <v>1.19</v>
      </c>
      <c r="J4" s="62">
        <f t="shared" si="3"/>
        <v>4</v>
      </c>
    </row>
    <row r="5" spans="1:10" ht="13.35" customHeight="1" thickBot="1">
      <c r="A5" s="115" t="s">
        <v>95</v>
      </c>
      <c r="B5" s="64" t="s">
        <v>97</v>
      </c>
      <c r="C5" s="57">
        <v>2021</v>
      </c>
      <c r="D5" s="15">
        <v>1.2</v>
      </c>
      <c r="E5" s="15" t="s">
        <v>89</v>
      </c>
      <c r="F5" s="58" t="s">
        <v>90</v>
      </c>
      <c r="G5" s="59">
        <f t="shared" si="0"/>
        <v>0.1851047975833634</v>
      </c>
      <c r="H5" s="60">
        <f t="shared" si="1"/>
        <v>0.185</v>
      </c>
      <c r="I5" s="61">
        <f t="shared" si="2"/>
        <v>1.23</v>
      </c>
      <c r="J5" s="62">
        <f t="shared" si="3"/>
        <v>4</v>
      </c>
    </row>
    <row r="6" spans="1:10" ht="13.35" customHeight="1" thickBot="1">
      <c r="A6" s="115" t="s">
        <v>95</v>
      </c>
      <c r="B6" s="64" t="s">
        <v>98</v>
      </c>
      <c r="C6" s="57">
        <v>2021</v>
      </c>
      <c r="D6" s="64">
        <v>1.21</v>
      </c>
      <c r="E6" s="64" t="s">
        <v>89</v>
      </c>
      <c r="F6" s="65" t="s">
        <v>90</v>
      </c>
      <c r="G6" s="59">
        <f t="shared" ref="G6:G11" si="4">IF(F6="Y",((1/(1+EXP(2.6968+(1.1686*LN(D6-0.9)))))),((1/(1+EXP(2.8891+(1.1686*(LN(D6-0.9))))))))</f>
        <v>0.17939444452697093</v>
      </c>
      <c r="H6" s="60">
        <f t="shared" ref="H6:H11" si="5">ROUND(G6,3)</f>
        <v>0.17899999999999999</v>
      </c>
      <c r="I6" s="61">
        <f t="shared" ref="I6:I11" si="6">ROUND(H6/0.15,2)</f>
        <v>1.19</v>
      </c>
      <c r="J6" s="62">
        <f t="shared" ref="J6:J11" si="7">IF(I6&lt;0.673,5,IF(I6&lt;1.33,4,IF(I6&lt;2,3,IF(I6&lt;2.67,2,1))))</f>
        <v>4</v>
      </c>
    </row>
    <row r="7" spans="1:10" ht="13.35" customHeight="1" thickBot="1">
      <c r="A7" s="113" t="s">
        <v>99</v>
      </c>
      <c r="B7" s="114" t="s">
        <v>100</v>
      </c>
      <c r="C7" s="57">
        <v>2021</v>
      </c>
      <c r="D7" s="64">
        <v>1.21</v>
      </c>
      <c r="E7" s="64" t="s">
        <v>89</v>
      </c>
      <c r="F7" s="64" t="s">
        <v>90</v>
      </c>
      <c r="G7" s="59">
        <f t="shared" ref="G7:G8" si="8">IF(F7="Y",((1/(1+EXP(2.6968+(1.1686*LN(D7-0.9)))))),((1/(1+EXP(2.8891+(1.1686*(LN(D7-0.9))))))))</f>
        <v>0.17939444452697093</v>
      </c>
      <c r="H7" s="60">
        <f t="shared" ref="H7:H8" si="9">ROUND(G7,3)</f>
        <v>0.17899999999999999</v>
      </c>
      <c r="I7" s="61">
        <f t="shared" ref="I7:I8" si="10">ROUND(H7/0.15,2)</f>
        <v>1.19</v>
      </c>
      <c r="J7" s="62">
        <f t="shared" ref="J7:J8" si="11">IF(I7&lt;0.673,5,IF(I7&lt;1.33,4,IF(I7&lt;2,3,IF(I7&lt;2.67,2,1))))</f>
        <v>4</v>
      </c>
    </row>
    <row r="8" spans="1:10" ht="13.35" customHeight="1" thickBot="1">
      <c r="A8" s="113" t="s">
        <v>99</v>
      </c>
      <c r="B8" s="114" t="s">
        <v>101</v>
      </c>
      <c r="C8" s="57">
        <v>2021</v>
      </c>
      <c r="D8" s="15"/>
      <c r="E8" s="64"/>
      <c r="F8" s="64"/>
      <c r="G8" s="59" t="e">
        <f t="shared" si="8"/>
        <v>#NUM!</v>
      </c>
      <c r="H8" s="60" t="e">
        <f t="shared" si="9"/>
        <v>#NUM!</v>
      </c>
      <c r="I8" s="61" t="e">
        <f t="shared" si="10"/>
        <v>#NUM!</v>
      </c>
      <c r="J8" s="62" t="e">
        <f t="shared" si="11"/>
        <v>#NUM!</v>
      </c>
    </row>
    <row r="9" spans="1:10" ht="13.35" customHeight="1" thickBot="1">
      <c r="A9" s="113" t="s">
        <v>86</v>
      </c>
      <c r="B9" s="114" t="s">
        <v>102</v>
      </c>
      <c r="C9" s="57">
        <v>2021</v>
      </c>
      <c r="D9" s="64">
        <v>1.42</v>
      </c>
      <c r="E9" s="64" t="s">
        <v>90</v>
      </c>
      <c r="F9" s="64" t="s">
        <v>90</v>
      </c>
      <c r="G9" s="59">
        <f t="shared" si="4"/>
        <v>0.10669807295458973</v>
      </c>
      <c r="H9" s="60">
        <f t="shared" si="5"/>
        <v>0.107</v>
      </c>
      <c r="I9" s="61">
        <f t="shared" si="6"/>
        <v>0.71</v>
      </c>
      <c r="J9" s="62">
        <f t="shared" si="7"/>
        <v>4</v>
      </c>
    </row>
    <row r="10" spans="1:10" ht="13.35" customHeight="1" thickBot="1">
      <c r="A10" s="113" t="s">
        <v>86</v>
      </c>
      <c r="B10" s="114" t="s">
        <v>87</v>
      </c>
      <c r="C10" s="57">
        <v>2021</v>
      </c>
      <c r="D10" s="64">
        <v>1.23</v>
      </c>
      <c r="E10" s="64" t="s">
        <v>89</v>
      </c>
      <c r="F10" s="64" t="s">
        <v>90</v>
      </c>
      <c r="G10" s="59">
        <f t="shared" si="4"/>
        <v>0.16888967495700072</v>
      </c>
      <c r="H10" s="60">
        <f t="shared" si="5"/>
        <v>0.16900000000000001</v>
      </c>
      <c r="I10" s="61">
        <f t="shared" si="6"/>
        <v>1.1299999999999999</v>
      </c>
      <c r="J10" s="62">
        <f t="shared" si="7"/>
        <v>4</v>
      </c>
    </row>
    <row r="11" spans="1:10" ht="13.35" customHeight="1" thickBot="1">
      <c r="A11" s="113" t="s">
        <v>86</v>
      </c>
      <c r="B11" s="114" t="s">
        <v>88</v>
      </c>
      <c r="C11" s="57">
        <v>2021</v>
      </c>
      <c r="D11" s="15">
        <v>1.27</v>
      </c>
      <c r="E11" s="64" t="s">
        <v>89</v>
      </c>
      <c r="F11" s="64" t="s">
        <v>90</v>
      </c>
      <c r="G11" s="59">
        <f t="shared" si="4"/>
        <v>0.15094392869398887</v>
      </c>
      <c r="H11" s="60">
        <f t="shared" si="5"/>
        <v>0.151</v>
      </c>
      <c r="I11" s="61">
        <f t="shared" si="6"/>
        <v>1.01</v>
      </c>
      <c r="J11" s="62">
        <f t="shared" si="7"/>
        <v>4</v>
      </c>
    </row>
    <row r="12" spans="1:10" ht="13.35" customHeight="1" thickBot="1">
      <c r="A12" s="113" t="s">
        <v>103</v>
      </c>
      <c r="B12" s="114" t="s">
        <v>104</v>
      </c>
      <c r="C12" s="57">
        <v>2021</v>
      </c>
      <c r="D12" s="64">
        <v>1.2</v>
      </c>
      <c r="E12" s="64" t="s">
        <v>89</v>
      </c>
      <c r="F12" s="65" t="s">
        <v>90</v>
      </c>
      <c r="G12" s="59">
        <f t="shared" ref="G12:G16" si="12">IF(F12="Y",((1/(1+EXP(2.6968+(1.1686*LN(D12-0.9)))))),((1/(1+EXP(2.8891+(1.1686*(LN(D12-0.9))))))))</f>
        <v>0.1851047975833634</v>
      </c>
      <c r="H12" s="60">
        <f t="shared" ref="H12:H16" si="13">ROUND(G12,3)</f>
        <v>0.185</v>
      </c>
      <c r="I12" s="61">
        <f t="shared" ref="I12:I16" si="14">ROUND(H12/0.15,2)</f>
        <v>1.23</v>
      </c>
      <c r="J12" s="62">
        <f t="shared" ref="J12:J16" si="15">IF(I12&lt;0.673,5,IF(I12&lt;1.33,4,IF(I12&lt;2,3,IF(I12&lt;2.67,2,1))))</f>
        <v>4</v>
      </c>
    </row>
    <row r="13" spans="1:10" ht="13.35" customHeight="1" thickBot="1">
      <c r="A13" s="116" t="s">
        <v>103</v>
      </c>
      <c r="B13" s="117" t="s">
        <v>105</v>
      </c>
      <c r="C13" s="57">
        <v>2021</v>
      </c>
      <c r="D13" s="64">
        <v>1.45</v>
      </c>
      <c r="E13" s="64" t="s">
        <v>90</v>
      </c>
      <c r="F13" s="65" t="s">
        <v>90</v>
      </c>
      <c r="G13" s="59">
        <f t="shared" si="12"/>
        <v>0.10060976640917974</v>
      </c>
      <c r="H13" s="60">
        <f t="shared" si="13"/>
        <v>0.10100000000000001</v>
      </c>
      <c r="I13" s="61">
        <f t="shared" si="14"/>
        <v>0.67</v>
      </c>
      <c r="J13" s="62">
        <f t="shared" si="15"/>
        <v>5</v>
      </c>
    </row>
    <row r="14" spans="1:10" ht="13.35" customHeight="1" thickBot="1">
      <c r="A14" s="113" t="s">
        <v>106</v>
      </c>
      <c r="B14" s="118" t="s">
        <v>107</v>
      </c>
      <c r="C14" s="57">
        <v>2021</v>
      </c>
      <c r="D14" s="15">
        <v>1.43</v>
      </c>
      <c r="E14" s="64" t="s">
        <v>90</v>
      </c>
      <c r="F14" s="65" t="s">
        <v>90</v>
      </c>
      <c r="G14" s="59">
        <f t="shared" si="12"/>
        <v>0.10459491849361911</v>
      </c>
      <c r="H14" s="60">
        <f t="shared" si="13"/>
        <v>0.105</v>
      </c>
      <c r="I14" s="61">
        <f t="shared" si="14"/>
        <v>0.7</v>
      </c>
      <c r="J14" s="62">
        <f t="shared" si="15"/>
        <v>4</v>
      </c>
    </row>
    <row r="15" spans="1:10" ht="13.35" customHeight="1" thickBot="1">
      <c r="A15" s="116" t="s">
        <v>106</v>
      </c>
      <c r="B15" s="119" t="s">
        <v>108</v>
      </c>
      <c r="C15" s="57">
        <v>2021</v>
      </c>
      <c r="D15" s="15">
        <v>1.43</v>
      </c>
      <c r="E15" s="64" t="s">
        <v>90</v>
      </c>
      <c r="F15" s="65" t="s">
        <v>90</v>
      </c>
      <c r="G15" s="59">
        <f t="shared" si="12"/>
        <v>0.10459491849361911</v>
      </c>
      <c r="H15" s="60">
        <f t="shared" si="13"/>
        <v>0.105</v>
      </c>
      <c r="I15" s="61">
        <f t="shared" si="14"/>
        <v>0.7</v>
      </c>
      <c r="J15" s="62">
        <f t="shared" si="15"/>
        <v>4</v>
      </c>
    </row>
    <row r="16" spans="1:10" ht="13.35" customHeight="1">
      <c r="A16" s="116" t="s">
        <v>106</v>
      </c>
      <c r="B16" s="119" t="s">
        <v>109</v>
      </c>
      <c r="C16" s="57">
        <v>2021</v>
      </c>
      <c r="D16" s="15">
        <v>1.43</v>
      </c>
      <c r="E16" s="64" t="s">
        <v>90</v>
      </c>
      <c r="F16" s="65" t="s">
        <v>90</v>
      </c>
      <c r="G16" s="59">
        <f t="shared" si="12"/>
        <v>0.10459491849361911</v>
      </c>
      <c r="H16" s="60">
        <f t="shared" si="13"/>
        <v>0.105</v>
      </c>
      <c r="I16" s="61">
        <f t="shared" si="14"/>
        <v>0.7</v>
      </c>
      <c r="J16" s="62">
        <f t="shared" si="15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5"/>
  <sheetViews>
    <sheetView workbookViewId="0">
      <pane xSplit="6" ySplit="2" topLeftCell="G3" activePane="bottomRight" state="frozen"/>
      <selection activeCell="B21" sqref="B21"/>
      <selection pane="topRight" activeCell="B21" sqref="B21"/>
      <selection pane="bottomLeft" activeCell="B21" sqref="B21"/>
      <selection pane="bottomRight" activeCell="A7" sqref="A7:XFD8"/>
    </sheetView>
  </sheetViews>
  <sheetFormatPr defaultColWidth="9.140625" defaultRowHeight="12.75"/>
  <cols>
    <col min="1" max="1" width="8.42578125" style="93" customWidth="1"/>
    <col min="2" max="2" width="9.5703125" style="93" bestFit="1" customWidth="1"/>
    <col min="3" max="3" width="13.7109375" style="191" bestFit="1" customWidth="1"/>
    <col min="4" max="4" width="36.5703125" style="191" bestFit="1" customWidth="1"/>
    <col min="5" max="5" width="7.42578125" style="191" customWidth="1"/>
    <col min="6" max="6" width="8.42578125" style="191" customWidth="1"/>
    <col min="7" max="7" width="6.7109375" style="198" bestFit="1" customWidth="1"/>
    <col min="8" max="8" width="4.85546875" style="198" bestFit="1" customWidth="1"/>
    <col min="9" max="9" width="9.5703125" style="198" customWidth="1"/>
    <col min="10" max="10" width="10.140625" style="198" customWidth="1"/>
    <col min="11" max="11" width="8.5703125" style="198" customWidth="1"/>
    <col min="12" max="12" width="8.140625" style="198" bestFit="1" customWidth="1"/>
    <col min="13" max="13" width="8.5703125" style="198" customWidth="1"/>
    <col min="14" max="14" width="8.5703125" style="198" bestFit="1" customWidth="1"/>
    <col min="15" max="15" width="6.7109375" style="198" bestFit="1" customWidth="1"/>
    <col min="16" max="16" width="4.85546875" style="198" bestFit="1" customWidth="1"/>
    <col min="17" max="17" width="8.5703125" style="198" customWidth="1"/>
    <col min="18" max="18" width="8.5703125" style="198" bestFit="1" customWidth="1"/>
    <col min="19" max="19" width="9.140625" style="198" customWidth="1"/>
    <col min="20" max="20" width="8.140625" style="198" bestFit="1" customWidth="1"/>
    <col min="21" max="21" width="7.5703125" style="198" bestFit="1" customWidth="1"/>
    <col min="22" max="22" width="8.5703125" style="198" customWidth="1"/>
    <col min="23" max="23" width="7.5703125" style="193" bestFit="1" customWidth="1"/>
    <col min="24" max="24" width="5.5703125" style="193" bestFit="1" customWidth="1"/>
    <col min="25" max="25" width="10.5703125" style="193" bestFit="1" customWidth="1"/>
    <col min="26" max="26" width="11.5703125" style="193" bestFit="1" customWidth="1"/>
    <col min="27" max="27" width="7.42578125" style="193" customWidth="1"/>
    <col min="28" max="28" width="7.7109375" style="193" bestFit="1" customWidth="1"/>
    <col min="29" max="29" width="7.7109375" style="63" bestFit="1" customWidth="1"/>
    <col min="30" max="31" width="9.140625" style="63" bestFit="1" customWidth="1"/>
    <col min="32" max="32" width="8.140625" style="63" bestFit="1" customWidth="1"/>
    <col min="33" max="33" width="7.5703125" style="63" bestFit="1" customWidth="1"/>
    <col min="34" max="34" width="5.140625" style="63" bestFit="1" customWidth="1"/>
    <col min="35" max="35" width="10.5703125" style="63" bestFit="1" customWidth="1"/>
    <col min="36" max="36" width="11.7109375" style="63" bestFit="1" customWidth="1"/>
    <col min="37" max="37" width="7.140625" style="63" bestFit="1" customWidth="1"/>
    <col min="38" max="39" width="7.7109375" style="63" bestFit="1" customWidth="1"/>
    <col min="40" max="41" width="9.140625" style="63" bestFit="1" customWidth="1"/>
    <col min="42" max="42" width="8.140625" style="63" bestFit="1" customWidth="1"/>
    <col min="43" max="43" width="7.5703125" style="63" customWidth="1"/>
    <col min="44" max="44" width="9.7109375" style="63" bestFit="1" customWidth="1"/>
    <col min="45" max="45" width="7.5703125" style="63" bestFit="1" customWidth="1"/>
    <col min="46" max="46" width="5.7109375" style="193" bestFit="1" customWidth="1"/>
    <col min="47" max="47" width="9.7109375" style="193" bestFit="1" customWidth="1"/>
    <col min="48" max="48" width="5.7109375" style="193" bestFit="1" customWidth="1"/>
    <col min="49" max="49" width="5.7109375" style="194" bestFit="1" customWidth="1"/>
    <col min="50" max="50" width="9.7109375" style="194" bestFit="1" customWidth="1"/>
    <col min="51" max="51" width="5.7109375" style="195" bestFit="1" customWidth="1"/>
    <col min="52" max="16384" width="9.140625" style="63"/>
  </cols>
  <sheetData>
    <row r="1" spans="1:51" s="168" customFormat="1" ht="13.5" thickBot="1">
      <c r="A1" s="161"/>
      <c r="B1" s="102"/>
      <c r="C1" s="162"/>
      <c r="D1" s="162"/>
      <c r="E1" s="163"/>
      <c r="F1" s="163"/>
      <c r="G1" s="205" t="s">
        <v>27</v>
      </c>
      <c r="H1" s="206"/>
      <c r="I1" s="206"/>
      <c r="J1" s="206"/>
      <c r="K1" s="206"/>
      <c r="L1" s="206"/>
      <c r="M1" s="206"/>
      <c r="N1" s="207"/>
      <c r="O1" s="205" t="s">
        <v>28</v>
      </c>
      <c r="P1" s="206"/>
      <c r="Q1" s="206"/>
      <c r="R1" s="206"/>
      <c r="S1" s="206"/>
      <c r="T1" s="206"/>
      <c r="U1" s="206"/>
      <c r="V1" s="207"/>
      <c r="W1" s="208" t="s">
        <v>29</v>
      </c>
      <c r="X1" s="209"/>
      <c r="Y1" s="209"/>
      <c r="Z1" s="209"/>
      <c r="AA1" s="209"/>
      <c r="AB1" s="209"/>
      <c r="AC1" s="209"/>
      <c r="AD1" s="209"/>
      <c r="AE1" s="209"/>
      <c r="AF1" s="210"/>
      <c r="AG1" s="208" t="s">
        <v>30</v>
      </c>
      <c r="AH1" s="209"/>
      <c r="AI1" s="209"/>
      <c r="AJ1" s="209"/>
      <c r="AK1" s="209"/>
      <c r="AL1" s="209"/>
      <c r="AM1" s="209"/>
      <c r="AN1" s="209"/>
      <c r="AO1" s="209"/>
      <c r="AP1" s="210"/>
      <c r="AQ1" s="161" t="s">
        <v>13</v>
      </c>
      <c r="AR1" s="102" t="s">
        <v>16</v>
      </c>
      <c r="AS1" s="164" t="s">
        <v>9</v>
      </c>
      <c r="AT1" s="165" t="s">
        <v>13</v>
      </c>
      <c r="AU1" s="33" t="s">
        <v>16</v>
      </c>
      <c r="AV1" s="34" t="s">
        <v>50</v>
      </c>
      <c r="AW1" s="166" t="s">
        <v>13</v>
      </c>
      <c r="AX1" s="37" t="s">
        <v>16</v>
      </c>
      <c r="AY1" s="167" t="s">
        <v>50</v>
      </c>
    </row>
    <row r="2" spans="1:51" s="6" customFormat="1" ht="34.5" thickBot="1">
      <c r="A2" s="46" t="s">
        <v>26</v>
      </c>
      <c r="B2" s="169" t="s">
        <v>82</v>
      </c>
      <c r="C2" s="46" t="s">
        <v>18</v>
      </c>
      <c r="D2" s="51" t="s">
        <v>19</v>
      </c>
      <c r="E2" s="169" t="s">
        <v>74</v>
      </c>
      <c r="F2" s="52" t="s">
        <v>20</v>
      </c>
      <c r="G2" s="170" t="s">
        <v>24</v>
      </c>
      <c r="H2" s="171" t="s">
        <v>0</v>
      </c>
      <c r="I2" s="172" t="s">
        <v>33</v>
      </c>
      <c r="J2" s="172" t="s">
        <v>60</v>
      </c>
      <c r="K2" s="172" t="s">
        <v>34</v>
      </c>
      <c r="L2" s="172" t="s">
        <v>35</v>
      </c>
      <c r="M2" s="172" t="s">
        <v>36</v>
      </c>
      <c r="N2" s="173" t="s">
        <v>37</v>
      </c>
      <c r="O2" s="170" t="s">
        <v>24</v>
      </c>
      <c r="P2" s="171" t="s">
        <v>0</v>
      </c>
      <c r="Q2" s="172" t="s">
        <v>33</v>
      </c>
      <c r="R2" s="172" t="s">
        <v>60</v>
      </c>
      <c r="S2" s="172" t="s">
        <v>34</v>
      </c>
      <c r="T2" s="172" t="s">
        <v>35</v>
      </c>
      <c r="U2" s="172" t="s">
        <v>36</v>
      </c>
      <c r="V2" s="173" t="s">
        <v>37</v>
      </c>
      <c r="W2" s="174" t="s">
        <v>25</v>
      </c>
      <c r="X2" s="175" t="s">
        <v>2</v>
      </c>
      <c r="Y2" s="30" t="s">
        <v>5</v>
      </c>
      <c r="Z2" s="30" t="s">
        <v>61</v>
      </c>
      <c r="AA2" s="175" t="s">
        <v>6</v>
      </c>
      <c r="AB2" s="30" t="s">
        <v>3</v>
      </c>
      <c r="AC2" s="176" t="s">
        <v>3</v>
      </c>
      <c r="AD2" s="176" t="s">
        <v>22</v>
      </c>
      <c r="AE2" s="176" t="s">
        <v>23</v>
      </c>
      <c r="AF2" s="177" t="s">
        <v>4</v>
      </c>
      <c r="AG2" s="170" t="s">
        <v>25</v>
      </c>
      <c r="AH2" s="171" t="s">
        <v>2</v>
      </c>
      <c r="AI2" s="171" t="s">
        <v>5</v>
      </c>
      <c r="AJ2" s="171" t="s">
        <v>62</v>
      </c>
      <c r="AK2" s="171" t="s">
        <v>6</v>
      </c>
      <c r="AL2" s="171" t="s">
        <v>3</v>
      </c>
      <c r="AM2" s="171" t="s">
        <v>3</v>
      </c>
      <c r="AN2" s="171" t="s">
        <v>22</v>
      </c>
      <c r="AO2" s="171" t="s">
        <v>23</v>
      </c>
      <c r="AP2" s="178" t="s">
        <v>4</v>
      </c>
      <c r="AQ2" s="46" t="s">
        <v>7</v>
      </c>
      <c r="AR2" s="51" t="s">
        <v>8</v>
      </c>
      <c r="AS2" s="52" t="s">
        <v>8</v>
      </c>
      <c r="AT2" s="179" t="s">
        <v>63</v>
      </c>
      <c r="AU2" s="154" t="s">
        <v>63</v>
      </c>
      <c r="AV2" s="35" t="s">
        <v>63</v>
      </c>
      <c r="AW2" s="155" t="s">
        <v>44</v>
      </c>
      <c r="AX2" s="156" t="s">
        <v>44</v>
      </c>
      <c r="AY2" s="180" t="s">
        <v>31</v>
      </c>
    </row>
    <row r="3" spans="1:51" ht="13.35" customHeight="1">
      <c r="A3" s="181">
        <v>11270</v>
      </c>
      <c r="B3" s="58" t="s">
        <v>123</v>
      </c>
      <c r="C3" s="182" t="str">
        <f>Rollover!A3</f>
        <v>Chevrolet</v>
      </c>
      <c r="D3" s="183" t="str">
        <f>Rollover!B3</f>
        <v>Trailblazer SUV FWD (Later Release)</v>
      </c>
      <c r="E3" s="109" t="s">
        <v>92</v>
      </c>
      <c r="F3" s="184">
        <f>Rollover!C3</f>
        <v>2021</v>
      </c>
      <c r="G3" s="185">
        <v>184.547</v>
      </c>
      <c r="H3" s="9">
        <v>0.23899999999999999</v>
      </c>
      <c r="I3" s="9">
        <v>845.81</v>
      </c>
      <c r="J3" s="9">
        <v>66.527000000000001</v>
      </c>
      <c r="K3" s="9">
        <v>21.013000000000002</v>
      </c>
      <c r="L3" s="9">
        <v>46.2</v>
      </c>
      <c r="M3" s="9">
        <v>370.19799999999998</v>
      </c>
      <c r="N3" s="10">
        <v>1160.6959999999999</v>
      </c>
      <c r="O3" s="8">
        <v>401.44600000000003</v>
      </c>
      <c r="P3" s="9">
        <v>0.29199999999999998</v>
      </c>
      <c r="Q3" s="9">
        <v>681.58799999999997</v>
      </c>
      <c r="R3" s="9">
        <v>362.983</v>
      </c>
      <c r="S3" s="9">
        <v>10.385999999999999</v>
      </c>
      <c r="T3" s="9">
        <v>46.183999999999997</v>
      </c>
      <c r="U3" s="9">
        <v>1819.8130000000001</v>
      </c>
      <c r="V3" s="10">
        <v>1705.146</v>
      </c>
      <c r="W3" s="186">
        <f t="shared" ref="W3:W5" si="0">NORMDIST(LN(G3),7.45231,0.73998,1)</f>
        <v>1.265756938705759E-3</v>
      </c>
      <c r="X3" s="5">
        <f t="shared" ref="X3:X5" si="1">1/(1+EXP(3.2269-1.9688*H3))</f>
        <v>5.9728644329886275E-2</v>
      </c>
      <c r="Y3" s="5">
        <f t="shared" ref="Y3:Y5" si="2">1/(1+EXP(10.9745-2.375*I3/1000))</f>
        <v>1.2769972379128808E-4</v>
      </c>
      <c r="Z3" s="5">
        <f t="shared" ref="Z3:Z5" si="3">1/(1+EXP(10.9745-2.375*J3/1000))</f>
        <v>2.0065303259501311E-5</v>
      </c>
      <c r="AA3" s="5">
        <f t="shared" ref="AA3:AA5" si="4">MAX(X3,Y3,Z3)</f>
        <v>5.9728644329886275E-2</v>
      </c>
      <c r="AB3" s="5">
        <f t="shared" ref="AB3:AB5" si="5">1/(1+EXP(12.597-0.05861*35-1.568*(K3^0.4612)))</f>
        <v>1.5383832354787418E-2</v>
      </c>
      <c r="AC3" s="5">
        <f t="shared" ref="AC3:AC5" si="6">AB3</f>
        <v>1.5383832354787418E-2</v>
      </c>
      <c r="AD3" s="5">
        <f t="shared" ref="AD3:AD5" si="7">1/(1+EXP(5.7949-0.5196*M3/1000))</f>
        <v>3.674909407374092E-3</v>
      </c>
      <c r="AE3" s="5">
        <f t="shared" ref="AE3:AE5" si="8">1/(1+EXP(5.7949-0.5196*N3/1000))</f>
        <v>5.531208672634051E-3</v>
      </c>
      <c r="AF3" s="22">
        <f t="shared" ref="AF3:AF5" si="9">MAX(AD3,AE3)</f>
        <v>5.531208672634051E-3</v>
      </c>
      <c r="AG3" s="21">
        <f t="shared" ref="AG3:AG5" si="10">NORMDIST(LN(O3),7.45231,0.73998,1)</f>
        <v>2.4459763174449315E-2</v>
      </c>
      <c r="AH3" s="5">
        <f t="shared" ref="AH3:AH5" si="11">1/(1+EXP(3.2269-1.9688*P3))</f>
        <v>6.5865207635833936E-2</v>
      </c>
      <c r="AI3" s="5">
        <f t="shared" ref="AI3:AI5" si="12">1/(1+EXP(10.958-3.77*Q3/1000))</f>
        <v>2.2743622191911397E-4</v>
      </c>
      <c r="AJ3" s="5">
        <f t="shared" ref="AJ3:AJ5" si="13">1/(1+EXP(10.958-3.77*R3/1000))</f>
        <v>6.8435249152448799E-5</v>
      </c>
      <c r="AK3" s="5">
        <f t="shared" ref="AK3:AK5" si="14">MAX(AH3,AI3,AJ3)</f>
        <v>6.5865207635833936E-2</v>
      </c>
      <c r="AL3" s="5">
        <f t="shared" ref="AL3:AL5" si="15">1/(1+EXP(12.597-0.05861*35-1.568*((S3/0.817)^0.4612)))</f>
        <v>4.1510555939668192E-3</v>
      </c>
      <c r="AM3" s="5">
        <f t="shared" ref="AM3:AM5" si="16">AL3</f>
        <v>4.1510555939668192E-3</v>
      </c>
      <c r="AN3" s="5">
        <f t="shared" ref="AN3:AN5" si="17">1/(1+EXP(5.7949-0.7619*U3/1000))</f>
        <v>1.2028387602739986E-2</v>
      </c>
      <c r="AO3" s="5">
        <f t="shared" ref="AO3:AO5" si="18">1/(1+EXP(5.7949-0.7619*V3/1000))</f>
        <v>1.1033228262350037E-2</v>
      </c>
      <c r="AP3" s="22">
        <f t="shared" ref="AP3:AP5" si="19">MAX(AN3,AO3)</f>
        <v>1.2028387602739986E-2</v>
      </c>
      <c r="AQ3" s="21">
        <f t="shared" ref="AQ3:AQ5" si="20">ROUND(1-(1-W3)*(1-AA3)*(1-AC3)*(1-AF3),3)</f>
        <v>0.08</v>
      </c>
      <c r="AR3" s="5">
        <f t="shared" ref="AR3:AR5" si="21">ROUND(1-(1-AG3)*(1-AK3)*(1-AM3)*(1-AP3),3)</f>
        <v>0.10299999999999999</v>
      </c>
      <c r="AS3" s="22">
        <f t="shared" ref="AS3:AS5" si="22">ROUND(AVERAGE(AR3,AQ3),3)</f>
        <v>9.1999999999999998E-2</v>
      </c>
      <c r="AT3" s="23">
        <f t="shared" ref="AT3:AT5" si="23">ROUND(AQ3/0.15,2)</f>
        <v>0.53</v>
      </c>
      <c r="AU3" s="110">
        <f t="shared" ref="AU3:AU5" si="24">ROUND(AR3/0.15,2)</f>
        <v>0.69</v>
      </c>
      <c r="AV3" s="24">
        <f t="shared" ref="AV3:AV5" si="25">ROUND(AS3/0.15,2)</f>
        <v>0.61</v>
      </c>
      <c r="AW3" s="187">
        <f t="shared" ref="AW3:AW5" si="26">IF(AT3&lt;0.67,5,IF(AT3&lt;1,4,IF(AT3&lt;1.33,3,IF(AT3&lt;2.67,2,1))))</f>
        <v>5</v>
      </c>
      <c r="AX3" s="43">
        <f t="shared" ref="AX3:AX5" si="27">IF(AU3&lt;0.67,5,IF(AU3&lt;1,4,IF(AU3&lt;1.33,3,IF(AU3&lt;2.67,2,1))))</f>
        <v>4</v>
      </c>
      <c r="AY3" s="188">
        <f t="shared" ref="AY3:AY5" si="28">IF(AV3&lt;0.67,5,IF(AV3&lt;1,4,IF(AV3&lt;1.33,3,IF(AV3&lt;2.67,2,1))))</f>
        <v>5</v>
      </c>
    </row>
    <row r="4" spans="1:51" ht="13.35" customHeight="1">
      <c r="A4" s="181">
        <v>11270</v>
      </c>
      <c r="B4" s="58" t="s">
        <v>123</v>
      </c>
      <c r="C4" s="182" t="str">
        <f>Rollover!A4</f>
        <v>Chevrolet</v>
      </c>
      <c r="D4" s="183" t="str">
        <f>Rollover!B4</f>
        <v>Trailblazer SUV AWD (Later Release)</v>
      </c>
      <c r="E4" s="109" t="s">
        <v>92</v>
      </c>
      <c r="F4" s="184">
        <f>Rollover!C4</f>
        <v>2021</v>
      </c>
      <c r="G4" s="185">
        <v>184.547</v>
      </c>
      <c r="H4" s="9">
        <v>0.23899999999999999</v>
      </c>
      <c r="I4" s="9">
        <v>845.81</v>
      </c>
      <c r="J4" s="9">
        <v>66.527000000000001</v>
      </c>
      <c r="K4" s="9">
        <v>21.013000000000002</v>
      </c>
      <c r="L4" s="9">
        <v>46.2</v>
      </c>
      <c r="M4" s="9">
        <v>370.19799999999998</v>
      </c>
      <c r="N4" s="10">
        <v>1160.6959999999999</v>
      </c>
      <c r="O4" s="8">
        <v>401.44600000000003</v>
      </c>
      <c r="P4" s="9">
        <v>0.29199999999999998</v>
      </c>
      <c r="Q4" s="9">
        <v>681.58799999999997</v>
      </c>
      <c r="R4" s="9">
        <v>362.983</v>
      </c>
      <c r="S4" s="9">
        <v>10.385999999999999</v>
      </c>
      <c r="T4" s="9">
        <v>46.183999999999997</v>
      </c>
      <c r="U4" s="9">
        <v>1819.8130000000001</v>
      </c>
      <c r="V4" s="10">
        <v>1705.146</v>
      </c>
      <c r="W4" s="186">
        <f t="shared" si="0"/>
        <v>1.265756938705759E-3</v>
      </c>
      <c r="X4" s="5">
        <f t="shared" si="1"/>
        <v>5.9728644329886275E-2</v>
      </c>
      <c r="Y4" s="5">
        <f t="shared" si="2"/>
        <v>1.2769972379128808E-4</v>
      </c>
      <c r="Z4" s="5">
        <f t="shared" si="3"/>
        <v>2.0065303259501311E-5</v>
      </c>
      <c r="AA4" s="5">
        <f t="shared" si="4"/>
        <v>5.9728644329886275E-2</v>
      </c>
      <c r="AB4" s="5">
        <f t="shared" si="5"/>
        <v>1.5383832354787418E-2</v>
      </c>
      <c r="AC4" s="5">
        <f t="shared" si="6"/>
        <v>1.5383832354787418E-2</v>
      </c>
      <c r="AD4" s="5">
        <f t="shared" si="7"/>
        <v>3.674909407374092E-3</v>
      </c>
      <c r="AE4" s="5">
        <f t="shared" si="8"/>
        <v>5.531208672634051E-3</v>
      </c>
      <c r="AF4" s="22">
        <f t="shared" si="9"/>
        <v>5.531208672634051E-3</v>
      </c>
      <c r="AG4" s="21">
        <f t="shared" si="10"/>
        <v>2.4459763174449315E-2</v>
      </c>
      <c r="AH4" s="5">
        <f t="shared" si="11"/>
        <v>6.5865207635833936E-2</v>
      </c>
      <c r="AI4" s="5">
        <f t="shared" si="12"/>
        <v>2.2743622191911397E-4</v>
      </c>
      <c r="AJ4" s="5">
        <f t="shared" si="13"/>
        <v>6.8435249152448799E-5</v>
      </c>
      <c r="AK4" s="5">
        <f t="shared" si="14"/>
        <v>6.5865207635833936E-2</v>
      </c>
      <c r="AL4" s="5">
        <f t="shared" si="15"/>
        <v>4.1510555939668192E-3</v>
      </c>
      <c r="AM4" s="5">
        <f t="shared" si="16"/>
        <v>4.1510555939668192E-3</v>
      </c>
      <c r="AN4" s="5">
        <f t="shared" si="17"/>
        <v>1.2028387602739986E-2</v>
      </c>
      <c r="AO4" s="5">
        <f t="shared" si="18"/>
        <v>1.1033228262350037E-2</v>
      </c>
      <c r="AP4" s="22">
        <f t="shared" si="19"/>
        <v>1.2028387602739986E-2</v>
      </c>
      <c r="AQ4" s="21">
        <f t="shared" si="20"/>
        <v>0.08</v>
      </c>
      <c r="AR4" s="5">
        <f t="shared" si="21"/>
        <v>0.10299999999999999</v>
      </c>
      <c r="AS4" s="22">
        <f t="shared" si="22"/>
        <v>9.1999999999999998E-2</v>
      </c>
      <c r="AT4" s="23">
        <f t="shared" si="23"/>
        <v>0.53</v>
      </c>
      <c r="AU4" s="110">
        <f t="shared" si="24"/>
        <v>0.69</v>
      </c>
      <c r="AV4" s="24">
        <f t="shared" si="25"/>
        <v>0.61</v>
      </c>
      <c r="AW4" s="187">
        <f t="shared" si="26"/>
        <v>5</v>
      </c>
      <c r="AX4" s="43">
        <f t="shared" si="27"/>
        <v>4</v>
      </c>
      <c r="AY4" s="188">
        <f t="shared" si="28"/>
        <v>5</v>
      </c>
    </row>
    <row r="5" spans="1:51" ht="13.35" customHeight="1">
      <c r="A5" s="115">
        <v>11270</v>
      </c>
      <c r="B5" s="65" t="s">
        <v>123</v>
      </c>
      <c r="C5" s="189" t="str">
        <f>Rollover!A5</f>
        <v>Buick</v>
      </c>
      <c r="D5" s="190" t="str">
        <f>Rollover!B5</f>
        <v>Encore GX SUV FWD</v>
      </c>
      <c r="E5" s="109" t="s">
        <v>92</v>
      </c>
      <c r="F5" s="184">
        <f>Rollover!C5</f>
        <v>2021</v>
      </c>
      <c r="G5" s="8">
        <v>184.547</v>
      </c>
      <c r="H5" s="9">
        <v>0.23899999999999999</v>
      </c>
      <c r="I5" s="9">
        <v>845.81</v>
      </c>
      <c r="J5" s="9">
        <v>66.527000000000001</v>
      </c>
      <c r="K5" s="9">
        <v>21.013000000000002</v>
      </c>
      <c r="L5" s="9">
        <v>46.2</v>
      </c>
      <c r="M5" s="9">
        <v>370.19799999999998</v>
      </c>
      <c r="N5" s="10">
        <v>1160.6959999999999</v>
      </c>
      <c r="O5" s="8">
        <v>401.44600000000003</v>
      </c>
      <c r="P5" s="9">
        <v>0.29199999999999998</v>
      </c>
      <c r="Q5" s="9">
        <v>681.58799999999997</v>
      </c>
      <c r="R5" s="9">
        <v>362.983</v>
      </c>
      <c r="S5" s="9">
        <v>10.385999999999999</v>
      </c>
      <c r="T5" s="9">
        <v>46.183999999999997</v>
      </c>
      <c r="U5" s="9">
        <v>1819.8130000000001</v>
      </c>
      <c r="V5" s="10">
        <v>1705.146</v>
      </c>
      <c r="W5" s="186">
        <f t="shared" si="0"/>
        <v>1.265756938705759E-3</v>
      </c>
      <c r="X5" s="5">
        <f t="shared" si="1"/>
        <v>5.9728644329886275E-2</v>
      </c>
      <c r="Y5" s="5">
        <f t="shared" si="2"/>
        <v>1.2769972379128808E-4</v>
      </c>
      <c r="Z5" s="5">
        <f t="shared" si="3"/>
        <v>2.0065303259501311E-5</v>
      </c>
      <c r="AA5" s="5">
        <f t="shared" si="4"/>
        <v>5.9728644329886275E-2</v>
      </c>
      <c r="AB5" s="5">
        <f t="shared" si="5"/>
        <v>1.5383832354787418E-2</v>
      </c>
      <c r="AC5" s="5">
        <f t="shared" si="6"/>
        <v>1.5383832354787418E-2</v>
      </c>
      <c r="AD5" s="5">
        <f t="shared" si="7"/>
        <v>3.674909407374092E-3</v>
      </c>
      <c r="AE5" s="5">
        <f t="shared" si="8"/>
        <v>5.531208672634051E-3</v>
      </c>
      <c r="AF5" s="22">
        <f t="shared" si="9"/>
        <v>5.531208672634051E-3</v>
      </c>
      <c r="AG5" s="21">
        <f t="shared" si="10"/>
        <v>2.4459763174449315E-2</v>
      </c>
      <c r="AH5" s="5">
        <f t="shared" si="11"/>
        <v>6.5865207635833936E-2</v>
      </c>
      <c r="AI5" s="5">
        <f t="shared" si="12"/>
        <v>2.2743622191911397E-4</v>
      </c>
      <c r="AJ5" s="5">
        <f t="shared" si="13"/>
        <v>6.8435249152448799E-5</v>
      </c>
      <c r="AK5" s="5">
        <f t="shared" si="14"/>
        <v>6.5865207635833936E-2</v>
      </c>
      <c r="AL5" s="5">
        <f t="shared" si="15"/>
        <v>4.1510555939668192E-3</v>
      </c>
      <c r="AM5" s="5">
        <f t="shared" si="16"/>
        <v>4.1510555939668192E-3</v>
      </c>
      <c r="AN5" s="5">
        <f t="shared" si="17"/>
        <v>1.2028387602739986E-2</v>
      </c>
      <c r="AO5" s="5">
        <f t="shared" si="18"/>
        <v>1.1033228262350037E-2</v>
      </c>
      <c r="AP5" s="22">
        <f t="shared" si="19"/>
        <v>1.2028387602739986E-2</v>
      </c>
      <c r="AQ5" s="21">
        <f t="shared" si="20"/>
        <v>0.08</v>
      </c>
      <c r="AR5" s="5">
        <f t="shared" si="21"/>
        <v>0.10299999999999999</v>
      </c>
      <c r="AS5" s="22">
        <f t="shared" si="22"/>
        <v>9.1999999999999998E-2</v>
      </c>
      <c r="AT5" s="23">
        <f t="shared" si="23"/>
        <v>0.53</v>
      </c>
      <c r="AU5" s="110">
        <f t="shared" si="24"/>
        <v>0.69</v>
      </c>
      <c r="AV5" s="24">
        <f t="shared" si="25"/>
        <v>0.61</v>
      </c>
      <c r="AW5" s="187">
        <f t="shared" si="26"/>
        <v>5</v>
      </c>
      <c r="AX5" s="43">
        <f t="shared" si="27"/>
        <v>4</v>
      </c>
      <c r="AY5" s="188">
        <f t="shared" si="28"/>
        <v>5</v>
      </c>
    </row>
    <row r="6" spans="1:51" ht="13.35" customHeight="1">
      <c r="A6" s="115">
        <v>11270</v>
      </c>
      <c r="B6" s="65" t="s">
        <v>123</v>
      </c>
      <c r="C6" s="189" t="str">
        <f>Rollover!A6</f>
        <v>Buick</v>
      </c>
      <c r="D6" s="190" t="str">
        <f>Rollover!B6</f>
        <v>Encore GX SUV AWD</v>
      </c>
      <c r="E6" s="109" t="s">
        <v>92</v>
      </c>
      <c r="F6" s="184">
        <f>Rollover!C6</f>
        <v>2021</v>
      </c>
      <c r="G6" s="21">
        <v>184.547</v>
      </c>
      <c r="H6" s="5">
        <v>0.23899999999999999</v>
      </c>
      <c r="I6" s="5">
        <v>845.81</v>
      </c>
      <c r="J6" s="5">
        <v>66.527000000000001</v>
      </c>
      <c r="K6" s="5">
        <v>21.013000000000002</v>
      </c>
      <c r="L6" s="5">
        <v>46.2</v>
      </c>
      <c r="M6" s="5">
        <v>370.19799999999998</v>
      </c>
      <c r="N6" s="22">
        <v>1160.6959999999999</v>
      </c>
      <c r="O6" s="21">
        <v>401.44600000000003</v>
      </c>
      <c r="P6" s="5">
        <v>0.29199999999999998</v>
      </c>
      <c r="Q6" s="5">
        <v>681.58799999999997</v>
      </c>
      <c r="R6" s="5">
        <v>362.983</v>
      </c>
      <c r="S6" s="5">
        <v>10.385999999999999</v>
      </c>
      <c r="T6" s="5">
        <v>46.183999999999997</v>
      </c>
      <c r="U6" s="5">
        <v>1819.8130000000001</v>
      </c>
      <c r="V6" s="22">
        <v>1705.146</v>
      </c>
      <c r="W6" s="186">
        <f t="shared" ref="W6:W11" si="29">NORMDIST(LN(G6),7.45231,0.73998,1)</f>
        <v>1.265756938705759E-3</v>
      </c>
      <c r="X6" s="5">
        <f t="shared" ref="X6:X11" si="30">1/(1+EXP(3.2269-1.9688*H6))</f>
        <v>5.9728644329886275E-2</v>
      </c>
      <c r="Y6" s="5">
        <f t="shared" ref="Y6:Y11" si="31">1/(1+EXP(10.9745-2.375*I6/1000))</f>
        <v>1.2769972379128808E-4</v>
      </c>
      <c r="Z6" s="5">
        <f t="shared" ref="Z6:Z11" si="32">1/(1+EXP(10.9745-2.375*J6/1000))</f>
        <v>2.0065303259501311E-5</v>
      </c>
      <c r="AA6" s="5">
        <f t="shared" ref="AA6:AA11" si="33">MAX(X6,Y6,Z6)</f>
        <v>5.9728644329886275E-2</v>
      </c>
      <c r="AB6" s="5">
        <f t="shared" ref="AB6:AB11" si="34">1/(1+EXP(12.597-0.05861*35-1.568*(K6^0.4612)))</f>
        <v>1.5383832354787418E-2</v>
      </c>
      <c r="AC6" s="5">
        <f t="shared" ref="AC6:AC11" si="35">AB6</f>
        <v>1.5383832354787418E-2</v>
      </c>
      <c r="AD6" s="5">
        <f t="shared" ref="AD6:AD11" si="36">1/(1+EXP(5.7949-0.5196*M6/1000))</f>
        <v>3.674909407374092E-3</v>
      </c>
      <c r="AE6" s="5">
        <f t="shared" ref="AE6:AE11" si="37">1/(1+EXP(5.7949-0.5196*N6/1000))</f>
        <v>5.531208672634051E-3</v>
      </c>
      <c r="AF6" s="22">
        <f t="shared" ref="AF6:AF11" si="38">MAX(AD6,AE6)</f>
        <v>5.531208672634051E-3</v>
      </c>
      <c r="AG6" s="21">
        <f t="shared" ref="AG6:AG11" si="39">NORMDIST(LN(O6),7.45231,0.73998,1)</f>
        <v>2.4459763174449315E-2</v>
      </c>
      <c r="AH6" s="5">
        <f t="shared" ref="AH6:AH11" si="40">1/(1+EXP(3.2269-1.9688*P6))</f>
        <v>6.5865207635833936E-2</v>
      </c>
      <c r="AI6" s="5">
        <f t="shared" ref="AI6:AI11" si="41">1/(1+EXP(10.958-3.77*Q6/1000))</f>
        <v>2.2743622191911397E-4</v>
      </c>
      <c r="AJ6" s="5">
        <f t="shared" ref="AJ6:AJ11" si="42">1/(1+EXP(10.958-3.77*R6/1000))</f>
        <v>6.8435249152448799E-5</v>
      </c>
      <c r="AK6" s="5">
        <f t="shared" ref="AK6:AK11" si="43">MAX(AH6,AI6,AJ6)</f>
        <v>6.5865207635833936E-2</v>
      </c>
      <c r="AL6" s="5">
        <f t="shared" ref="AL6:AL11" si="44">1/(1+EXP(12.597-0.05861*35-1.568*((S6/0.817)^0.4612)))</f>
        <v>4.1510555939668192E-3</v>
      </c>
      <c r="AM6" s="5">
        <f t="shared" ref="AM6:AM11" si="45">AL6</f>
        <v>4.1510555939668192E-3</v>
      </c>
      <c r="AN6" s="5">
        <f t="shared" ref="AN6:AN11" si="46">1/(1+EXP(5.7949-0.7619*U6/1000))</f>
        <v>1.2028387602739986E-2</v>
      </c>
      <c r="AO6" s="5">
        <f t="shared" ref="AO6:AO11" si="47">1/(1+EXP(5.7949-0.7619*V6/1000))</f>
        <v>1.1033228262350037E-2</v>
      </c>
      <c r="AP6" s="22">
        <f t="shared" ref="AP6:AP11" si="48">MAX(AN6,AO6)</f>
        <v>1.2028387602739986E-2</v>
      </c>
      <c r="AQ6" s="21">
        <f t="shared" ref="AQ6:AQ11" si="49">ROUND(1-(1-W6)*(1-AA6)*(1-AC6)*(1-AF6),3)</f>
        <v>0.08</v>
      </c>
      <c r="AR6" s="5">
        <f t="shared" ref="AR6:AR11" si="50">ROUND(1-(1-AG6)*(1-AK6)*(1-AM6)*(1-AP6),3)</f>
        <v>0.10299999999999999</v>
      </c>
      <c r="AS6" s="22">
        <f t="shared" ref="AS6:AS11" si="51">ROUND(AVERAGE(AR6,AQ6),3)</f>
        <v>9.1999999999999998E-2</v>
      </c>
      <c r="AT6" s="23">
        <f t="shared" ref="AT6:AT11" si="52">ROUND(AQ6/0.15,2)</f>
        <v>0.53</v>
      </c>
      <c r="AU6" s="110">
        <f t="shared" ref="AU6:AU11" si="53">ROUND(AR6/0.15,2)</f>
        <v>0.69</v>
      </c>
      <c r="AV6" s="24">
        <f t="shared" ref="AV6:AV11" si="54">ROUND(AS6/0.15,2)</f>
        <v>0.61</v>
      </c>
      <c r="AW6" s="187">
        <f t="shared" ref="AW6:AW11" si="55">IF(AT6&lt;0.67,5,IF(AT6&lt;1,4,IF(AT6&lt;1.33,3,IF(AT6&lt;2.67,2,1))))</f>
        <v>5</v>
      </c>
      <c r="AX6" s="43">
        <f t="shared" ref="AX6:AX11" si="56">IF(AU6&lt;0.67,5,IF(AU6&lt;1,4,IF(AU6&lt;1.33,3,IF(AU6&lt;2.67,2,1))))</f>
        <v>4</v>
      </c>
      <c r="AY6" s="188">
        <f t="shared" ref="AY6:AY11" si="57">IF(AV6&lt;0.67,5,IF(AV6&lt;1,4,IF(AV6&lt;1.33,3,IF(AV6&lt;2.67,2,1))))</f>
        <v>5</v>
      </c>
    </row>
    <row r="7" spans="1:51" ht="13.35" customHeight="1">
      <c r="A7" s="64">
        <v>11291</v>
      </c>
      <c r="B7" s="65" t="s">
        <v>127</v>
      </c>
      <c r="C7" s="182" t="str">
        <f>Rollover!A7</f>
        <v xml:space="preserve">Ford </v>
      </c>
      <c r="D7" s="183" t="str">
        <f>Rollover!B7</f>
        <v>Transit Connect Wagon FWD</v>
      </c>
      <c r="E7" s="109" t="s">
        <v>92</v>
      </c>
      <c r="F7" s="184">
        <f>Rollover!C7</f>
        <v>2021</v>
      </c>
      <c r="G7" s="8">
        <v>144.79900000000001</v>
      </c>
      <c r="H7" s="9">
        <v>0.28100000000000003</v>
      </c>
      <c r="I7" s="9">
        <v>1022.27</v>
      </c>
      <c r="J7" s="9">
        <v>80.978999999999999</v>
      </c>
      <c r="K7" s="9">
        <v>24.748999999999999</v>
      </c>
      <c r="L7" s="9">
        <v>38.316000000000003</v>
      </c>
      <c r="M7" s="9">
        <v>1207.539</v>
      </c>
      <c r="N7" s="10">
        <v>1308.31</v>
      </c>
      <c r="O7" s="8">
        <v>146.15100000000001</v>
      </c>
      <c r="P7" s="9">
        <v>0.48199999999999998</v>
      </c>
      <c r="Q7" s="9">
        <v>797.15599999999995</v>
      </c>
      <c r="R7" s="9">
        <v>77.545000000000002</v>
      </c>
      <c r="S7" s="9">
        <v>9.6270000000000007</v>
      </c>
      <c r="T7" s="9">
        <v>37.445</v>
      </c>
      <c r="U7" s="9">
        <v>2835.0140000000001</v>
      </c>
      <c r="V7" s="10">
        <v>2175.9490000000001</v>
      </c>
      <c r="W7" s="186">
        <f t="shared" ref="W7:W8" si="58">NORMDIST(LN(G7),7.45231,0.73998,1)</f>
        <v>4.0795780154983255E-4</v>
      </c>
      <c r="X7" s="5">
        <f t="shared" ref="X7:X8" si="59">1/(1+EXP(3.2269-1.9688*H7))</f>
        <v>6.4545192426725559E-2</v>
      </c>
      <c r="Y7" s="5">
        <f t="shared" ref="Y7:Y8" si="60">1/(1+EXP(10.9745-2.375*I7/1000))</f>
        <v>1.9416486625951581E-4</v>
      </c>
      <c r="Z7" s="5">
        <f t="shared" ref="Z7:Z8" si="61">1/(1+EXP(10.9745-2.375*J7/1000))</f>
        <v>2.0765956036583821E-5</v>
      </c>
      <c r="AA7" s="5">
        <f t="shared" ref="AA7:AA8" si="62">MAX(X7,Y7,Z7)</f>
        <v>6.4545192426725559E-2</v>
      </c>
      <c r="AB7" s="5">
        <f t="shared" ref="AB7:AB8" si="63">1/(1+EXP(12.597-0.05861*35-1.568*(K7^0.4612)))</f>
        <v>2.5129620955269018E-2</v>
      </c>
      <c r="AC7" s="5">
        <f t="shared" ref="AC7:AC8" si="64">AB7</f>
        <v>2.5129620955269018E-2</v>
      </c>
      <c r="AD7" s="5">
        <f t="shared" ref="AD7:AD8" si="65">1/(1+EXP(5.7949-0.5196*M7/1000))</f>
        <v>5.6667157148867298E-3</v>
      </c>
      <c r="AE7" s="5">
        <f t="shared" ref="AE7:AE8" si="66">1/(1+EXP(5.7949-0.5196*N7/1000))</f>
        <v>5.9695153953563977E-3</v>
      </c>
      <c r="AF7" s="22">
        <f t="shared" ref="AF7:AF8" si="67">MAX(AD7,AE7)</f>
        <v>5.9695153953563977E-3</v>
      </c>
      <c r="AG7" s="21">
        <f t="shared" ref="AG7:AG8" si="68">NORMDIST(LN(O7),7.45231,0.73998,1)</f>
        <v>4.2683627993218647E-4</v>
      </c>
      <c r="AH7" s="5">
        <f t="shared" ref="AH7:AH8" si="69">1/(1+EXP(3.2269-1.9688*P7))</f>
        <v>9.2966649352356739E-2</v>
      </c>
      <c r="AI7" s="5">
        <f t="shared" ref="AI7:AI8" si="70">1/(1+EXP(10.958-3.77*Q7/1000))</f>
        <v>3.515799138136919E-4</v>
      </c>
      <c r="AJ7" s="5">
        <f t="shared" ref="AJ7:AJ8" si="71">1/(1+EXP(10.958-3.77*R7/1000))</f>
        <v>2.3332141547720342E-5</v>
      </c>
      <c r="AK7" s="5">
        <f t="shared" ref="AK7:AK8" si="72">MAX(AH7,AI7,AJ7)</f>
        <v>9.2966649352356739E-2</v>
      </c>
      <c r="AL7" s="5">
        <f t="shared" ref="AL7:AL8" si="73">1/(1+EXP(12.597-0.05861*35-1.568*((S7/0.817)^0.4612)))</f>
        <v>3.4896726467213246E-3</v>
      </c>
      <c r="AM7" s="5">
        <f t="shared" ref="AM7:AM8" si="74">AL7</f>
        <v>3.4896726467213246E-3</v>
      </c>
      <c r="AN7" s="5">
        <f t="shared" ref="AN7:AN8" si="75">1/(1+EXP(5.7949-0.7619*U7/1000))</f>
        <v>2.5708150094295293E-2</v>
      </c>
      <c r="AO7" s="5">
        <f t="shared" ref="AO7:AO8" si="76">1/(1+EXP(5.7949-0.7619*V7/1000))</f>
        <v>1.5718950439590172E-2</v>
      </c>
      <c r="AP7" s="22">
        <f t="shared" ref="AP7:AP8" si="77">MAX(AN7,AO7)</f>
        <v>2.5708150094295293E-2</v>
      </c>
      <c r="AQ7" s="21">
        <f t="shared" ref="AQ7:AQ8" si="78">ROUND(1-(1-W7)*(1-AA7)*(1-AC7)*(1-AF7),3)</f>
        <v>9.4E-2</v>
      </c>
      <c r="AR7" s="5">
        <f t="shared" ref="AR7:AR8" si="79">ROUND(1-(1-AG7)*(1-AK7)*(1-AM7)*(1-AP7),3)</f>
        <v>0.12</v>
      </c>
      <c r="AS7" s="22">
        <f t="shared" ref="AS7:AS8" si="80">ROUND(AVERAGE(AR7,AQ7),3)</f>
        <v>0.107</v>
      </c>
      <c r="AT7" s="23">
        <f t="shared" ref="AT7:AT8" si="81">ROUND(AQ7/0.15,2)</f>
        <v>0.63</v>
      </c>
      <c r="AU7" s="110">
        <f t="shared" ref="AU7:AU8" si="82">ROUND(AR7/0.15,2)</f>
        <v>0.8</v>
      </c>
      <c r="AV7" s="24">
        <f t="shared" ref="AV7:AV8" si="83">ROUND(AS7/0.15,2)</f>
        <v>0.71</v>
      </c>
      <c r="AW7" s="187">
        <f t="shared" ref="AW7:AW8" si="84">IF(AT7&lt;0.67,5,IF(AT7&lt;1,4,IF(AT7&lt;1.33,3,IF(AT7&lt;2.67,2,1))))</f>
        <v>5</v>
      </c>
      <c r="AX7" s="43">
        <f t="shared" ref="AX7:AX8" si="85">IF(AU7&lt;0.67,5,IF(AU7&lt;1,4,IF(AU7&lt;1.33,3,IF(AU7&lt;2.67,2,1))))</f>
        <v>4</v>
      </c>
      <c r="AY7" s="188">
        <f t="shared" ref="AY7:AY8" si="86">IF(AV7&lt;0.67,5,IF(AV7&lt;1,4,IF(AV7&lt;1.33,3,IF(AV7&lt;2.67,2,1))))</f>
        <v>4</v>
      </c>
    </row>
    <row r="8" spans="1:51" ht="13.35" customHeight="1">
      <c r="A8" s="115">
        <v>11291</v>
      </c>
      <c r="B8" s="65" t="s">
        <v>127</v>
      </c>
      <c r="C8" s="189" t="str">
        <f>Rollover!A8</f>
        <v xml:space="preserve">Ford </v>
      </c>
      <c r="D8" s="190" t="str">
        <f>Rollover!B8</f>
        <v>Transit Connect Van FWD</v>
      </c>
      <c r="E8" s="109" t="s">
        <v>92</v>
      </c>
      <c r="F8" s="184">
        <f>Rollover!C8</f>
        <v>2021</v>
      </c>
      <c r="G8" s="185">
        <v>144.79900000000001</v>
      </c>
      <c r="H8" s="9">
        <v>0.28100000000000003</v>
      </c>
      <c r="I8" s="9">
        <v>1022.27</v>
      </c>
      <c r="J8" s="9">
        <v>80.978999999999999</v>
      </c>
      <c r="K8" s="9">
        <v>24.748999999999999</v>
      </c>
      <c r="L8" s="9">
        <v>38.316000000000003</v>
      </c>
      <c r="M8" s="9">
        <v>1207.539</v>
      </c>
      <c r="N8" s="10">
        <v>1308.31</v>
      </c>
      <c r="O8" s="8">
        <v>146.15100000000001</v>
      </c>
      <c r="P8" s="9">
        <v>0.48199999999999998</v>
      </c>
      <c r="Q8" s="9">
        <v>797.15599999999995</v>
      </c>
      <c r="R8" s="9">
        <v>77.545000000000002</v>
      </c>
      <c r="S8" s="9">
        <v>9.6270000000000007</v>
      </c>
      <c r="T8" s="9">
        <v>37.445</v>
      </c>
      <c r="U8" s="9">
        <v>2835.0140000000001</v>
      </c>
      <c r="V8" s="10">
        <v>2175.9490000000001</v>
      </c>
      <c r="W8" s="186">
        <f t="shared" si="58"/>
        <v>4.0795780154983255E-4</v>
      </c>
      <c r="X8" s="5">
        <f t="shared" si="59"/>
        <v>6.4545192426725559E-2</v>
      </c>
      <c r="Y8" s="5">
        <f t="shared" si="60"/>
        <v>1.9416486625951581E-4</v>
      </c>
      <c r="Z8" s="5">
        <f t="shared" si="61"/>
        <v>2.0765956036583821E-5</v>
      </c>
      <c r="AA8" s="5">
        <f t="shared" si="62"/>
        <v>6.4545192426725559E-2</v>
      </c>
      <c r="AB8" s="5">
        <f t="shared" si="63"/>
        <v>2.5129620955269018E-2</v>
      </c>
      <c r="AC8" s="5">
        <f t="shared" si="64"/>
        <v>2.5129620955269018E-2</v>
      </c>
      <c r="AD8" s="5">
        <f t="shared" si="65"/>
        <v>5.6667157148867298E-3</v>
      </c>
      <c r="AE8" s="5">
        <f t="shared" si="66"/>
        <v>5.9695153953563977E-3</v>
      </c>
      <c r="AF8" s="22">
        <f t="shared" si="67"/>
        <v>5.9695153953563977E-3</v>
      </c>
      <c r="AG8" s="21">
        <f t="shared" si="68"/>
        <v>4.2683627993218647E-4</v>
      </c>
      <c r="AH8" s="5">
        <f t="shared" si="69"/>
        <v>9.2966649352356739E-2</v>
      </c>
      <c r="AI8" s="5">
        <f t="shared" si="70"/>
        <v>3.515799138136919E-4</v>
      </c>
      <c r="AJ8" s="5">
        <f t="shared" si="71"/>
        <v>2.3332141547720342E-5</v>
      </c>
      <c r="AK8" s="5">
        <f t="shared" si="72"/>
        <v>9.2966649352356739E-2</v>
      </c>
      <c r="AL8" s="5">
        <f t="shared" si="73"/>
        <v>3.4896726467213246E-3</v>
      </c>
      <c r="AM8" s="5">
        <f t="shared" si="74"/>
        <v>3.4896726467213246E-3</v>
      </c>
      <c r="AN8" s="5">
        <f t="shared" si="75"/>
        <v>2.5708150094295293E-2</v>
      </c>
      <c r="AO8" s="5">
        <f t="shared" si="76"/>
        <v>1.5718950439590172E-2</v>
      </c>
      <c r="AP8" s="22">
        <f t="shared" si="77"/>
        <v>2.5708150094295293E-2</v>
      </c>
      <c r="AQ8" s="21">
        <f t="shared" si="78"/>
        <v>9.4E-2</v>
      </c>
      <c r="AR8" s="5">
        <f t="shared" si="79"/>
        <v>0.12</v>
      </c>
      <c r="AS8" s="22">
        <f t="shared" si="80"/>
        <v>0.107</v>
      </c>
      <c r="AT8" s="23">
        <f t="shared" si="81"/>
        <v>0.63</v>
      </c>
      <c r="AU8" s="110">
        <f t="shared" si="82"/>
        <v>0.8</v>
      </c>
      <c r="AV8" s="24">
        <f t="shared" si="83"/>
        <v>0.71</v>
      </c>
      <c r="AW8" s="187">
        <f t="shared" si="84"/>
        <v>5</v>
      </c>
      <c r="AX8" s="43">
        <f t="shared" si="85"/>
        <v>4</v>
      </c>
      <c r="AY8" s="188">
        <f t="shared" si="86"/>
        <v>4</v>
      </c>
    </row>
    <row r="9" spans="1:51" ht="13.35" customHeight="1">
      <c r="A9" s="115">
        <v>11268</v>
      </c>
      <c r="B9" s="64" t="s">
        <v>120</v>
      </c>
      <c r="C9" s="182" t="str">
        <f>Rollover!A9</f>
        <v>Kia</v>
      </c>
      <c r="D9" s="183" t="str">
        <f>Rollover!B9</f>
        <v>K5 4DR FWD</v>
      </c>
      <c r="E9" s="109" t="s">
        <v>92</v>
      </c>
      <c r="F9" s="184">
        <f>Rollover!C9</f>
        <v>2021</v>
      </c>
      <c r="G9" s="21">
        <v>294.64800000000002</v>
      </c>
      <c r="H9" s="5">
        <v>0.20899999999999999</v>
      </c>
      <c r="I9" s="5">
        <v>801.27300000000002</v>
      </c>
      <c r="J9" s="5">
        <v>94.372</v>
      </c>
      <c r="K9" s="5">
        <v>21.593</v>
      </c>
      <c r="L9" s="5">
        <v>41.38</v>
      </c>
      <c r="M9" s="5">
        <v>1975.1410000000001</v>
      </c>
      <c r="N9" s="22">
        <v>1229.261</v>
      </c>
      <c r="O9" s="21">
        <v>372.92899999999997</v>
      </c>
      <c r="P9" s="5">
        <v>0.501</v>
      </c>
      <c r="Q9" s="5">
        <v>655.30700000000002</v>
      </c>
      <c r="R9" s="5">
        <v>255.69800000000001</v>
      </c>
      <c r="S9" s="5">
        <v>13.215999999999999</v>
      </c>
      <c r="T9" s="5">
        <v>41.445</v>
      </c>
      <c r="U9" s="5">
        <v>88.203999999999994</v>
      </c>
      <c r="V9" s="22">
        <v>135.499</v>
      </c>
      <c r="W9" s="186">
        <f t="shared" si="29"/>
        <v>8.4871185456827716E-3</v>
      </c>
      <c r="X9" s="5">
        <f t="shared" si="30"/>
        <v>5.6496531186568832E-2</v>
      </c>
      <c r="Y9" s="5">
        <f t="shared" si="31"/>
        <v>1.1488355415619377E-4</v>
      </c>
      <c r="Z9" s="5">
        <f t="shared" si="32"/>
        <v>2.1437090455864124E-5</v>
      </c>
      <c r="AA9" s="5">
        <f t="shared" si="33"/>
        <v>5.6496531186568832E-2</v>
      </c>
      <c r="AB9" s="5">
        <f t="shared" si="34"/>
        <v>1.6655354772788181E-2</v>
      </c>
      <c r="AC9" s="5">
        <f t="shared" si="35"/>
        <v>1.6655354772788181E-2</v>
      </c>
      <c r="AD9" s="5">
        <f t="shared" si="36"/>
        <v>8.4206100565153187E-3</v>
      </c>
      <c r="AE9" s="5">
        <f t="shared" si="37"/>
        <v>5.7306682276977447E-3</v>
      </c>
      <c r="AF9" s="22">
        <f t="shared" si="38"/>
        <v>8.4206100565153187E-3</v>
      </c>
      <c r="AG9" s="21">
        <f t="shared" si="39"/>
        <v>1.9279173887082925E-2</v>
      </c>
      <c r="AH9" s="5">
        <f t="shared" si="40"/>
        <v>9.6169359468729107E-2</v>
      </c>
      <c r="AI9" s="5">
        <f t="shared" si="41"/>
        <v>2.0598676928946724E-4</v>
      </c>
      <c r="AJ9" s="5">
        <f t="shared" si="42"/>
        <v>4.5670215540480505E-5</v>
      </c>
      <c r="AK9" s="5">
        <f t="shared" si="43"/>
        <v>9.6169359468729107E-2</v>
      </c>
      <c r="AL9" s="5">
        <f t="shared" si="44"/>
        <v>7.5037978448511565E-3</v>
      </c>
      <c r="AM9" s="5">
        <f t="shared" si="45"/>
        <v>7.5037978448511565E-3</v>
      </c>
      <c r="AN9" s="5">
        <f t="shared" si="46"/>
        <v>3.2440048410150536E-3</v>
      </c>
      <c r="AO9" s="5">
        <f t="shared" si="47"/>
        <v>3.3626308875815566E-3</v>
      </c>
      <c r="AP9" s="22">
        <f t="shared" si="48"/>
        <v>3.3626308875815566E-3</v>
      </c>
      <c r="AQ9" s="21">
        <f t="shared" si="49"/>
        <v>8.7999999999999995E-2</v>
      </c>
      <c r="AR9" s="5">
        <f t="shared" si="50"/>
        <v>0.123</v>
      </c>
      <c r="AS9" s="22">
        <f t="shared" si="51"/>
        <v>0.106</v>
      </c>
      <c r="AT9" s="23">
        <f t="shared" si="52"/>
        <v>0.59</v>
      </c>
      <c r="AU9" s="110">
        <f t="shared" si="53"/>
        <v>0.82</v>
      </c>
      <c r="AV9" s="24">
        <f t="shared" si="54"/>
        <v>0.71</v>
      </c>
      <c r="AW9" s="187">
        <f t="shared" si="55"/>
        <v>5</v>
      </c>
      <c r="AX9" s="43">
        <f t="shared" si="56"/>
        <v>4</v>
      </c>
      <c r="AY9" s="188">
        <f t="shared" si="57"/>
        <v>4</v>
      </c>
    </row>
    <row r="10" spans="1:51" ht="13.35" customHeight="1">
      <c r="A10" s="64">
        <v>11079</v>
      </c>
      <c r="B10" s="65" t="s">
        <v>94</v>
      </c>
      <c r="C10" s="182" t="str">
        <f>Rollover!A10</f>
        <v>Kia</v>
      </c>
      <c r="D10" s="183" t="str">
        <f>Rollover!B10</f>
        <v>Seltos SUV FWD</v>
      </c>
      <c r="E10" s="109" t="s">
        <v>92</v>
      </c>
      <c r="F10" s="184">
        <f>Rollover!C10</f>
        <v>2021</v>
      </c>
      <c r="G10" s="8">
        <v>129.126</v>
      </c>
      <c r="H10" s="9">
        <v>0.24199999999999999</v>
      </c>
      <c r="I10" s="9">
        <v>1054.5129999999999</v>
      </c>
      <c r="J10" s="9">
        <v>103.148</v>
      </c>
      <c r="K10" s="9">
        <v>26.001999999999999</v>
      </c>
      <c r="L10" s="9">
        <v>43.406999999999996</v>
      </c>
      <c r="M10" s="9">
        <v>2045.9860000000001</v>
      </c>
      <c r="N10" s="10">
        <v>1907.635</v>
      </c>
      <c r="O10" s="8">
        <v>404.99299999999999</v>
      </c>
      <c r="P10" s="9">
        <v>0.41399999999999998</v>
      </c>
      <c r="Q10" s="9">
        <v>566.78099999999995</v>
      </c>
      <c r="R10" s="9">
        <v>762.06899999999996</v>
      </c>
      <c r="S10" s="9">
        <v>13.621</v>
      </c>
      <c r="T10" s="9">
        <v>52.731000000000002</v>
      </c>
      <c r="U10" s="9">
        <v>639.43100000000004</v>
      </c>
      <c r="V10" s="10">
        <v>194.53100000000001</v>
      </c>
      <c r="W10" s="186">
        <f t="shared" si="29"/>
        <v>2.3075942002772419E-4</v>
      </c>
      <c r="X10" s="5">
        <f t="shared" si="30"/>
        <v>6.0061218312841474E-2</v>
      </c>
      <c r="Y10" s="5">
        <f t="shared" si="31"/>
        <v>2.0961432543799391E-4</v>
      </c>
      <c r="Z10" s="5">
        <f t="shared" si="32"/>
        <v>2.1888582834895422E-5</v>
      </c>
      <c r="AA10" s="5">
        <f t="shared" si="33"/>
        <v>6.0061218312841474E-2</v>
      </c>
      <c r="AB10" s="5">
        <f t="shared" si="34"/>
        <v>2.9324284916038272E-2</v>
      </c>
      <c r="AC10" s="5">
        <f t="shared" si="35"/>
        <v>2.9324284916038272E-2</v>
      </c>
      <c r="AD10" s="5">
        <f t="shared" si="36"/>
        <v>8.733599889142794E-3</v>
      </c>
      <c r="AE10" s="5">
        <f t="shared" si="37"/>
        <v>8.1327282525987463E-3</v>
      </c>
      <c r="AF10" s="22">
        <f t="shared" si="38"/>
        <v>8.733599889142794E-3</v>
      </c>
      <c r="AG10" s="21">
        <f t="shared" si="39"/>
        <v>2.5149962139034938E-2</v>
      </c>
      <c r="AH10" s="5">
        <f t="shared" si="40"/>
        <v>8.2276033427140446E-2</v>
      </c>
      <c r="AI10" s="5">
        <f t="shared" si="41"/>
        <v>1.4754413818385533E-4</v>
      </c>
      <c r="AJ10" s="5">
        <f t="shared" si="42"/>
        <v>3.080316719954209E-4</v>
      </c>
      <c r="AK10" s="5">
        <f t="shared" si="43"/>
        <v>8.2276033427140446E-2</v>
      </c>
      <c r="AL10" s="5">
        <f t="shared" si="44"/>
        <v>8.118503430097403E-3</v>
      </c>
      <c r="AM10" s="5">
        <f t="shared" si="45"/>
        <v>8.118503430097403E-3</v>
      </c>
      <c r="AN10" s="5">
        <f t="shared" si="46"/>
        <v>4.9288059862936072E-3</v>
      </c>
      <c r="AO10" s="5">
        <f t="shared" si="47"/>
        <v>3.5167788479315704E-3</v>
      </c>
      <c r="AP10" s="22">
        <f t="shared" si="48"/>
        <v>4.9288059862936072E-3</v>
      </c>
      <c r="AQ10" s="21">
        <f t="shared" si="49"/>
        <v>9.6000000000000002E-2</v>
      </c>
      <c r="AR10" s="5">
        <f t="shared" si="50"/>
        <v>0.11700000000000001</v>
      </c>
      <c r="AS10" s="22">
        <f t="shared" si="51"/>
        <v>0.107</v>
      </c>
      <c r="AT10" s="23">
        <f t="shared" si="52"/>
        <v>0.64</v>
      </c>
      <c r="AU10" s="110">
        <f t="shared" si="53"/>
        <v>0.78</v>
      </c>
      <c r="AV10" s="24">
        <f t="shared" si="54"/>
        <v>0.71</v>
      </c>
      <c r="AW10" s="187">
        <f t="shared" si="55"/>
        <v>5</v>
      </c>
      <c r="AX10" s="43">
        <f t="shared" si="56"/>
        <v>4</v>
      </c>
      <c r="AY10" s="188">
        <f t="shared" si="57"/>
        <v>4</v>
      </c>
    </row>
    <row r="11" spans="1:51" ht="13.35" customHeight="1">
      <c r="A11" s="115">
        <v>11079</v>
      </c>
      <c r="B11" s="65" t="s">
        <v>94</v>
      </c>
      <c r="C11" s="182" t="str">
        <f>Rollover!A11</f>
        <v>Kia</v>
      </c>
      <c r="D11" s="183" t="str">
        <f>Rollover!B11</f>
        <v>Seltos SUV AWD</v>
      </c>
      <c r="E11" s="109" t="s">
        <v>92</v>
      </c>
      <c r="F11" s="184">
        <f>Rollover!C11</f>
        <v>2021</v>
      </c>
      <c r="G11" s="185">
        <v>129.126</v>
      </c>
      <c r="H11" s="9">
        <v>0.24199999999999999</v>
      </c>
      <c r="I11" s="9">
        <v>1054.5129999999999</v>
      </c>
      <c r="J11" s="9">
        <v>103.148</v>
      </c>
      <c r="K11" s="9">
        <v>26.001999999999999</v>
      </c>
      <c r="L11" s="9">
        <v>43.406999999999996</v>
      </c>
      <c r="M11" s="9">
        <v>2045.9860000000001</v>
      </c>
      <c r="N11" s="10">
        <v>1907.635</v>
      </c>
      <c r="O11" s="8">
        <v>404.99299999999999</v>
      </c>
      <c r="P11" s="9">
        <v>0.41399999999999998</v>
      </c>
      <c r="Q11" s="9">
        <v>566.78099999999995</v>
      </c>
      <c r="R11" s="9">
        <v>762.06899999999996</v>
      </c>
      <c r="S11" s="9">
        <v>13.621</v>
      </c>
      <c r="T11" s="9">
        <v>52.731000000000002</v>
      </c>
      <c r="U11" s="9">
        <v>639.43100000000004</v>
      </c>
      <c r="V11" s="10">
        <v>194.53100000000001</v>
      </c>
      <c r="W11" s="186">
        <f t="shared" si="29"/>
        <v>2.3075942002772419E-4</v>
      </c>
      <c r="X11" s="5">
        <f t="shared" si="30"/>
        <v>6.0061218312841474E-2</v>
      </c>
      <c r="Y11" s="5">
        <f t="shared" si="31"/>
        <v>2.0961432543799391E-4</v>
      </c>
      <c r="Z11" s="5">
        <f t="shared" si="32"/>
        <v>2.1888582834895422E-5</v>
      </c>
      <c r="AA11" s="5">
        <f t="shared" si="33"/>
        <v>6.0061218312841474E-2</v>
      </c>
      <c r="AB11" s="5">
        <f t="shared" si="34"/>
        <v>2.9324284916038272E-2</v>
      </c>
      <c r="AC11" s="5">
        <f t="shared" si="35"/>
        <v>2.9324284916038272E-2</v>
      </c>
      <c r="AD11" s="5">
        <f t="shared" si="36"/>
        <v>8.733599889142794E-3</v>
      </c>
      <c r="AE11" s="5">
        <f t="shared" si="37"/>
        <v>8.1327282525987463E-3</v>
      </c>
      <c r="AF11" s="22">
        <f t="shared" si="38"/>
        <v>8.733599889142794E-3</v>
      </c>
      <c r="AG11" s="21">
        <f t="shared" si="39"/>
        <v>2.5149962139034938E-2</v>
      </c>
      <c r="AH11" s="5">
        <f t="shared" si="40"/>
        <v>8.2276033427140446E-2</v>
      </c>
      <c r="AI11" s="5">
        <f t="shared" si="41"/>
        <v>1.4754413818385533E-4</v>
      </c>
      <c r="AJ11" s="5">
        <f t="shared" si="42"/>
        <v>3.080316719954209E-4</v>
      </c>
      <c r="AK11" s="5">
        <f t="shared" si="43"/>
        <v>8.2276033427140446E-2</v>
      </c>
      <c r="AL11" s="5">
        <f t="shared" si="44"/>
        <v>8.118503430097403E-3</v>
      </c>
      <c r="AM11" s="5">
        <f t="shared" si="45"/>
        <v>8.118503430097403E-3</v>
      </c>
      <c r="AN11" s="5">
        <f t="shared" si="46"/>
        <v>4.9288059862936072E-3</v>
      </c>
      <c r="AO11" s="5">
        <f t="shared" si="47"/>
        <v>3.5167788479315704E-3</v>
      </c>
      <c r="AP11" s="22">
        <f t="shared" si="48"/>
        <v>4.9288059862936072E-3</v>
      </c>
      <c r="AQ11" s="21">
        <f t="shared" si="49"/>
        <v>9.6000000000000002E-2</v>
      </c>
      <c r="AR11" s="5">
        <f t="shared" si="50"/>
        <v>0.11700000000000001</v>
      </c>
      <c r="AS11" s="22">
        <f t="shared" si="51"/>
        <v>0.107</v>
      </c>
      <c r="AT11" s="23">
        <f t="shared" si="52"/>
        <v>0.64</v>
      </c>
      <c r="AU11" s="110">
        <f t="shared" si="53"/>
        <v>0.78</v>
      </c>
      <c r="AV11" s="24">
        <f t="shared" si="54"/>
        <v>0.71</v>
      </c>
      <c r="AW11" s="187">
        <f t="shared" si="55"/>
        <v>5</v>
      </c>
      <c r="AX11" s="43">
        <f t="shared" si="56"/>
        <v>4</v>
      </c>
      <c r="AY11" s="188">
        <f t="shared" si="57"/>
        <v>4</v>
      </c>
    </row>
    <row r="12" spans="1:51" ht="13.35" customHeight="1">
      <c r="A12" s="115">
        <v>11295</v>
      </c>
      <c r="B12" s="65" t="s">
        <v>131</v>
      </c>
      <c r="C12" s="182" t="str">
        <f>Rollover!A12</f>
        <v>Subaru</v>
      </c>
      <c r="D12" s="183" t="str">
        <f>Rollover!B12</f>
        <v>Outback SW AWD</v>
      </c>
      <c r="E12" s="109" t="s">
        <v>112</v>
      </c>
      <c r="F12" s="184">
        <f>Rollover!C12</f>
        <v>2021</v>
      </c>
      <c r="G12" s="8">
        <v>157.81</v>
      </c>
      <c r="H12" s="9">
        <v>0.25900000000000001</v>
      </c>
      <c r="I12" s="9">
        <v>1250.2829999999999</v>
      </c>
      <c r="J12" s="9">
        <v>254.84100000000001</v>
      </c>
      <c r="K12" s="9">
        <v>18.795000000000002</v>
      </c>
      <c r="L12" s="9">
        <v>42.832000000000001</v>
      </c>
      <c r="M12" s="9">
        <v>1022.537</v>
      </c>
      <c r="N12" s="10">
        <v>1109.2339999999999</v>
      </c>
      <c r="O12" s="8">
        <v>241.36699999999999</v>
      </c>
      <c r="P12" s="9">
        <v>0.434</v>
      </c>
      <c r="Q12" s="9">
        <v>653.5</v>
      </c>
      <c r="R12" s="9">
        <v>227.21299999999999</v>
      </c>
      <c r="S12" s="9">
        <v>13.581</v>
      </c>
      <c r="T12" s="9">
        <v>45.71</v>
      </c>
      <c r="U12" s="9">
        <v>717.75</v>
      </c>
      <c r="V12" s="10">
        <v>609.28399999999999</v>
      </c>
      <c r="W12" s="186">
        <f t="shared" ref="W12:W16" si="87">NORMDIST(LN(G12),7.45231,0.73998,1)</f>
        <v>6.1666477612068405E-4</v>
      </c>
      <c r="X12" s="5">
        <f t="shared" ref="X12:X16" si="88">1/(1+EXP(3.2269-1.9688*H12))</f>
        <v>6.1978762730557614E-2</v>
      </c>
      <c r="Y12" s="5">
        <f t="shared" ref="Y12:Y16" si="89">1/(1+EXP(10.9745-2.375*I12/1000))</f>
        <v>3.3365214730927294E-4</v>
      </c>
      <c r="Z12" s="5">
        <f t="shared" ref="Z12:Z16" si="90">1/(1+EXP(10.9745-2.375*J12/1000))</f>
        <v>3.1381751160047977E-5</v>
      </c>
      <c r="AA12" s="5">
        <f t="shared" ref="AA12:AA16" si="91">MAX(X12,Y12,Z12)</f>
        <v>6.1978762730557614E-2</v>
      </c>
      <c r="AB12" s="5">
        <f t="shared" ref="AB12:AB16" si="92">1/(1+EXP(12.597-0.05861*35-1.568*(K12^0.4612)))</f>
        <v>1.1215237037561467E-2</v>
      </c>
      <c r="AC12" s="5">
        <f t="shared" ref="AC12:AC16" si="93">AB12</f>
        <v>1.1215237037561467E-2</v>
      </c>
      <c r="AD12" s="5">
        <f t="shared" ref="AD12:AD16" si="94">1/(1+EXP(5.7949-0.5196*M12/1000))</f>
        <v>5.1500280897957907E-3</v>
      </c>
      <c r="AE12" s="5">
        <f t="shared" ref="AE12:AE16" si="95">1/(1+EXP(5.7949-0.5196*N12/1000))</f>
        <v>5.386052039146088E-3</v>
      </c>
      <c r="AF12" s="22">
        <f t="shared" ref="AF12:AF16" si="96">MAX(AD12,AE12)</f>
        <v>5.386052039146088E-3</v>
      </c>
      <c r="AG12" s="21">
        <f t="shared" ref="AG12:AG16" si="97">NORMDIST(LN(O12),7.45231,0.73998,1)</f>
        <v>3.9441131335601126E-3</v>
      </c>
      <c r="AH12" s="5">
        <f t="shared" ref="AH12:AH16" si="98">1/(1+EXP(3.2269-1.9688*P12))</f>
        <v>8.5298508831700037E-2</v>
      </c>
      <c r="AI12" s="5">
        <f t="shared" ref="AI12:AI16" si="99">1/(1+EXP(10.958-3.77*Q12/1000))</f>
        <v>2.0458856214720703E-4</v>
      </c>
      <c r="AJ12" s="5">
        <f t="shared" ref="AJ12:AJ16" si="100">1/(1+EXP(10.958-3.77*R12/1000))</f>
        <v>4.1020114624974128E-5</v>
      </c>
      <c r="AK12" s="5">
        <f t="shared" ref="AK12:AK16" si="101">MAX(AH12,AI12,AJ12)</f>
        <v>8.5298508831700037E-2</v>
      </c>
      <c r="AL12" s="5">
        <f t="shared" ref="AL12:AL16" si="102">1/(1+EXP(12.597-0.05861*35-1.568*((S12/0.817)^0.4612)))</f>
        <v>8.056088949604941E-3</v>
      </c>
      <c r="AM12" s="5">
        <f t="shared" ref="AM12:AM16" si="103">AL12</f>
        <v>8.056088949604941E-3</v>
      </c>
      <c r="AN12" s="5">
        <f t="shared" ref="AN12:AN16" si="104">1/(1+EXP(5.7949-0.7619*U12/1000))</f>
        <v>5.2302809586819848E-3</v>
      </c>
      <c r="AO12" s="5">
        <f t="shared" ref="AO12:AO16" si="105">1/(1+EXP(5.7949-0.7619*V12/1000))</f>
        <v>4.8174256685239968E-3</v>
      </c>
      <c r="AP12" s="22">
        <f t="shared" ref="AP12:AP16" si="106">MAX(AN12,AO12)</f>
        <v>5.2302809586819848E-3</v>
      </c>
      <c r="AQ12" s="21">
        <f t="shared" ref="AQ12:AQ16" si="107">ROUND(1-(1-W12)*(1-AA12)*(1-AC12)*(1-AF12),3)</f>
        <v>7.8E-2</v>
      </c>
      <c r="AR12" s="5">
        <f t="shared" ref="AR12:AR16" si="108">ROUND(1-(1-AG12)*(1-AK12)*(1-AM12)*(1-AP12),3)</f>
        <v>0.10100000000000001</v>
      </c>
      <c r="AS12" s="22">
        <f t="shared" ref="AS12:AS16" si="109">ROUND(AVERAGE(AR12,AQ12),3)</f>
        <v>0.09</v>
      </c>
      <c r="AT12" s="23">
        <f t="shared" ref="AT12:AT16" si="110">ROUND(AQ12/0.15,2)</f>
        <v>0.52</v>
      </c>
      <c r="AU12" s="110">
        <f t="shared" ref="AU12:AU16" si="111">ROUND(AR12/0.15,2)</f>
        <v>0.67</v>
      </c>
      <c r="AV12" s="24">
        <f t="shared" ref="AV12:AV16" si="112">ROUND(AS12/0.15,2)</f>
        <v>0.6</v>
      </c>
      <c r="AW12" s="187">
        <f t="shared" ref="AW12:AW16" si="113">IF(AT12&lt;0.67,5,IF(AT12&lt;1,4,IF(AT12&lt;1.33,3,IF(AT12&lt;2.67,2,1))))</f>
        <v>5</v>
      </c>
      <c r="AX12" s="43">
        <f t="shared" ref="AX12:AX16" si="114">IF(AU12&lt;0.67,5,IF(AU12&lt;1,4,IF(AU12&lt;1.33,3,IF(AU12&lt;2.67,2,1))))</f>
        <v>4</v>
      </c>
      <c r="AY12" s="188">
        <f t="shared" ref="AY12:AY16" si="115">IF(AV12&lt;0.67,5,IF(AV12&lt;1,4,IF(AV12&lt;1.33,3,IF(AV12&lt;2.67,2,1))))</f>
        <v>5</v>
      </c>
    </row>
    <row r="13" spans="1:51" ht="12" customHeight="1">
      <c r="A13" s="115">
        <v>11295</v>
      </c>
      <c r="B13" s="64" t="s">
        <v>131</v>
      </c>
      <c r="C13" s="189" t="str">
        <f>Rollover!A13</f>
        <v>Subaru</v>
      </c>
      <c r="D13" s="190" t="str">
        <f>Rollover!B13</f>
        <v>Legacy 4DR AWD</v>
      </c>
      <c r="E13" s="109" t="s">
        <v>112</v>
      </c>
      <c r="F13" s="184">
        <f>Rollover!C13</f>
        <v>2021</v>
      </c>
      <c r="G13" s="8">
        <v>157.81</v>
      </c>
      <c r="H13" s="9">
        <v>0.25900000000000001</v>
      </c>
      <c r="I13" s="9">
        <v>1250.2829999999999</v>
      </c>
      <c r="J13" s="9">
        <v>254.84100000000001</v>
      </c>
      <c r="K13" s="9">
        <v>18.795000000000002</v>
      </c>
      <c r="L13" s="9">
        <v>42.832000000000001</v>
      </c>
      <c r="M13" s="9">
        <v>1022.537</v>
      </c>
      <c r="N13" s="10">
        <v>1109.2339999999999</v>
      </c>
      <c r="O13" s="8">
        <v>241.36699999999999</v>
      </c>
      <c r="P13" s="9">
        <v>0.434</v>
      </c>
      <c r="Q13" s="9">
        <v>653.5</v>
      </c>
      <c r="R13" s="9">
        <v>227.21299999999999</v>
      </c>
      <c r="S13" s="9">
        <v>13.581</v>
      </c>
      <c r="T13" s="9">
        <v>45.71</v>
      </c>
      <c r="U13" s="9">
        <v>717.75</v>
      </c>
      <c r="V13" s="10">
        <v>609.28399999999999</v>
      </c>
      <c r="W13" s="186">
        <f t="shared" si="87"/>
        <v>6.1666477612068405E-4</v>
      </c>
      <c r="X13" s="5">
        <f t="shared" si="88"/>
        <v>6.1978762730557614E-2</v>
      </c>
      <c r="Y13" s="5">
        <f t="shared" si="89"/>
        <v>3.3365214730927294E-4</v>
      </c>
      <c r="Z13" s="5">
        <f t="shared" si="90"/>
        <v>3.1381751160047977E-5</v>
      </c>
      <c r="AA13" s="5">
        <f t="shared" si="91"/>
        <v>6.1978762730557614E-2</v>
      </c>
      <c r="AB13" s="5">
        <f t="shared" si="92"/>
        <v>1.1215237037561467E-2</v>
      </c>
      <c r="AC13" s="5">
        <f t="shared" si="93"/>
        <v>1.1215237037561467E-2</v>
      </c>
      <c r="AD13" s="5">
        <f t="shared" si="94"/>
        <v>5.1500280897957907E-3</v>
      </c>
      <c r="AE13" s="5">
        <f t="shared" si="95"/>
        <v>5.386052039146088E-3</v>
      </c>
      <c r="AF13" s="22">
        <f t="shared" si="96"/>
        <v>5.386052039146088E-3</v>
      </c>
      <c r="AG13" s="21">
        <f t="shared" si="97"/>
        <v>3.9441131335601126E-3</v>
      </c>
      <c r="AH13" s="5">
        <f t="shared" si="98"/>
        <v>8.5298508831700037E-2</v>
      </c>
      <c r="AI13" s="5">
        <f t="shared" si="99"/>
        <v>2.0458856214720703E-4</v>
      </c>
      <c r="AJ13" s="5">
        <f t="shared" si="100"/>
        <v>4.1020114624974128E-5</v>
      </c>
      <c r="AK13" s="5">
        <f t="shared" si="101"/>
        <v>8.5298508831700037E-2</v>
      </c>
      <c r="AL13" s="5">
        <f t="shared" si="102"/>
        <v>8.056088949604941E-3</v>
      </c>
      <c r="AM13" s="5">
        <f t="shared" si="103"/>
        <v>8.056088949604941E-3</v>
      </c>
      <c r="AN13" s="5">
        <f t="shared" si="104"/>
        <v>5.2302809586819848E-3</v>
      </c>
      <c r="AO13" s="5">
        <f t="shared" si="105"/>
        <v>4.8174256685239968E-3</v>
      </c>
      <c r="AP13" s="22">
        <f t="shared" si="106"/>
        <v>5.2302809586819848E-3</v>
      </c>
      <c r="AQ13" s="21">
        <f t="shared" si="107"/>
        <v>7.8E-2</v>
      </c>
      <c r="AR13" s="5">
        <f t="shared" si="108"/>
        <v>0.10100000000000001</v>
      </c>
      <c r="AS13" s="22">
        <f t="shared" si="109"/>
        <v>0.09</v>
      </c>
      <c r="AT13" s="23">
        <f t="shared" si="110"/>
        <v>0.52</v>
      </c>
      <c r="AU13" s="110">
        <f t="shared" si="111"/>
        <v>0.67</v>
      </c>
      <c r="AV13" s="24">
        <f t="shared" si="112"/>
        <v>0.6</v>
      </c>
      <c r="AW13" s="187">
        <f t="shared" si="113"/>
        <v>5</v>
      </c>
      <c r="AX13" s="43">
        <f t="shared" si="114"/>
        <v>4</v>
      </c>
      <c r="AY13" s="188">
        <f t="shared" si="115"/>
        <v>5</v>
      </c>
    </row>
    <row r="14" spans="1:51" ht="13.35" customHeight="1">
      <c r="A14" s="181">
        <v>10651</v>
      </c>
      <c r="B14" s="58" t="s">
        <v>117</v>
      </c>
      <c r="C14" s="182" t="str">
        <f>Rollover!A14</f>
        <v>Toyota</v>
      </c>
      <c r="D14" s="183" t="str">
        <f>Rollover!B14</f>
        <v>Corolla 4DR FWD</v>
      </c>
      <c r="E14" s="109" t="s">
        <v>92</v>
      </c>
      <c r="F14" s="184">
        <f>Rollover!C14</f>
        <v>2021</v>
      </c>
      <c r="G14" s="8">
        <v>186.548</v>
      </c>
      <c r="H14" s="9">
        <v>0.27300000000000002</v>
      </c>
      <c r="I14" s="9">
        <v>1080.8340000000001</v>
      </c>
      <c r="J14" s="9">
        <v>221.012</v>
      </c>
      <c r="K14" s="9">
        <v>24.053999999999998</v>
      </c>
      <c r="L14" s="9">
        <v>45.079000000000001</v>
      </c>
      <c r="M14" s="9">
        <v>1468.2719999999999</v>
      </c>
      <c r="N14" s="10">
        <v>1380.788</v>
      </c>
      <c r="O14" s="8">
        <v>356.32299999999998</v>
      </c>
      <c r="P14" s="9">
        <v>0.27100000000000002</v>
      </c>
      <c r="Q14" s="9">
        <v>733.971</v>
      </c>
      <c r="R14" s="9">
        <v>381.9</v>
      </c>
      <c r="S14" s="9">
        <v>13.587999999999999</v>
      </c>
      <c r="T14" s="9">
        <v>48.542000000000002</v>
      </c>
      <c r="U14" s="9">
        <v>1337.059</v>
      </c>
      <c r="V14" s="10">
        <v>693.72799999999995</v>
      </c>
      <c r="W14" s="186">
        <f t="shared" si="87"/>
        <v>1.3280132735441646E-3</v>
      </c>
      <c r="X14" s="5">
        <f t="shared" si="88"/>
        <v>6.3600694729198576E-2</v>
      </c>
      <c r="Y14" s="5">
        <f t="shared" si="89"/>
        <v>2.231330320868445E-4</v>
      </c>
      <c r="Z14" s="5">
        <f t="shared" si="90"/>
        <v>2.8959117628590589E-5</v>
      </c>
      <c r="AA14" s="5">
        <f t="shared" si="91"/>
        <v>6.3600694729198576E-2</v>
      </c>
      <c r="AB14" s="5">
        <f t="shared" si="92"/>
        <v>2.3019088613042766E-2</v>
      </c>
      <c r="AC14" s="5">
        <f t="shared" si="93"/>
        <v>2.3019088613042766E-2</v>
      </c>
      <c r="AD14" s="5">
        <f t="shared" si="94"/>
        <v>6.4835277820869067E-3</v>
      </c>
      <c r="AE14" s="5">
        <f t="shared" si="95"/>
        <v>6.1971917736574752E-3</v>
      </c>
      <c r="AF14" s="22">
        <f t="shared" si="96"/>
        <v>6.4835277820869067E-3</v>
      </c>
      <c r="AG14" s="21">
        <f t="shared" si="97"/>
        <v>1.6568243756006254E-2</v>
      </c>
      <c r="AH14" s="5">
        <f t="shared" si="98"/>
        <v>6.3366590994446123E-2</v>
      </c>
      <c r="AI14" s="5">
        <f t="shared" si="99"/>
        <v>2.7707940068093061E-4</v>
      </c>
      <c r="AJ14" s="5">
        <f t="shared" si="100"/>
        <v>7.3493727433486964E-5</v>
      </c>
      <c r="AK14" s="5">
        <f t="shared" si="101"/>
        <v>6.3366590994446123E-2</v>
      </c>
      <c r="AL14" s="5">
        <f t="shared" si="102"/>
        <v>8.066984148380035E-3</v>
      </c>
      <c r="AM14" s="5">
        <f t="shared" si="103"/>
        <v>8.066984148380035E-3</v>
      </c>
      <c r="AN14" s="5">
        <f t="shared" si="104"/>
        <v>8.3575710425069869E-3</v>
      </c>
      <c r="AO14" s="5">
        <f t="shared" si="105"/>
        <v>5.1359123258313873E-3</v>
      </c>
      <c r="AP14" s="22">
        <f t="shared" si="106"/>
        <v>8.3575710425069869E-3</v>
      </c>
      <c r="AQ14" s="21">
        <f t="shared" si="107"/>
        <v>9.1999999999999998E-2</v>
      </c>
      <c r="AR14" s="5">
        <f t="shared" si="108"/>
        <v>9.4E-2</v>
      </c>
      <c r="AS14" s="22">
        <f t="shared" si="109"/>
        <v>9.2999999999999999E-2</v>
      </c>
      <c r="AT14" s="23">
        <f t="shared" si="110"/>
        <v>0.61</v>
      </c>
      <c r="AU14" s="110">
        <f t="shared" si="111"/>
        <v>0.63</v>
      </c>
      <c r="AV14" s="24">
        <f t="shared" si="112"/>
        <v>0.62</v>
      </c>
      <c r="AW14" s="187">
        <f t="shared" si="113"/>
        <v>5</v>
      </c>
      <c r="AX14" s="43">
        <f t="shared" si="114"/>
        <v>5</v>
      </c>
      <c r="AY14" s="188">
        <f t="shared" si="115"/>
        <v>5</v>
      </c>
    </row>
    <row r="15" spans="1:51" ht="13.35" customHeight="1">
      <c r="A15" s="181">
        <v>10651</v>
      </c>
      <c r="B15" s="58" t="s">
        <v>117</v>
      </c>
      <c r="C15" s="189" t="str">
        <f>Rollover!A15</f>
        <v>Toyota</v>
      </c>
      <c r="D15" s="190" t="str">
        <f>Rollover!B15</f>
        <v>Corolla Hybrid 4DR FWD</v>
      </c>
      <c r="E15" s="109" t="s">
        <v>92</v>
      </c>
      <c r="F15" s="184">
        <f>Rollover!C15</f>
        <v>2021</v>
      </c>
      <c r="G15" s="8">
        <v>186.548</v>
      </c>
      <c r="H15" s="9">
        <v>0.27300000000000002</v>
      </c>
      <c r="I15" s="9">
        <v>1080.8340000000001</v>
      </c>
      <c r="J15" s="9">
        <v>221.012</v>
      </c>
      <c r="K15" s="9">
        <v>24.053999999999998</v>
      </c>
      <c r="L15" s="9">
        <v>45.079000000000001</v>
      </c>
      <c r="M15" s="9">
        <v>1468.2719999999999</v>
      </c>
      <c r="N15" s="10">
        <v>1380.788</v>
      </c>
      <c r="O15" s="8">
        <v>356.32299999999998</v>
      </c>
      <c r="P15" s="9">
        <v>0.27100000000000002</v>
      </c>
      <c r="Q15" s="9">
        <v>733.971</v>
      </c>
      <c r="R15" s="9">
        <v>381.9</v>
      </c>
      <c r="S15" s="9">
        <v>13.587999999999999</v>
      </c>
      <c r="T15" s="9">
        <v>48.542000000000002</v>
      </c>
      <c r="U15" s="9">
        <v>1337.059</v>
      </c>
      <c r="V15" s="10">
        <v>693.72799999999995</v>
      </c>
      <c r="W15" s="186">
        <f t="shared" si="87"/>
        <v>1.3280132735441646E-3</v>
      </c>
      <c r="X15" s="5">
        <f t="shared" si="88"/>
        <v>6.3600694729198576E-2</v>
      </c>
      <c r="Y15" s="5">
        <f t="shared" si="89"/>
        <v>2.231330320868445E-4</v>
      </c>
      <c r="Z15" s="5">
        <f t="shared" si="90"/>
        <v>2.8959117628590589E-5</v>
      </c>
      <c r="AA15" s="5">
        <f t="shared" si="91"/>
        <v>6.3600694729198576E-2</v>
      </c>
      <c r="AB15" s="5">
        <f t="shared" si="92"/>
        <v>2.3019088613042766E-2</v>
      </c>
      <c r="AC15" s="5">
        <f t="shared" si="93"/>
        <v>2.3019088613042766E-2</v>
      </c>
      <c r="AD15" s="5">
        <f t="shared" si="94"/>
        <v>6.4835277820869067E-3</v>
      </c>
      <c r="AE15" s="5">
        <f t="shared" si="95"/>
        <v>6.1971917736574752E-3</v>
      </c>
      <c r="AF15" s="22">
        <f t="shared" si="96"/>
        <v>6.4835277820869067E-3</v>
      </c>
      <c r="AG15" s="21">
        <f t="shared" si="97"/>
        <v>1.6568243756006254E-2</v>
      </c>
      <c r="AH15" s="5">
        <f t="shared" si="98"/>
        <v>6.3366590994446123E-2</v>
      </c>
      <c r="AI15" s="5">
        <f t="shared" si="99"/>
        <v>2.7707940068093061E-4</v>
      </c>
      <c r="AJ15" s="5">
        <f t="shared" si="100"/>
        <v>7.3493727433486964E-5</v>
      </c>
      <c r="AK15" s="5">
        <f t="shared" si="101"/>
        <v>6.3366590994446123E-2</v>
      </c>
      <c r="AL15" s="5">
        <f t="shared" si="102"/>
        <v>8.066984148380035E-3</v>
      </c>
      <c r="AM15" s="5">
        <f t="shared" si="103"/>
        <v>8.066984148380035E-3</v>
      </c>
      <c r="AN15" s="5">
        <f t="shared" si="104"/>
        <v>8.3575710425069869E-3</v>
      </c>
      <c r="AO15" s="5">
        <f t="shared" si="105"/>
        <v>5.1359123258313873E-3</v>
      </c>
      <c r="AP15" s="22">
        <f t="shared" si="106"/>
        <v>8.3575710425069869E-3</v>
      </c>
      <c r="AQ15" s="21">
        <f t="shared" si="107"/>
        <v>9.1999999999999998E-2</v>
      </c>
      <c r="AR15" s="5">
        <f t="shared" si="108"/>
        <v>9.4E-2</v>
      </c>
      <c r="AS15" s="22">
        <f t="shared" si="109"/>
        <v>9.2999999999999999E-2</v>
      </c>
      <c r="AT15" s="23">
        <f t="shared" si="110"/>
        <v>0.61</v>
      </c>
      <c r="AU15" s="110">
        <f t="shared" si="111"/>
        <v>0.63</v>
      </c>
      <c r="AV15" s="24">
        <f t="shared" si="112"/>
        <v>0.62</v>
      </c>
      <c r="AW15" s="187">
        <f t="shared" si="113"/>
        <v>5</v>
      </c>
      <c r="AX15" s="43">
        <f t="shared" si="114"/>
        <v>5</v>
      </c>
      <c r="AY15" s="188">
        <f t="shared" si="115"/>
        <v>5</v>
      </c>
    </row>
    <row r="16" spans="1:51" ht="13.35" customHeight="1">
      <c r="A16" s="181">
        <v>10651</v>
      </c>
      <c r="B16" s="58" t="s">
        <v>117</v>
      </c>
      <c r="C16" s="189" t="str">
        <f>Rollover!A16</f>
        <v>Toyota</v>
      </c>
      <c r="D16" s="190" t="str">
        <f>Rollover!B16</f>
        <v>Corolla Hatchback 5HB FWD</v>
      </c>
      <c r="E16" s="109" t="s">
        <v>92</v>
      </c>
      <c r="F16" s="184">
        <f>Rollover!C16</f>
        <v>2021</v>
      </c>
      <c r="G16" s="8">
        <v>186.548</v>
      </c>
      <c r="H16" s="9">
        <v>0.27300000000000002</v>
      </c>
      <c r="I16" s="9">
        <v>1080.8340000000001</v>
      </c>
      <c r="J16" s="9">
        <v>221.012</v>
      </c>
      <c r="K16" s="9">
        <v>24.053999999999998</v>
      </c>
      <c r="L16" s="9">
        <v>45.079000000000001</v>
      </c>
      <c r="M16" s="9">
        <v>1468.2719999999999</v>
      </c>
      <c r="N16" s="10">
        <v>1380.788</v>
      </c>
      <c r="O16" s="8">
        <v>356.32299999999998</v>
      </c>
      <c r="P16" s="9">
        <v>0.27100000000000002</v>
      </c>
      <c r="Q16" s="9">
        <v>733.971</v>
      </c>
      <c r="R16" s="9">
        <v>381.9</v>
      </c>
      <c r="S16" s="9">
        <v>13.587999999999999</v>
      </c>
      <c r="T16" s="9">
        <v>48.542000000000002</v>
      </c>
      <c r="U16" s="9">
        <v>1337.059</v>
      </c>
      <c r="V16" s="10">
        <v>693.72799999999995</v>
      </c>
      <c r="W16" s="186">
        <f t="shared" si="87"/>
        <v>1.3280132735441646E-3</v>
      </c>
      <c r="X16" s="5">
        <f t="shared" si="88"/>
        <v>6.3600694729198576E-2</v>
      </c>
      <c r="Y16" s="5">
        <f t="shared" si="89"/>
        <v>2.231330320868445E-4</v>
      </c>
      <c r="Z16" s="5">
        <f t="shared" si="90"/>
        <v>2.8959117628590589E-5</v>
      </c>
      <c r="AA16" s="5">
        <f t="shared" si="91"/>
        <v>6.3600694729198576E-2</v>
      </c>
      <c r="AB16" s="5">
        <f t="shared" si="92"/>
        <v>2.3019088613042766E-2</v>
      </c>
      <c r="AC16" s="5">
        <f t="shared" si="93"/>
        <v>2.3019088613042766E-2</v>
      </c>
      <c r="AD16" s="5">
        <f t="shared" si="94"/>
        <v>6.4835277820869067E-3</v>
      </c>
      <c r="AE16" s="5">
        <f t="shared" si="95"/>
        <v>6.1971917736574752E-3</v>
      </c>
      <c r="AF16" s="22">
        <f t="shared" si="96"/>
        <v>6.4835277820869067E-3</v>
      </c>
      <c r="AG16" s="21">
        <f t="shared" si="97"/>
        <v>1.6568243756006254E-2</v>
      </c>
      <c r="AH16" s="5">
        <f t="shared" si="98"/>
        <v>6.3366590994446123E-2</v>
      </c>
      <c r="AI16" s="5">
        <f t="shared" si="99"/>
        <v>2.7707940068093061E-4</v>
      </c>
      <c r="AJ16" s="5">
        <f t="shared" si="100"/>
        <v>7.3493727433486964E-5</v>
      </c>
      <c r="AK16" s="5">
        <f t="shared" si="101"/>
        <v>6.3366590994446123E-2</v>
      </c>
      <c r="AL16" s="5">
        <f t="shared" si="102"/>
        <v>8.066984148380035E-3</v>
      </c>
      <c r="AM16" s="5">
        <f t="shared" si="103"/>
        <v>8.066984148380035E-3</v>
      </c>
      <c r="AN16" s="5">
        <f t="shared" si="104"/>
        <v>8.3575710425069869E-3</v>
      </c>
      <c r="AO16" s="5">
        <f t="shared" si="105"/>
        <v>5.1359123258313873E-3</v>
      </c>
      <c r="AP16" s="22">
        <f t="shared" si="106"/>
        <v>8.3575710425069869E-3</v>
      </c>
      <c r="AQ16" s="21">
        <f t="shared" si="107"/>
        <v>9.1999999999999998E-2</v>
      </c>
      <c r="AR16" s="5">
        <f t="shared" si="108"/>
        <v>9.4E-2</v>
      </c>
      <c r="AS16" s="22">
        <f t="shared" si="109"/>
        <v>9.2999999999999999E-2</v>
      </c>
      <c r="AT16" s="23">
        <f t="shared" si="110"/>
        <v>0.61</v>
      </c>
      <c r="AU16" s="110">
        <f t="shared" si="111"/>
        <v>0.63</v>
      </c>
      <c r="AV16" s="24">
        <f t="shared" si="112"/>
        <v>0.62</v>
      </c>
      <c r="AW16" s="187">
        <f t="shared" si="113"/>
        <v>5</v>
      </c>
      <c r="AX16" s="43">
        <f t="shared" si="114"/>
        <v>5</v>
      </c>
      <c r="AY16" s="188">
        <f t="shared" si="115"/>
        <v>5</v>
      </c>
    </row>
    <row r="17" spans="1:26">
      <c r="A17" s="89"/>
      <c r="B17" s="89"/>
      <c r="C17" s="89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6">
      <c r="A18" s="89"/>
      <c r="B18" s="89"/>
      <c r="C18" s="89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</row>
    <row r="19" spans="1:26">
      <c r="A19" s="89"/>
      <c r="B19" s="89"/>
      <c r="C19" s="89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</row>
    <row r="20" spans="1:26">
      <c r="A20" s="89"/>
      <c r="B20" s="89"/>
      <c r="C20" s="89"/>
      <c r="D20" s="89"/>
      <c r="E20" s="89"/>
      <c r="F20" s="89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</row>
    <row r="21" spans="1:26">
      <c r="A21" s="89"/>
      <c r="B21" s="89"/>
      <c r="C21" s="89"/>
      <c r="D21" s="89"/>
      <c r="E21" s="89"/>
      <c r="F21" s="89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</row>
    <row r="22" spans="1:26">
      <c r="A22" s="89"/>
      <c r="B22" s="89"/>
      <c r="C22" s="89"/>
      <c r="D22" s="89"/>
      <c r="E22" s="89"/>
      <c r="F22" s="89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</row>
    <row r="23" spans="1:26">
      <c r="A23" s="89"/>
      <c r="B23" s="89"/>
      <c r="C23" s="89"/>
      <c r="D23" s="89"/>
      <c r="E23" s="89"/>
      <c r="F23" s="89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</row>
    <row r="24" spans="1:26">
      <c r="A24" s="89"/>
      <c r="B24" s="89"/>
      <c r="C24" s="89"/>
      <c r="D24" s="89"/>
      <c r="E24" s="89"/>
      <c r="F24" s="89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</row>
    <row r="25" spans="1:26">
      <c r="A25" s="89"/>
      <c r="B25" s="89"/>
      <c r="C25" s="89"/>
      <c r="D25" s="89"/>
      <c r="E25" s="89"/>
      <c r="F25" s="89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</row>
    <row r="26" spans="1:26">
      <c r="A26" s="196"/>
      <c r="B26" s="196"/>
      <c r="C26" s="89"/>
      <c r="D26" s="89"/>
      <c r="E26" s="89"/>
      <c r="F26" s="89"/>
      <c r="G26" s="192"/>
      <c r="H26" s="192"/>
      <c r="I26" s="192"/>
      <c r="J26" s="192"/>
      <c r="K26" s="192"/>
      <c r="L26" s="197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63"/>
      <c r="X26" s="63"/>
      <c r="Y26" s="63"/>
      <c r="Z26" s="63"/>
    </row>
    <row r="27" spans="1:26">
      <c r="L27" s="197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63"/>
      <c r="X27" s="63"/>
      <c r="Y27" s="63"/>
      <c r="Z27" s="63"/>
    </row>
    <row r="28" spans="1:26">
      <c r="L28" s="197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63"/>
      <c r="X28" s="63"/>
      <c r="Y28" s="63"/>
      <c r="Z28" s="63"/>
    </row>
    <row r="29" spans="1:26">
      <c r="C29" s="93"/>
      <c r="D29" s="93"/>
      <c r="E29" s="93"/>
      <c r="F29" s="93"/>
      <c r="G29" s="199"/>
      <c r="H29" s="199"/>
      <c r="K29" s="199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63"/>
      <c r="X29" s="63"/>
      <c r="Y29" s="63"/>
      <c r="Z29" s="63"/>
    </row>
    <row r="30" spans="1:26">
      <c r="C30" s="93"/>
      <c r="D30" s="93"/>
      <c r="E30" s="93"/>
      <c r="F30" s="93"/>
      <c r="G30" s="199"/>
      <c r="H30" s="199"/>
      <c r="K30" s="200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63"/>
      <c r="X30" s="63"/>
      <c r="Y30" s="63"/>
      <c r="Z30" s="63"/>
    </row>
    <row r="31" spans="1:26">
      <c r="C31" s="93"/>
      <c r="D31" s="93"/>
      <c r="E31" s="93"/>
      <c r="F31" s="93"/>
      <c r="G31" s="199"/>
      <c r="H31" s="199"/>
      <c r="K31" s="199"/>
      <c r="L31" s="197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63"/>
      <c r="X31" s="63"/>
      <c r="Y31" s="63"/>
      <c r="Z31" s="63"/>
    </row>
    <row r="32" spans="1:26">
      <c r="C32" s="93"/>
      <c r="D32" s="93"/>
      <c r="E32" s="93"/>
      <c r="F32" s="93"/>
      <c r="G32" s="199"/>
      <c r="H32" s="199"/>
      <c r="K32" s="199"/>
      <c r="L32" s="197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63"/>
      <c r="X32" s="63"/>
      <c r="Y32" s="63"/>
      <c r="Z32" s="63"/>
    </row>
    <row r="33" spans="1:31">
      <c r="C33" s="93"/>
      <c r="D33" s="93"/>
      <c r="E33" s="93"/>
      <c r="F33" s="93"/>
      <c r="G33" s="199"/>
      <c r="H33" s="199"/>
      <c r="K33" s="200"/>
      <c r="L33" s="197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63"/>
      <c r="X33" s="63"/>
      <c r="Y33" s="63"/>
      <c r="Z33" s="63"/>
    </row>
    <row r="34" spans="1:31">
      <c r="C34" s="93"/>
      <c r="D34" s="93"/>
      <c r="E34" s="93"/>
      <c r="F34" s="93"/>
      <c r="G34" s="199"/>
      <c r="H34" s="199"/>
      <c r="K34" s="199"/>
      <c r="L34" s="197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63"/>
      <c r="X34" s="63"/>
      <c r="Y34" s="63"/>
      <c r="Z34" s="63"/>
    </row>
    <row r="35" spans="1:31">
      <c r="C35" s="93"/>
      <c r="D35" s="93"/>
      <c r="E35" s="93"/>
      <c r="F35" s="93"/>
      <c r="G35" s="199"/>
      <c r="H35" s="199"/>
      <c r="K35" s="199"/>
    </row>
    <row r="36" spans="1:31">
      <c r="C36" s="93"/>
      <c r="D36" s="93"/>
      <c r="E36" s="93"/>
      <c r="F36" s="93"/>
      <c r="G36" s="199"/>
      <c r="H36" s="199"/>
      <c r="K36" s="199"/>
    </row>
    <row r="37" spans="1:31">
      <c r="C37" s="93"/>
      <c r="D37" s="93"/>
      <c r="E37" s="93"/>
      <c r="F37" s="93"/>
      <c r="G37" s="199"/>
      <c r="H37" s="199"/>
      <c r="K37" s="200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</row>
    <row r="38" spans="1:31">
      <c r="C38" s="93"/>
      <c r="D38" s="93"/>
      <c r="E38" s="93"/>
      <c r="F38" s="93"/>
      <c r="G38" s="199"/>
      <c r="H38" s="199"/>
      <c r="K38" s="199"/>
    </row>
    <row r="39" spans="1:31">
      <c r="G39" s="199"/>
      <c r="H39" s="199"/>
      <c r="K39" s="199"/>
    </row>
    <row r="40" spans="1:31">
      <c r="G40" s="199"/>
      <c r="H40" s="199"/>
      <c r="K40" s="199"/>
    </row>
    <row r="41" spans="1:31">
      <c r="C41" s="93"/>
      <c r="D41" s="93"/>
      <c r="E41" s="93"/>
      <c r="F41" s="93"/>
      <c r="G41" s="199"/>
      <c r="H41" s="199"/>
      <c r="K41" s="199"/>
    </row>
    <row r="42" spans="1:31">
      <c r="A42" s="89"/>
      <c r="B42" s="89"/>
      <c r="C42" s="93"/>
      <c r="D42" s="93"/>
      <c r="E42" s="93"/>
      <c r="F42" s="93"/>
      <c r="G42" s="199"/>
      <c r="H42" s="199"/>
      <c r="K42" s="199"/>
    </row>
    <row r="43" spans="1:31">
      <c r="A43" s="89"/>
      <c r="B43" s="89"/>
      <c r="C43" s="93"/>
      <c r="D43" s="93"/>
      <c r="E43" s="93"/>
      <c r="F43" s="93"/>
      <c r="G43" s="199"/>
      <c r="H43" s="199"/>
      <c r="K43" s="199"/>
    </row>
    <row r="44" spans="1:31">
      <c r="A44" s="89"/>
      <c r="B44" s="89"/>
      <c r="C44" s="93"/>
      <c r="D44" s="93"/>
      <c r="E44" s="93"/>
      <c r="F44" s="93"/>
      <c r="G44" s="199"/>
      <c r="H44" s="199"/>
      <c r="K44" s="199"/>
      <c r="N44" s="199"/>
      <c r="O44" s="199"/>
      <c r="P44" s="199"/>
      <c r="Q44" s="199"/>
      <c r="R44" s="199"/>
      <c r="S44" s="199"/>
      <c r="T44" s="199"/>
      <c r="U44" s="199"/>
      <c r="V44" s="199"/>
      <c r="W44" s="201"/>
      <c r="X44" s="202"/>
      <c r="Y44" s="201"/>
      <c r="Z44" s="201"/>
      <c r="AA44" s="93"/>
      <c r="AB44" s="93"/>
      <c r="AC44" s="93"/>
      <c r="AD44" s="93"/>
      <c r="AE44" s="93"/>
    </row>
    <row r="45" spans="1:31">
      <c r="C45" s="93"/>
      <c r="D45" s="93"/>
      <c r="E45" s="93"/>
      <c r="F45" s="93"/>
      <c r="H45" s="144"/>
      <c r="I45" s="144"/>
      <c r="J45" s="144"/>
      <c r="K45" s="144"/>
      <c r="L45" s="144"/>
      <c r="M45" s="144"/>
      <c r="N45" s="199"/>
      <c r="O45" s="199"/>
      <c r="P45" s="199"/>
      <c r="Q45" s="199"/>
      <c r="R45" s="199"/>
      <c r="S45" s="199"/>
      <c r="T45" s="199"/>
      <c r="U45" s="199"/>
      <c r="V45" s="199"/>
      <c r="W45" s="201"/>
      <c r="X45" s="202"/>
      <c r="Y45" s="201"/>
      <c r="Z45" s="201"/>
      <c r="AA45" s="66"/>
      <c r="AB45" s="66"/>
      <c r="AC45" s="66"/>
      <c r="AD45" s="66"/>
      <c r="AE45" s="66"/>
    </row>
    <row r="46" spans="1:31">
      <c r="C46" s="93"/>
      <c r="D46" s="93"/>
      <c r="E46" s="93"/>
      <c r="F46" s="93"/>
      <c r="H46" s="144"/>
      <c r="I46" s="144"/>
      <c r="J46" s="144"/>
      <c r="K46" s="144"/>
      <c r="L46" s="144"/>
      <c r="M46" s="144"/>
      <c r="N46" s="199"/>
      <c r="O46" s="199"/>
      <c r="P46" s="199"/>
      <c r="Q46" s="199"/>
      <c r="R46" s="199"/>
      <c r="S46" s="199"/>
      <c r="T46" s="199"/>
      <c r="U46" s="199"/>
      <c r="V46" s="199"/>
      <c r="W46" s="201"/>
      <c r="X46" s="202"/>
      <c r="Y46" s="201"/>
      <c r="Z46" s="201"/>
      <c r="AA46" s="160"/>
      <c r="AB46" s="201"/>
      <c r="AC46" s="201"/>
      <c r="AD46" s="160"/>
      <c r="AE46" s="160"/>
    </row>
    <row r="47" spans="1:31">
      <c r="A47" s="203"/>
      <c r="B47" s="203"/>
      <c r="C47" s="96"/>
      <c r="D47" s="96"/>
      <c r="E47" s="96"/>
      <c r="F47" s="96"/>
      <c r="G47" s="204"/>
      <c r="H47" s="144"/>
      <c r="I47" s="144"/>
      <c r="J47" s="144"/>
      <c r="K47" s="144"/>
      <c r="L47" s="144"/>
      <c r="M47" s="144"/>
      <c r="N47" s="199"/>
      <c r="O47" s="199"/>
      <c r="P47" s="199"/>
      <c r="Q47" s="199"/>
      <c r="R47" s="199"/>
      <c r="S47" s="199"/>
      <c r="T47" s="199"/>
      <c r="U47" s="199"/>
      <c r="V47" s="199"/>
      <c r="W47" s="201"/>
      <c r="X47" s="202"/>
      <c r="Y47" s="201"/>
      <c r="Z47" s="201"/>
      <c r="AA47" s="160"/>
      <c r="AB47" s="201"/>
      <c r="AC47" s="201"/>
      <c r="AD47" s="160"/>
      <c r="AE47" s="160"/>
    </row>
    <row r="48" spans="1:31">
      <c r="A48" s="89"/>
      <c r="B48" s="89"/>
      <c r="C48" s="89"/>
      <c r="D48" s="89"/>
      <c r="E48" s="89"/>
      <c r="F48" s="89"/>
      <c r="G48" s="192"/>
      <c r="H48" s="144"/>
      <c r="I48" s="144"/>
      <c r="J48" s="144"/>
      <c r="K48" s="144"/>
      <c r="L48" s="144"/>
      <c r="M48" s="144"/>
      <c r="N48" s="199"/>
      <c r="O48" s="199"/>
      <c r="P48" s="199"/>
      <c r="Q48" s="199"/>
      <c r="R48" s="199"/>
      <c r="S48" s="199"/>
      <c r="T48" s="199"/>
      <c r="U48" s="199"/>
      <c r="V48" s="199"/>
      <c r="W48" s="201"/>
      <c r="X48" s="202"/>
      <c r="Y48" s="201"/>
      <c r="Z48" s="201"/>
      <c r="AA48" s="160"/>
      <c r="AB48" s="201"/>
      <c r="AC48" s="201"/>
      <c r="AD48" s="160"/>
      <c r="AE48" s="160"/>
    </row>
    <row r="49" spans="1:31">
      <c r="C49" s="93"/>
      <c r="D49" s="93"/>
      <c r="E49" s="93"/>
      <c r="F49" s="93"/>
      <c r="H49" s="144"/>
      <c r="I49" s="144"/>
      <c r="J49" s="144"/>
      <c r="K49" s="144"/>
      <c r="L49" s="144"/>
      <c r="M49" s="144"/>
      <c r="N49" s="199"/>
      <c r="O49" s="199"/>
      <c r="P49" s="199"/>
      <c r="Q49" s="199"/>
      <c r="R49" s="199"/>
      <c r="S49" s="199"/>
      <c r="T49" s="199"/>
      <c r="U49" s="199"/>
      <c r="V49" s="199"/>
      <c r="W49" s="201"/>
      <c r="X49" s="202"/>
      <c r="Y49" s="201"/>
      <c r="Z49" s="201"/>
      <c r="AA49" s="160"/>
      <c r="AB49" s="201"/>
      <c r="AC49" s="201"/>
      <c r="AD49" s="160"/>
      <c r="AE49" s="160"/>
    </row>
    <row r="50" spans="1:31">
      <c r="A50" s="89"/>
      <c r="B50" s="89"/>
      <c r="C50" s="93"/>
      <c r="D50" s="93"/>
      <c r="E50" s="93"/>
      <c r="F50" s="93"/>
      <c r="H50" s="144"/>
      <c r="I50" s="144"/>
      <c r="J50" s="144"/>
      <c r="K50" s="144"/>
      <c r="L50" s="144"/>
      <c r="M50" s="144"/>
      <c r="N50" s="199"/>
      <c r="O50" s="199"/>
      <c r="P50" s="199"/>
      <c r="Q50" s="199"/>
      <c r="R50" s="199"/>
      <c r="S50" s="199"/>
      <c r="T50" s="199"/>
      <c r="U50" s="199"/>
      <c r="V50" s="199"/>
      <c r="W50" s="201"/>
      <c r="X50" s="202"/>
      <c r="Y50" s="201"/>
      <c r="Z50" s="201"/>
      <c r="AA50" s="160"/>
      <c r="AB50" s="201"/>
      <c r="AC50" s="201"/>
      <c r="AD50" s="160"/>
      <c r="AE50" s="160"/>
    </row>
    <row r="51" spans="1:31">
      <c r="C51" s="93"/>
      <c r="D51" s="93"/>
      <c r="E51" s="93"/>
      <c r="F51" s="93"/>
      <c r="H51" s="144"/>
      <c r="I51" s="144"/>
      <c r="J51" s="144"/>
      <c r="K51" s="144"/>
      <c r="L51" s="144"/>
      <c r="M51" s="144"/>
      <c r="N51" s="199"/>
      <c r="O51" s="199"/>
      <c r="P51" s="199"/>
      <c r="Q51" s="199"/>
      <c r="R51" s="199"/>
      <c r="S51" s="199"/>
      <c r="T51" s="199"/>
      <c r="U51" s="199"/>
      <c r="V51" s="199"/>
      <c r="W51" s="201"/>
      <c r="X51" s="202"/>
      <c r="Y51" s="201"/>
      <c r="Z51" s="201"/>
      <c r="AA51" s="160"/>
      <c r="AB51" s="201"/>
      <c r="AC51" s="201"/>
      <c r="AD51" s="160"/>
      <c r="AE51" s="160"/>
    </row>
    <row r="52" spans="1:31">
      <c r="C52" s="93"/>
      <c r="D52" s="93"/>
      <c r="E52" s="93"/>
      <c r="F52" s="93"/>
      <c r="H52" s="144"/>
      <c r="I52" s="144"/>
      <c r="J52" s="144"/>
      <c r="K52" s="144"/>
      <c r="L52" s="144"/>
      <c r="M52" s="144"/>
      <c r="N52" s="199"/>
      <c r="O52" s="199"/>
      <c r="P52" s="199"/>
      <c r="Q52" s="199"/>
      <c r="R52" s="199"/>
      <c r="S52" s="199"/>
      <c r="T52" s="199"/>
      <c r="U52" s="199"/>
      <c r="V52" s="199"/>
      <c r="W52" s="201"/>
      <c r="X52" s="202"/>
      <c r="Y52" s="201"/>
      <c r="Z52" s="201"/>
      <c r="AA52" s="160"/>
      <c r="AB52" s="201"/>
      <c r="AC52" s="201"/>
      <c r="AD52" s="160"/>
      <c r="AE52" s="160"/>
    </row>
    <row r="53" spans="1:31">
      <c r="A53" s="89"/>
      <c r="B53" s="89"/>
      <c r="C53" s="89"/>
      <c r="D53" s="89"/>
      <c r="E53" s="89"/>
      <c r="F53" s="89"/>
      <c r="G53" s="192"/>
      <c r="H53" s="144"/>
      <c r="I53" s="144"/>
      <c r="J53" s="144"/>
      <c r="K53" s="144"/>
      <c r="L53" s="144"/>
      <c r="M53" s="144"/>
      <c r="N53" s="199"/>
      <c r="O53" s="199"/>
      <c r="P53" s="199"/>
      <c r="Q53" s="199"/>
      <c r="R53" s="199"/>
      <c r="S53" s="199"/>
      <c r="T53" s="199"/>
      <c r="U53" s="199"/>
      <c r="V53" s="199"/>
      <c r="W53" s="201"/>
      <c r="X53" s="202"/>
      <c r="Y53" s="201"/>
      <c r="Z53" s="201"/>
      <c r="AA53" s="160"/>
      <c r="AB53" s="201"/>
      <c r="AC53" s="201"/>
      <c r="AD53" s="160"/>
      <c r="AE53" s="160"/>
    </row>
    <row r="54" spans="1:31">
      <c r="H54" s="144"/>
      <c r="I54" s="144"/>
      <c r="J54" s="144"/>
      <c r="K54" s="144"/>
      <c r="L54" s="144"/>
      <c r="M54" s="144"/>
      <c r="N54" s="199"/>
      <c r="O54" s="199"/>
      <c r="P54" s="199"/>
      <c r="Q54" s="199"/>
      <c r="R54" s="199"/>
      <c r="S54" s="199"/>
      <c r="T54" s="199"/>
      <c r="U54" s="199"/>
      <c r="V54" s="199"/>
      <c r="W54" s="201"/>
      <c r="X54" s="202"/>
      <c r="Y54" s="201"/>
      <c r="Z54" s="201"/>
      <c r="AA54" s="160"/>
      <c r="AB54" s="201"/>
      <c r="AC54" s="201"/>
      <c r="AD54" s="160"/>
      <c r="AE54" s="160"/>
    </row>
    <row r="55" spans="1:31">
      <c r="H55" s="144"/>
      <c r="I55" s="144"/>
      <c r="J55" s="144"/>
      <c r="K55" s="144"/>
      <c r="L55" s="144"/>
      <c r="M55" s="144"/>
      <c r="N55" s="199"/>
      <c r="O55" s="199"/>
      <c r="P55" s="199"/>
      <c r="Q55" s="199"/>
      <c r="R55" s="199"/>
      <c r="S55" s="199"/>
      <c r="T55" s="199"/>
      <c r="U55" s="199"/>
      <c r="V55" s="199"/>
      <c r="W55" s="201"/>
      <c r="X55" s="202"/>
      <c r="Y55" s="201"/>
      <c r="Z55" s="201"/>
      <c r="AA55" s="160"/>
      <c r="AB55" s="201"/>
      <c r="AC55" s="201"/>
      <c r="AD55" s="160"/>
      <c r="AE55" s="160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4"/>
  <sheetViews>
    <sheetView workbookViewId="0">
      <pane xSplit="6" ySplit="2" topLeftCell="G3" activePane="bottomRight" state="frozen"/>
      <selection activeCell="B21" sqref="B21"/>
      <selection pane="topRight" activeCell="B21" sqref="B21"/>
      <selection pane="bottomLeft" activeCell="B21" sqref="B21"/>
      <selection pane="bottomRight" activeCell="A7" sqref="A7:XFD8"/>
    </sheetView>
  </sheetViews>
  <sheetFormatPr defaultRowHeight="12.75"/>
  <cols>
    <col min="1" max="1" width="7.42578125" style="159" customWidth="1"/>
    <col min="2" max="2" width="9" style="159" bestFit="1" customWidth="1"/>
    <col min="3" max="3" width="13.5703125" style="63" bestFit="1" customWidth="1"/>
    <col min="4" max="4" width="36.42578125" style="63" customWidth="1"/>
    <col min="5" max="5" width="6.5703125" style="63" bestFit="1" customWidth="1"/>
    <col min="6" max="6" width="5.5703125" style="63" customWidth="1"/>
    <col min="7" max="16" width="8.5703125" style="144" customWidth="1"/>
    <col min="17" max="20" width="9.42578125" style="63" customWidth="1"/>
    <col min="21" max="21" width="10.5703125" style="63" customWidth="1"/>
    <col min="22" max="22" width="8.42578125" style="63" customWidth="1"/>
    <col min="23" max="23" width="8" style="160" customWidth="1"/>
    <col min="24" max="24" width="10.42578125" style="160" customWidth="1"/>
    <col min="25" max="25" width="9.42578125" style="160" customWidth="1"/>
    <col min="26" max="26" width="8" style="160" customWidth="1"/>
    <col min="27" max="27" width="9.5703125" style="160" customWidth="1"/>
    <col min="28" max="28" width="6.42578125" style="160" customWidth="1"/>
    <col min="29" max="29" width="5.5703125" style="2" customWidth="1"/>
    <col min="30" max="30" width="9" style="2" customWidth="1"/>
    <col min="31" max="31" width="8.42578125" style="1" bestFit="1" customWidth="1"/>
    <col min="32" max="16384" width="9.140625" style="63"/>
  </cols>
  <sheetData>
    <row r="1" spans="1:51" s="50" customFormat="1" ht="13.5" thickBot="1">
      <c r="A1" s="100"/>
      <c r="B1" s="101"/>
      <c r="C1" s="102"/>
      <c r="D1" s="102"/>
      <c r="E1" s="103"/>
      <c r="F1" s="103"/>
      <c r="G1" s="211" t="s">
        <v>40</v>
      </c>
      <c r="H1" s="212"/>
      <c r="I1" s="212"/>
      <c r="J1" s="212"/>
      <c r="K1" s="213"/>
      <c r="L1" s="214" t="s">
        <v>41</v>
      </c>
      <c r="M1" s="215"/>
      <c r="N1" s="215"/>
      <c r="O1" s="215"/>
      <c r="P1" s="216"/>
      <c r="Q1" s="217" t="s">
        <v>42</v>
      </c>
      <c r="R1" s="218"/>
      <c r="S1" s="218"/>
      <c r="T1" s="219"/>
      <c r="U1" s="217" t="s">
        <v>41</v>
      </c>
      <c r="V1" s="220"/>
      <c r="W1" s="32" t="s">
        <v>13</v>
      </c>
      <c r="X1" s="33" t="s">
        <v>67</v>
      </c>
      <c r="Y1" s="34" t="s">
        <v>48</v>
      </c>
      <c r="Z1" s="32" t="s">
        <v>13</v>
      </c>
      <c r="AA1" s="33" t="s">
        <v>16</v>
      </c>
      <c r="AB1" s="34" t="s">
        <v>53</v>
      </c>
      <c r="AC1" s="36" t="s">
        <v>13</v>
      </c>
      <c r="AD1" s="37" t="s">
        <v>16</v>
      </c>
      <c r="AE1" s="38" t="s">
        <v>43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04" t="s">
        <v>26</v>
      </c>
      <c r="B2" s="105" t="s">
        <v>82</v>
      </c>
      <c r="C2" s="46" t="s">
        <v>18</v>
      </c>
      <c r="D2" s="51" t="s">
        <v>19</v>
      </c>
      <c r="E2" s="51" t="s">
        <v>74</v>
      </c>
      <c r="F2" s="52" t="s">
        <v>20</v>
      </c>
      <c r="G2" s="106" t="s">
        <v>58</v>
      </c>
      <c r="H2" s="107" t="s">
        <v>32</v>
      </c>
      <c r="I2" s="107" t="s">
        <v>10</v>
      </c>
      <c r="J2" s="107" t="s">
        <v>11</v>
      </c>
      <c r="K2" s="108" t="s">
        <v>12</v>
      </c>
      <c r="L2" s="106" t="s">
        <v>58</v>
      </c>
      <c r="M2" s="107" t="s">
        <v>32</v>
      </c>
      <c r="N2" s="107" t="s">
        <v>10</v>
      </c>
      <c r="O2" s="107" t="s">
        <v>38</v>
      </c>
      <c r="P2" s="108" t="s">
        <v>39</v>
      </c>
      <c r="Q2" s="26" t="s">
        <v>1</v>
      </c>
      <c r="R2" s="27" t="s">
        <v>3</v>
      </c>
      <c r="S2" s="27" t="s">
        <v>14</v>
      </c>
      <c r="T2" s="28" t="s">
        <v>15</v>
      </c>
      <c r="U2" s="26" t="s">
        <v>1</v>
      </c>
      <c r="V2" s="28" t="s">
        <v>15</v>
      </c>
      <c r="W2" s="29" t="s">
        <v>17</v>
      </c>
      <c r="X2" s="30" t="s">
        <v>17</v>
      </c>
      <c r="Y2" s="31" t="s">
        <v>17</v>
      </c>
      <c r="Z2" s="153" t="s">
        <v>64</v>
      </c>
      <c r="AA2" s="154" t="s">
        <v>64</v>
      </c>
      <c r="AB2" s="35" t="s">
        <v>64</v>
      </c>
      <c r="AC2" s="155" t="s">
        <v>44</v>
      </c>
      <c r="AD2" s="156" t="s">
        <v>44</v>
      </c>
      <c r="AE2" s="28" t="s">
        <v>44</v>
      </c>
      <c r="AF2" s="157"/>
      <c r="AG2" s="157"/>
      <c r="AH2" s="158"/>
      <c r="AI2" s="158"/>
      <c r="AJ2" s="158"/>
      <c r="AK2" s="158"/>
      <c r="AL2" s="12"/>
      <c r="AM2" s="12"/>
      <c r="AN2" s="12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ht="13.35" customHeight="1">
      <c r="A3" s="64">
        <v>11271</v>
      </c>
      <c r="B3" s="109" t="s">
        <v>122</v>
      </c>
      <c r="C3" s="25" t="str">
        <f>Rollover!A3</f>
        <v>Chevrolet</v>
      </c>
      <c r="D3" s="41" t="str">
        <f>Rollover!B3</f>
        <v>Trailblazer SUV FWD (Later Release)</v>
      </c>
      <c r="E3" s="7" t="s">
        <v>92</v>
      </c>
      <c r="F3" s="83">
        <f>Rollover!C3</f>
        <v>2021</v>
      </c>
      <c r="G3" s="8">
        <v>90.795000000000002</v>
      </c>
      <c r="H3" s="9">
        <v>28.062000000000001</v>
      </c>
      <c r="I3" s="9">
        <v>34.384999999999998</v>
      </c>
      <c r="J3" s="9">
        <v>886.01700000000005</v>
      </c>
      <c r="K3" s="10">
        <v>2042.7360000000001</v>
      </c>
      <c r="L3" s="8">
        <v>185.41</v>
      </c>
      <c r="M3" s="9">
        <v>22.013000000000002</v>
      </c>
      <c r="N3" s="9">
        <v>40.75</v>
      </c>
      <c r="O3" s="9">
        <v>22.038</v>
      </c>
      <c r="P3" s="10">
        <v>2299.375</v>
      </c>
      <c r="Q3" s="21">
        <f t="shared" ref="Q3:Q5" si="0">NORMDIST(LN(G3),7.45231,0.73998,1)</f>
        <v>3.4735786681506435E-5</v>
      </c>
      <c r="R3" s="5">
        <f t="shared" ref="R3:R5" si="1">1/(1+EXP(5.3895-0.0919*H3))</f>
        <v>5.6753934674754751E-2</v>
      </c>
      <c r="S3" s="5">
        <f t="shared" ref="S3:S5" si="2">1/(1+EXP(6.04044-0.002133*J3))</f>
        <v>1.5511115081119643E-2</v>
      </c>
      <c r="T3" s="22">
        <f t="shared" ref="T3:T5" si="3">1/(1+EXP(7.5969-0.0011*K3))</f>
        <v>4.7262281208529811E-3</v>
      </c>
      <c r="U3" s="21">
        <f t="shared" ref="U3:U5" si="4">NORMDIST(LN(L3),7.45231,0.73998,1)</f>
        <v>1.2923543824272684E-3</v>
      </c>
      <c r="V3" s="22">
        <f t="shared" ref="V3:V5" si="5">1/(1+EXP(6.3055-0.00094*P3))</f>
        <v>1.5610352284136739E-2</v>
      </c>
      <c r="W3" s="21">
        <f t="shared" ref="W3:W5" si="6">ROUND(1-(1-Q3)*(1-R3)*(1-S3)*(1-T3),3)</f>
        <v>7.5999999999999998E-2</v>
      </c>
      <c r="X3" s="5">
        <f t="shared" ref="X3:X5" si="7">IF(L3="N/A",L3,ROUND(1-(1-U3)*(1-V3),3))</f>
        <v>1.7000000000000001E-2</v>
      </c>
      <c r="Y3" s="22">
        <f t="shared" ref="Y3:Y5" si="8">ROUND(AVERAGE(W3:X3),3)</f>
        <v>4.7E-2</v>
      </c>
      <c r="Z3" s="23">
        <f t="shared" ref="Z3:Z5" si="9">ROUND(W3/0.15,2)</f>
        <v>0.51</v>
      </c>
      <c r="AA3" s="110">
        <f t="shared" ref="AA3:AA5" si="10">IF(L3="N/A", L3, ROUND(X3/0.15,2))</f>
        <v>0.11</v>
      </c>
      <c r="AB3" s="24">
        <f t="shared" ref="AB3:AB5" si="11">ROUND(Y3/0.15,2)</f>
        <v>0.31</v>
      </c>
      <c r="AC3" s="19">
        <f t="shared" ref="AC3:AC5" si="12">IF(Z3&lt;0.67,5,IF(Z3&lt;1,4,IF(Z3&lt;1.33,3,IF(Z3&lt;2.67,2,1))))</f>
        <v>5</v>
      </c>
      <c r="AD3" s="43">
        <f t="shared" ref="AD3:AD5" si="13">IF(L3="N/A",L3,IF(AA3&lt;0.67,5,IF(AA3&lt;1,4,IF(AA3&lt;1.33,3,IF(AA3&lt;2.67,2,1)))))</f>
        <v>5</v>
      </c>
      <c r="AE3" s="20">
        <f t="shared" ref="AE3:AE5" si="14">IF(AB3&lt;0.67,5,IF(AB3&lt;1,4,IF(AB3&lt;1.33,3,IF(AB3&lt;2.67,2,1))))</f>
        <v>5</v>
      </c>
      <c r="AF3" s="11"/>
      <c r="AG3" s="11"/>
      <c r="AH3" s="13"/>
      <c r="AI3" s="13"/>
      <c r="AJ3" s="13"/>
      <c r="AK3" s="13"/>
      <c r="AL3" s="12"/>
      <c r="AM3" s="12"/>
      <c r="AN3" s="12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ht="13.35" customHeight="1">
      <c r="A4" s="64">
        <v>11271</v>
      </c>
      <c r="B4" s="109" t="s">
        <v>122</v>
      </c>
      <c r="C4" s="25" t="str">
        <f>Rollover!A4</f>
        <v>Chevrolet</v>
      </c>
      <c r="D4" s="41" t="str">
        <f>Rollover!B4</f>
        <v>Trailblazer SUV AWD (Later Release)</v>
      </c>
      <c r="E4" s="7" t="s">
        <v>92</v>
      </c>
      <c r="F4" s="83">
        <f>Rollover!C4</f>
        <v>2021</v>
      </c>
      <c r="G4" s="8">
        <v>90.795000000000002</v>
      </c>
      <c r="H4" s="9">
        <v>28.062000000000001</v>
      </c>
      <c r="I4" s="9">
        <v>34.384999999999998</v>
      </c>
      <c r="J4" s="9">
        <v>886.01700000000005</v>
      </c>
      <c r="K4" s="10">
        <v>2042.7360000000001</v>
      </c>
      <c r="L4" s="8">
        <v>185.41</v>
      </c>
      <c r="M4" s="9">
        <v>22.013000000000002</v>
      </c>
      <c r="N4" s="9">
        <v>40.75</v>
      </c>
      <c r="O4" s="9">
        <v>22.038</v>
      </c>
      <c r="P4" s="10">
        <v>2299.375</v>
      </c>
      <c r="Q4" s="21">
        <f t="shared" si="0"/>
        <v>3.4735786681506435E-5</v>
      </c>
      <c r="R4" s="5">
        <f t="shared" si="1"/>
        <v>5.6753934674754751E-2</v>
      </c>
      <c r="S4" s="5">
        <f t="shared" si="2"/>
        <v>1.5511115081119643E-2</v>
      </c>
      <c r="T4" s="22">
        <f t="shared" si="3"/>
        <v>4.7262281208529811E-3</v>
      </c>
      <c r="U4" s="21">
        <f t="shared" si="4"/>
        <v>1.2923543824272684E-3</v>
      </c>
      <c r="V4" s="22">
        <f t="shared" si="5"/>
        <v>1.5610352284136739E-2</v>
      </c>
      <c r="W4" s="21">
        <f t="shared" si="6"/>
        <v>7.5999999999999998E-2</v>
      </c>
      <c r="X4" s="5">
        <f t="shared" si="7"/>
        <v>1.7000000000000001E-2</v>
      </c>
      <c r="Y4" s="22">
        <f t="shared" si="8"/>
        <v>4.7E-2</v>
      </c>
      <c r="Z4" s="23">
        <f t="shared" si="9"/>
        <v>0.51</v>
      </c>
      <c r="AA4" s="110">
        <f t="shared" si="10"/>
        <v>0.11</v>
      </c>
      <c r="AB4" s="24">
        <f t="shared" si="11"/>
        <v>0.31</v>
      </c>
      <c r="AC4" s="19">
        <f t="shared" si="12"/>
        <v>5</v>
      </c>
      <c r="AD4" s="43">
        <f t="shared" si="13"/>
        <v>5</v>
      </c>
      <c r="AE4" s="20">
        <f t="shared" si="14"/>
        <v>5</v>
      </c>
      <c r="AF4" s="11"/>
      <c r="AG4" s="11"/>
      <c r="AH4" s="13"/>
      <c r="AI4" s="13"/>
      <c r="AJ4" s="13"/>
      <c r="AK4" s="13"/>
      <c r="AL4" s="12"/>
      <c r="AM4" s="12"/>
      <c r="AN4" s="12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>
      <c r="A5" s="64">
        <v>11271</v>
      </c>
      <c r="B5" s="109" t="s">
        <v>122</v>
      </c>
      <c r="C5" s="111" t="str">
        <f>Rollover!A5</f>
        <v>Buick</v>
      </c>
      <c r="D5" s="7" t="str">
        <f>Rollover!B5</f>
        <v>Encore GX SUV FWD</v>
      </c>
      <c r="E5" s="7" t="s">
        <v>92</v>
      </c>
      <c r="F5" s="83">
        <f>Rollover!C5</f>
        <v>2021</v>
      </c>
      <c r="G5" s="8">
        <v>90.795000000000002</v>
      </c>
      <c r="H5" s="9">
        <v>28.062000000000001</v>
      </c>
      <c r="I5" s="9">
        <v>34.384999999999998</v>
      </c>
      <c r="J5" s="9">
        <v>886.01700000000005</v>
      </c>
      <c r="K5" s="10">
        <v>2042.7360000000001</v>
      </c>
      <c r="L5" s="8">
        <v>185.41</v>
      </c>
      <c r="M5" s="9">
        <v>22.013000000000002</v>
      </c>
      <c r="N5" s="9">
        <v>40.75</v>
      </c>
      <c r="O5" s="9">
        <v>22.038</v>
      </c>
      <c r="P5" s="10">
        <v>2299.375</v>
      </c>
      <c r="Q5" s="21">
        <f t="shared" si="0"/>
        <v>3.4735786681506435E-5</v>
      </c>
      <c r="R5" s="5">
        <f t="shared" si="1"/>
        <v>5.6753934674754751E-2</v>
      </c>
      <c r="S5" s="5">
        <f t="shared" si="2"/>
        <v>1.5511115081119643E-2</v>
      </c>
      <c r="T5" s="22">
        <f t="shared" si="3"/>
        <v>4.7262281208529811E-3</v>
      </c>
      <c r="U5" s="21">
        <f t="shared" si="4"/>
        <v>1.2923543824272684E-3</v>
      </c>
      <c r="V5" s="22">
        <f t="shared" si="5"/>
        <v>1.5610352284136739E-2</v>
      </c>
      <c r="W5" s="21">
        <f t="shared" si="6"/>
        <v>7.5999999999999998E-2</v>
      </c>
      <c r="X5" s="5">
        <f t="shared" si="7"/>
        <v>1.7000000000000001E-2</v>
      </c>
      <c r="Y5" s="22">
        <f t="shared" si="8"/>
        <v>4.7E-2</v>
      </c>
      <c r="Z5" s="23">
        <f t="shared" si="9"/>
        <v>0.51</v>
      </c>
      <c r="AA5" s="110">
        <f t="shared" si="10"/>
        <v>0.11</v>
      </c>
      <c r="AB5" s="24">
        <f t="shared" si="11"/>
        <v>0.31</v>
      </c>
      <c r="AC5" s="19">
        <f t="shared" si="12"/>
        <v>5</v>
      </c>
      <c r="AD5" s="43">
        <f t="shared" si="13"/>
        <v>5</v>
      </c>
      <c r="AE5" s="20">
        <f t="shared" si="14"/>
        <v>5</v>
      </c>
      <c r="AF5" s="11"/>
      <c r="AG5" s="11"/>
      <c r="AH5" s="13"/>
      <c r="AI5" s="13"/>
      <c r="AJ5" s="13"/>
      <c r="AK5" s="13"/>
      <c r="AL5" s="12"/>
      <c r="AM5" s="12"/>
      <c r="AN5" s="12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>
      <c r="A6" s="64">
        <v>11271</v>
      </c>
      <c r="B6" s="109" t="s">
        <v>122</v>
      </c>
      <c r="C6" s="111" t="str">
        <f>Rollover!A6</f>
        <v>Buick</v>
      </c>
      <c r="D6" s="7" t="str">
        <f>Rollover!B6</f>
        <v>Encore GX SUV AWD</v>
      </c>
      <c r="E6" s="7" t="s">
        <v>92</v>
      </c>
      <c r="F6" s="83">
        <f>Rollover!C6</f>
        <v>2021</v>
      </c>
      <c r="G6" s="8">
        <v>90.795000000000002</v>
      </c>
      <c r="H6" s="9">
        <v>28.062000000000001</v>
      </c>
      <c r="I6" s="9">
        <v>34.384999999999998</v>
      </c>
      <c r="J6" s="9">
        <v>886.01700000000005</v>
      </c>
      <c r="K6" s="10">
        <v>2042.7360000000001</v>
      </c>
      <c r="L6" s="8">
        <v>185.41</v>
      </c>
      <c r="M6" s="9">
        <v>22.013000000000002</v>
      </c>
      <c r="N6" s="9">
        <v>40.75</v>
      </c>
      <c r="O6" s="9">
        <v>22.038</v>
      </c>
      <c r="P6" s="10">
        <v>2299.375</v>
      </c>
      <c r="Q6" s="21">
        <f t="shared" ref="Q6:Q11" si="15">NORMDIST(LN(G6),7.45231,0.73998,1)</f>
        <v>3.4735786681506435E-5</v>
      </c>
      <c r="R6" s="5">
        <f t="shared" ref="R6:R11" si="16">1/(1+EXP(5.3895-0.0919*H6))</f>
        <v>5.6753934674754751E-2</v>
      </c>
      <c r="S6" s="5">
        <f t="shared" ref="S6:S11" si="17">1/(1+EXP(6.04044-0.002133*J6))</f>
        <v>1.5511115081119643E-2</v>
      </c>
      <c r="T6" s="22">
        <f t="shared" ref="T6:T11" si="18">1/(1+EXP(7.5969-0.0011*K6))</f>
        <v>4.7262281208529811E-3</v>
      </c>
      <c r="U6" s="21">
        <f t="shared" ref="U6:U11" si="19">NORMDIST(LN(L6),7.45231,0.73998,1)</f>
        <v>1.2923543824272684E-3</v>
      </c>
      <c r="V6" s="22">
        <f t="shared" ref="V6:V11" si="20">1/(1+EXP(6.3055-0.00094*P6))</f>
        <v>1.5610352284136739E-2</v>
      </c>
      <c r="W6" s="21">
        <f t="shared" ref="W6:W11" si="21">ROUND(1-(1-Q6)*(1-R6)*(1-S6)*(1-T6),3)</f>
        <v>7.5999999999999998E-2</v>
      </c>
      <c r="X6" s="5">
        <f t="shared" ref="X6:X11" si="22">IF(L6="N/A",L6,ROUND(1-(1-U6)*(1-V6),3))</f>
        <v>1.7000000000000001E-2</v>
      </c>
      <c r="Y6" s="22">
        <f t="shared" ref="Y6:Y11" si="23">ROUND(AVERAGE(W6:X6),3)</f>
        <v>4.7E-2</v>
      </c>
      <c r="Z6" s="23">
        <f t="shared" ref="Z6:Z11" si="24">ROUND(W6/0.15,2)</f>
        <v>0.51</v>
      </c>
      <c r="AA6" s="110">
        <f t="shared" ref="AA6:AA11" si="25">IF(L6="N/A", L6, ROUND(X6/0.15,2))</f>
        <v>0.11</v>
      </c>
      <c r="AB6" s="24">
        <f t="shared" ref="AB6:AB11" si="26">ROUND(Y6/0.15,2)</f>
        <v>0.31</v>
      </c>
      <c r="AC6" s="19">
        <f t="shared" ref="AC6:AC11" si="27">IF(Z6&lt;0.67,5,IF(Z6&lt;1,4,IF(Z6&lt;1.33,3,IF(Z6&lt;2.67,2,1))))</f>
        <v>5</v>
      </c>
      <c r="AD6" s="43">
        <f t="shared" ref="AD6:AD11" si="28">IF(L6="N/A",L6,IF(AA6&lt;0.67,5,IF(AA6&lt;1,4,IF(AA6&lt;1.33,3,IF(AA6&lt;2.67,2,1)))))</f>
        <v>5</v>
      </c>
      <c r="AE6" s="20">
        <f t="shared" ref="AE6:AE11" si="29">IF(AB6&lt;0.67,5,IF(AB6&lt;1,4,IF(AB6&lt;1.33,3,IF(AB6&lt;2.67,2,1))))</f>
        <v>5</v>
      </c>
      <c r="AF6" s="11"/>
      <c r="AG6" s="11"/>
      <c r="AH6" s="13"/>
      <c r="AI6" s="13"/>
      <c r="AJ6" s="13"/>
      <c r="AK6" s="13"/>
      <c r="AL6" s="12"/>
      <c r="AM6" s="12"/>
      <c r="AN6" s="12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>
      <c r="A7" s="15">
        <v>11293</v>
      </c>
      <c r="B7" s="109" t="s">
        <v>128</v>
      </c>
      <c r="C7" s="25" t="str">
        <f>Rollover!A7</f>
        <v xml:space="preserve">Ford </v>
      </c>
      <c r="D7" s="41" t="str">
        <f>Rollover!B7</f>
        <v>Transit Connect Wagon FWD</v>
      </c>
      <c r="E7" s="7" t="s">
        <v>92</v>
      </c>
      <c r="F7" s="83">
        <f>Rollover!C7</f>
        <v>2021</v>
      </c>
      <c r="G7" s="16">
        <v>78.284999999999997</v>
      </c>
      <c r="H7" s="17">
        <v>27.687000000000001</v>
      </c>
      <c r="I7" s="17">
        <v>25.097999999999999</v>
      </c>
      <c r="J7" s="17">
        <v>744.45299999999997</v>
      </c>
      <c r="K7" s="18">
        <v>1437.607</v>
      </c>
      <c r="L7" s="16">
        <v>265.33800000000002</v>
      </c>
      <c r="M7" s="17">
        <v>17.806999999999999</v>
      </c>
      <c r="N7" s="17">
        <v>57.42</v>
      </c>
      <c r="O7" s="17">
        <v>22.193000000000001</v>
      </c>
      <c r="P7" s="18">
        <v>3475.8009999999999</v>
      </c>
      <c r="Q7" s="21">
        <f t="shared" ref="Q7:Q8" si="30">NORMDIST(LN(G7),7.45231,0.73998,1)</f>
        <v>1.4676471639941581E-5</v>
      </c>
      <c r="R7" s="5">
        <f t="shared" ref="R7:R8" si="31">1/(1+EXP(5.3895-0.0919*H7))</f>
        <v>5.4936990539631511E-2</v>
      </c>
      <c r="S7" s="5">
        <f t="shared" ref="S7:S8" si="32">1/(1+EXP(6.04044-0.002133*J7))</f>
        <v>1.1515013473543121E-2</v>
      </c>
      <c r="T7" s="22">
        <f t="shared" ref="T7:T8" si="33">1/(1+EXP(7.5969-0.0011*K7))</f>
        <v>2.4346071367410431E-3</v>
      </c>
      <c r="U7" s="21">
        <f t="shared" ref="U7:U8" si="34">NORMDIST(LN(L7),7.45231,0.73998,1)</f>
        <v>5.7216899302127092E-3</v>
      </c>
      <c r="V7" s="22">
        <f t="shared" ref="V7:V8" si="35">1/(1+EXP(6.3055-0.00094*P7))</f>
        <v>4.5727602223232931E-2</v>
      </c>
      <c r="W7" s="21">
        <f t="shared" ref="W7:W8" si="36">ROUND(1-(1-Q7)*(1-R7)*(1-S7)*(1-T7),3)</f>
        <v>6.8000000000000005E-2</v>
      </c>
      <c r="X7" s="5">
        <f t="shared" ref="X7:X8" si="37">IF(L7="N/A",L7,ROUND(1-(1-U7)*(1-V7),3))</f>
        <v>5.0999999999999997E-2</v>
      </c>
      <c r="Y7" s="22">
        <f t="shared" ref="Y7:Y8" si="38">ROUND(AVERAGE(W7:X7),3)</f>
        <v>0.06</v>
      </c>
      <c r="Z7" s="23">
        <f t="shared" ref="Z7:Z8" si="39">ROUND(W7/0.15,2)</f>
        <v>0.45</v>
      </c>
      <c r="AA7" s="110">
        <f t="shared" ref="AA7:AA8" si="40">IF(L7="N/A", L7, ROUND(X7/0.15,2))</f>
        <v>0.34</v>
      </c>
      <c r="AB7" s="24">
        <f t="shared" ref="AB7:AB8" si="41">ROUND(Y7/0.15,2)</f>
        <v>0.4</v>
      </c>
      <c r="AC7" s="19">
        <f t="shared" ref="AC7:AC8" si="42">IF(Z7&lt;0.67,5,IF(Z7&lt;1,4,IF(Z7&lt;1.33,3,IF(Z7&lt;2.67,2,1))))</f>
        <v>5</v>
      </c>
      <c r="AD7" s="43">
        <f t="shared" ref="AD7:AD8" si="43">IF(L7="N/A",L7,IF(AA7&lt;0.67,5,IF(AA7&lt;1,4,IF(AA7&lt;1.33,3,IF(AA7&lt;2.67,2,1)))))</f>
        <v>5</v>
      </c>
      <c r="AE7" s="20">
        <f t="shared" ref="AE7:AE8" si="44">IF(AB7&lt;0.67,5,IF(AB7&lt;1,4,IF(AB7&lt;1.33,3,IF(AB7&lt;2.67,2,1))))</f>
        <v>5</v>
      </c>
      <c r="AF7" s="11"/>
      <c r="AG7" s="11"/>
      <c r="AH7" s="13"/>
      <c r="AI7" s="13"/>
      <c r="AJ7" s="13"/>
      <c r="AK7" s="13"/>
      <c r="AL7" s="12"/>
      <c r="AM7" s="12"/>
      <c r="AN7" s="12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>
      <c r="A8" s="15">
        <v>11293</v>
      </c>
      <c r="B8" s="109" t="s">
        <v>128</v>
      </c>
      <c r="C8" s="111" t="str">
        <f>Rollover!A8</f>
        <v xml:space="preserve">Ford </v>
      </c>
      <c r="D8" s="7" t="str">
        <f>Rollover!B8</f>
        <v>Transit Connect Van FWD</v>
      </c>
      <c r="E8" s="7" t="s">
        <v>92</v>
      </c>
      <c r="F8" s="83">
        <f>Rollover!C8</f>
        <v>2021</v>
      </c>
      <c r="G8" s="16">
        <v>78.284999999999997</v>
      </c>
      <c r="H8" s="17">
        <v>27.687000000000001</v>
      </c>
      <c r="I8" s="17">
        <v>25.097999999999999</v>
      </c>
      <c r="J8" s="17">
        <v>744.45299999999997</v>
      </c>
      <c r="K8" s="18">
        <v>1437.607</v>
      </c>
      <c r="L8" s="16" t="s">
        <v>129</v>
      </c>
      <c r="M8" s="17"/>
      <c r="N8" s="17"/>
      <c r="O8" s="17"/>
      <c r="P8" s="18"/>
      <c r="Q8" s="21">
        <f t="shared" si="30"/>
        <v>1.4676471639941581E-5</v>
      </c>
      <c r="R8" s="5">
        <f t="shared" si="31"/>
        <v>5.4936990539631511E-2</v>
      </c>
      <c r="S8" s="5">
        <f t="shared" si="32"/>
        <v>1.1515013473543121E-2</v>
      </c>
      <c r="T8" s="22">
        <f t="shared" si="33"/>
        <v>2.4346071367410431E-3</v>
      </c>
      <c r="U8" s="21" t="e">
        <f t="shared" si="34"/>
        <v>#VALUE!</v>
      </c>
      <c r="V8" s="22">
        <f t="shared" si="35"/>
        <v>1.8229037773026034E-3</v>
      </c>
      <c r="W8" s="21">
        <f t="shared" si="36"/>
        <v>6.8000000000000005E-2</v>
      </c>
      <c r="X8" s="5" t="str">
        <f t="shared" si="37"/>
        <v>N/A</v>
      </c>
      <c r="Y8" s="22">
        <f t="shared" si="38"/>
        <v>6.8000000000000005E-2</v>
      </c>
      <c r="Z8" s="23">
        <f t="shared" si="39"/>
        <v>0.45</v>
      </c>
      <c r="AA8" s="110" t="str">
        <f t="shared" si="40"/>
        <v>N/A</v>
      </c>
      <c r="AB8" s="24">
        <f t="shared" si="41"/>
        <v>0.45</v>
      </c>
      <c r="AC8" s="19">
        <f t="shared" si="42"/>
        <v>5</v>
      </c>
      <c r="AD8" s="43" t="str">
        <f t="shared" si="43"/>
        <v>N/A</v>
      </c>
      <c r="AE8" s="20">
        <f t="shared" si="44"/>
        <v>5</v>
      </c>
      <c r="AF8" s="11"/>
      <c r="AG8" s="11"/>
      <c r="AH8" s="13"/>
      <c r="AI8" s="13"/>
      <c r="AJ8" s="13"/>
      <c r="AK8" s="13"/>
      <c r="AL8" s="12"/>
      <c r="AM8" s="12"/>
      <c r="AN8" s="12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>
      <c r="A9" s="64">
        <v>11267</v>
      </c>
      <c r="B9" s="109" t="s">
        <v>119</v>
      </c>
      <c r="C9" s="25" t="str">
        <f>Rollover!A9</f>
        <v>Kia</v>
      </c>
      <c r="D9" s="41" t="str">
        <f>Rollover!B9</f>
        <v>K5 4DR FWD</v>
      </c>
      <c r="E9" s="7" t="s">
        <v>92</v>
      </c>
      <c r="F9" s="83">
        <f>Rollover!C9</f>
        <v>2021</v>
      </c>
      <c r="G9" s="8">
        <v>110.14400000000001</v>
      </c>
      <c r="H9" s="9">
        <v>25.866</v>
      </c>
      <c r="I9" s="9">
        <v>28.81</v>
      </c>
      <c r="J9" s="9">
        <v>846.61900000000003</v>
      </c>
      <c r="K9" s="10">
        <v>1173.597</v>
      </c>
      <c r="L9" s="8">
        <v>201.66300000000001</v>
      </c>
      <c r="M9" s="42">
        <v>25.321999999999999</v>
      </c>
      <c r="N9" s="9">
        <v>73.677999999999997</v>
      </c>
      <c r="O9" s="9">
        <v>27.437999999999999</v>
      </c>
      <c r="P9" s="10">
        <v>3054.8580000000002</v>
      </c>
      <c r="Q9" s="21">
        <f t="shared" si="15"/>
        <v>1.0079273895586684E-4</v>
      </c>
      <c r="R9" s="5">
        <f t="shared" si="16"/>
        <v>4.6868163686306558E-2</v>
      </c>
      <c r="S9" s="5">
        <f t="shared" si="17"/>
        <v>1.4278743182930412E-2</v>
      </c>
      <c r="T9" s="22">
        <f t="shared" si="18"/>
        <v>1.8220973352437615E-3</v>
      </c>
      <c r="U9" s="21">
        <f t="shared" si="19"/>
        <v>1.8676641942671772E-3</v>
      </c>
      <c r="V9" s="22">
        <f t="shared" si="20"/>
        <v>3.1251626465802755E-2</v>
      </c>
      <c r="W9" s="21">
        <f t="shared" si="21"/>
        <v>6.2E-2</v>
      </c>
      <c r="X9" s="5">
        <f t="shared" si="22"/>
        <v>3.3000000000000002E-2</v>
      </c>
      <c r="Y9" s="22">
        <f t="shared" si="23"/>
        <v>4.8000000000000001E-2</v>
      </c>
      <c r="Z9" s="23">
        <f t="shared" si="24"/>
        <v>0.41</v>
      </c>
      <c r="AA9" s="110">
        <f t="shared" si="25"/>
        <v>0.22</v>
      </c>
      <c r="AB9" s="24">
        <f t="shared" si="26"/>
        <v>0.32</v>
      </c>
      <c r="AC9" s="19">
        <f t="shared" si="27"/>
        <v>5</v>
      </c>
      <c r="AD9" s="43">
        <f t="shared" si="28"/>
        <v>5</v>
      </c>
      <c r="AE9" s="20">
        <f t="shared" si="29"/>
        <v>5</v>
      </c>
      <c r="AF9" s="11"/>
      <c r="AG9" s="11"/>
      <c r="AH9" s="13"/>
      <c r="AI9" s="13"/>
      <c r="AJ9" s="13"/>
      <c r="AK9" s="13"/>
      <c r="AL9" s="12"/>
      <c r="AM9" s="12"/>
      <c r="AN9" s="12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51" ht="13.35" customHeight="1">
      <c r="A10" s="15">
        <v>11080</v>
      </c>
      <c r="B10" s="109" t="s">
        <v>93</v>
      </c>
      <c r="C10" s="25" t="str">
        <f>Rollover!A10</f>
        <v>Kia</v>
      </c>
      <c r="D10" s="41" t="str">
        <f>Rollover!B10</f>
        <v>Seltos SUV FWD</v>
      </c>
      <c r="E10" s="7" t="s">
        <v>92</v>
      </c>
      <c r="F10" s="83">
        <f>Rollover!C10</f>
        <v>2021</v>
      </c>
      <c r="G10" s="16">
        <v>109.039</v>
      </c>
      <c r="H10" s="17">
        <v>30.085000000000001</v>
      </c>
      <c r="I10" s="17">
        <v>38.634</v>
      </c>
      <c r="J10" s="17">
        <v>757.82</v>
      </c>
      <c r="K10" s="18">
        <v>1902.3240000000001</v>
      </c>
      <c r="L10" s="16">
        <v>233.83699999999999</v>
      </c>
      <c r="M10" s="17">
        <v>19.001999999999999</v>
      </c>
      <c r="N10" s="17">
        <v>70.343000000000004</v>
      </c>
      <c r="O10" s="17">
        <v>30.202999999999999</v>
      </c>
      <c r="P10" s="18">
        <v>3351.54</v>
      </c>
      <c r="Q10" s="21">
        <f t="shared" si="15"/>
        <v>9.5494222878269731E-5</v>
      </c>
      <c r="R10" s="5">
        <f t="shared" si="16"/>
        <v>6.7566313341018355E-2</v>
      </c>
      <c r="S10" s="5">
        <f t="shared" si="17"/>
        <v>1.1844108023259633E-2</v>
      </c>
      <c r="T10" s="22">
        <f t="shared" si="18"/>
        <v>4.0525684957305186E-3</v>
      </c>
      <c r="U10" s="21">
        <f t="shared" si="19"/>
        <v>3.4706411568995173E-3</v>
      </c>
      <c r="V10" s="22">
        <f t="shared" si="20"/>
        <v>4.0892660504839071E-2</v>
      </c>
      <c r="W10" s="21">
        <f t="shared" si="21"/>
        <v>8.2000000000000003E-2</v>
      </c>
      <c r="X10" s="5">
        <f t="shared" si="22"/>
        <v>4.3999999999999997E-2</v>
      </c>
      <c r="Y10" s="22">
        <f t="shared" si="23"/>
        <v>6.3E-2</v>
      </c>
      <c r="Z10" s="23">
        <f t="shared" si="24"/>
        <v>0.55000000000000004</v>
      </c>
      <c r="AA10" s="110">
        <f t="shared" si="25"/>
        <v>0.28999999999999998</v>
      </c>
      <c r="AB10" s="24">
        <f t="shared" si="26"/>
        <v>0.42</v>
      </c>
      <c r="AC10" s="19">
        <f t="shared" si="27"/>
        <v>5</v>
      </c>
      <c r="AD10" s="43">
        <f t="shared" si="28"/>
        <v>5</v>
      </c>
      <c r="AE10" s="20">
        <f t="shared" si="29"/>
        <v>5</v>
      </c>
      <c r="AF10" s="11"/>
      <c r="AG10" s="11"/>
      <c r="AH10" s="13"/>
      <c r="AI10" s="13"/>
      <c r="AJ10" s="13"/>
      <c r="AK10" s="13"/>
      <c r="AL10" s="12"/>
      <c r="AM10" s="12"/>
      <c r="AN10" s="12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 ht="13.35" customHeight="1">
      <c r="A11" s="15">
        <v>11080</v>
      </c>
      <c r="B11" s="109" t="s">
        <v>93</v>
      </c>
      <c r="C11" s="25" t="str">
        <f>Rollover!A11</f>
        <v>Kia</v>
      </c>
      <c r="D11" s="41" t="str">
        <f>Rollover!B11</f>
        <v>Seltos SUV AWD</v>
      </c>
      <c r="E11" s="7" t="s">
        <v>92</v>
      </c>
      <c r="F11" s="83">
        <f>Rollover!C11</f>
        <v>2021</v>
      </c>
      <c r="G11" s="16">
        <v>109.039</v>
      </c>
      <c r="H11" s="17">
        <v>30.085000000000001</v>
      </c>
      <c r="I11" s="17">
        <v>38.634</v>
      </c>
      <c r="J11" s="17">
        <v>757.82</v>
      </c>
      <c r="K11" s="18">
        <v>1902.3240000000001</v>
      </c>
      <c r="L11" s="16">
        <v>233.83699999999999</v>
      </c>
      <c r="M11" s="17">
        <v>19.001999999999999</v>
      </c>
      <c r="N11" s="17">
        <v>70.343000000000004</v>
      </c>
      <c r="O11" s="17">
        <v>30.202999999999999</v>
      </c>
      <c r="P11" s="18">
        <v>3351.54</v>
      </c>
      <c r="Q11" s="21">
        <f t="shared" si="15"/>
        <v>9.5494222878269731E-5</v>
      </c>
      <c r="R11" s="5">
        <f t="shared" si="16"/>
        <v>6.7566313341018355E-2</v>
      </c>
      <c r="S11" s="5">
        <f t="shared" si="17"/>
        <v>1.1844108023259633E-2</v>
      </c>
      <c r="T11" s="22">
        <f t="shared" si="18"/>
        <v>4.0525684957305186E-3</v>
      </c>
      <c r="U11" s="21">
        <f t="shared" si="19"/>
        <v>3.4706411568995173E-3</v>
      </c>
      <c r="V11" s="22">
        <f t="shared" si="20"/>
        <v>4.0892660504839071E-2</v>
      </c>
      <c r="W11" s="21">
        <f t="shared" si="21"/>
        <v>8.2000000000000003E-2</v>
      </c>
      <c r="X11" s="5">
        <f t="shared" si="22"/>
        <v>4.3999999999999997E-2</v>
      </c>
      <c r="Y11" s="22">
        <f t="shared" si="23"/>
        <v>6.3E-2</v>
      </c>
      <c r="Z11" s="23">
        <f t="shared" si="24"/>
        <v>0.55000000000000004</v>
      </c>
      <c r="AA11" s="110">
        <f t="shared" si="25"/>
        <v>0.28999999999999998</v>
      </c>
      <c r="AB11" s="24">
        <f t="shared" si="26"/>
        <v>0.42</v>
      </c>
      <c r="AC11" s="19">
        <f t="shared" si="27"/>
        <v>5</v>
      </c>
      <c r="AD11" s="43">
        <f t="shared" si="28"/>
        <v>5</v>
      </c>
      <c r="AE11" s="20">
        <f t="shared" si="29"/>
        <v>5</v>
      </c>
      <c r="AF11" s="11"/>
      <c r="AG11" s="11"/>
      <c r="AH11" s="13"/>
      <c r="AI11" s="13"/>
      <c r="AJ11" s="13"/>
      <c r="AK11" s="13"/>
      <c r="AL11" s="12"/>
      <c r="AM11" s="12"/>
      <c r="AN11" s="12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</row>
    <row r="12" spans="1:51">
      <c r="A12" s="64">
        <v>10913</v>
      </c>
      <c r="B12" s="109" t="s">
        <v>113</v>
      </c>
      <c r="C12" s="25" t="str">
        <f>Rollover!A12</f>
        <v>Subaru</v>
      </c>
      <c r="D12" s="41" t="str">
        <f>Rollover!B12</f>
        <v>Outback SW AWD</v>
      </c>
      <c r="E12" s="7" t="s">
        <v>112</v>
      </c>
      <c r="F12" s="83">
        <f>Rollover!C12</f>
        <v>2021</v>
      </c>
      <c r="G12" s="8">
        <v>28.306000000000001</v>
      </c>
      <c r="H12" s="9">
        <v>12.315</v>
      </c>
      <c r="I12" s="9">
        <v>17.428000000000001</v>
      </c>
      <c r="J12" s="9">
        <v>448.30399999999997</v>
      </c>
      <c r="K12" s="10">
        <v>1098.097</v>
      </c>
      <c r="L12" s="8">
        <v>116.06399999999999</v>
      </c>
      <c r="M12" s="9">
        <v>7.4880000000000004</v>
      </c>
      <c r="N12" s="9">
        <v>51.052</v>
      </c>
      <c r="O12" s="9">
        <v>9.1820000000000004</v>
      </c>
      <c r="P12" s="10">
        <v>2825.4050000000002</v>
      </c>
      <c r="Q12" s="21">
        <f t="shared" ref="Q12:Q16" si="45">NORMDIST(LN(G12),7.45231,0.73998,1)</f>
        <v>1.4026591142925212E-8</v>
      </c>
      <c r="R12" s="5">
        <f t="shared" ref="R12:R16" si="46">1/(1+EXP(5.3895-0.0919*H12))</f>
        <v>1.3956549841022738E-2</v>
      </c>
      <c r="S12" s="5">
        <f t="shared" ref="S12:S16" si="47">1/(1+EXP(6.04044-0.002133*J12))</f>
        <v>6.1556663809201528E-3</v>
      </c>
      <c r="T12" s="22">
        <f t="shared" ref="T12:T16" si="48">1/(1+EXP(7.5969-0.0011*K12))</f>
        <v>1.677129065411007E-3</v>
      </c>
      <c r="U12" s="21">
        <f t="shared" ref="U12:U16" si="49">NORMDIST(LN(L12),7.45231,0.73998,1)</f>
        <v>1.3303625193766548E-4</v>
      </c>
      <c r="V12" s="22">
        <f t="shared" ref="V12:V16" si="50">1/(1+EXP(6.3055-0.00094*P12))</f>
        <v>2.5342104773144802E-2</v>
      </c>
      <c r="W12" s="21">
        <f t="shared" ref="W12:W16" si="51">ROUND(1-(1-Q12)*(1-R12)*(1-S12)*(1-T12),3)</f>
        <v>2.1999999999999999E-2</v>
      </c>
      <c r="X12" s="5">
        <f t="shared" ref="X12:X16" si="52">IF(L12="N/A",L12,ROUND(1-(1-U12)*(1-V12),3))</f>
        <v>2.5000000000000001E-2</v>
      </c>
      <c r="Y12" s="22">
        <f t="shared" ref="Y12:Y16" si="53">ROUND(AVERAGE(W12:X12),3)</f>
        <v>2.4E-2</v>
      </c>
      <c r="Z12" s="23">
        <f t="shared" ref="Z12:Z16" si="54">ROUND(W12/0.15,2)</f>
        <v>0.15</v>
      </c>
      <c r="AA12" s="110">
        <f t="shared" ref="AA12:AA16" si="55">IF(L12="N/A", L12, ROUND(X12/0.15,2))</f>
        <v>0.17</v>
      </c>
      <c r="AB12" s="24">
        <f t="shared" ref="AB12:AB16" si="56">ROUND(Y12/0.15,2)</f>
        <v>0.16</v>
      </c>
      <c r="AC12" s="19">
        <f t="shared" ref="AC12:AC16" si="57">IF(Z12&lt;0.67,5,IF(Z12&lt;1,4,IF(Z12&lt;1.33,3,IF(Z12&lt;2.67,2,1))))</f>
        <v>5</v>
      </c>
      <c r="AD12" s="43">
        <f t="shared" ref="AD12:AD16" si="58">IF(L12="N/A",L12,IF(AA12&lt;0.67,5,IF(AA12&lt;1,4,IF(AA12&lt;1.33,3,IF(AA12&lt;2.67,2,1)))))</f>
        <v>5</v>
      </c>
      <c r="AE12" s="20">
        <f t="shared" ref="AE12:AE16" si="59">IF(AB12&lt;0.67,5,IF(AB12&lt;1,4,IF(AB12&lt;1.33,3,IF(AB12&lt;2.67,2,1))))</f>
        <v>5</v>
      </c>
      <c r="AF12" s="11"/>
      <c r="AG12" s="11"/>
      <c r="AH12" s="13"/>
      <c r="AI12" s="13"/>
      <c r="AJ12" s="13"/>
      <c r="AK12" s="13"/>
      <c r="AL12" s="12"/>
      <c r="AM12" s="12"/>
      <c r="AN12" s="12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</row>
    <row r="13" spans="1:51" ht="13.35" customHeight="1">
      <c r="A13" s="64">
        <v>10912</v>
      </c>
      <c r="B13" s="109" t="s">
        <v>114</v>
      </c>
      <c r="C13" s="111" t="str">
        <f>Rollover!A13</f>
        <v>Subaru</v>
      </c>
      <c r="D13" s="7" t="str">
        <f>Rollover!B13</f>
        <v>Legacy 4DR AWD</v>
      </c>
      <c r="E13" s="7" t="s">
        <v>112</v>
      </c>
      <c r="F13" s="83">
        <f>Rollover!C13</f>
        <v>2021</v>
      </c>
      <c r="G13" s="8">
        <v>50.405999999999999</v>
      </c>
      <c r="H13" s="9">
        <v>19.109000000000002</v>
      </c>
      <c r="I13" s="9">
        <v>30.044</v>
      </c>
      <c r="J13" s="9">
        <v>960.92200000000003</v>
      </c>
      <c r="K13" s="10">
        <v>1487.779</v>
      </c>
      <c r="L13" s="8">
        <v>220.37899999999999</v>
      </c>
      <c r="M13" s="9">
        <v>18.289000000000001</v>
      </c>
      <c r="N13" s="9">
        <v>62.070999999999998</v>
      </c>
      <c r="O13" s="9">
        <v>17.741</v>
      </c>
      <c r="P13" s="10">
        <v>2584.3000000000002</v>
      </c>
      <c r="Q13" s="21">
        <f t="shared" si="45"/>
        <v>9.0583371576187033E-7</v>
      </c>
      <c r="R13" s="5">
        <f t="shared" si="46"/>
        <v>2.5746247689558976E-2</v>
      </c>
      <c r="S13" s="5">
        <f t="shared" si="47"/>
        <v>1.8149547585362569E-2</v>
      </c>
      <c r="T13" s="22">
        <f t="shared" si="48"/>
        <v>2.5723926859840185E-3</v>
      </c>
      <c r="U13" s="21">
        <f t="shared" si="49"/>
        <v>2.7200176585358768E-3</v>
      </c>
      <c r="V13" s="22">
        <f t="shared" si="50"/>
        <v>2.0307310419881684E-2</v>
      </c>
      <c r="W13" s="21">
        <f t="shared" si="51"/>
        <v>4.5999999999999999E-2</v>
      </c>
      <c r="X13" s="5">
        <f t="shared" si="52"/>
        <v>2.3E-2</v>
      </c>
      <c r="Y13" s="22">
        <f t="shared" si="53"/>
        <v>3.5000000000000003E-2</v>
      </c>
      <c r="Z13" s="23">
        <f t="shared" si="54"/>
        <v>0.31</v>
      </c>
      <c r="AA13" s="110">
        <f t="shared" si="55"/>
        <v>0.15</v>
      </c>
      <c r="AB13" s="24">
        <f t="shared" si="56"/>
        <v>0.23</v>
      </c>
      <c r="AC13" s="19">
        <f t="shared" si="57"/>
        <v>5</v>
      </c>
      <c r="AD13" s="43">
        <f t="shared" si="58"/>
        <v>5</v>
      </c>
      <c r="AE13" s="20">
        <f t="shared" si="59"/>
        <v>5</v>
      </c>
      <c r="AF13" s="11"/>
      <c r="AG13" s="11"/>
      <c r="AH13" s="13"/>
      <c r="AI13" s="13"/>
      <c r="AJ13" s="13"/>
      <c r="AK13" s="13"/>
      <c r="AL13" s="12"/>
      <c r="AM13" s="12"/>
      <c r="AN13" s="12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>
      <c r="A14" s="64">
        <v>11289</v>
      </c>
      <c r="B14" s="109" t="s">
        <v>126</v>
      </c>
      <c r="C14" s="25" t="str">
        <f>Rollover!A14</f>
        <v>Toyota</v>
      </c>
      <c r="D14" s="41" t="str">
        <f>Rollover!B14</f>
        <v>Corolla 4DR FWD</v>
      </c>
      <c r="E14" s="7" t="s">
        <v>92</v>
      </c>
      <c r="F14" s="83">
        <f>Rollover!C14</f>
        <v>2021</v>
      </c>
      <c r="G14" s="8">
        <v>91.650999999999996</v>
      </c>
      <c r="H14" s="9">
        <v>23.234999999999999</v>
      </c>
      <c r="I14" s="9">
        <v>26.536999999999999</v>
      </c>
      <c r="J14" s="9">
        <v>576.39200000000005</v>
      </c>
      <c r="K14" s="10">
        <v>1468.913</v>
      </c>
      <c r="L14" s="8">
        <v>137.24600000000001</v>
      </c>
      <c r="M14" s="9">
        <v>29.167000000000002</v>
      </c>
      <c r="N14" s="9">
        <v>42.531999999999996</v>
      </c>
      <c r="O14" s="9">
        <v>15.147</v>
      </c>
      <c r="P14" s="10">
        <v>1633.365</v>
      </c>
      <c r="Q14" s="21">
        <f t="shared" si="45"/>
        <v>3.6635357850424766E-5</v>
      </c>
      <c r="R14" s="5">
        <f t="shared" si="46"/>
        <v>3.7176133909351469E-2</v>
      </c>
      <c r="S14" s="5">
        <f t="shared" si="47"/>
        <v>8.0740290023368078E-3</v>
      </c>
      <c r="T14" s="22">
        <f t="shared" si="48"/>
        <v>2.5196920889331599E-3</v>
      </c>
      <c r="U14" s="21">
        <f t="shared" si="49"/>
        <v>3.1341151458402674E-4</v>
      </c>
      <c r="V14" s="22">
        <f t="shared" si="50"/>
        <v>8.4079266218954202E-3</v>
      </c>
      <c r="W14" s="21">
        <f t="shared" si="51"/>
        <v>4.7E-2</v>
      </c>
      <c r="X14" s="5">
        <f t="shared" si="52"/>
        <v>8.9999999999999993E-3</v>
      </c>
      <c r="Y14" s="22">
        <f t="shared" si="53"/>
        <v>2.8000000000000001E-2</v>
      </c>
      <c r="Z14" s="23">
        <f t="shared" si="54"/>
        <v>0.31</v>
      </c>
      <c r="AA14" s="110">
        <f t="shared" si="55"/>
        <v>0.06</v>
      </c>
      <c r="AB14" s="24">
        <f t="shared" si="56"/>
        <v>0.19</v>
      </c>
      <c r="AC14" s="19">
        <f t="shared" si="57"/>
        <v>5</v>
      </c>
      <c r="AD14" s="43">
        <f t="shared" si="58"/>
        <v>5</v>
      </c>
      <c r="AE14" s="20">
        <f t="shared" si="59"/>
        <v>5</v>
      </c>
      <c r="AF14" s="11"/>
      <c r="AG14" s="11"/>
      <c r="AH14" s="13"/>
      <c r="AI14" s="13"/>
      <c r="AJ14" s="13"/>
      <c r="AK14" s="13"/>
      <c r="AL14" s="12"/>
      <c r="AM14" s="12"/>
      <c r="AN14" s="12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1">
      <c r="A15" s="64">
        <v>11289</v>
      </c>
      <c r="B15" s="109" t="s">
        <v>126</v>
      </c>
      <c r="C15" s="111" t="str">
        <f>Rollover!A15</f>
        <v>Toyota</v>
      </c>
      <c r="D15" s="7" t="str">
        <f>Rollover!B15</f>
        <v>Corolla Hybrid 4DR FWD</v>
      </c>
      <c r="E15" s="7" t="s">
        <v>92</v>
      </c>
      <c r="F15" s="83">
        <f>Rollover!C15</f>
        <v>2021</v>
      </c>
      <c r="G15" s="8">
        <v>91.650999999999996</v>
      </c>
      <c r="H15" s="9">
        <v>23.234999999999999</v>
      </c>
      <c r="I15" s="9">
        <v>26.536999999999999</v>
      </c>
      <c r="J15" s="9">
        <v>576.39200000000005</v>
      </c>
      <c r="K15" s="10">
        <v>1468.913</v>
      </c>
      <c r="L15" s="8">
        <v>137.24600000000001</v>
      </c>
      <c r="M15" s="9">
        <v>29.167000000000002</v>
      </c>
      <c r="N15" s="9">
        <v>42.531999999999996</v>
      </c>
      <c r="O15" s="9">
        <v>15.147</v>
      </c>
      <c r="P15" s="10">
        <v>1633.365</v>
      </c>
      <c r="Q15" s="21">
        <f t="shared" si="45"/>
        <v>3.6635357850424766E-5</v>
      </c>
      <c r="R15" s="5">
        <f t="shared" si="46"/>
        <v>3.7176133909351469E-2</v>
      </c>
      <c r="S15" s="5">
        <f t="shared" si="47"/>
        <v>8.0740290023368078E-3</v>
      </c>
      <c r="T15" s="22">
        <f t="shared" si="48"/>
        <v>2.5196920889331599E-3</v>
      </c>
      <c r="U15" s="21">
        <f t="shared" si="49"/>
        <v>3.1341151458402674E-4</v>
      </c>
      <c r="V15" s="22">
        <f t="shared" si="50"/>
        <v>8.4079266218954202E-3</v>
      </c>
      <c r="W15" s="21">
        <f t="shared" si="51"/>
        <v>4.7E-2</v>
      </c>
      <c r="X15" s="5">
        <f t="shared" si="52"/>
        <v>8.9999999999999993E-3</v>
      </c>
      <c r="Y15" s="22">
        <f t="shared" si="53"/>
        <v>2.8000000000000001E-2</v>
      </c>
      <c r="Z15" s="23">
        <f t="shared" si="54"/>
        <v>0.31</v>
      </c>
      <c r="AA15" s="110">
        <f t="shared" si="55"/>
        <v>0.06</v>
      </c>
      <c r="AB15" s="24">
        <f t="shared" si="56"/>
        <v>0.19</v>
      </c>
      <c r="AC15" s="19">
        <f t="shared" si="57"/>
        <v>5</v>
      </c>
      <c r="AD15" s="43">
        <f t="shared" si="58"/>
        <v>5</v>
      </c>
      <c r="AE15" s="20">
        <f t="shared" si="59"/>
        <v>5</v>
      </c>
      <c r="AF15" s="11"/>
      <c r="AG15" s="11"/>
      <c r="AH15" s="13"/>
      <c r="AI15" s="13"/>
      <c r="AJ15" s="13"/>
      <c r="AK15" s="13"/>
      <c r="AL15" s="12"/>
      <c r="AM15" s="12"/>
      <c r="AN15" s="12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</row>
    <row r="16" spans="1:51">
      <c r="A16" s="64">
        <v>11289</v>
      </c>
      <c r="B16" s="112" t="s">
        <v>126</v>
      </c>
      <c r="C16" s="111" t="str">
        <f>Rollover!A16</f>
        <v>Toyota</v>
      </c>
      <c r="D16" s="7" t="str">
        <f>Rollover!B16</f>
        <v>Corolla Hatchback 5HB FWD</v>
      </c>
      <c r="E16" s="7" t="s">
        <v>92</v>
      </c>
      <c r="F16" s="83">
        <f>Rollover!C16</f>
        <v>2021</v>
      </c>
      <c r="G16" s="8">
        <v>91.650999999999996</v>
      </c>
      <c r="H16" s="9">
        <v>23.234999999999999</v>
      </c>
      <c r="I16" s="9">
        <v>26.536999999999999</v>
      </c>
      <c r="J16" s="9">
        <v>576.39200000000005</v>
      </c>
      <c r="K16" s="10">
        <v>1468.913</v>
      </c>
      <c r="L16" s="8">
        <v>137.24600000000001</v>
      </c>
      <c r="M16" s="9">
        <v>29.167000000000002</v>
      </c>
      <c r="N16" s="9">
        <v>42.531999999999996</v>
      </c>
      <c r="O16" s="9">
        <v>15.147</v>
      </c>
      <c r="P16" s="10">
        <v>1633.365</v>
      </c>
      <c r="Q16" s="21">
        <f t="shared" si="45"/>
        <v>3.6635357850424766E-5</v>
      </c>
      <c r="R16" s="5">
        <f t="shared" si="46"/>
        <v>3.7176133909351469E-2</v>
      </c>
      <c r="S16" s="5">
        <f t="shared" si="47"/>
        <v>8.0740290023368078E-3</v>
      </c>
      <c r="T16" s="22">
        <f t="shared" si="48"/>
        <v>2.5196920889331599E-3</v>
      </c>
      <c r="U16" s="21">
        <f t="shared" si="49"/>
        <v>3.1341151458402674E-4</v>
      </c>
      <c r="V16" s="22">
        <f t="shared" si="50"/>
        <v>8.4079266218954202E-3</v>
      </c>
      <c r="W16" s="21">
        <f t="shared" si="51"/>
        <v>4.7E-2</v>
      </c>
      <c r="X16" s="5">
        <f t="shared" si="52"/>
        <v>8.9999999999999993E-3</v>
      </c>
      <c r="Y16" s="22">
        <f t="shared" si="53"/>
        <v>2.8000000000000001E-2</v>
      </c>
      <c r="Z16" s="23">
        <f t="shared" si="54"/>
        <v>0.31</v>
      </c>
      <c r="AA16" s="110">
        <f t="shared" si="55"/>
        <v>0.06</v>
      </c>
      <c r="AB16" s="24">
        <f t="shared" si="56"/>
        <v>0.19</v>
      </c>
      <c r="AC16" s="19">
        <f t="shared" si="57"/>
        <v>5</v>
      </c>
      <c r="AD16" s="43">
        <f t="shared" si="58"/>
        <v>5</v>
      </c>
      <c r="AE16" s="20">
        <f t="shared" si="59"/>
        <v>5</v>
      </c>
      <c r="AF16" s="11"/>
      <c r="AG16" s="11"/>
      <c r="AH16" s="13"/>
      <c r="AI16" s="13"/>
      <c r="AJ16" s="13"/>
      <c r="AK16" s="13"/>
      <c r="AL16" s="12"/>
      <c r="AM16" s="12"/>
      <c r="AN16" s="12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</row>
    <row r="17" spans="31:31">
      <c r="AE17" s="2"/>
    </row>
    <row r="18" spans="31:31">
      <c r="AE18" s="2"/>
    </row>
    <row r="19" spans="31:31">
      <c r="AE19" s="2"/>
    </row>
    <row r="20" spans="31:31">
      <c r="AE20" s="2"/>
    </row>
    <row r="21" spans="31:31">
      <c r="AE21" s="2"/>
    </row>
    <row r="22" spans="31:31">
      <c r="AE22" s="2"/>
    </row>
    <row r="23" spans="31:31">
      <c r="AE23" s="2"/>
    </row>
    <row r="24" spans="31:31">
      <c r="AE24" s="2"/>
    </row>
    <row r="25" spans="31:31">
      <c r="AE25" s="2"/>
    </row>
    <row r="26" spans="31:31">
      <c r="AE26" s="2"/>
    </row>
    <row r="27" spans="31:31">
      <c r="AE27" s="2"/>
    </row>
    <row r="28" spans="31:31">
      <c r="AE28" s="2"/>
    </row>
    <row r="29" spans="31:31">
      <c r="AE29" s="2"/>
    </row>
    <row r="30" spans="31:31">
      <c r="AE30" s="2"/>
    </row>
    <row r="31" spans="31:31">
      <c r="AE31" s="2"/>
    </row>
    <row r="32" spans="31:3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45"/>
  <sheetViews>
    <sheetView zoomScaleNormal="100" workbookViewId="0">
      <pane xSplit="6" ySplit="2" topLeftCell="G3" activePane="bottomRight" state="frozen"/>
      <selection activeCell="B21" sqref="B21"/>
      <selection pane="topRight" activeCell="B21" sqref="B21"/>
      <selection pane="bottomLeft" activeCell="B21" sqref="B21"/>
      <selection pane="bottomRight" activeCell="A7" sqref="A7:XFD8"/>
    </sheetView>
  </sheetViews>
  <sheetFormatPr defaultColWidth="9.42578125" defaultRowHeight="14.1" customHeight="1"/>
  <cols>
    <col min="1" max="1" width="8.5703125" style="147" bestFit="1" customWidth="1"/>
    <col min="2" max="2" width="9" style="147" bestFit="1" customWidth="1"/>
    <col min="3" max="3" width="13.5703125" style="148" bestFit="1" customWidth="1"/>
    <col min="4" max="4" width="36.42578125" style="148" bestFit="1" customWidth="1"/>
    <col min="5" max="5" width="6.5703125" style="149" customWidth="1"/>
    <col min="6" max="6" width="7.42578125" style="150" bestFit="1" customWidth="1"/>
    <col min="7" max="10" width="8.5703125" style="144" customWidth="1"/>
    <col min="11" max="11" width="9.5703125" style="144" customWidth="1"/>
    <col min="12" max="12" width="7" style="144" customWidth="1"/>
    <col min="13" max="13" width="7.42578125" style="144" customWidth="1"/>
    <col min="14" max="14" width="7.5703125" style="151" customWidth="1"/>
    <col min="15" max="15" width="8.5703125" style="151" bestFit="1" customWidth="1"/>
    <col min="16" max="16" width="8.42578125" style="152" customWidth="1"/>
    <col min="17" max="17" width="9.42578125" style="151" customWidth="1"/>
    <col min="18" max="18" width="10.42578125" style="144" customWidth="1"/>
    <col min="19" max="19" width="6" style="147" customWidth="1"/>
    <col min="20" max="20" width="10.42578125" style="147" bestFit="1" customWidth="1"/>
    <col min="21" max="21" width="10.42578125" style="147" customWidth="1"/>
    <col min="22" max="22" width="10.42578125" style="147" bestFit="1" customWidth="1"/>
    <col min="23" max="16384" width="9.42578125" style="144"/>
  </cols>
  <sheetData>
    <row r="1" spans="1:38" s="98" customFormat="1" ht="14.1" customHeight="1" thickBot="1">
      <c r="A1" s="121"/>
      <c r="B1" s="122"/>
      <c r="C1" s="123"/>
      <c r="D1" s="123"/>
      <c r="E1" s="124"/>
      <c r="F1" s="125"/>
      <c r="G1" s="205" t="s">
        <v>46</v>
      </c>
      <c r="H1" s="221"/>
      <c r="I1" s="221"/>
      <c r="J1" s="221"/>
      <c r="K1" s="222"/>
      <c r="L1" s="205" t="s">
        <v>46</v>
      </c>
      <c r="M1" s="222"/>
      <c r="N1" s="126" t="s">
        <v>13</v>
      </c>
      <c r="O1" s="127" t="s">
        <v>13</v>
      </c>
      <c r="P1" s="38" t="s">
        <v>45</v>
      </c>
      <c r="Q1" s="126" t="s">
        <v>13</v>
      </c>
      <c r="R1" s="107" t="s">
        <v>13</v>
      </c>
      <c r="S1" s="38" t="s">
        <v>13</v>
      </c>
      <c r="T1" s="36" t="s">
        <v>59</v>
      </c>
      <c r="U1" s="37" t="s">
        <v>75</v>
      </c>
      <c r="V1" s="38" t="s">
        <v>59</v>
      </c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s="99" customFormat="1" ht="45.75" thickBot="1">
      <c r="A2" s="36" t="s">
        <v>26</v>
      </c>
      <c r="B2" s="37" t="s">
        <v>82</v>
      </c>
      <c r="C2" s="128" t="s">
        <v>18</v>
      </c>
      <c r="D2" s="128" t="s">
        <v>19</v>
      </c>
      <c r="E2" s="129" t="s">
        <v>74</v>
      </c>
      <c r="F2" s="130" t="s">
        <v>20</v>
      </c>
      <c r="G2" s="106" t="s">
        <v>58</v>
      </c>
      <c r="H2" s="107" t="s">
        <v>71</v>
      </c>
      <c r="I2" s="107" t="s">
        <v>72</v>
      </c>
      <c r="J2" s="107" t="s">
        <v>70</v>
      </c>
      <c r="K2" s="131" t="s">
        <v>39</v>
      </c>
      <c r="L2" s="126" t="s">
        <v>1</v>
      </c>
      <c r="M2" s="132" t="s">
        <v>15</v>
      </c>
      <c r="N2" s="126" t="s">
        <v>17</v>
      </c>
      <c r="O2" s="127" t="s">
        <v>65</v>
      </c>
      <c r="P2" s="38" t="s">
        <v>44</v>
      </c>
      <c r="Q2" s="106" t="s">
        <v>78</v>
      </c>
      <c r="R2" s="107" t="s">
        <v>79</v>
      </c>
      <c r="S2" s="133" t="s">
        <v>80</v>
      </c>
      <c r="T2" s="106" t="s">
        <v>77</v>
      </c>
      <c r="U2" s="107" t="s">
        <v>76</v>
      </c>
      <c r="V2" s="133" t="s">
        <v>81</v>
      </c>
      <c r="W2" s="4"/>
      <c r="X2" s="4"/>
      <c r="Y2" s="39"/>
      <c r="Z2" s="39"/>
      <c r="AA2" s="39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14.1" customHeight="1">
      <c r="A3" s="134">
        <v>11054</v>
      </c>
      <c r="B3" s="135" t="s">
        <v>110</v>
      </c>
      <c r="C3" s="136" t="str">
        <f>Rollover!A3</f>
        <v>Chevrolet</v>
      </c>
      <c r="D3" s="136" t="str">
        <f>Rollover!B3</f>
        <v>Trailblazer SUV FWD (Later Release)</v>
      </c>
      <c r="E3" s="60" t="s">
        <v>111</v>
      </c>
      <c r="F3" s="137">
        <f>Rollover!C3</f>
        <v>2021</v>
      </c>
      <c r="G3" s="138">
        <v>336.51400000000001</v>
      </c>
      <c r="H3" s="9">
        <v>16.571999999999999</v>
      </c>
      <c r="I3" s="9">
        <v>37.764000000000003</v>
      </c>
      <c r="J3" s="139">
        <v>18.177</v>
      </c>
      <c r="K3" s="10">
        <v>2630.681</v>
      </c>
      <c r="L3" s="21">
        <f t="shared" ref="L3:L5" si="0">NORMDIST(LN(G3),7.45231,0.73998,1)</f>
        <v>1.3631823406957523E-2</v>
      </c>
      <c r="M3" s="22">
        <f t="shared" ref="M3:M5" si="1">1/(1+EXP(6.3055-0.00094*K3))</f>
        <v>2.1193076434665531E-2</v>
      </c>
      <c r="N3" s="21">
        <f t="shared" ref="N3:N5" si="2">ROUND(1-(1-L3)*(1-M3),3)</f>
        <v>3.5000000000000003E-2</v>
      </c>
      <c r="O3" s="5">
        <f t="shared" ref="O3:O5" si="3">ROUND(N3/0.15,2)</f>
        <v>0.23</v>
      </c>
      <c r="P3" s="20">
        <f t="shared" ref="P3:P5" si="4">IF(O3&lt;0.67,5,IF(O3&lt;1,4,IF(O3&lt;1.33,3,IF(O3&lt;2.67,2,1))))</f>
        <v>5</v>
      </c>
      <c r="Q3" s="140">
        <f>ROUND((0.8*'Side MDB'!W3+0.2*'Side Pole'!N3),3)</f>
        <v>6.8000000000000005E-2</v>
      </c>
      <c r="R3" s="141">
        <f t="shared" ref="R3:R5" si="5">ROUND((Q3)/0.15,2)</f>
        <v>0.45</v>
      </c>
      <c r="S3" s="20">
        <f t="shared" ref="S3:S5" si="6">IF(R3&lt;0.67,5,IF(R3&lt;1,4,IF(R3&lt;1.33,3,IF(R3&lt;2.67,2,1))))</f>
        <v>5</v>
      </c>
      <c r="T3" s="140">
        <f>ROUND(((0.8*'Side MDB'!W3+0.2*'Side Pole'!N3)+(IF('Side MDB'!X3="N/A",(0.8*'Side MDB'!W3+0.2*'Side Pole'!N3),'Side MDB'!X3)))/2,3)</f>
        <v>4.2000000000000003E-2</v>
      </c>
      <c r="U3" s="141">
        <f t="shared" ref="U3:U5" si="7">ROUND((T3)/0.15,2)</f>
        <v>0.28000000000000003</v>
      </c>
      <c r="V3" s="20">
        <f t="shared" ref="V3:V5" si="8">IF(U3&lt;0.67,5,IF(U3&lt;1,4,IF(U3&lt;1.33,3,IF(U3&lt;2.67,2,1))))</f>
        <v>5</v>
      </c>
      <c r="W3" s="13"/>
      <c r="X3" s="13"/>
      <c r="Y3" s="142"/>
      <c r="Z3" s="142"/>
      <c r="AA3" s="142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</row>
    <row r="4" spans="1:38" ht="14.1" customHeight="1">
      <c r="A4" s="134">
        <v>11054</v>
      </c>
      <c r="B4" s="135" t="s">
        <v>110</v>
      </c>
      <c r="C4" s="136" t="str">
        <f>Rollover!A4</f>
        <v>Chevrolet</v>
      </c>
      <c r="D4" s="136" t="str">
        <f>Rollover!B4</f>
        <v>Trailblazer SUV AWD (Later Release)</v>
      </c>
      <c r="E4" s="60" t="s">
        <v>111</v>
      </c>
      <c r="F4" s="137">
        <f>Rollover!C4</f>
        <v>2021</v>
      </c>
      <c r="G4" s="138">
        <v>336.51400000000001</v>
      </c>
      <c r="H4" s="9">
        <v>16.571999999999999</v>
      </c>
      <c r="I4" s="9">
        <v>37.764000000000003</v>
      </c>
      <c r="J4" s="139">
        <v>18.177</v>
      </c>
      <c r="K4" s="10">
        <v>2630.681</v>
      </c>
      <c r="L4" s="21">
        <f t="shared" si="0"/>
        <v>1.3631823406957523E-2</v>
      </c>
      <c r="M4" s="22">
        <f t="shared" si="1"/>
        <v>2.1193076434665531E-2</v>
      </c>
      <c r="N4" s="21">
        <f t="shared" si="2"/>
        <v>3.5000000000000003E-2</v>
      </c>
      <c r="O4" s="5">
        <f t="shared" si="3"/>
        <v>0.23</v>
      </c>
      <c r="P4" s="20">
        <f t="shared" si="4"/>
        <v>5</v>
      </c>
      <c r="Q4" s="140">
        <f>ROUND((0.8*'Side MDB'!W4+0.2*'Side Pole'!N4),3)</f>
        <v>6.8000000000000005E-2</v>
      </c>
      <c r="R4" s="141">
        <f t="shared" si="5"/>
        <v>0.45</v>
      </c>
      <c r="S4" s="20">
        <f t="shared" si="6"/>
        <v>5</v>
      </c>
      <c r="T4" s="140">
        <f>ROUND(((0.8*'Side MDB'!W4+0.2*'Side Pole'!N4)+(IF('Side MDB'!X4="N/A",(0.8*'Side MDB'!W4+0.2*'Side Pole'!N4),'Side MDB'!X4)))/2,3)</f>
        <v>4.2000000000000003E-2</v>
      </c>
      <c r="U4" s="141">
        <f t="shared" si="7"/>
        <v>0.28000000000000003</v>
      </c>
      <c r="V4" s="20">
        <f t="shared" si="8"/>
        <v>5</v>
      </c>
      <c r="W4" s="13"/>
      <c r="X4" s="13"/>
      <c r="Y4" s="142"/>
      <c r="Z4" s="142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</row>
    <row r="5" spans="1:38" ht="14.1" customHeight="1">
      <c r="A5" s="134">
        <v>11054</v>
      </c>
      <c r="B5" s="135" t="s">
        <v>110</v>
      </c>
      <c r="C5" s="145" t="str">
        <f>Rollover!A5</f>
        <v>Buick</v>
      </c>
      <c r="D5" s="145" t="str">
        <f>Rollover!B5</f>
        <v>Encore GX SUV FWD</v>
      </c>
      <c r="E5" s="60" t="s">
        <v>111</v>
      </c>
      <c r="F5" s="137">
        <f>Rollover!C5</f>
        <v>2021</v>
      </c>
      <c r="G5" s="138">
        <v>336.51400000000001</v>
      </c>
      <c r="H5" s="9">
        <v>16.571999999999999</v>
      </c>
      <c r="I5" s="9">
        <v>37.764000000000003</v>
      </c>
      <c r="J5" s="139">
        <v>18.177</v>
      </c>
      <c r="K5" s="10">
        <v>2630.681</v>
      </c>
      <c r="L5" s="21">
        <f t="shared" si="0"/>
        <v>1.3631823406957523E-2</v>
      </c>
      <c r="M5" s="22">
        <f t="shared" si="1"/>
        <v>2.1193076434665531E-2</v>
      </c>
      <c r="N5" s="21">
        <f t="shared" si="2"/>
        <v>3.5000000000000003E-2</v>
      </c>
      <c r="O5" s="5">
        <f t="shared" si="3"/>
        <v>0.23</v>
      </c>
      <c r="P5" s="20">
        <f t="shared" si="4"/>
        <v>5</v>
      </c>
      <c r="Q5" s="140">
        <f>ROUND((0.8*'Side MDB'!W5+0.2*'Side Pole'!N5),3)</f>
        <v>6.8000000000000005E-2</v>
      </c>
      <c r="R5" s="141">
        <f t="shared" si="5"/>
        <v>0.45</v>
      </c>
      <c r="S5" s="20">
        <f t="shared" si="6"/>
        <v>5</v>
      </c>
      <c r="T5" s="140">
        <f>ROUND(((0.8*'Side MDB'!W5+0.2*'Side Pole'!N5)+(IF('Side MDB'!X5="N/A",(0.8*'Side MDB'!W5+0.2*'Side Pole'!N5),'Side MDB'!X5)))/2,3)</f>
        <v>4.2000000000000003E-2</v>
      </c>
      <c r="U5" s="141">
        <f t="shared" si="7"/>
        <v>0.28000000000000003</v>
      </c>
      <c r="V5" s="20">
        <f t="shared" si="8"/>
        <v>5</v>
      </c>
      <c r="W5" s="13"/>
      <c r="X5" s="13"/>
      <c r="Y5" s="142"/>
      <c r="Z5" s="142"/>
      <c r="AA5" s="142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</row>
    <row r="6" spans="1:38" ht="14.1" customHeight="1">
      <c r="A6" s="134">
        <v>11054</v>
      </c>
      <c r="B6" s="135" t="s">
        <v>110</v>
      </c>
      <c r="C6" s="145" t="str">
        <f>Rollover!A6</f>
        <v>Buick</v>
      </c>
      <c r="D6" s="145" t="str">
        <f>Rollover!B6</f>
        <v>Encore GX SUV AWD</v>
      </c>
      <c r="E6" s="60" t="s">
        <v>111</v>
      </c>
      <c r="F6" s="137">
        <f>Rollover!C6</f>
        <v>2021</v>
      </c>
      <c r="G6" s="138">
        <v>336.51400000000001</v>
      </c>
      <c r="H6" s="9">
        <v>16.571999999999999</v>
      </c>
      <c r="I6" s="9">
        <v>37.764000000000003</v>
      </c>
      <c r="J6" s="139">
        <v>18.177</v>
      </c>
      <c r="K6" s="10">
        <v>2630.681</v>
      </c>
      <c r="L6" s="21">
        <f t="shared" ref="L6:L11" si="9">NORMDIST(LN(G6),7.45231,0.73998,1)</f>
        <v>1.3631823406957523E-2</v>
      </c>
      <c r="M6" s="22">
        <f t="shared" ref="M6:M11" si="10">1/(1+EXP(6.3055-0.00094*K6))</f>
        <v>2.1193076434665531E-2</v>
      </c>
      <c r="N6" s="21">
        <f t="shared" ref="N6:N11" si="11">ROUND(1-(1-L6)*(1-M6),3)</f>
        <v>3.5000000000000003E-2</v>
      </c>
      <c r="O6" s="5">
        <f t="shared" ref="O6:O11" si="12">ROUND(N6/0.15,2)</f>
        <v>0.23</v>
      </c>
      <c r="P6" s="20">
        <f t="shared" ref="P6:P11" si="13">IF(O6&lt;0.67,5,IF(O6&lt;1,4,IF(O6&lt;1.33,3,IF(O6&lt;2.67,2,1))))</f>
        <v>5</v>
      </c>
      <c r="Q6" s="140">
        <f>ROUND((0.8*'Side MDB'!W6+0.2*'Side Pole'!N6),3)</f>
        <v>6.8000000000000005E-2</v>
      </c>
      <c r="R6" s="141">
        <f t="shared" ref="R6:R11" si="14">ROUND((Q6)/0.15,2)</f>
        <v>0.45</v>
      </c>
      <c r="S6" s="20">
        <f t="shared" ref="S6:S11" si="15">IF(R6&lt;0.67,5,IF(R6&lt;1,4,IF(R6&lt;1.33,3,IF(R6&lt;2.67,2,1))))</f>
        <v>5</v>
      </c>
      <c r="T6" s="140">
        <f>ROUND(((0.8*'Side MDB'!W6+0.2*'Side Pole'!N6)+(IF('Side MDB'!X6="N/A",(0.8*'Side MDB'!W6+0.2*'Side Pole'!N6),'Side MDB'!X6)))/2,3)</f>
        <v>4.2000000000000003E-2</v>
      </c>
      <c r="U6" s="141">
        <f t="shared" ref="U6:U11" si="16">ROUND((T6)/0.15,2)</f>
        <v>0.28000000000000003</v>
      </c>
      <c r="V6" s="20">
        <f t="shared" ref="V6:V11" si="17">IF(U6&lt;0.67,5,IF(U6&lt;1,4,IF(U6&lt;1.33,3,IF(U6&lt;2.67,2,1))))</f>
        <v>5</v>
      </c>
      <c r="W6" s="13"/>
      <c r="X6" s="13"/>
      <c r="Y6" s="142"/>
      <c r="Z6" s="142"/>
      <c r="AA6" s="142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4.1" customHeight="1">
      <c r="A7" s="146">
        <v>11290</v>
      </c>
      <c r="B7" s="135" t="s">
        <v>130</v>
      </c>
      <c r="C7" s="136" t="str">
        <f>Rollover!A7</f>
        <v xml:space="preserve">Ford </v>
      </c>
      <c r="D7" s="136" t="str">
        <f>Rollover!B7</f>
        <v>Transit Connect Wagon FWD</v>
      </c>
      <c r="E7" s="60" t="s">
        <v>92</v>
      </c>
      <c r="F7" s="137">
        <f>Rollover!C7</f>
        <v>2021</v>
      </c>
      <c r="G7" s="138">
        <v>182.506</v>
      </c>
      <c r="H7" s="9">
        <v>21.222000000000001</v>
      </c>
      <c r="I7" s="9">
        <v>36.950000000000003</v>
      </c>
      <c r="J7" s="139">
        <v>22.695</v>
      </c>
      <c r="K7" s="10">
        <v>3228.5889999999999</v>
      </c>
      <c r="L7" s="21">
        <f t="shared" ref="L7:L8" si="18">NORMDIST(LN(G7),7.45231,0.73998,1)</f>
        <v>1.2043627234715223E-3</v>
      </c>
      <c r="M7" s="22">
        <f t="shared" ref="M7:M8" si="19">1/(1+EXP(6.3055-0.00094*K7))</f>
        <v>3.6592741054187881E-2</v>
      </c>
      <c r="N7" s="21">
        <f t="shared" ref="N7:N8" si="20">ROUND(1-(1-L7)*(1-M7),3)</f>
        <v>3.7999999999999999E-2</v>
      </c>
      <c r="O7" s="5">
        <f t="shared" ref="O7:O8" si="21">ROUND(N7/0.15,2)</f>
        <v>0.25</v>
      </c>
      <c r="P7" s="20">
        <f t="shared" ref="P7:P8" si="22">IF(O7&lt;0.67,5,IF(O7&lt;1,4,IF(O7&lt;1.33,3,IF(O7&lt;2.67,2,1))))</f>
        <v>5</v>
      </c>
      <c r="Q7" s="140">
        <f>ROUND((0.8*'Side MDB'!W7+0.2*'Side Pole'!N7),3)</f>
        <v>6.2E-2</v>
      </c>
      <c r="R7" s="141">
        <f t="shared" ref="R7:R8" si="23">ROUND((Q7)/0.15,2)</f>
        <v>0.41</v>
      </c>
      <c r="S7" s="20">
        <f t="shared" ref="S7:S8" si="24">IF(R7&lt;0.67,5,IF(R7&lt;1,4,IF(R7&lt;1.33,3,IF(R7&lt;2.67,2,1))))</f>
        <v>5</v>
      </c>
      <c r="T7" s="140">
        <f>ROUND(((0.8*'Side MDB'!W7+0.2*'Side Pole'!N7)+(IF('Side MDB'!X7="N/A",(0.8*'Side MDB'!W7+0.2*'Side Pole'!N7),'Side MDB'!X7)))/2,3)</f>
        <v>5.7000000000000002E-2</v>
      </c>
      <c r="U7" s="141">
        <f t="shared" ref="U7:U8" si="25">ROUND((T7)/0.15,2)</f>
        <v>0.38</v>
      </c>
      <c r="V7" s="20">
        <f t="shared" ref="V7:V8" si="26">IF(U7&lt;0.67,5,IF(U7&lt;1,4,IF(U7&lt;1.33,3,IF(U7&lt;2.67,2,1))))</f>
        <v>5</v>
      </c>
      <c r="W7" s="13"/>
      <c r="X7" s="13"/>
      <c r="Y7" s="142"/>
      <c r="Z7" s="142"/>
      <c r="AA7" s="142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4.1" customHeight="1">
      <c r="A8" s="134">
        <v>11290</v>
      </c>
      <c r="B8" s="135" t="s">
        <v>130</v>
      </c>
      <c r="C8" s="145" t="str">
        <f>Rollover!A8</f>
        <v xml:space="preserve">Ford </v>
      </c>
      <c r="D8" s="145" t="str">
        <f>Rollover!B8</f>
        <v>Transit Connect Van FWD</v>
      </c>
      <c r="E8" s="60" t="s">
        <v>92</v>
      </c>
      <c r="F8" s="137">
        <f>Rollover!C8</f>
        <v>2021</v>
      </c>
      <c r="G8" s="138">
        <v>182.506</v>
      </c>
      <c r="H8" s="9">
        <v>21.222000000000001</v>
      </c>
      <c r="I8" s="9">
        <v>36.950000000000003</v>
      </c>
      <c r="J8" s="139">
        <v>22.695</v>
      </c>
      <c r="K8" s="10">
        <v>3228.5889999999999</v>
      </c>
      <c r="L8" s="21">
        <f t="shared" si="18"/>
        <v>1.2043627234715223E-3</v>
      </c>
      <c r="M8" s="22">
        <f t="shared" si="19"/>
        <v>3.6592741054187881E-2</v>
      </c>
      <c r="N8" s="21">
        <f t="shared" si="20"/>
        <v>3.7999999999999999E-2</v>
      </c>
      <c r="O8" s="5">
        <f t="shared" si="21"/>
        <v>0.25</v>
      </c>
      <c r="P8" s="20">
        <f t="shared" si="22"/>
        <v>5</v>
      </c>
      <c r="Q8" s="140">
        <f>ROUND((0.8*'Side MDB'!W8+0.2*'Side Pole'!N8),3)</f>
        <v>6.2E-2</v>
      </c>
      <c r="R8" s="141">
        <f t="shared" si="23"/>
        <v>0.41</v>
      </c>
      <c r="S8" s="20">
        <f t="shared" si="24"/>
        <v>5</v>
      </c>
      <c r="T8" s="140">
        <f>ROUND(((0.8*'Side MDB'!W8+0.2*'Side Pole'!N8)+(IF('Side MDB'!X8="N/A",(0.8*'Side MDB'!W8+0.2*'Side Pole'!N8),'Side MDB'!X8)))/2,3)</f>
        <v>6.2E-2</v>
      </c>
      <c r="U8" s="141">
        <f t="shared" si="25"/>
        <v>0.41</v>
      </c>
      <c r="V8" s="20">
        <f t="shared" si="26"/>
        <v>5</v>
      </c>
      <c r="W8" s="13"/>
      <c r="X8" s="13"/>
      <c r="Y8" s="142"/>
      <c r="Z8" s="142"/>
      <c r="AA8" s="142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14.1" customHeight="1">
      <c r="A9" s="134">
        <v>11269</v>
      </c>
      <c r="B9" s="135" t="s">
        <v>121</v>
      </c>
      <c r="C9" s="136" t="str">
        <f>Rollover!A9</f>
        <v>Kia</v>
      </c>
      <c r="D9" s="136" t="str">
        <f>Rollover!B9</f>
        <v>K5 4DR FWD</v>
      </c>
      <c r="E9" s="60" t="s">
        <v>92</v>
      </c>
      <c r="F9" s="137">
        <f>Rollover!C9</f>
        <v>2021</v>
      </c>
      <c r="G9" s="138">
        <v>296.85399999999998</v>
      </c>
      <c r="H9" s="9">
        <v>23.672999999999998</v>
      </c>
      <c r="I9" s="9">
        <v>31.783999999999999</v>
      </c>
      <c r="J9" s="139">
        <v>15.914</v>
      </c>
      <c r="K9" s="139">
        <v>2621.0100000000002</v>
      </c>
      <c r="L9" s="21">
        <f t="shared" si="9"/>
        <v>8.7226614174344165E-3</v>
      </c>
      <c r="M9" s="22">
        <f t="shared" si="10"/>
        <v>2.1005317314864116E-2</v>
      </c>
      <c r="N9" s="21">
        <f t="shared" si="11"/>
        <v>0.03</v>
      </c>
      <c r="O9" s="5">
        <f t="shared" si="12"/>
        <v>0.2</v>
      </c>
      <c r="P9" s="20">
        <f t="shared" si="13"/>
        <v>5</v>
      </c>
      <c r="Q9" s="140">
        <f>ROUND((0.8*'Side MDB'!W9+0.2*'Side Pole'!N9),3)</f>
        <v>5.6000000000000001E-2</v>
      </c>
      <c r="R9" s="141">
        <f t="shared" si="14"/>
        <v>0.37</v>
      </c>
      <c r="S9" s="20">
        <f t="shared" si="15"/>
        <v>5</v>
      </c>
      <c r="T9" s="140">
        <f>ROUND(((0.8*'Side MDB'!W9+0.2*'Side Pole'!N9)+(IF('Side MDB'!X9="N/A",(0.8*'Side MDB'!W9+0.2*'Side Pole'!N9),'Side MDB'!X9)))/2,3)</f>
        <v>4.3999999999999997E-2</v>
      </c>
      <c r="U9" s="141">
        <f t="shared" si="16"/>
        <v>0.28999999999999998</v>
      </c>
      <c r="V9" s="20">
        <f t="shared" si="17"/>
        <v>5</v>
      </c>
      <c r="W9" s="13"/>
      <c r="X9" s="13"/>
      <c r="Y9" s="142"/>
      <c r="Z9" s="142"/>
      <c r="AA9" s="142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ht="14.1" customHeight="1">
      <c r="A10" s="146">
        <v>11078</v>
      </c>
      <c r="B10" s="135" t="s">
        <v>91</v>
      </c>
      <c r="C10" s="136" t="str">
        <f>Rollover!A10</f>
        <v>Kia</v>
      </c>
      <c r="D10" s="136" t="str">
        <f>Rollover!B10</f>
        <v>Seltos SUV FWD</v>
      </c>
      <c r="E10" s="60" t="s">
        <v>92</v>
      </c>
      <c r="F10" s="137">
        <f>Rollover!C10</f>
        <v>2021</v>
      </c>
      <c r="G10" s="138">
        <v>225.005</v>
      </c>
      <c r="H10" s="9">
        <v>21.611000000000001</v>
      </c>
      <c r="I10" s="9">
        <v>32.741999999999997</v>
      </c>
      <c r="J10" s="139">
        <v>13.589</v>
      </c>
      <c r="K10" s="10">
        <v>1927.626</v>
      </c>
      <c r="L10" s="21">
        <f t="shared" si="9"/>
        <v>2.964530963824544E-3</v>
      </c>
      <c r="M10" s="22">
        <f t="shared" si="10"/>
        <v>1.1057452974636553E-2</v>
      </c>
      <c r="N10" s="21">
        <f t="shared" si="11"/>
        <v>1.4E-2</v>
      </c>
      <c r="O10" s="5">
        <f t="shared" si="12"/>
        <v>0.09</v>
      </c>
      <c r="P10" s="20">
        <f t="shared" si="13"/>
        <v>5</v>
      </c>
      <c r="Q10" s="140">
        <f>ROUND((0.8*'Side MDB'!W10+0.2*'Side Pole'!N10),3)</f>
        <v>6.8000000000000005E-2</v>
      </c>
      <c r="R10" s="141">
        <f t="shared" si="14"/>
        <v>0.45</v>
      </c>
      <c r="S10" s="20">
        <f t="shared" si="15"/>
        <v>5</v>
      </c>
      <c r="T10" s="140">
        <f>ROUND(((0.8*'Side MDB'!W10+0.2*'Side Pole'!N10)+(IF('Side MDB'!X10="N/A",(0.8*'Side MDB'!W10+0.2*'Side Pole'!N10),'Side MDB'!X10)))/2,3)</f>
        <v>5.6000000000000001E-2</v>
      </c>
      <c r="U10" s="141">
        <f t="shared" si="16"/>
        <v>0.37</v>
      </c>
      <c r="V10" s="20">
        <f t="shared" si="17"/>
        <v>5</v>
      </c>
      <c r="W10" s="13"/>
      <c r="X10" s="13"/>
      <c r="Y10" s="142"/>
      <c r="Z10" s="142"/>
      <c r="AA10" s="142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ht="14.1" customHeight="1">
      <c r="A11" s="134">
        <v>11078</v>
      </c>
      <c r="B11" s="135" t="s">
        <v>91</v>
      </c>
      <c r="C11" s="136" t="str">
        <f>Rollover!A11</f>
        <v>Kia</v>
      </c>
      <c r="D11" s="136" t="str">
        <f>Rollover!B11</f>
        <v>Seltos SUV AWD</v>
      </c>
      <c r="E11" s="60" t="s">
        <v>92</v>
      </c>
      <c r="F11" s="137">
        <f>Rollover!C11</f>
        <v>2021</v>
      </c>
      <c r="G11" s="138">
        <v>225.005</v>
      </c>
      <c r="H11" s="9">
        <v>21.611000000000001</v>
      </c>
      <c r="I11" s="9">
        <v>32.741999999999997</v>
      </c>
      <c r="J11" s="139">
        <v>13.589</v>
      </c>
      <c r="K11" s="10">
        <v>1927.626</v>
      </c>
      <c r="L11" s="21">
        <f t="shared" si="9"/>
        <v>2.964530963824544E-3</v>
      </c>
      <c r="M11" s="22">
        <f t="shared" si="10"/>
        <v>1.1057452974636553E-2</v>
      </c>
      <c r="N11" s="21">
        <f t="shared" si="11"/>
        <v>1.4E-2</v>
      </c>
      <c r="O11" s="5">
        <f t="shared" si="12"/>
        <v>0.09</v>
      </c>
      <c r="P11" s="20">
        <f t="shared" si="13"/>
        <v>5</v>
      </c>
      <c r="Q11" s="140">
        <f>ROUND((0.8*'Side MDB'!W11+0.2*'Side Pole'!N11),3)</f>
        <v>6.8000000000000005E-2</v>
      </c>
      <c r="R11" s="141">
        <f t="shared" si="14"/>
        <v>0.45</v>
      </c>
      <c r="S11" s="20">
        <f t="shared" si="15"/>
        <v>5</v>
      </c>
      <c r="T11" s="140">
        <f>ROUND(((0.8*'Side MDB'!W11+0.2*'Side Pole'!N11)+(IF('Side MDB'!X11="N/A",(0.8*'Side MDB'!W11+0.2*'Side Pole'!N11),'Side MDB'!X11)))/2,3)</f>
        <v>5.6000000000000001E-2</v>
      </c>
      <c r="U11" s="141">
        <f t="shared" si="16"/>
        <v>0.37</v>
      </c>
      <c r="V11" s="20">
        <f t="shared" si="17"/>
        <v>5</v>
      </c>
      <c r="W11" s="13"/>
      <c r="X11" s="13"/>
      <c r="Y11" s="142"/>
      <c r="Z11" s="142"/>
      <c r="AA11" s="142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ht="14.1" customHeight="1">
      <c r="A12" s="134">
        <v>10911</v>
      </c>
      <c r="B12" s="135" t="s">
        <v>115</v>
      </c>
      <c r="C12" s="136" t="str">
        <f>Rollover!A12</f>
        <v>Subaru</v>
      </c>
      <c r="D12" s="136" t="str">
        <f>Rollover!B12</f>
        <v>Outback SW AWD</v>
      </c>
      <c r="E12" s="60" t="s">
        <v>112</v>
      </c>
      <c r="F12" s="137">
        <f>Rollover!C12</f>
        <v>2021</v>
      </c>
      <c r="G12" s="138">
        <v>145.62</v>
      </c>
      <c r="H12" s="9">
        <v>18.956</v>
      </c>
      <c r="I12" s="9">
        <v>43.360999999999997</v>
      </c>
      <c r="J12" s="139">
        <v>21.535</v>
      </c>
      <c r="K12" s="139">
        <v>2999.2440000000001</v>
      </c>
      <c r="L12" s="21">
        <f t="shared" ref="L12:L16" si="27">NORMDIST(LN(G12),7.45231,0.73998,1)</f>
        <v>4.1934813984900748E-4</v>
      </c>
      <c r="M12" s="22">
        <f t="shared" ref="M12:M16" si="28">1/(1+EXP(6.3055-0.00094*K12))</f>
        <v>2.9707136613067439E-2</v>
      </c>
      <c r="N12" s="21">
        <f t="shared" ref="N12:N16" si="29">ROUND(1-(1-L12)*(1-M12),3)</f>
        <v>0.03</v>
      </c>
      <c r="O12" s="5">
        <f t="shared" ref="O12:O16" si="30">ROUND(N12/0.15,2)</f>
        <v>0.2</v>
      </c>
      <c r="P12" s="20">
        <f t="shared" ref="P12:P16" si="31">IF(O12&lt;0.67,5,IF(O12&lt;1,4,IF(O12&lt;1.33,3,IF(O12&lt;2.67,2,1))))</f>
        <v>5</v>
      </c>
      <c r="Q12" s="140">
        <f>ROUND((0.8*'Side MDB'!W12+0.2*'Side Pole'!N12),3)</f>
        <v>2.4E-2</v>
      </c>
      <c r="R12" s="141">
        <f t="shared" ref="R12:R16" si="32">ROUND((Q12)/0.15,2)</f>
        <v>0.16</v>
      </c>
      <c r="S12" s="20">
        <f t="shared" ref="S12:S16" si="33">IF(R12&lt;0.67,5,IF(R12&lt;1,4,IF(R12&lt;1.33,3,IF(R12&lt;2.67,2,1))))</f>
        <v>5</v>
      </c>
      <c r="T12" s="140">
        <f>ROUND(((0.8*'Side MDB'!W12+0.2*'Side Pole'!N12)+(IF('Side MDB'!X12="N/A",(0.8*'Side MDB'!W12+0.2*'Side Pole'!N12),'Side MDB'!X12)))/2,3)</f>
        <v>2.4E-2</v>
      </c>
      <c r="U12" s="141">
        <f t="shared" ref="U12:U16" si="34">ROUND((T12)/0.15,2)</f>
        <v>0.16</v>
      </c>
      <c r="V12" s="20">
        <f t="shared" ref="V12:V16" si="35">IF(U12&lt;0.67,5,IF(U12&lt;1,4,IF(U12&lt;1.33,3,IF(U12&lt;2.67,2,1))))</f>
        <v>5</v>
      </c>
      <c r="W12" s="13"/>
      <c r="X12" s="13"/>
      <c r="Y12" s="142"/>
      <c r="Z12" s="142"/>
      <c r="AA12" s="142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ht="12" customHeight="1">
      <c r="A13" s="134">
        <v>10846</v>
      </c>
      <c r="B13" s="135" t="s">
        <v>116</v>
      </c>
      <c r="C13" s="145" t="str">
        <f>Rollover!A13</f>
        <v>Subaru</v>
      </c>
      <c r="D13" s="145" t="str">
        <f>Rollover!B13</f>
        <v>Legacy 4DR AWD</v>
      </c>
      <c r="E13" s="60" t="s">
        <v>112</v>
      </c>
      <c r="F13" s="137">
        <f>Rollover!C13</f>
        <v>2021</v>
      </c>
      <c r="G13" s="138">
        <v>103.797</v>
      </c>
      <c r="H13" s="9">
        <v>19.646999999999998</v>
      </c>
      <c r="I13" s="9">
        <v>38.470999999999997</v>
      </c>
      <c r="J13" s="139">
        <v>14.347</v>
      </c>
      <c r="K13" s="10">
        <v>3028.7040000000002</v>
      </c>
      <c r="L13" s="21">
        <f t="shared" si="27"/>
        <v>7.316153487279784E-5</v>
      </c>
      <c r="M13" s="22">
        <f t="shared" si="28"/>
        <v>3.0515840093706635E-2</v>
      </c>
      <c r="N13" s="21">
        <f t="shared" si="29"/>
        <v>3.1E-2</v>
      </c>
      <c r="O13" s="5">
        <f t="shared" si="30"/>
        <v>0.21</v>
      </c>
      <c r="P13" s="20">
        <f t="shared" si="31"/>
        <v>5</v>
      </c>
      <c r="Q13" s="140">
        <f>ROUND((0.8*'Side MDB'!W13+0.2*'Side Pole'!N13),3)</f>
        <v>4.2999999999999997E-2</v>
      </c>
      <c r="R13" s="141">
        <f t="shared" si="32"/>
        <v>0.28999999999999998</v>
      </c>
      <c r="S13" s="20">
        <f t="shared" si="33"/>
        <v>5</v>
      </c>
      <c r="T13" s="140">
        <f>ROUND(((0.8*'Side MDB'!W13+0.2*'Side Pole'!N13)+(IF('Side MDB'!X13="N/A",(0.8*'Side MDB'!W13+0.2*'Side Pole'!N13),'Side MDB'!X13)))/2,3)</f>
        <v>3.3000000000000002E-2</v>
      </c>
      <c r="U13" s="141">
        <f t="shared" si="34"/>
        <v>0.22</v>
      </c>
      <c r="V13" s="20">
        <f t="shared" si="35"/>
        <v>5</v>
      </c>
      <c r="W13" s="13"/>
      <c r="X13" s="13"/>
      <c r="Y13" s="142"/>
      <c r="Z13" s="142"/>
      <c r="AA13" s="142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ht="14.1" customHeight="1">
      <c r="A14" s="135">
        <v>10650</v>
      </c>
      <c r="B14" s="135" t="s">
        <v>118</v>
      </c>
      <c r="C14" s="136" t="str">
        <f>Rollover!A14</f>
        <v>Toyota</v>
      </c>
      <c r="D14" s="136" t="str">
        <f>Rollover!B14</f>
        <v>Corolla 4DR FWD</v>
      </c>
      <c r="E14" s="60" t="s">
        <v>92</v>
      </c>
      <c r="F14" s="137">
        <f>Rollover!C14</f>
        <v>2021</v>
      </c>
      <c r="G14" s="138">
        <v>239.12200000000001</v>
      </c>
      <c r="H14" s="9">
        <v>14.971</v>
      </c>
      <c r="I14" s="9">
        <v>31.571999999999999</v>
      </c>
      <c r="J14" s="139">
        <v>21.445</v>
      </c>
      <c r="K14" s="10">
        <v>2769.5720000000001</v>
      </c>
      <c r="L14" s="21">
        <f t="shared" si="27"/>
        <v>3.7988325969970905E-3</v>
      </c>
      <c r="M14" s="22">
        <f t="shared" si="28"/>
        <v>2.4077571975424518E-2</v>
      </c>
      <c r="N14" s="21">
        <f t="shared" si="29"/>
        <v>2.8000000000000001E-2</v>
      </c>
      <c r="O14" s="5">
        <f t="shared" si="30"/>
        <v>0.19</v>
      </c>
      <c r="P14" s="20">
        <f t="shared" si="31"/>
        <v>5</v>
      </c>
      <c r="Q14" s="140">
        <f>ROUND((0.8*'Side MDB'!W14+0.2*'Side Pole'!N14),3)</f>
        <v>4.2999999999999997E-2</v>
      </c>
      <c r="R14" s="141">
        <f t="shared" si="32"/>
        <v>0.28999999999999998</v>
      </c>
      <c r="S14" s="20">
        <f t="shared" si="33"/>
        <v>5</v>
      </c>
      <c r="T14" s="140">
        <f>ROUND(((0.8*'Side MDB'!W14+0.2*'Side Pole'!N14)+(IF('Side MDB'!X14="N/A",(0.8*'Side MDB'!W14+0.2*'Side Pole'!N14),'Side MDB'!X14)))/2,3)</f>
        <v>2.5999999999999999E-2</v>
      </c>
      <c r="U14" s="141">
        <f t="shared" si="34"/>
        <v>0.17</v>
      </c>
      <c r="V14" s="20">
        <f t="shared" si="35"/>
        <v>5</v>
      </c>
      <c r="W14" s="13"/>
      <c r="X14" s="13"/>
      <c r="Y14" s="142"/>
      <c r="Z14" s="142"/>
      <c r="AA14" s="142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ht="14.1" customHeight="1">
      <c r="A15" s="135">
        <v>10650</v>
      </c>
      <c r="B15" s="135" t="s">
        <v>118</v>
      </c>
      <c r="C15" s="145" t="str">
        <f>Rollover!A15</f>
        <v>Toyota</v>
      </c>
      <c r="D15" s="145" t="str">
        <f>Rollover!B15</f>
        <v>Corolla Hybrid 4DR FWD</v>
      </c>
      <c r="E15" s="60" t="s">
        <v>92</v>
      </c>
      <c r="F15" s="137">
        <f>Rollover!C15</f>
        <v>2021</v>
      </c>
      <c r="G15" s="138">
        <v>239.12200000000001</v>
      </c>
      <c r="H15" s="9">
        <v>14.971</v>
      </c>
      <c r="I15" s="9">
        <v>31.571999999999999</v>
      </c>
      <c r="J15" s="139">
        <v>21.445</v>
      </c>
      <c r="K15" s="10">
        <v>2769.5720000000001</v>
      </c>
      <c r="L15" s="21">
        <f t="shared" si="27"/>
        <v>3.7988325969970905E-3</v>
      </c>
      <c r="M15" s="22">
        <f t="shared" si="28"/>
        <v>2.4077571975424518E-2</v>
      </c>
      <c r="N15" s="21">
        <f t="shared" si="29"/>
        <v>2.8000000000000001E-2</v>
      </c>
      <c r="O15" s="5">
        <f t="shared" si="30"/>
        <v>0.19</v>
      </c>
      <c r="P15" s="20">
        <f t="shared" si="31"/>
        <v>5</v>
      </c>
      <c r="Q15" s="140">
        <f>ROUND((0.8*'Side MDB'!W15+0.2*'Side Pole'!N15),3)</f>
        <v>4.2999999999999997E-2</v>
      </c>
      <c r="R15" s="141">
        <f t="shared" si="32"/>
        <v>0.28999999999999998</v>
      </c>
      <c r="S15" s="20">
        <f t="shared" si="33"/>
        <v>5</v>
      </c>
      <c r="T15" s="140">
        <f>ROUND(((0.8*'Side MDB'!W15+0.2*'Side Pole'!N15)+(IF('Side MDB'!X15="N/A",(0.8*'Side MDB'!W15+0.2*'Side Pole'!N15),'Side MDB'!X15)))/2,3)</f>
        <v>2.5999999999999999E-2</v>
      </c>
      <c r="U15" s="141">
        <f t="shared" si="34"/>
        <v>0.17</v>
      </c>
      <c r="V15" s="20">
        <f t="shared" si="35"/>
        <v>5</v>
      </c>
      <c r="W15" s="13"/>
      <c r="X15" s="13"/>
      <c r="Y15" s="142"/>
      <c r="Z15" s="142"/>
      <c r="AA15" s="142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ht="14.1" customHeight="1">
      <c r="A16" s="135">
        <v>10650</v>
      </c>
      <c r="B16" s="135" t="s">
        <v>118</v>
      </c>
      <c r="C16" s="145" t="str">
        <f>Rollover!A16</f>
        <v>Toyota</v>
      </c>
      <c r="D16" s="145" t="str">
        <f>Rollover!B16</f>
        <v>Corolla Hatchback 5HB FWD</v>
      </c>
      <c r="E16" s="60" t="s">
        <v>92</v>
      </c>
      <c r="F16" s="137">
        <f>Rollover!C16</f>
        <v>2021</v>
      </c>
      <c r="G16" s="138">
        <v>239.12200000000001</v>
      </c>
      <c r="H16" s="9">
        <v>14.971</v>
      </c>
      <c r="I16" s="9">
        <v>31.571999999999999</v>
      </c>
      <c r="J16" s="139">
        <v>21.445</v>
      </c>
      <c r="K16" s="10">
        <v>2769.5720000000001</v>
      </c>
      <c r="L16" s="21">
        <f t="shared" si="27"/>
        <v>3.7988325969970905E-3</v>
      </c>
      <c r="M16" s="22">
        <f t="shared" si="28"/>
        <v>2.4077571975424518E-2</v>
      </c>
      <c r="N16" s="21">
        <f t="shared" si="29"/>
        <v>2.8000000000000001E-2</v>
      </c>
      <c r="O16" s="5">
        <f t="shared" si="30"/>
        <v>0.19</v>
      </c>
      <c r="P16" s="20">
        <f t="shared" si="31"/>
        <v>5</v>
      </c>
      <c r="Q16" s="140">
        <f>ROUND((0.8*'Side MDB'!W16+0.2*'Side Pole'!N16),3)</f>
        <v>4.2999999999999997E-2</v>
      </c>
      <c r="R16" s="141">
        <f t="shared" si="32"/>
        <v>0.28999999999999998</v>
      </c>
      <c r="S16" s="20">
        <f t="shared" si="33"/>
        <v>5</v>
      </c>
      <c r="T16" s="140">
        <f>ROUND(((0.8*'Side MDB'!W16+0.2*'Side Pole'!N16)+(IF('Side MDB'!X16="N/A",(0.8*'Side MDB'!W16+0.2*'Side Pole'!N16),'Side MDB'!X16)))/2,3)</f>
        <v>2.5999999999999999E-2</v>
      </c>
      <c r="U16" s="141">
        <f t="shared" si="34"/>
        <v>0.17</v>
      </c>
      <c r="V16" s="20">
        <f t="shared" si="35"/>
        <v>5</v>
      </c>
      <c r="W16" s="13"/>
      <c r="X16" s="13"/>
      <c r="Y16" s="142"/>
      <c r="Z16" s="142"/>
      <c r="AA16" s="142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4:17" ht="14.1" customHeight="1">
      <c r="N17" s="144"/>
      <c r="O17" s="144"/>
      <c r="P17" s="147"/>
      <c r="Q17" s="144"/>
    </row>
    <row r="18" spans="14:17" ht="14.1" customHeight="1">
      <c r="N18" s="144"/>
      <c r="O18" s="144"/>
      <c r="P18" s="147"/>
      <c r="Q18" s="144"/>
    </row>
    <row r="19" spans="14:17" ht="14.1" customHeight="1">
      <c r="N19" s="144"/>
      <c r="O19" s="144"/>
      <c r="P19" s="147"/>
      <c r="Q19" s="144"/>
    </row>
    <row r="20" spans="14:17" ht="14.1" customHeight="1">
      <c r="N20" s="144"/>
      <c r="O20" s="144"/>
      <c r="P20" s="147"/>
      <c r="Q20" s="144"/>
    </row>
    <row r="21" spans="14:17" ht="14.1" customHeight="1">
      <c r="N21" s="144"/>
      <c r="O21" s="144"/>
      <c r="P21" s="147"/>
      <c r="Q21" s="144"/>
    </row>
    <row r="22" spans="14:17" ht="14.1" customHeight="1">
      <c r="N22" s="144"/>
      <c r="O22" s="144"/>
      <c r="P22" s="147"/>
      <c r="Q22" s="144"/>
    </row>
    <row r="23" spans="14:17" ht="14.1" customHeight="1">
      <c r="N23" s="144"/>
      <c r="O23" s="144"/>
      <c r="P23" s="147"/>
      <c r="Q23" s="144"/>
    </row>
    <row r="24" spans="14:17" ht="14.1" customHeight="1">
      <c r="N24" s="144"/>
      <c r="O24" s="144"/>
      <c r="P24" s="147"/>
      <c r="Q24" s="144"/>
    </row>
    <row r="25" spans="14:17" ht="14.1" customHeight="1">
      <c r="N25" s="144"/>
      <c r="O25" s="144"/>
      <c r="P25" s="147"/>
      <c r="Q25" s="144"/>
    </row>
    <row r="26" spans="14:17" ht="14.1" customHeight="1">
      <c r="N26" s="144"/>
      <c r="O26" s="144"/>
      <c r="P26" s="147"/>
      <c r="Q26" s="144"/>
    </row>
    <row r="27" spans="14:17" ht="14.1" customHeight="1">
      <c r="N27" s="144"/>
      <c r="O27" s="144"/>
      <c r="P27" s="147"/>
      <c r="Q27" s="144"/>
    </row>
    <row r="28" spans="14:17" ht="14.1" customHeight="1">
      <c r="N28" s="144"/>
      <c r="O28" s="144"/>
      <c r="P28" s="147"/>
      <c r="Q28" s="144"/>
    </row>
    <row r="29" spans="14:17" ht="14.1" customHeight="1">
      <c r="N29" s="144"/>
      <c r="O29" s="144"/>
      <c r="P29" s="147"/>
      <c r="Q29" s="144"/>
    </row>
    <row r="30" spans="14:17" ht="14.1" customHeight="1">
      <c r="N30" s="144"/>
      <c r="O30" s="144"/>
      <c r="P30" s="147"/>
      <c r="Q30" s="144"/>
    </row>
    <row r="31" spans="14:17" ht="14.1" customHeight="1">
      <c r="N31" s="144"/>
      <c r="O31" s="144"/>
      <c r="P31" s="147"/>
      <c r="Q31" s="144"/>
    </row>
    <row r="32" spans="14:17" ht="14.1" customHeight="1">
      <c r="N32" s="144"/>
      <c r="O32" s="144"/>
      <c r="P32" s="147"/>
      <c r="Q32" s="144"/>
    </row>
    <row r="33" spans="14:17" ht="14.1" customHeight="1">
      <c r="N33" s="144"/>
      <c r="O33" s="144"/>
      <c r="P33" s="147"/>
      <c r="Q33" s="144"/>
    </row>
    <row r="34" spans="14:17" ht="14.1" customHeight="1">
      <c r="N34" s="144"/>
      <c r="O34" s="144"/>
      <c r="P34" s="147"/>
      <c r="Q34" s="144"/>
    </row>
    <row r="35" spans="14:17" ht="14.1" customHeight="1">
      <c r="N35" s="144"/>
      <c r="O35" s="144"/>
      <c r="P35" s="147"/>
      <c r="Q35" s="144"/>
    </row>
    <row r="36" spans="14:17" ht="14.1" customHeight="1">
      <c r="N36" s="144"/>
      <c r="O36" s="144"/>
      <c r="P36" s="147"/>
      <c r="Q36" s="144"/>
    </row>
    <row r="37" spans="14:17" ht="14.1" customHeight="1">
      <c r="N37" s="144"/>
      <c r="O37" s="144"/>
      <c r="P37" s="147"/>
      <c r="Q37" s="144"/>
    </row>
    <row r="38" spans="14:17" ht="14.1" customHeight="1">
      <c r="N38" s="144"/>
      <c r="O38" s="144"/>
      <c r="P38" s="147"/>
      <c r="Q38" s="144"/>
    </row>
    <row r="39" spans="14:17" ht="14.1" customHeight="1">
      <c r="N39" s="144"/>
      <c r="O39" s="144"/>
      <c r="P39" s="147"/>
      <c r="Q39" s="144"/>
    </row>
    <row r="40" spans="14:17" ht="14.1" customHeight="1">
      <c r="N40" s="144"/>
      <c r="O40" s="144"/>
      <c r="P40" s="147"/>
      <c r="Q40" s="144"/>
    </row>
    <row r="41" spans="14:17" ht="14.1" customHeight="1">
      <c r="N41" s="144"/>
      <c r="O41" s="144"/>
      <c r="P41" s="147"/>
      <c r="Q41" s="144"/>
    </row>
    <row r="42" spans="14:17" ht="14.1" customHeight="1">
      <c r="N42" s="144"/>
      <c r="O42" s="144"/>
      <c r="P42" s="147"/>
      <c r="Q42" s="144"/>
    </row>
    <row r="43" spans="14:17" ht="14.1" customHeight="1">
      <c r="N43" s="144"/>
      <c r="O43" s="144"/>
      <c r="P43" s="147"/>
      <c r="Q43" s="144"/>
    </row>
    <row r="44" spans="14:17" ht="14.1" customHeight="1">
      <c r="N44" s="144"/>
      <c r="O44" s="144"/>
      <c r="P44" s="147"/>
      <c r="Q44" s="144"/>
    </row>
    <row r="45" spans="14:17" ht="14.1" customHeight="1">
      <c r="N45" s="144"/>
      <c r="O45" s="144"/>
      <c r="P45" s="147"/>
      <c r="Q45" s="144"/>
    </row>
    <row r="46" spans="14:17" ht="14.1" customHeight="1">
      <c r="N46" s="144"/>
      <c r="O46" s="144"/>
      <c r="P46" s="147"/>
      <c r="Q46" s="144"/>
    </row>
    <row r="47" spans="14:17" ht="14.1" customHeight="1">
      <c r="N47" s="144"/>
      <c r="O47" s="144"/>
      <c r="P47" s="147"/>
      <c r="Q47" s="144"/>
    </row>
    <row r="48" spans="14:17" ht="14.1" customHeight="1">
      <c r="N48" s="144"/>
      <c r="O48" s="144"/>
      <c r="P48" s="147"/>
      <c r="Q48" s="144"/>
    </row>
    <row r="49" spans="14:17" ht="14.1" customHeight="1">
      <c r="N49" s="144"/>
      <c r="O49" s="144"/>
      <c r="P49" s="147"/>
      <c r="Q49" s="144"/>
    </row>
    <row r="50" spans="14:17" ht="14.1" customHeight="1">
      <c r="N50" s="144"/>
      <c r="O50" s="144"/>
      <c r="P50" s="147"/>
      <c r="Q50" s="144"/>
    </row>
    <row r="51" spans="14:17" ht="14.1" customHeight="1">
      <c r="N51" s="144"/>
      <c r="O51" s="144"/>
      <c r="P51" s="147"/>
      <c r="Q51" s="144"/>
    </row>
    <row r="52" spans="14:17" ht="14.1" customHeight="1">
      <c r="N52" s="144"/>
      <c r="O52" s="144"/>
      <c r="P52" s="147"/>
      <c r="Q52" s="144"/>
    </row>
    <row r="53" spans="14:17" ht="14.1" customHeight="1">
      <c r="N53" s="144"/>
      <c r="O53" s="144"/>
      <c r="P53" s="147"/>
      <c r="Q53" s="144"/>
    </row>
    <row r="54" spans="14:17" ht="14.1" customHeight="1">
      <c r="N54" s="144"/>
      <c r="O54" s="144"/>
      <c r="P54" s="147"/>
      <c r="Q54" s="144"/>
    </row>
    <row r="55" spans="14:17" ht="14.1" customHeight="1">
      <c r="N55" s="144"/>
      <c r="O55" s="144"/>
      <c r="P55" s="147"/>
      <c r="Q55" s="144"/>
    </row>
    <row r="56" spans="14:17" ht="14.1" customHeight="1">
      <c r="N56" s="144"/>
      <c r="O56" s="144"/>
      <c r="P56" s="147"/>
      <c r="Q56" s="144"/>
    </row>
    <row r="57" spans="14:17" ht="14.1" customHeight="1">
      <c r="N57" s="144"/>
      <c r="O57" s="144"/>
      <c r="P57" s="147"/>
      <c r="Q57" s="144"/>
    </row>
    <row r="58" spans="14:17" ht="14.1" customHeight="1">
      <c r="N58" s="144"/>
      <c r="O58" s="144"/>
      <c r="P58" s="147"/>
      <c r="Q58" s="144"/>
    </row>
    <row r="59" spans="14:17" ht="14.1" customHeight="1">
      <c r="N59" s="144"/>
      <c r="O59" s="144"/>
      <c r="P59" s="147"/>
      <c r="Q59" s="144"/>
    </row>
    <row r="60" spans="14:17" ht="14.1" customHeight="1">
      <c r="N60" s="144"/>
      <c r="O60" s="144"/>
      <c r="P60" s="147"/>
      <c r="Q60" s="144"/>
    </row>
    <row r="61" spans="14:17" ht="14.1" customHeight="1">
      <c r="N61" s="144"/>
      <c r="O61" s="144"/>
      <c r="P61" s="147"/>
      <c r="Q61" s="144"/>
    </row>
    <row r="62" spans="14:17" ht="14.1" customHeight="1">
      <c r="N62" s="144"/>
      <c r="O62" s="144"/>
      <c r="P62" s="147"/>
      <c r="Q62" s="144"/>
    </row>
    <row r="63" spans="14:17" ht="14.1" customHeight="1">
      <c r="N63" s="144"/>
      <c r="O63" s="144"/>
      <c r="P63" s="147"/>
      <c r="Q63" s="144"/>
    </row>
    <row r="64" spans="14:17" ht="14.1" customHeight="1">
      <c r="N64" s="144"/>
      <c r="O64" s="144"/>
      <c r="P64" s="147"/>
      <c r="Q64" s="144"/>
    </row>
    <row r="65" spans="14:17" ht="14.1" customHeight="1">
      <c r="N65" s="144"/>
      <c r="O65" s="144"/>
      <c r="P65" s="147"/>
      <c r="Q65" s="144"/>
    </row>
    <row r="66" spans="14:17" ht="14.1" customHeight="1">
      <c r="N66" s="144"/>
      <c r="O66" s="144"/>
      <c r="P66" s="147"/>
      <c r="Q66" s="144"/>
    </row>
    <row r="67" spans="14:17" ht="14.1" customHeight="1">
      <c r="N67" s="144"/>
      <c r="O67" s="144"/>
      <c r="P67" s="147"/>
      <c r="Q67" s="144"/>
    </row>
    <row r="68" spans="14:17" ht="14.1" customHeight="1">
      <c r="N68" s="144"/>
      <c r="O68" s="144"/>
      <c r="P68" s="147"/>
      <c r="Q68" s="144"/>
    </row>
    <row r="69" spans="14:17" ht="14.1" customHeight="1">
      <c r="N69" s="144"/>
      <c r="O69" s="144"/>
      <c r="P69" s="147"/>
      <c r="Q69" s="144"/>
    </row>
    <row r="70" spans="14:17" ht="14.1" customHeight="1">
      <c r="N70" s="144"/>
      <c r="O70" s="144"/>
      <c r="P70" s="147"/>
      <c r="Q70" s="144"/>
    </row>
    <row r="71" spans="14:17" ht="14.1" customHeight="1">
      <c r="N71" s="144"/>
      <c r="O71" s="144"/>
      <c r="P71" s="147"/>
      <c r="Q71" s="144"/>
    </row>
    <row r="72" spans="14:17" ht="14.1" customHeight="1">
      <c r="N72" s="144"/>
      <c r="O72" s="144"/>
      <c r="P72" s="147"/>
      <c r="Q72" s="144"/>
    </row>
    <row r="73" spans="14:17" ht="14.1" customHeight="1">
      <c r="N73" s="144"/>
      <c r="O73" s="144"/>
      <c r="P73" s="147"/>
      <c r="Q73" s="144"/>
    </row>
    <row r="74" spans="14:17" ht="14.1" customHeight="1">
      <c r="N74" s="144"/>
      <c r="O74" s="144"/>
      <c r="P74" s="147"/>
      <c r="Q74" s="144"/>
    </row>
    <row r="75" spans="14:17" ht="14.1" customHeight="1">
      <c r="N75" s="144"/>
      <c r="O75" s="144"/>
      <c r="P75" s="147"/>
      <c r="Q75" s="144"/>
    </row>
    <row r="76" spans="14:17" ht="14.1" customHeight="1">
      <c r="N76" s="144"/>
      <c r="O76" s="144"/>
      <c r="P76" s="147"/>
      <c r="Q76" s="144"/>
    </row>
    <row r="77" spans="14:17" ht="14.1" customHeight="1">
      <c r="N77" s="144"/>
      <c r="O77" s="144"/>
      <c r="P77" s="147"/>
      <c r="Q77" s="144"/>
    </row>
    <row r="78" spans="14:17" ht="14.1" customHeight="1">
      <c r="N78" s="144"/>
      <c r="O78" s="144"/>
      <c r="P78" s="147"/>
      <c r="Q78" s="144"/>
    </row>
    <row r="79" spans="14:17" ht="14.1" customHeight="1">
      <c r="N79" s="144"/>
      <c r="O79" s="144"/>
      <c r="P79" s="147"/>
      <c r="Q79" s="144"/>
    </row>
    <row r="80" spans="14:17" ht="14.1" customHeight="1">
      <c r="N80" s="144"/>
      <c r="O80" s="144"/>
      <c r="P80" s="147"/>
      <c r="Q80" s="144"/>
    </row>
    <row r="81" spans="14:17" ht="14.1" customHeight="1">
      <c r="N81" s="144"/>
      <c r="O81" s="144"/>
      <c r="P81" s="147"/>
      <c r="Q81" s="144"/>
    </row>
    <row r="82" spans="14:17" ht="14.1" customHeight="1">
      <c r="N82" s="144"/>
      <c r="O82" s="144"/>
      <c r="P82" s="147"/>
      <c r="Q82" s="144"/>
    </row>
    <row r="83" spans="14:17" ht="14.1" customHeight="1">
      <c r="N83" s="144"/>
      <c r="O83" s="144"/>
      <c r="P83" s="147"/>
      <c r="Q83" s="144"/>
    </row>
    <row r="84" spans="14:17" ht="14.1" customHeight="1">
      <c r="N84" s="144"/>
      <c r="O84" s="144"/>
      <c r="P84" s="147"/>
      <c r="Q84" s="144"/>
    </row>
    <row r="85" spans="14:17" ht="14.1" customHeight="1">
      <c r="N85" s="144"/>
      <c r="O85" s="144"/>
      <c r="P85" s="147"/>
      <c r="Q85" s="144"/>
    </row>
    <row r="86" spans="14:17" ht="14.1" customHeight="1">
      <c r="N86" s="144"/>
      <c r="O86" s="144"/>
      <c r="P86" s="147"/>
      <c r="Q86" s="144"/>
    </row>
    <row r="87" spans="14:17" ht="14.1" customHeight="1">
      <c r="N87" s="144"/>
      <c r="O87" s="144"/>
      <c r="P87" s="147"/>
      <c r="Q87" s="144"/>
    </row>
    <row r="88" spans="14:17" ht="14.1" customHeight="1">
      <c r="N88" s="144"/>
      <c r="O88" s="144"/>
      <c r="P88" s="147"/>
      <c r="Q88" s="144"/>
    </row>
    <row r="89" spans="14:17" ht="14.1" customHeight="1">
      <c r="N89" s="144"/>
      <c r="O89" s="144"/>
      <c r="P89" s="147"/>
      <c r="Q89" s="144"/>
    </row>
    <row r="90" spans="14:17" ht="14.1" customHeight="1">
      <c r="N90" s="144"/>
      <c r="O90" s="144"/>
      <c r="P90" s="147"/>
      <c r="Q90" s="144"/>
    </row>
    <row r="91" spans="14:17" ht="14.1" customHeight="1">
      <c r="N91" s="144"/>
      <c r="O91" s="144"/>
      <c r="P91" s="147"/>
      <c r="Q91" s="144"/>
    </row>
    <row r="92" spans="14:17" ht="14.1" customHeight="1">
      <c r="N92" s="144"/>
      <c r="O92" s="144"/>
      <c r="P92" s="147"/>
      <c r="Q92" s="144"/>
    </row>
    <row r="93" spans="14:17" ht="14.1" customHeight="1">
      <c r="N93" s="144"/>
      <c r="O93" s="144"/>
      <c r="P93" s="147"/>
      <c r="Q93" s="144"/>
    </row>
    <row r="94" spans="14:17" ht="14.1" customHeight="1">
      <c r="N94" s="144"/>
      <c r="O94" s="144"/>
      <c r="P94" s="147"/>
      <c r="Q94" s="144"/>
    </row>
    <row r="95" spans="14:17" ht="14.1" customHeight="1">
      <c r="N95" s="144"/>
      <c r="O95" s="144"/>
      <c r="P95" s="147"/>
      <c r="Q95" s="144"/>
    </row>
    <row r="96" spans="14:17" ht="14.1" customHeight="1">
      <c r="N96" s="144"/>
      <c r="O96" s="144"/>
      <c r="P96" s="147"/>
      <c r="Q96" s="144"/>
    </row>
    <row r="97" spans="14:17" ht="14.1" customHeight="1">
      <c r="N97" s="144"/>
      <c r="O97" s="144"/>
      <c r="P97" s="147"/>
      <c r="Q97" s="144"/>
    </row>
    <row r="98" spans="14:17" ht="14.1" customHeight="1">
      <c r="N98" s="144"/>
      <c r="O98" s="144"/>
      <c r="P98" s="147"/>
      <c r="Q98" s="144"/>
    </row>
    <row r="99" spans="14:17" ht="14.1" customHeight="1">
      <c r="N99" s="144"/>
      <c r="O99" s="144"/>
      <c r="P99" s="147"/>
      <c r="Q99" s="144"/>
    </row>
    <row r="100" spans="14:17" ht="14.1" customHeight="1">
      <c r="N100" s="144"/>
      <c r="O100" s="144"/>
      <c r="P100" s="147"/>
      <c r="Q100" s="144"/>
    </row>
    <row r="101" spans="14:17" ht="14.1" customHeight="1">
      <c r="N101" s="144"/>
      <c r="O101" s="144"/>
      <c r="P101" s="147"/>
      <c r="Q101" s="144"/>
    </row>
    <row r="102" spans="14:17" ht="14.1" customHeight="1">
      <c r="N102" s="144"/>
      <c r="O102" s="144"/>
      <c r="P102" s="147"/>
      <c r="Q102" s="144"/>
    </row>
    <row r="103" spans="14:17" ht="14.1" customHeight="1">
      <c r="N103" s="144"/>
      <c r="O103" s="144"/>
      <c r="P103" s="147"/>
      <c r="Q103" s="144"/>
    </row>
    <row r="104" spans="14:17" ht="14.1" customHeight="1">
      <c r="N104" s="144"/>
      <c r="O104" s="144"/>
      <c r="P104" s="147"/>
      <c r="Q104" s="144"/>
    </row>
    <row r="105" spans="14:17" ht="14.1" customHeight="1">
      <c r="N105" s="144"/>
      <c r="O105" s="144"/>
      <c r="P105" s="147"/>
      <c r="Q105" s="144"/>
    </row>
    <row r="106" spans="14:17" ht="14.1" customHeight="1">
      <c r="N106" s="144"/>
      <c r="O106" s="144"/>
      <c r="P106" s="147"/>
      <c r="Q106" s="144"/>
    </row>
    <row r="107" spans="14:17" ht="14.1" customHeight="1">
      <c r="N107" s="144"/>
      <c r="O107" s="144"/>
      <c r="P107" s="147"/>
      <c r="Q107" s="144"/>
    </row>
    <row r="108" spans="14:17" ht="14.1" customHeight="1">
      <c r="N108" s="144"/>
      <c r="O108" s="144"/>
      <c r="P108" s="147"/>
      <c r="Q108" s="144"/>
    </row>
    <row r="109" spans="14:17" ht="14.1" customHeight="1">
      <c r="N109" s="144"/>
      <c r="O109" s="144"/>
      <c r="P109" s="147"/>
      <c r="Q109" s="144"/>
    </row>
    <row r="110" spans="14:17" ht="14.1" customHeight="1">
      <c r="N110" s="144"/>
      <c r="O110" s="144"/>
      <c r="P110" s="147"/>
      <c r="Q110" s="144"/>
    </row>
    <row r="111" spans="14:17" ht="14.1" customHeight="1">
      <c r="N111" s="144"/>
      <c r="O111" s="144"/>
      <c r="P111" s="147"/>
      <c r="Q111" s="144"/>
    </row>
    <row r="112" spans="14:17" ht="14.1" customHeight="1">
      <c r="N112" s="144"/>
      <c r="O112" s="144"/>
      <c r="P112" s="147"/>
      <c r="Q112" s="144"/>
    </row>
    <row r="113" spans="14:17" ht="14.1" customHeight="1">
      <c r="N113" s="144"/>
      <c r="O113" s="144"/>
      <c r="P113" s="147"/>
      <c r="Q113" s="144"/>
    </row>
    <row r="114" spans="14:17" ht="14.1" customHeight="1">
      <c r="N114" s="144"/>
      <c r="O114" s="144"/>
      <c r="P114" s="147"/>
      <c r="Q114" s="144"/>
    </row>
    <row r="115" spans="14:17" ht="14.1" customHeight="1">
      <c r="N115" s="144"/>
      <c r="O115" s="144"/>
      <c r="P115" s="147"/>
      <c r="Q115" s="144"/>
    </row>
    <row r="116" spans="14:17" ht="14.1" customHeight="1">
      <c r="N116" s="144"/>
      <c r="O116" s="144"/>
      <c r="P116" s="147"/>
      <c r="Q116" s="144"/>
    </row>
    <row r="117" spans="14:17" ht="14.1" customHeight="1">
      <c r="N117" s="144"/>
      <c r="O117" s="144"/>
      <c r="P117" s="147"/>
      <c r="Q117" s="144"/>
    </row>
    <row r="118" spans="14:17" ht="14.1" customHeight="1">
      <c r="N118" s="144"/>
      <c r="O118" s="144"/>
      <c r="P118" s="147"/>
      <c r="Q118" s="144"/>
    </row>
    <row r="119" spans="14:17" ht="14.1" customHeight="1">
      <c r="N119" s="144"/>
      <c r="O119" s="144"/>
      <c r="P119" s="147"/>
      <c r="Q119" s="144"/>
    </row>
    <row r="120" spans="14:17" ht="14.1" customHeight="1">
      <c r="N120" s="144"/>
      <c r="O120" s="144"/>
      <c r="P120" s="147"/>
      <c r="Q120" s="144"/>
    </row>
    <row r="121" spans="14:17" ht="14.1" customHeight="1">
      <c r="N121" s="144"/>
      <c r="O121" s="144"/>
      <c r="P121" s="147"/>
      <c r="Q121" s="144"/>
    </row>
    <row r="122" spans="14:17" ht="14.1" customHeight="1">
      <c r="N122" s="144"/>
      <c r="O122" s="144"/>
      <c r="P122" s="147"/>
      <c r="Q122" s="144"/>
    </row>
    <row r="123" spans="14:17" ht="14.1" customHeight="1">
      <c r="N123" s="144"/>
      <c r="O123" s="144"/>
      <c r="P123" s="147"/>
      <c r="Q123" s="144"/>
    </row>
    <row r="124" spans="14:17" ht="14.1" customHeight="1">
      <c r="N124" s="144"/>
      <c r="O124" s="144"/>
      <c r="P124" s="147"/>
      <c r="Q124" s="144"/>
    </row>
    <row r="125" spans="14:17" ht="14.1" customHeight="1">
      <c r="N125" s="144"/>
      <c r="O125" s="144"/>
      <c r="P125" s="147"/>
      <c r="Q125" s="144"/>
    </row>
    <row r="126" spans="14:17" ht="14.1" customHeight="1">
      <c r="N126" s="144"/>
      <c r="O126" s="144"/>
      <c r="P126" s="147"/>
      <c r="Q126" s="144"/>
    </row>
    <row r="127" spans="14:17" ht="14.1" customHeight="1">
      <c r="N127" s="144"/>
      <c r="O127" s="144"/>
      <c r="P127" s="147"/>
      <c r="Q127" s="144"/>
    </row>
    <row r="128" spans="14:17" ht="14.1" customHeight="1">
      <c r="N128" s="144"/>
      <c r="O128" s="144"/>
      <c r="P128" s="147"/>
      <c r="Q128" s="144"/>
    </row>
    <row r="129" spans="14:17" ht="14.1" customHeight="1">
      <c r="N129" s="144"/>
      <c r="O129" s="144"/>
      <c r="P129" s="147"/>
      <c r="Q129" s="144"/>
    </row>
    <row r="130" spans="14:17" ht="14.1" customHeight="1">
      <c r="N130" s="144"/>
      <c r="O130" s="144"/>
      <c r="P130" s="147"/>
      <c r="Q130" s="144"/>
    </row>
    <row r="131" spans="14:17" ht="14.1" customHeight="1">
      <c r="N131" s="144"/>
      <c r="O131" s="144"/>
      <c r="P131" s="147"/>
      <c r="Q131" s="144"/>
    </row>
    <row r="132" spans="14:17" ht="14.1" customHeight="1">
      <c r="N132" s="144"/>
      <c r="O132" s="144"/>
      <c r="P132" s="147"/>
      <c r="Q132" s="144"/>
    </row>
    <row r="133" spans="14:17" ht="14.1" customHeight="1">
      <c r="N133" s="144"/>
      <c r="O133" s="144"/>
      <c r="P133" s="147"/>
      <c r="Q133" s="144"/>
    </row>
    <row r="134" spans="14:17" ht="14.1" customHeight="1">
      <c r="N134" s="144"/>
      <c r="O134" s="144"/>
      <c r="P134" s="147"/>
      <c r="Q134" s="144"/>
    </row>
    <row r="135" spans="14:17" ht="14.1" customHeight="1">
      <c r="N135" s="144"/>
      <c r="O135" s="144"/>
      <c r="P135" s="147"/>
      <c r="Q135" s="144"/>
    </row>
    <row r="136" spans="14:17" ht="14.1" customHeight="1">
      <c r="N136" s="144"/>
      <c r="O136" s="144"/>
      <c r="P136" s="147"/>
      <c r="Q136" s="144"/>
    </row>
    <row r="137" spans="14:17" ht="14.1" customHeight="1">
      <c r="N137" s="144"/>
      <c r="O137" s="144"/>
      <c r="P137" s="147"/>
      <c r="Q137" s="144"/>
    </row>
    <row r="138" spans="14:17" ht="14.1" customHeight="1">
      <c r="N138" s="144"/>
      <c r="O138" s="144"/>
      <c r="P138" s="147"/>
      <c r="Q138" s="144"/>
    </row>
    <row r="139" spans="14:17" ht="14.1" customHeight="1">
      <c r="N139" s="144"/>
      <c r="O139" s="144"/>
      <c r="P139" s="147"/>
      <c r="Q139" s="144"/>
    </row>
    <row r="140" spans="14:17" ht="14.1" customHeight="1">
      <c r="N140" s="144"/>
      <c r="O140" s="144"/>
      <c r="P140" s="147"/>
      <c r="Q140" s="144"/>
    </row>
    <row r="141" spans="14:17" ht="14.1" customHeight="1">
      <c r="N141" s="144"/>
      <c r="O141" s="144"/>
      <c r="P141" s="147"/>
      <c r="Q141" s="144"/>
    </row>
    <row r="142" spans="14:17" ht="14.1" customHeight="1">
      <c r="N142" s="144"/>
      <c r="O142" s="144"/>
      <c r="P142" s="147"/>
      <c r="Q142" s="144"/>
    </row>
    <row r="143" spans="14:17" ht="14.1" customHeight="1">
      <c r="N143" s="144"/>
      <c r="O143" s="144"/>
      <c r="P143" s="147"/>
      <c r="Q143" s="144"/>
    </row>
    <row r="144" spans="14:17" ht="14.1" customHeight="1">
      <c r="N144" s="144"/>
      <c r="O144" s="144"/>
      <c r="P144" s="147"/>
      <c r="Q144" s="144"/>
    </row>
    <row r="145" spans="14:17" ht="14.1" customHeight="1">
      <c r="N145" s="144"/>
      <c r="O145" s="144"/>
      <c r="P145" s="147"/>
      <c r="Q145" s="144"/>
    </row>
  </sheetData>
  <mergeCells count="2">
    <mergeCell ref="G1:K1"/>
    <mergeCell ref="L1:M1"/>
  </mergeCells>
  <phoneticPr fontId="3" type="noConversion"/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96" zoomScaleNormal="96" workbookViewId="0">
      <pane xSplit="4" ySplit="2" topLeftCell="E3" activePane="bottomRight" state="frozen"/>
      <selection activeCell="B21" sqref="B21"/>
      <selection pane="topRight" activeCell="B21" sqref="B21"/>
      <selection pane="bottomLeft" activeCell="B21" sqref="B21"/>
      <selection pane="bottomRight" activeCell="A7" sqref="A7:XFD8"/>
    </sheetView>
  </sheetViews>
  <sheetFormatPr defaultColWidth="9.42578125" defaultRowHeight="14.85" customHeight="1"/>
  <cols>
    <col min="1" max="1" width="9.42578125" style="88" customWidth="1"/>
    <col min="2" max="2" width="12.5703125" style="88" customWidth="1"/>
    <col min="3" max="3" width="38.5703125" style="88" customWidth="1"/>
    <col min="4" max="4" width="5.5703125" style="88" customWidth="1"/>
    <col min="5" max="5" width="6.42578125" style="90" customWidth="1"/>
    <col min="6" max="6" width="5.42578125" style="91" customWidth="1"/>
    <col min="7" max="8" width="6.42578125" style="91" customWidth="1"/>
    <col min="9" max="9" width="5.5703125" style="91" bestFit="1" customWidth="1"/>
    <col min="10" max="10" width="7.42578125" style="91" customWidth="1"/>
    <col min="11" max="11" width="9.42578125" style="91" customWidth="1"/>
    <col min="12" max="12" width="11" style="91" customWidth="1"/>
    <col min="13" max="13" width="10" style="91" customWidth="1"/>
    <col min="14" max="14" width="7.42578125" style="90" customWidth="1"/>
    <col min="15" max="15" width="9" style="92" customWidth="1"/>
    <col min="16" max="16" width="9.5703125" style="88" customWidth="1"/>
    <col min="17" max="16384" width="9.42578125" style="88"/>
  </cols>
  <sheetData>
    <row r="1" spans="1:16" s="72" customFormat="1" ht="33.75">
      <c r="A1" s="226" t="s">
        <v>73</v>
      </c>
      <c r="B1" s="230" t="s">
        <v>18</v>
      </c>
      <c r="C1" s="230" t="s">
        <v>19</v>
      </c>
      <c r="D1" s="232" t="s">
        <v>20</v>
      </c>
      <c r="E1" s="223" t="s">
        <v>49</v>
      </c>
      <c r="F1" s="224"/>
      <c r="G1" s="225"/>
      <c r="H1" s="223" t="s">
        <v>51</v>
      </c>
      <c r="I1" s="224"/>
      <c r="J1" s="224"/>
      <c r="K1" s="69" t="s">
        <v>54</v>
      </c>
      <c r="L1" s="69" t="s">
        <v>84</v>
      </c>
      <c r="M1" s="69" t="s">
        <v>83</v>
      </c>
      <c r="N1" s="228" t="s">
        <v>55</v>
      </c>
      <c r="O1" s="70" t="s">
        <v>48</v>
      </c>
      <c r="P1" s="71" t="s">
        <v>48</v>
      </c>
    </row>
    <row r="2" spans="1:16" s="82" customFormat="1" ht="12" thickBot="1">
      <c r="A2" s="227"/>
      <c r="B2" s="231"/>
      <c r="C2" s="231"/>
      <c r="D2" s="233"/>
      <c r="E2" s="73" t="s">
        <v>13</v>
      </c>
      <c r="F2" s="74" t="s">
        <v>52</v>
      </c>
      <c r="G2" s="75" t="s">
        <v>53</v>
      </c>
      <c r="H2" s="76" t="s">
        <v>13</v>
      </c>
      <c r="I2" s="77" t="s">
        <v>52</v>
      </c>
      <c r="J2" s="78" t="s">
        <v>53</v>
      </c>
      <c r="K2" s="79" t="s">
        <v>13</v>
      </c>
      <c r="L2" s="79" t="s">
        <v>13</v>
      </c>
      <c r="M2" s="79" t="s">
        <v>48</v>
      </c>
      <c r="N2" s="229"/>
      <c r="O2" s="80" t="s">
        <v>56</v>
      </c>
      <c r="P2" s="81" t="s">
        <v>57</v>
      </c>
    </row>
    <row r="3" spans="1:16" ht="14.85" customHeight="1">
      <c r="A3" s="45">
        <v>44159</v>
      </c>
      <c r="B3" s="41" t="str">
        <f>Rollover!A3</f>
        <v>Chevrolet</v>
      </c>
      <c r="C3" s="41" t="str">
        <f>Rollover!B3</f>
        <v>Trailblazer SUV FWD (Later Release)</v>
      </c>
      <c r="D3" s="83">
        <f>Rollover!C3</f>
        <v>2021</v>
      </c>
      <c r="E3" s="19">
        <f>Front!AW3</f>
        <v>5</v>
      </c>
      <c r="F3" s="41">
        <f>Front!AX3</f>
        <v>4</v>
      </c>
      <c r="G3" s="44">
        <f>Front!AY3</f>
        <v>5</v>
      </c>
      <c r="H3" s="19">
        <f>'Side MDB'!AC3</f>
        <v>5</v>
      </c>
      <c r="I3" s="43">
        <f>'Side MDB'!AD3</f>
        <v>5</v>
      </c>
      <c r="J3" s="20">
        <f>'Side MDB'!AE3</f>
        <v>5</v>
      </c>
      <c r="K3" s="84">
        <f>'Side Pole'!P3</f>
        <v>5</v>
      </c>
      <c r="L3" s="84">
        <f>'Side Pole'!S3</f>
        <v>5</v>
      </c>
      <c r="M3" s="85">
        <f>'Side Pole'!V3</f>
        <v>5</v>
      </c>
      <c r="N3" s="86">
        <f>Rollover!J3</f>
        <v>4</v>
      </c>
      <c r="O3" s="87">
        <f>ROUND(5/12*Front!AV3+4/12*'Side Pole'!U3+3/12*Rollover!I3,2)</f>
        <v>0.66</v>
      </c>
      <c r="P3" s="44">
        <f t="shared" ref="P3:P5" si="0">IF(O3&lt;0.67,5,IF(O3&lt;1,4,IF(O3&lt;1.33,3,IF(O3&lt;2.67,2,1))))</f>
        <v>5</v>
      </c>
    </row>
    <row r="4" spans="1:16" ht="14.85" customHeight="1">
      <c r="A4" s="45">
        <v>44159</v>
      </c>
      <c r="B4" s="41" t="str">
        <f>Rollover!A4</f>
        <v>Chevrolet</v>
      </c>
      <c r="C4" s="41" t="str">
        <f>Rollover!B4</f>
        <v>Trailblazer SUV AWD (Later Release)</v>
      </c>
      <c r="D4" s="83">
        <f>Rollover!C4</f>
        <v>2021</v>
      </c>
      <c r="E4" s="19">
        <f>Front!AW4</f>
        <v>5</v>
      </c>
      <c r="F4" s="41">
        <f>Front!AX4</f>
        <v>4</v>
      </c>
      <c r="G4" s="44">
        <f>Front!AY4</f>
        <v>5</v>
      </c>
      <c r="H4" s="19">
        <f>'Side MDB'!AC4</f>
        <v>5</v>
      </c>
      <c r="I4" s="43">
        <f>'Side MDB'!AD4</f>
        <v>5</v>
      </c>
      <c r="J4" s="20">
        <f>'Side MDB'!AE4</f>
        <v>5</v>
      </c>
      <c r="K4" s="84">
        <f>'Side Pole'!P4</f>
        <v>5</v>
      </c>
      <c r="L4" s="84">
        <f>'Side Pole'!S4</f>
        <v>5</v>
      </c>
      <c r="M4" s="85">
        <f>'Side Pole'!V4</f>
        <v>5</v>
      </c>
      <c r="N4" s="86">
        <f>Rollover!J4</f>
        <v>4</v>
      </c>
      <c r="O4" s="87">
        <f>ROUND(5/12*Front!AV4+4/12*'Side Pole'!U4+3/12*Rollover!I4,2)</f>
        <v>0.65</v>
      </c>
      <c r="P4" s="44">
        <f t="shared" si="0"/>
        <v>5</v>
      </c>
    </row>
    <row r="5" spans="1:16" ht="14.85" customHeight="1">
      <c r="A5" s="45">
        <v>44159</v>
      </c>
      <c r="B5" s="7" t="str">
        <f>Rollover!A5</f>
        <v>Buick</v>
      </c>
      <c r="C5" s="7" t="str">
        <f>Rollover!B5</f>
        <v>Encore GX SUV FWD</v>
      </c>
      <c r="D5" s="83">
        <f>Rollover!C5</f>
        <v>2021</v>
      </c>
      <c r="E5" s="19">
        <f>Front!AW5</f>
        <v>5</v>
      </c>
      <c r="F5" s="41">
        <f>Front!AX5</f>
        <v>4</v>
      </c>
      <c r="G5" s="44">
        <f>Front!AY5</f>
        <v>5</v>
      </c>
      <c r="H5" s="19">
        <f>'Side MDB'!AC5</f>
        <v>5</v>
      </c>
      <c r="I5" s="43">
        <f>'Side MDB'!AD5</f>
        <v>5</v>
      </c>
      <c r="J5" s="20">
        <f>'Side MDB'!AE5</f>
        <v>5</v>
      </c>
      <c r="K5" s="84">
        <f>'Side Pole'!P5</f>
        <v>5</v>
      </c>
      <c r="L5" s="84">
        <f>'Side Pole'!S5</f>
        <v>5</v>
      </c>
      <c r="M5" s="85">
        <f>'Side Pole'!V5</f>
        <v>5</v>
      </c>
      <c r="N5" s="86">
        <f>Rollover!J5</f>
        <v>4</v>
      </c>
      <c r="O5" s="87">
        <f>ROUND(5/12*Front!AV5+4/12*'Side Pole'!U5+3/12*Rollover!I5,2)</f>
        <v>0.66</v>
      </c>
      <c r="P5" s="44">
        <f t="shared" si="0"/>
        <v>5</v>
      </c>
    </row>
    <row r="6" spans="1:16" ht="14.85" customHeight="1">
      <c r="A6" s="45">
        <v>44159</v>
      </c>
      <c r="B6" s="7" t="str">
        <f>Rollover!A6</f>
        <v>Buick</v>
      </c>
      <c r="C6" s="7" t="str">
        <f>Rollover!B6</f>
        <v>Encore GX SUV AWD</v>
      </c>
      <c r="D6" s="83">
        <f>Rollover!C6</f>
        <v>2021</v>
      </c>
      <c r="E6" s="19">
        <f>Front!AW6</f>
        <v>5</v>
      </c>
      <c r="F6" s="41">
        <f>Front!AX6</f>
        <v>4</v>
      </c>
      <c r="G6" s="44">
        <f>Front!AY6</f>
        <v>5</v>
      </c>
      <c r="H6" s="19">
        <f>'Side MDB'!AC6</f>
        <v>5</v>
      </c>
      <c r="I6" s="43">
        <f>'Side MDB'!AD6</f>
        <v>5</v>
      </c>
      <c r="J6" s="20">
        <f>'Side MDB'!AE6</f>
        <v>5</v>
      </c>
      <c r="K6" s="84">
        <f>'Side Pole'!P6</f>
        <v>5</v>
      </c>
      <c r="L6" s="84">
        <f>'Side Pole'!S6</f>
        <v>5</v>
      </c>
      <c r="M6" s="85">
        <f>'Side Pole'!V6</f>
        <v>5</v>
      </c>
      <c r="N6" s="86">
        <f>Rollover!J6</f>
        <v>4</v>
      </c>
      <c r="O6" s="87">
        <f>ROUND(5/12*Front!AV6+4/12*'Side Pole'!U6+3/12*Rollover!I6,2)</f>
        <v>0.65</v>
      </c>
      <c r="P6" s="44">
        <f t="shared" ref="P6" si="1">IF(O6&lt;0.67,5,IF(O6&lt;1,4,IF(O6&lt;1.33,3,IF(O6&lt;2.67,2,1))))</f>
        <v>5</v>
      </c>
    </row>
    <row r="7" spans="1:16" ht="14.85" customHeight="1">
      <c r="A7" s="120">
        <v>44187</v>
      </c>
      <c r="B7" s="41" t="str">
        <f>Rollover!A7</f>
        <v xml:space="preserve">Ford </v>
      </c>
      <c r="C7" s="41" t="str">
        <f>Rollover!B7</f>
        <v>Transit Connect Wagon FWD</v>
      </c>
      <c r="D7" s="83">
        <f>Rollover!C7</f>
        <v>2021</v>
      </c>
      <c r="E7" s="19">
        <f>Front!AW7</f>
        <v>5</v>
      </c>
      <c r="F7" s="41">
        <f>Front!AX7</f>
        <v>4</v>
      </c>
      <c r="G7" s="44">
        <f>Front!AY7</f>
        <v>4</v>
      </c>
      <c r="H7" s="19">
        <f>'Side MDB'!AC7</f>
        <v>5</v>
      </c>
      <c r="I7" s="43">
        <f>'Side MDB'!AD7</f>
        <v>5</v>
      </c>
      <c r="J7" s="20">
        <f>'Side MDB'!AE7</f>
        <v>5</v>
      </c>
      <c r="K7" s="84">
        <f>'Side Pole'!P7</f>
        <v>5</v>
      </c>
      <c r="L7" s="84">
        <f>'Side Pole'!S7</f>
        <v>5</v>
      </c>
      <c r="M7" s="85">
        <f>'Side Pole'!V7</f>
        <v>5</v>
      </c>
      <c r="N7" s="86">
        <f>Rollover!J7</f>
        <v>4</v>
      </c>
      <c r="O7" s="87">
        <f>ROUND(5/12*Front!AV7+4/12*'Side Pole'!U7+3/12*Rollover!I7,2)</f>
        <v>0.72</v>
      </c>
      <c r="P7" s="44">
        <f t="shared" ref="P7:P8" si="2">IF(O7&lt;0.67,5,IF(O7&lt;1,4,IF(O7&lt;1.33,3,IF(O7&lt;2.67,2,1))))</f>
        <v>4</v>
      </c>
    </row>
    <row r="8" spans="1:16" ht="14.85" customHeight="1">
      <c r="A8" s="120">
        <v>44187</v>
      </c>
      <c r="B8" s="7" t="str">
        <f>Rollover!A8</f>
        <v xml:space="preserve">Ford </v>
      </c>
      <c r="C8" s="7" t="str">
        <f>Rollover!B8</f>
        <v>Transit Connect Van FWD</v>
      </c>
      <c r="D8" s="83">
        <f>Rollover!C8</f>
        <v>2021</v>
      </c>
      <c r="E8" s="19">
        <f>Front!AW8</f>
        <v>5</v>
      </c>
      <c r="F8" s="41">
        <f>Front!AX8</f>
        <v>4</v>
      </c>
      <c r="G8" s="44">
        <f>Front!AY8</f>
        <v>4</v>
      </c>
      <c r="H8" s="19">
        <f>'Side MDB'!AC8</f>
        <v>5</v>
      </c>
      <c r="I8" s="43" t="str">
        <f>'Side MDB'!AD8</f>
        <v>N/A</v>
      </c>
      <c r="J8" s="20">
        <f>'Side MDB'!AE8</f>
        <v>5</v>
      </c>
      <c r="K8" s="84">
        <f>'Side Pole'!P8</f>
        <v>5</v>
      </c>
      <c r="L8" s="84">
        <f>'Side Pole'!S8</f>
        <v>5</v>
      </c>
      <c r="M8" s="85">
        <f>'Side Pole'!V8</f>
        <v>5</v>
      </c>
      <c r="N8" s="86" t="e">
        <f>Rollover!J8</f>
        <v>#NUM!</v>
      </c>
      <c r="O8" s="87" t="e">
        <f>ROUND(5/12*Front!AV8+4/12*'Side Pole'!U8+3/12*Rollover!I8,2)</f>
        <v>#NUM!</v>
      </c>
      <c r="P8" s="44" t="e">
        <f t="shared" si="2"/>
        <v>#NUM!</v>
      </c>
    </row>
    <row r="9" spans="1:16" ht="14.85" customHeight="1">
      <c r="A9" s="45">
        <v>44131</v>
      </c>
      <c r="B9" s="41" t="str">
        <f>Rollover!A9</f>
        <v>Kia</v>
      </c>
      <c r="C9" s="41" t="str">
        <f>Rollover!B9</f>
        <v>K5 4DR FWD</v>
      </c>
      <c r="D9" s="83">
        <f>Rollover!C9</f>
        <v>2021</v>
      </c>
      <c r="E9" s="19">
        <f>Front!AW9</f>
        <v>5</v>
      </c>
      <c r="F9" s="41">
        <f>Front!AX9</f>
        <v>4</v>
      </c>
      <c r="G9" s="44">
        <f>Front!AY9</f>
        <v>4</v>
      </c>
      <c r="H9" s="19">
        <f>'Side MDB'!AC9</f>
        <v>5</v>
      </c>
      <c r="I9" s="43">
        <f>'Side MDB'!AD9</f>
        <v>5</v>
      </c>
      <c r="J9" s="20">
        <f>'Side MDB'!AE9</f>
        <v>5</v>
      </c>
      <c r="K9" s="84">
        <f>'Side Pole'!P9</f>
        <v>5</v>
      </c>
      <c r="L9" s="84">
        <f>'Side Pole'!S9</f>
        <v>5</v>
      </c>
      <c r="M9" s="85">
        <f>'Side Pole'!V9</f>
        <v>5</v>
      </c>
      <c r="N9" s="86">
        <f>Rollover!J9</f>
        <v>4</v>
      </c>
      <c r="O9" s="87">
        <f>ROUND(5/12*Front!AV9+4/12*'Side Pole'!U9+3/12*Rollover!I9,2)</f>
        <v>0.56999999999999995</v>
      </c>
      <c r="P9" s="44">
        <f t="shared" ref="P9:P16" si="3">IF(O9&lt;0.67,5,IF(O9&lt;1,4,IF(O9&lt;1.33,3,IF(O9&lt;2.67,2,1))))</f>
        <v>5</v>
      </c>
    </row>
    <row r="10" spans="1:16" ht="14.85" customHeight="1">
      <c r="A10" s="45">
        <v>44048</v>
      </c>
      <c r="B10" s="41" t="str">
        <f>Rollover!A10</f>
        <v>Kia</v>
      </c>
      <c r="C10" s="41" t="str">
        <f>Rollover!B10</f>
        <v>Seltos SUV FWD</v>
      </c>
      <c r="D10" s="83">
        <f>Rollover!C10</f>
        <v>2021</v>
      </c>
      <c r="E10" s="19">
        <f>Front!AW10</f>
        <v>5</v>
      </c>
      <c r="F10" s="41">
        <f>Front!AX10</f>
        <v>4</v>
      </c>
      <c r="G10" s="44">
        <f>Front!AY10</f>
        <v>4</v>
      </c>
      <c r="H10" s="19">
        <f>'Side MDB'!AC10</f>
        <v>5</v>
      </c>
      <c r="I10" s="43">
        <f>'Side MDB'!AD10</f>
        <v>5</v>
      </c>
      <c r="J10" s="20">
        <f>'Side MDB'!AE10</f>
        <v>5</v>
      </c>
      <c r="K10" s="84">
        <f>'Side Pole'!P10</f>
        <v>5</v>
      </c>
      <c r="L10" s="84">
        <f>'Side Pole'!S10</f>
        <v>5</v>
      </c>
      <c r="M10" s="85">
        <f>'Side Pole'!V10</f>
        <v>5</v>
      </c>
      <c r="N10" s="86">
        <f>Rollover!J10</f>
        <v>4</v>
      </c>
      <c r="O10" s="87">
        <f>ROUND(5/12*Front!AV10+4/12*'Side Pole'!U10+3/12*Rollover!I10,2)</f>
        <v>0.7</v>
      </c>
      <c r="P10" s="44">
        <f t="shared" si="3"/>
        <v>4</v>
      </c>
    </row>
    <row r="11" spans="1:16" ht="14.85" customHeight="1">
      <c r="A11" s="45">
        <v>44048</v>
      </c>
      <c r="B11" s="41" t="str">
        <f>Rollover!A11</f>
        <v>Kia</v>
      </c>
      <c r="C11" s="41" t="str">
        <f>Rollover!B11</f>
        <v>Seltos SUV AWD</v>
      </c>
      <c r="D11" s="83">
        <f>Rollover!C11</f>
        <v>2021</v>
      </c>
      <c r="E11" s="19">
        <f>Front!AW11</f>
        <v>5</v>
      </c>
      <c r="F11" s="41">
        <f>Front!AX11</f>
        <v>4</v>
      </c>
      <c r="G11" s="44">
        <f>Front!AY11</f>
        <v>4</v>
      </c>
      <c r="H11" s="19">
        <f>'Side MDB'!AC11</f>
        <v>5</v>
      </c>
      <c r="I11" s="43">
        <f>'Side MDB'!AD11</f>
        <v>5</v>
      </c>
      <c r="J11" s="20">
        <f>'Side MDB'!AE11</f>
        <v>5</v>
      </c>
      <c r="K11" s="84">
        <f>'Side Pole'!P11</f>
        <v>5</v>
      </c>
      <c r="L11" s="84">
        <f>'Side Pole'!S11</f>
        <v>5</v>
      </c>
      <c r="M11" s="85">
        <f>'Side Pole'!V11</f>
        <v>5</v>
      </c>
      <c r="N11" s="86">
        <f>Rollover!J11</f>
        <v>4</v>
      </c>
      <c r="O11" s="87">
        <f>ROUND(5/12*Front!AV11+4/12*'Side Pole'!U11+3/12*Rollover!I11,2)</f>
        <v>0.67</v>
      </c>
      <c r="P11" s="44">
        <f t="shared" si="3"/>
        <v>4</v>
      </c>
    </row>
    <row r="12" spans="1:16" ht="14.85" customHeight="1">
      <c r="A12" s="120">
        <v>44187</v>
      </c>
      <c r="B12" s="41" t="str">
        <f>Rollover!A12</f>
        <v>Subaru</v>
      </c>
      <c r="C12" s="41" t="str">
        <f>Rollover!B12</f>
        <v>Outback SW AWD</v>
      </c>
      <c r="D12" s="83">
        <f>Rollover!C12</f>
        <v>2021</v>
      </c>
      <c r="E12" s="19">
        <f>Front!AW12</f>
        <v>5</v>
      </c>
      <c r="F12" s="41">
        <f>Front!AX12</f>
        <v>4</v>
      </c>
      <c r="G12" s="44">
        <f>Front!AY12</f>
        <v>5</v>
      </c>
      <c r="H12" s="19">
        <f>'Side MDB'!AC12</f>
        <v>5</v>
      </c>
      <c r="I12" s="43">
        <f>'Side MDB'!AD12</f>
        <v>5</v>
      </c>
      <c r="J12" s="20">
        <f>'Side MDB'!AE12</f>
        <v>5</v>
      </c>
      <c r="K12" s="84">
        <f>'Side Pole'!P12</f>
        <v>5</v>
      </c>
      <c r="L12" s="84">
        <f>'Side Pole'!S12</f>
        <v>5</v>
      </c>
      <c r="M12" s="85">
        <f>'Side Pole'!V12</f>
        <v>5</v>
      </c>
      <c r="N12" s="86">
        <f>Rollover!J12</f>
        <v>4</v>
      </c>
      <c r="O12" s="87">
        <f>ROUND(5/12*Front!AV12+4/12*'Side Pole'!U12+3/12*Rollover!I12,2)</f>
        <v>0.61</v>
      </c>
      <c r="P12" s="44">
        <f t="shared" si="3"/>
        <v>5</v>
      </c>
    </row>
    <row r="13" spans="1:16" ht="14.85" customHeight="1">
      <c r="A13" s="120">
        <v>44187</v>
      </c>
      <c r="B13" s="7" t="str">
        <f>Rollover!A13</f>
        <v>Subaru</v>
      </c>
      <c r="C13" s="7" t="str">
        <f>Rollover!B13</f>
        <v>Legacy 4DR AWD</v>
      </c>
      <c r="D13" s="83">
        <f>Rollover!C13</f>
        <v>2021</v>
      </c>
      <c r="E13" s="19">
        <f>Front!AW13</f>
        <v>5</v>
      </c>
      <c r="F13" s="41">
        <f>Front!AX13</f>
        <v>4</v>
      </c>
      <c r="G13" s="44">
        <f>Front!AY13</f>
        <v>5</v>
      </c>
      <c r="H13" s="19">
        <f>'Side MDB'!AC13</f>
        <v>5</v>
      </c>
      <c r="I13" s="43">
        <f>'Side MDB'!AD13</f>
        <v>5</v>
      </c>
      <c r="J13" s="20">
        <f>'Side MDB'!AE13</f>
        <v>5</v>
      </c>
      <c r="K13" s="84">
        <f>'Side Pole'!P13</f>
        <v>5</v>
      </c>
      <c r="L13" s="84">
        <f>'Side Pole'!S13</f>
        <v>5</v>
      </c>
      <c r="M13" s="85">
        <f>'Side Pole'!V13</f>
        <v>5</v>
      </c>
      <c r="N13" s="86">
        <f>Rollover!J13</f>
        <v>5</v>
      </c>
      <c r="O13" s="87">
        <f>ROUND(5/12*Front!AV13+4/12*'Side Pole'!U13+3/12*Rollover!I13,2)</f>
        <v>0.49</v>
      </c>
      <c r="P13" s="44">
        <f t="shared" si="3"/>
        <v>5</v>
      </c>
    </row>
    <row r="14" spans="1:16" ht="14.85" customHeight="1">
      <c r="A14" s="120">
        <v>44180</v>
      </c>
      <c r="B14" s="41" t="str">
        <f>Rollover!A14</f>
        <v>Toyota</v>
      </c>
      <c r="C14" s="41" t="str">
        <f>Rollover!B14</f>
        <v>Corolla 4DR FWD</v>
      </c>
      <c r="D14" s="83">
        <f>Rollover!C14</f>
        <v>2021</v>
      </c>
      <c r="E14" s="19">
        <f>Front!AW14</f>
        <v>5</v>
      </c>
      <c r="F14" s="41">
        <f>Front!AX14</f>
        <v>5</v>
      </c>
      <c r="G14" s="44">
        <f>Front!AY14</f>
        <v>5</v>
      </c>
      <c r="H14" s="19">
        <f>'Side MDB'!AC14</f>
        <v>5</v>
      </c>
      <c r="I14" s="43">
        <f>'Side MDB'!AD14</f>
        <v>5</v>
      </c>
      <c r="J14" s="20">
        <f>'Side MDB'!AE14</f>
        <v>5</v>
      </c>
      <c r="K14" s="84">
        <f>'Side Pole'!P14</f>
        <v>5</v>
      </c>
      <c r="L14" s="84">
        <f>'Side Pole'!S14</f>
        <v>5</v>
      </c>
      <c r="M14" s="85">
        <f>'Side Pole'!V14</f>
        <v>5</v>
      </c>
      <c r="N14" s="86">
        <f>Rollover!J14</f>
        <v>4</v>
      </c>
      <c r="O14" s="87">
        <f>ROUND(5/12*Front!AV14+4/12*'Side Pole'!U14+3/12*Rollover!I14,2)</f>
        <v>0.49</v>
      </c>
      <c r="P14" s="44">
        <f t="shared" ref="P14:P15" si="4">IF(O14&lt;0.67,5,IF(O14&lt;1,4,IF(O14&lt;1.33,3,IF(O14&lt;2.67,2,1))))</f>
        <v>5</v>
      </c>
    </row>
    <row r="15" spans="1:16" ht="14.85" customHeight="1">
      <c r="A15" s="120">
        <v>44180</v>
      </c>
      <c r="B15" s="7" t="str">
        <f>Rollover!A15</f>
        <v>Toyota</v>
      </c>
      <c r="C15" s="7" t="str">
        <f>Rollover!B15</f>
        <v>Corolla Hybrid 4DR FWD</v>
      </c>
      <c r="D15" s="83">
        <f>Rollover!C15</f>
        <v>2021</v>
      </c>
      <c r="E15" s="19">
        <f>Front!AW15</f>
        <v>5</v>
      </c>
      <c r="F15" s="41">
        <f>Front!AX15</f>
        <v>5</v>
      </c>
      <c r="G15" s="44">
        <f>Front!AY15</f>
        <v>5</v>
      </c>
      <c r="H15" s="19">
        <f>'Side MDB'!AC15</f>
        <v>5</v>
      </c>
      <c r="I15" s="43">
        <f>'Side MDB'!AD15</f>
        <v>5</v>
      </c>
      <c r="J15" s="20">
        <f>'Side MDB'!AE15</f>
        <v>5</v>
      </c>
      <c r="K15" s="84">
        <f>'Side Pole'!P15</f>
        <v>5</v>
      </c>
      <c r="L15" s="84">
        <f>'Side Pole'!S15</f>
        <v>5</v>
      </c>
      <c r="M15" s="85">
        <f>'Side Pole'!V15</f>
        <v>5</v>
      </c>
      <c r="N15" s="86">
        <f>Rollover!J15</f>
        <v>4</v>
      </c>
      <c r="O15" s="87">
        <f>ROUND(5/12*Front!AV15+4/12*'Side Pole'!U15+3/12*Rollover!I15,2)</f>
        <v>0.49</v>
      </c>
      <c r="P15" s="44">
        <f t="shared" si="4"/>
        <v>5</v>
      </c>
    </row>
    <row r="16" spans="1:16" ht="14.85" customHeight="1">
      <c r="A16" s="120">
        <v>44180</v>
      </c>
      <c r="B16" s="7" t="str">
        <f>Rollover!A16</f>
        <v>Toyota</v>
      </c>
      <c r="C16" s="7" t="str">
        <f>Rollover!B16</f>
        <v>Corolla Hatchback 5HB FWD</v>
      </c>
      <c r="D16" s="83">
        <f>Rollover!C16</f>
        <v>2021</v>
      </c>
      <c r="E16" s="19">
        <f>Front!AW16</f>
        <v>5</v>
      </c>
      <c r="F16" s="41">
        <f>Front!AX16</f>
        <v>5</v>
      </c>
      <c r="G16" s="44">
        <f>Front!AY16</f>
        <v>5</v>
      </c>
      <c r="H16" s="19">
        <f>'Side MDB'!AC16</f>
        <v>5</v>
      </c>
      <c r="I16" s="43">
        <f>'Side MDB'!AD16</f>
        <v>5</v>
      </c>
      <c r="J16" s="20">
        <f>'Side MDB'!AE16</f>
        <v>5</v>
      </c>
      <c r="K16" s="84">
        <f>'Side Pole'!P16</f>
        <v>5</v>
      </c>
      <c r="L16" s="84">
        <f>'Side Pole'!S16</f>
        <v>5</v>
      </c>
      <c r="M16" s="85">
        <f>'Side Pole'!V16</f>
        <v>5</v>
      </c>
      <c r="N16" s="86">
        <f>Rollover!J16</f>
        <v>4</v>
      </c>
      <c r="O16" s="87">
        <f>ROUND(5/12*Front!AV16+4/12*'Side Pole'!U16+3/12*Rollover!I16,2)</f>
        <v>0.49</v>
      </c>
      <c r="P16" s="44">
        <f t="shared" si="3"/>
        <v>5</v>
      </c>
    </row>
    <row r="17" spans="2:6" ht="14.85" customHeight="1">
      <c r="B17" s="89"/>
    </row>
    <row r="18" spans="2:6" ht="14.85" customHeight="1">
      <c r="B18" s="89"/>
    </row>
    <row r="19" spans="2:6" ht="14.85" customHeight="1">
      <c r="B19" s="89"/>
    </row>
    <row r="20" spans="2:6" ht="14.85" customHeight="1">
      <c r="B20" s="89"/>
      <c r="C20" s="89"/>
      <c r="D20" s="89"/>
    </row>
    <row r="21" spans="2:6" ht="14.85" customHeight="1">
      <c r="B21" s="89"/>
      <c r="C21" s="89"/>
      <c r="D21" s="89"/>
    </row>
    <row r="22" spans="2:6" ht="14.85" customHeight="1">
      <c r="B22" s="89"/>
      <c r="C22" s="89"/>
      <c r="D22" s="89"/>
    </row>
    <row r="23" spans="2:6" ht="14.85" customHeight="1">
      <c r="B23" s="89"/>
      <c r="C23" s="89"/>
      <c r="D23" s="89"/>
    </row>
    <row r="24" spans="2:6" ht="14.85" customHeight="1">
      <c r="B24" s="89"/>
      <c r="C24" s="89"/>
      <c r="D24" s="89"/>
    </row>
    <row r="25" spans="2:6" ht="14.85" customHeight="1">
      <c r="B25" s="89"/>
      <c r="C25" s="89"/>
      <c r="D25" s="89"/>
    </row>
    <row r="26" spans="2:6" ht="14.85" customHeight="1">
      <c r="B26" s="89"/>
      <c r="C26" s="89"/>
      <c r="D26" s="89"/>
    </row>
    <row r="29" spans="2:6" ht="14.85" customHeight="1">
      <c r="B29" s="93"/>
      <c r="C29" s="93"/>
      <c r="D29" s="93"/>
      <c r="E29" s="94"/>
      <c r="F29" s="89"/>
    </row>
    <row r="30" spans="2:6" ht="14.85" customHeight="1">
      <c r="B30" s="93"/>
      <c r="C30" s="93"/>
      <c r="D30" s="93"/>
      <c r="E30" s="94"/>
      <c r="F30" s="89"/>
    </row>
    <row r="31" spans="2:6" ht="14.85" customHeight="1">
      <c r="B31" s="93"/>
      <c r="C31" s="93"/>
      <c r="D31" s="93"/>
      <c r="E31" s="94"/>
      <c r="F31" s="89"/>
    </row>
    <row r="32" spans="2:6" ht="14.85" customHeight="1">
      <c r="B32" s="93"/>
      <c r="C32" s="93"/>
      <c r="D32" s="93"/>
      <c r="E32" s="94"/>
      <c r="F32" s="89"/>
    </row>
    <row r="33" spans="2:10" ht="14.85" customHeight="1">
      <c r="B33" s="93"/>
      <c r="C33" s="93"/>
      <c r="D33" s="93"/>
      <c r="E33" s="94"/>
      <c r="F33" s="89"/>
    </row>
    <row r="34" spans="2:10" ht="14.85" customHeight="1">
      <c r="B34" s="93"/>
      <c r="C34" s="93"/>
      <c r="D34" s="93"/>
      <c r="E34" s="94"/>
      <c r="F34" s="89"/>
    </row>
    <row r="35" spans="2:10" ht="14.85" customHeight="1">
      <c r="B35" s="93"/>
      <c r="C35" s="93"/>
      <c r="D35" s="93"/>
      <c r="E35" s="94"/>
      <c r="F35" s="89"/>
    </row>
    <row r="36" spans="2:10" ht="14.85" customHeight="1">
      <c r="B36" s="93"/>
      <c r="C36" s="93"/>
      <c r="D36" s="93"/>
      <c r="E36" s="94"/>
      <c r="F36" s="89"/>
    </row>
    <row r="37" spans="2:10" ht="14.85" customHeight="1">
      <c r="B37" s="93"/>
      <c r="C37" s="93"/>
      <c r="D37" s="93"/>
      <c r="E37" s="94"/>
      <c r="F37" s="89"/>
    </row>
    <row r="38" spans="2:10" ht="14.85" customHeight="1">
      <c r="B38" s="93"/>
      <c r="C38" s="93"/>
      <c r="D38" s="93"/>
      <c r="E38" s="94"/>
      <c r="F38" s="89"/>
    </row>
    <row r="39" spans="2:10" ht="14.85" customHeight="1">
      <c r="E39" s="94"/>
      <c r="F39" s="89"/>
    </row>
    <row r="40" spans="2:10" ht="14.85" customHeight="1">
      <c r="E40" s="94"/>
      <c r="F40" s="89"/>
    </row>
    <row r="41" spans="2:10" ht="14.85" customHeight="1">
      <c r="B41" s="93"/>
      <c r="C41" s="93"/>
      <c r="D41" s="93"/>
      <c r="E41" s="94"/>
      <c r="F41" s="89"/>
    </row>
    <row r="42" spans="2:10" ht="14.85" customHeight="1">
      <c r="B42" s="93"/>
      <c r="C42" s="93"/>
      <c r="D42" s="93"/>
      <c r="E42" s="94"/>
      <c r="F42" s="89"/>
    </row>
    <row r="43" spans="2:10" ht="14.85" customHeight="1">
      <c r="B43" s="93"/>
      <c r="C43" s="93"/>
      <c r="D43" s="93"/>
      <c r="E43" s="94"/>
      <c r="F43" s="89"/>
    </row>
    <row r="44" spans="2:10" ht="14.85" customHeight="1">
      <c r="B44" s="93"/>
      <c r="C44" s="93"/>
      <c r="D44" s="93"/>
      <c r="E44" s="94"/>
      <c r="F44" s="89"/>
      <c r="H44" s="95"/>
      <c r="I44" s="95"/>
      <c r="J44" s="95"/>
    </row>
    <row r="45" spans="2:10" ht="14.85" customHeight="1">
      <c r="B45" s="93"/>
      <c r="C45" s="93"/>
      <c r="D45" s="93"/>
      <c r="H45" s="95"/>
      <c r="I45" s="95"/>
      <c r="J45" s="95"/>
    </row>
    <row r="46" spans="2:10" ht="14.85" customHeight="1">
      <c r="B46" s="93"/>
      <c r="C46" s="93"/>
      <c r="D46" s="93"/>
      <c r="H46" s="95"/>
      <c r="I46" s="95"/>
      <c r="J46" s="95"/>
    </row>
    <row r="47" spans="2:10" ht="14.85" customHeight="1">
      <c r="B47" s="96"/>
      <c r="C47" s="96"/>
      <c r="D47" s="96"/>
      <c r="E47" s="97"/>
      <c r="H47" s="95"/>
      <c r="I47" s="95"/>
      <c r="J47" s="95"/>
    </row>
    <row r="48" spans="2:10" ht="14.85" customHeight="1">
      <c r="B48" s="89"/>
      <c r="C48" s="89"/>
      <c r="D48" s="89"/>
      <c r="H48" s="95"/>
      <c r="I48" s="95"/>
      <c r="J48" s="95"/>
    </row>
    <row r="49" spans="2:10" ht="14.85" customHeight="1">
      <c r="B49" s="93"/>
      <c r="C49" s="93"/>
      <c r="D49" s="93"/>
      <c r="H49" s="95"/>
      <c r="I49" s="95"/>
      <c r="J49" s="95"/>
    </row>
    <row r="50" spans="2:10" ht="14.85" customHeight="1">
      <c r="B50" s="93"/>
      <c r="C50" s="93"/>
      <c r="D50" s="93"/>
      <c r="H50" s="95"/>
      <c r="I50" s="95"/>
      <c r="J50" s="95"/>
    </row>
    <row r="51" spans="2:10" ht="14.85" customHeight="1">
      <c r="B51" s="93"/>
      <c r="C51" s="93"/>
      <c r="D51" s="93"/>
      <c r="H51" s="95"/>
      <c r="I51" s="95"/>
      <c r="J51" s="95"/>
    </row>
    <row r="52" spans="2:10" ht="14.85" customHeight="1">
      <c r="B52" s="93"/>
      <c r="C52" s="93"/>
      <c r="D52" s="93"/>
      <c r="H52" s="95"/>
      <c r="I52" s="95"/>
      <c r="J52" s="95"/>
    </row>
    <row r="53" spans="2:10" ht="14.85" customHeight="1">
      <c r="B53" s="89"/>
      <c r="C53" s="89"/>
      <c r="D53" s="89"/>
      <c r="H53" s="95"/>
      <c r="I53" s="95"/>
      <c r="J53" s="95"/>
    </row>
    <row r="54" spans="2:10" ht="14.85" customHeight="1">
      <c r="H54" s="95"/>
      <c r="I54" s="95"/>
      <c r="J54" s="95"/>
    </row>
    <row r="55" spans="2:10" ht="14.85" customHeight="1">
      <c r="H55" s="95"/>
      <c r="I55" s="95"/>
      <c r="J55" s="95"/>
    </row>
  </sheetData>
  <mergeCells count="7">
    <mergeCell ref="E1:G1"/>
    <mergeCell ref="H1:J1"/>
    <mergeCell ref="A1:A2"/>
    <mergeCell ref="N1:N2"/>
    <mergeCell ref="B1:B2"/>
    <mergeCell ref="C1:C2"/>
    <mergeCell ref="D1:D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2020-12-22T16:22:11Z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