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1 web and docket data\"/>
    </mc:Choice>
  </mc:AlternateContent>
  <bookViews>
    <workbookView xWindow="8985" yWindow="765" windowWidth="1156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F9" i="21" l="1"/>
  <c r="F8" i="21"/>
  <c r="C3" i="22" l="1"/>
  <c r="D3" i="22"/>
  <c r="F3" i="22"/>
  <c r="C4" i="22"/>
  <c r="D4" i="22"/>
  <c r="F4" i="22"/>
  <c r="G3" i="24" l="1"/>
  <c r="H3" i="24" s="1"/>
  <c r="I3" i="24" s="1"/>
  <c r="J3" i="24" s="1"/>
  <c r="N3" i="31" s="1"/>
  <c r="G4" i="24"/>
  <c r="H4" i="24" s="1"/>
  <c r="I4" i="24" s="1"/>
  <c r="J4" i="24" s="1"/>
  <c r="N4" i="31" s="1"/>
  <c r="G5" i="24"/>
  <c r="H5" i="24" s="1"/>
  <c r="I5" i="24" s="1"/>
  <c r="J5" i="24" s="1"/>
  <c r="N5" i="31" s="1"/>
  <c r="G6" i="24"/>
  <c r="H6" i="24" s="1"/>
  <c r="I6" i="24" s="1"/>
  <c r="J6" i="24" s="1"/>
  <c r="N6" i="31" s="1"/>
  <c r="B3" i="31"/>
  <c r="C3" i="31"/>
  <c r="D3" i="31"/>
  <c r="B4" i="31"/>
  <c r="C4" i="31"/>
  <c r="D4" i="31"/>
  <c r="B5" i="31"/>
  <c r="C5" i="31"/>
  <c r="D5" i="31"/>
  <c r="B6" i="31"/>
  <c r="C6" i="31"/>
  <c r="D6" i="31"/>
  <c r="C3" i="29"/>
  <c r="D3" i="29"/>
  <c r="F3" i="29"/>
  <c r="L3" i="29"/>
  <c r="M3" i="29"/>
  <c r="C4" i="29"/>
  <c r="D4" i="29"/>
  <c r="F4" i="29"/>
  <c r="L4" i="29"/>
  <c r="M4" i="29"/>
  <c r="C5" i="29"/>
  <c r="D5" i="29"/>
  <c r="F5" i="29"/>
  <c r="L5" i="29"/>
  <c r="M5" i="29"/>
  <c r="C6" i="29"/>
  <c r="D6" i="29"/>
  <c r="F6" i="29"/>
  <c r="L6" i="29"/>
  <c r="M6" i="29"/>
  <c r="Q3" i="22"/>
  <c r="R3" i="22"/>
  <c r="S3" i="22"/>
  <c r="T3" i="22"/>
  <c r="U3" i="22"/>
  <c r="V3" i="22"/>
  <c r="Q4" i="22"/>
  <c r="R4" i="22"/>
  <c r="S4" i="22"/>
  <c r="T4" i="22"/>
  <c r="U4" i="22"/>
  <c r="V4" i="22"/>
  <c r="C5" i="22"/>
  <c r="D5" i="22"/>
  <c r="F5" i="22"/>
  <c r="Q5" i="22"/>
  <c r="R5" i="22"/>
  <c r="S5" i="22"/>
  <c r="T5" i="22"/>
  <c r="U5" i="22"/>
  <c r="V5" i="22"/>
  <c r="C6" i="22"/>
  <c r="D6" i="22"/>
  <c r="F6" i="22"/>
  <c r="Q6" i="22"/>
  <c r="R6" i="22"/>
  <c r="S6" i="22"/>
  <c r="T6" i="22"/>
  <c r="U6" i="22"/>
  <c r="V6" i="22"/>
  <c r="C3" i="21"/>
  <c r="D3" i="21"/>
  <c r="F3" i="21"/>
  <c r="W3" i="21"/>
  <c r="X3" i="21"/>
  <c r="Y3" i="21"/>
  <c r="Z3" i="21"/>
  <c r="AB3" i="21"/>
  <c r="AC3" i="21" s="1"/>
  <c r="AD3" i="21"/>
  <c r="AE3" i="21"/>
  <c r="AG3" i="21"/>
  <c r="AH3" i="21"/>
  <c r="AI3" i="21"/>
  <c r="AJ3" i="21"/>
  <c r="AL3" i="21"/>
  <c r="AM3" i="21" s="1"/>
  <c r="AN3" i="21"/>
  <c r="AO3" i="21"/>
  <c r="C4" i="21"/>
  <c r="D4" i="21"/>
  <c r="F4" i="21"/>
  <c r="W4" i="21"/>
  <c r="X4" i="21"/>
  <c r="Y4" i="21"/>
  <c r="Z4" i="21"/>
  <c r="AB4" i="21"/>
  <c r="AC4" i="21" s="1"/>
  <c r="AD4" i="21"/>
  <c r="AE4" i="21"/>
  <c r="AG4" i="21"/>
  <c r="AH4" i="21"/>
  <c r="AI4" i="21"/>
  <c r="AJ4" i="21"/>
  <c r="AL4" i="21"/>
  <c r="AM4" i="21" s="1"/>
  <c r="AN4" i="21"/>
  <c r="AO4" i="21"/>
  <c r="C5" i="21"/>
  <c r="D5" i="21"/>
  <c r="F5" i="21"/>
  <c r="W5" i="21"/>
  <c r="X5" i="21"/>
  <c r="Y5" i="21"/>
  <c r="Z5" i="21"/>
  <c r="AB5" i="21"/>
  <c r="AC5" i="21" s="1"/>
  <c r="AD5" i="21"/>
  <c r="AE5" i="21"/>
  <c r="AG5" i="21"/>
  <c r="AH5" i="21"/>
  <c r="AI5" i="21"/>
  <c r="AJ5" i="21"/>
  <c r="AL5" i="21"/>
  <c r="AM5" i="21" s="1"/>
  <c r="AN5" i="21"/>
  <c r="AO5" i="21"/>
  <c r="C6" i="21"/>
  <c r="D6" i="21"/>
  <c r="F6" i="21"/>
  <c r="W6" i="21"/>
  <c r="X6" i="21"/>
  <c r="Y6" i="21"/>
  <c r="Z6" i="21"/>
  <c r="AB6" i="21"/>
  <c r="AC6" i="21" s="1"/>
  <c r="AD6" i="21"/>
  <c r="AE6" i="21"/>
  <c r="AG6" i="21"/>
  <c r="AH6" i="21"/>
  <c r="AI6" i="21"/>
  <c r="AJ6" i="21"/>
  <c r="AL6" i="21"/>
  <c r="AM6" i="21" s="1"/>
  <c r="AN6" i="21"/>
  <c r="AO6" i="21"/>
  <c r="G7" i="24"/>
  <c r="H7" i="24" s="1"/>
  <c r="I7" i="24" s="1"/>
  <c r="J7" i="24" s="1"/>
  <c r="N7" i="31" s="1"/>
  <c r="B7" i="31"/>
  <c r="C7" i="31"/>
  <c r="D7" i="31"/>
  <c r="C7" i="29"/>
  <c r="D7" i="29"/>
  <c r="F7" i="29"/>
  <c r="L7" i="29"/>
  <c r="M7" i="29"/>
  <c r="C7" i="22"/>
  <c r="D7" i="22"/>
  <c r="F7" i="22"/>
  <c r="Q7" i="22"/>
  <c r="R7" i="22"/>
  <c r="S7" i="22"/>
  <c r="T7" i="22"/>
  <c r="U7" i="22"/>
  <c r="V7" i="22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AF4" i="21" l="1"/>
  <c r="AF3" i="21"/>
  <c r="AA5" i="21"/>
  <c r="AF5" i="21"/>
  <c r="X4" i="22"/>
  <c r="AA4" i="22" s="1"/>
  <c r="AD4" i="22" s="1"/>
  <c r="I4" i="31" s="1"/>
  <c r="AA6" i="21"/>
  <c r="W5" i="22"/>
  <c r="AK3" i="21"/>
  <c r="N4" i="29"/>
  <c r="O4" i="29" s="1"/>
  <c r="P4" i="29" s="1"/>
  <c r="K4" i="31" s="1"/>
  <c r="N6" i="29"/>
  <c r="O6" i="29" s="1"/>
  <c r="P6" i="29" s="1"/>
  <c r="K6" i="31" s="1"/>
  <c r="AP6" i="21"/>
  <c r="AF6" i="21"/>
  <c r="X6" i="22"/>
  <c r="AA6" i="22" s="1"/>
  <c r="AD6" i="22" s="1"/>
  <c r="I6" i="31" s="1"/>
  <c r="W6" i="22"/>
  <c r="W3" i="22"/>
  <c r="Z3" i="22" s="1"/>
  <c r="AC3" i="22" s="1"/>
  <c r="H3" i="31" s="1"/>
  <c r="AK7" i="21"/>
  <c r="AP4" i="21"/>
  <c r="X3" i="22"/>
  <c r="AA3" i="22" s="1"/>
  <c r="AD3" i="22" s="1"/>
  <c r="I3" i="31" s="1"/>
  <c r="N5" i="29"/>
  <c r="O5" i="29" s="1"/>
  <c r="P5" i="29" s="1"/>
  <c r="K5" i="31" s="1"/>
  <c r="AP5" i="21"/>
  <c r="AA4" i="21"/>
  <c r="AQ4" i="21" s="1"/>
  <c r="AT4" i="21" s="1"/>
  <c r="AW4" i="21" s="1"/>
  <c r="E4" i="31" s="1"/>
  <c r="X5" i="22"/>
  <c r="AA5" i="22" s="1"/>
  <c r="AD5" i="22" s="1"/>
  <c r="I5" i="31" s="1"/>
  <c r="W4" i="22"/>
  <c r="AF7" i="21"/>
  <c r="AK4" i="21"/>
  <c r="AK6" i="21"/>
  <c r="W7" i="22"/>
  <c r="Z7" i="22" s="1"/>
  <c r="AC7" i="22" s="1"/>
  <c r="H7" i="31" s="1"/>
  <c r="AK5" i="21"/>
  <c r="AA3" i="21"/>
  <c r="AQ3" i="21" s="1"/>
  <c r="AT3" i="21" s="1"/>
  <c r="AW3" i="21" s="1"/>
  <c r="E3" i="31" s="1"/>
  <c r="AP3" i="21"/>
  <c r="N3" i="29"/>
  <c r="O3" i="29" s="1"/>
  <c r="P3" i="29" s="1"/>
  <c r="K3" i="31" s="1"/>
  <c r="AP7" i="21"/>
  <c r="X7" i="22"/>
  <c r="AA7" i="22" s="1"/>
  <c r="AD7" i="22" s="1"/>
  <c r="I7" i="31" s="1"/>
  <c r="N7" i="29"/>
  <c r="O7" i="29" s="1"/>
  <c r="P7" i="29" s="1"/>
  <c r="K7" i="31" s="1"/>
  <c r="AA7" i="21"/>
  <c r="AR6" i="21" l="1"/>
  <c r="Q4" i="29"/>
  <c r="R4" i="29" s="1"/>
  <c r="S4" i="29" s="1"/>
  <c r="L4" i="31" s="1"/>
  <c r="Y6" i="22"/>
  <c r="AB6" i="22" s="1"/>
  <c r="AE6" i="22" s="1"/>
  <c r="J6" i="31" s="1"/>
  <c r="Y5" i="22"/>
  <c r="AB5" i="22" s="1"/>
  <c r="AE5" i="22" s="1"/>
  <c r="J5" i="31" s="1"/>
  <c r="Y7" i="22"/>
  <c r="AB7" i="22" s="1"/>
  <c r="AE7" i="22" s="1"/>
  <c r="J7" i="31" s="1"/>
  <c r="Z6" i="22"/>
  <c r="AC6" i="22" s="1"/>
  <c r="H6" i="31" s="1"/>
  <c r="T6" i="29"/>
  <c r="U6" i="29" s="1"/>
  <c r="V6" i="29" s="1"/>
  <c r="M6" i="31" s="1"/>
  <c r="Q6" i="29"/>
  <c r="R6" i="29" s="1"/>
  <c r="S6" i="29" s="1"/>
  <c r="L6" i="31" s="1"/>
  <c r="Q7" i="29"/>
  <c r="R7" i="29" s="1"/>
  <c r="S7" i="29" s="1"/>
  <c r="L7" i="31" s="1"/>
  <c r="Z5" i="22"/>
  <c r="AC5" i="22" s="1"/>
  <c r="H5" i="31" s="1"/>
  <c r="AQ5" i="21"/>
  <c r="AT5" i="21" s="1"/>
  <c r="AW5" i="21" s="1"/>
  <c r="E5" i="31" s="1"/>
  <c r="AQ7" i="21"/>
  <c r="AT7" i="21" s="1"/>
  <c r="AW7" i="21" s="1"/>
  <c r="E7" i="31" s="1"/>
  <c r="AQ6" i="21"/>
  <c r="AT6" i="21" s="1"/>
  <c r="AW6" i="21" s="1"/>
  <c r="E6" i="31" s="1"/>
  <c r="AR7" i="21"/>
  <c r="AR5" i="21"/>
  <c r="AU5" i="21" s="1"/>
  <c r="AX5" i="21" s="1"/>
  <c r="F5" i="31" s="1"/>
  <c r="T7" i="29"/>
  <c r="U7" i="29" s="1"/>
  <c r="V7" i="29" s="1"/>
  <c r="M7" i="31" s="1"/>
  <c r="AR3" i="21"/>
  <c r="AS3" i="21" s="1"/>
  <c r="AV3" i="21" s="1"/>
  <c r="Q5" i="29"/>
  <c r="R5" i="29" s="1"/>
  <c r="S5" i="29" s="1"/>
  <c r="L5" i="31" s="1"/>
  <c r="T5" i="29"/>
  <c r="U5" i="29" s="1"/>
  <c r="V5" i="29" s="1"/>
  <c r="M5" i="31" s="1"/>
  <c r="AR4" i="21"/>
  <c r="AS4" i="21" s="1"/>
  <c r="AV4" i="21" s="1"/>
  <c r="Y4" i="22"/>
  <c r="AB4" i="22" s="1"/>
  <c r="AE4" i="22" s="1"/>
  <c r="J4" i="31" s="1"/>
  <c r="Z4" i="22"/>
  <c r="AC4" i="22" s="1"/>
  <c r="H4" i="31" s="1"/>
  <c r="Y3" i="22"/>
  <c r="AB3" i="22" s="1"/>
  <c r="AE3" i="22" s="1"/>
  <c r="J3" i="31" s="1"/>
  <c r="T4" i="29"/>
  <c r="U4" i="29" s="1"/>
  <c r="V4" i="29" s="1"/>
  <c r="M4" i="31" s="1"/>
  <c r="T3" i="29"/>
  <c r="U3" i="29" s="1"/>
  <c r="V3" i="29" s="1"/>
  <c r="M3" i="31" s="1"/>
  <c r="Q3" i="29"/>
  <c r="R3" i="29" s="1"/>
  <c r="S3" i="29" s="1"/>
  <c r="L3" i="31" s="1"/>
  <c r="AS5" i="21"/>
  <c r="AV5" i="21" s="1"/>
  <c r="AU3" i="21"/>
  <c r="AX3" i="21" s="1"/>
  <c r="F3" i="31" s="1"/>
  <c r="AU6" i="21"/>
  <c r="AX6" i="21" s="1"/>
  <c r="F6" i="31" s="1"/>
  <c r="AS6" i="21" l="1"/>
  <c r="AV6" i="21" s="1"/>
  <c r="AS7" i="21"/>
  <c r="AV7" i="21" s="1"/>
  <c r="AY7" i="21" s="1"/>
  <c r="G7" i="31" s="1"/>
  <c r="AU7" i="21"/>
  <c r="AX7" i="21" s="1"/>
  <c r="F7" i="31" s="1"/>
  <c r="AU4" i="21"/>
  <c r="AX4" i="21" s="1"/>
  <c r="F4" i="31" s="1"/>
  <c r="O6" i="31"/>
  <c r="P6" i="31" s="1"/>
  <c r="AY6" i="21"/>
  <c r="G6" i="31" s="1"/>
  <c r="O5" i="31"/>
  <c r="P5" i="31" s="1"/>
  <c r="AY5" i="21"/>
  <c r="G5" i="31" s="1"/>
  <c r="O4" i="31"/>
  <c r="P4" i="31" s="1"/>
  <c r="AY4" i="21"/>
  <c r="G4" i="31" s="1"/>
  <c r="O3" i="31"/>
  <c r="P3" i="31" s="1"/>
  <c r="AY3" i="21"/>
  <c r="G3" i="31" s="1"/>
  <c r="O7" i="31" l="1"/>
  <c r="P7" i="31" s="1"/>
  <c r="D9" i="31"/>
  <c r="C9" i="31"/>
  <c r="B9" i="31"/>
  <c r="M9" i="29"/>
  <c r="L9" i="29"/>
  <c r="F9" i="29"/>
  <c r="D9" i="29"/>
  <c r="C9" i="29"/>
  <c r="V9" i="22"/>
  <c r="U9" i="22"/>
  <c r="T9" i="22"/>
  <c r="S9" i="22"/>
  <c r="R9" i="22"/>
  <c r="Q9" i="22"/>
  <c r="F9" i="22"/>
  <c r="D9" i="22"/>
  <c r="C9" i="22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D9" i="21"/>
  <c r="C9" i="21"/>
  <c r="G9" i="24"/>
  <c r="H9" i="24" s="1"/>
  <c r="I9" i="24" s="1"/>
  <c r="J9" i="24" s="1"/>
  <c r="N9" i="31" s="1"/>
  <c r="X9" i="22" l="1"/>
  <c r="AA9" i="22" s="1"/>
  <c r="AD9" i="22" s="1"/>
  <c r="I9" i="31" s="1"/>
  <c r="N9" i="29"/>
  <c r="W9" i="22"/>
  <c r="AF9" i="21"/>
  <c r="AP9" i="21"/>
  <c r="AA9" i="21"/>
  <c r="AK9" i="21"/>
  <c r="AR9" i="21" l="1"/>
  <c r="AU9" i="21" s="1"/>
  <c r="AX9" i="21" s="1"/>
  <c r="F9" i="31" s="1"/>
  <c r="AQ9" i="21"/>
  <c r="AT9" i="21" s="1"/>
  <c r="AW9" i="21" s="1"/>
  <c r="E9" i="31" s="1"/>
  <c r="T9" i="29"/>
  <c r="U9" i="29" s="1"/>
  <c r="V9" i="29" s="1"/>
  <c r="M9" i="31" s="1"/>
  <c r="O9" i="29"/>
  <c r="P9" i="29" s="1"/>
  <c r="K9" i="31" s="1"/>
  <c r="Q9" i="29"/>
  <c r="R9" i="29" s="1"/>
  <c r="S9" i="29" s="1"/>
  <c r="L9" i="31" s="1"/>
  <c r="Y9" i="22"/>
  <c r="AB9" i="22" s="1"/>
  <c r="AE9" i="22" s="1"/>
  <c r="J9" i="31" s="1"/>
  <c r="Z9" i="22"/>
  <c r="AC9" i="22" s="1"/>
  <c r="H9" i="31" s="1"/>
  <c r="AS9" i="21" l="1"/>
  <c r="AV9" i="21" s="1"/>
  <c r="AY9" i="21" s="1"/>
  <c r="G9" i="31" s="1"/>
  <c r="O9" i="31" l="1"/>
  <c r="P9" i="31" s="1"/>
  <c r="F8" i="22" l="1"/>
  <c r="D8" i="31"/>
  <c r="C8" i="31"/>
  <c r="B8" i="31"/>
  <c r="M8" i="29"/>
  <c r="L8" i="29"/>
  <c r="F8" i="29"/>
  <c r="D8" i="29"/>
  <c r="C8" i="29"/>
  <c r="V8" i="22"/>
  <c r="U8" i="22"/>
  <c r="T8" i="22"/>
  <c r="S8" i="22"/>
  <c r="R8" i="22"/>
  <c r="Q8" i="22"/>
  <c r="D8" i="22"/>
  <c r="C8" i="22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D8" i="21"/>
  <c r="C8" i="21"/>
  <c r="G8" i="24"/>
  <c r="H8" i="24" s="1"/>
  <c r="I8" i="24" s="1"/>
  <c r="J8" i="24" s="1"/>
  <c r="N8" i="31" s="1"/>
  <c r="AP8" i="21" l="1"/>
  <c r="X8" i="22"/>
  <c r="AA8" i="22" s="1"/>
  <c r="AD8" i="22" s="1"/>
  <c r="I8" i="31" s="1"/>
  <c r="N8" i="29"/>
  <c r="O8" i="29" s="1"/>
  <c r="P8" i="29" s="1"/>
  <c r="K8" i="31" s="1"/>
  <c r="W8" i="22"/>
  <c r="AA8" i="21"/>
  <c r="AF8" i="21"/>
  <c r="AK8" i="21"/>
  <c r="AR8" i="21" l="1"/>
  <c r="AU8" i="21" s="1"/>
  <c r="AX8" i="21" s="1"/>
  <c r="F8" i="31" s="1"/>
  <c r="AQ8" i="21"/>
  <c r="AT8" i="21" s="1"/>
  <c r="AW8" i="21" s="1"/>
  <c r="E8" i="31" s="1"/>
  <c r="Q8" i="29"/>
  <c r="R8" i="29" s="1"/>
  <c r="S8" i="29" s="1"/>
  <c r="L8" i="31" s="1"/>
  <c r="Z8" i="22"/>
  <c r="AC8" i="22" s="1"/>
  <c r="H8" i="31" s="1"/>
  <c r="T8" i="29"/>
  <c r="U8" i="29" s="1"/>
  <c r="V8" i="29" s="1"/>
  <c r="M8" i="31" s="1"/>
  <c r="Y8" i="22"/>
  <c r="AB8" i="22" s="1"/>
  <c r="AE8" i="22" s="1"/>
  <c r="J8" i="31" s="1"/>
  <c r="AS8" i="21" l="1"/>
  <c r="AV8" i="21" s="1"/>
  <c r="AY8" i="21" s="1"/>
  <c r="G8" i="31" s="1"/>
  <c r="O8" i="31" l="1"/>
  <c r="P8" i="31" s="1"/>
</calcChain>
</file>

<file path=xl/sharedStrings.xml><?xml version="1.0" encoding="utf-8"?>
<sst xmlns="http://schemas.openxmlformats.org/spreadsheetml/2006/main" count="245" uniqueCount="109">
  <si>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</si>
  <si>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</si>
  <si>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</si>
  <si>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</si>
  <si>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</si>
  <si>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</si>
  <si>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</si>
  <si>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</si>
  <si>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</si>
  <si>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</si>
  <si>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</si>
  <si>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</si>
  <si>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</si>
  <si>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</si>
  <si>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</si>
  <si>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</si>
  <si>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</si>
  <si>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</si>
  <si>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</si>
  <si>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</si>
  <si>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</si>
  <si>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</si>
  <si>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</si>
  <si>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</si>
  <si>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</si>
  <si>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</si>
  <si>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</si>
  <si>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</si>
  <si>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</si>
  <si>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</si>
  <si>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</si>
  <si>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</si>
  <si>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</si>
  <si>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</si>
  <si>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</si>
  <si>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</si>
  <si>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</si>
  <si>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</si>
  <si>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</si>
  <si>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</si>
  <si>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</si>
  <si>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</si>
  <si>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</si>
  <si>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</si>
  <si>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</si>
  <si>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</si>
  <si>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</si>
  <si>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</si>
  <si>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</si>
  <si>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</si>
  <si>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</si>
  <si>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</si>
  <si>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</si>
  <si>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</si>
  <si>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</si>
  <si>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</si>
  <si>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</si>
  <si>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</si>
  <si>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</si>
  <si>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</si>
  <si>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</si>
  <si>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</si>
  <si>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</si>
  <si>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</si>
  <si>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</si>
  <si>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</si>
  <si>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</si>
  <si>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</si>
  <si>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</si>
  <si>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</si>
  <si>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</si>
  <si>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</si>
  <si>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</si>
  <si>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</si>
  <si>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</si>
  <si>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</si>
  <si>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</si>
  <si>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</si>
  <si>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</si>
  <si>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</si>
  <si>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</si>
  <si>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</si>
  <si>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</si>
  <si>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Overall Side STARS</t>
  </si>
  <si>
    <t>Overall Side Driver STARS</t>
  </si>
  <si>
    <t>Rollover</t>
  </si>
  <si>
    <t>Kia</t>
  </si>
  <si>
    <t>Seltos SUV FWD</t>
  </si>
  <si>
    <t>Seltos SUV AWD</t>
  </si>
  <si>
    <t>Y</t>
  </si>
  <si>
    <t>N</t>
  </si>
  <si>
    <t>O20214201</t>
  </si>
  <si>
    <t>MGA</t>
  </si>
  <si>
    <t>O20214202</t>
  </si>
  <si>
    <t>O20214200</t>
  </si>
  <si>
    <t>Buick</t>
  </si>
  <si>
    <t>Chevrolet</t>
  </si>
  <si>
    <t>Encore GX SUV FWD</t>
  </si>
  <si>
    <t>Encore GX SUV AWD</t>
  </si>
  <si>
    <t>K5 4DR FWD</t>
  </si>
  <si>
    <t>M20200101</t>
  </si>
  <si>
    <t>Calspan</t>
  </si>
  <si>
    <t>O20214205</t>
  </si>
  <si>
    <t>O20214203</t>
  </si>
  <si>
    <t>O20214204</t>
  </si>
  <si>
    <t>O20210101</t>
  </si>
  <si>
    <t>O20210100</t>
  </si>
  <si>
    <t>Trailblazer SUV FWD (Later Release)</t>
  </si>
  <si>
    <t>Trailblazer SUV AWD (Later Release)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</si>
</sst>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28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/>
    </xf>
    <xf numFmtId="2" fontId="5" fillId="0" borderId="20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3" fillId="0" borderId="4" xfId="0" applyNumberFormat="1" applyFont="1" applyFill="1" applyBorder="1" applyAlignment="1"/>
    <xf numFmtId="0" fontId="5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 applyProtection="1">
      <alignment horizontal="center"/>
    </xf>
    <xf numFmtId="2" fontId="5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2" fontId="5" fillId="0" borderId="20" xfId="0" applyNumberFormat="1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5" xfId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" fontId="5" fillId="0" borderId="40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1" fontId="5" fillId="0" borderId="41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5" fillId="0" borderId="8" xfId="0" applyNumberFormat="1" applyFont="1" applyFill="1" applyBorder="1" applyAlignment="1">
      <alignment horizontal="center"/>
    </xf>
    <xf numFmtId="1" fontId="5" fillId="0" borderId="8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3" fillId="0" borderId="0" xfId="0" applyFont="1" applyFill="1" applyAlignment="1"/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Alignment="1"/>
    <xf numFmtId="0" fontId="5" fillId="0" borderId="0" xfId="0" applyFont="1" applyFill="1" applyAlignment="1"/>
    <xf numFmtId="2" fontId="3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5" fillId="0" borderId="32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/>
    <xf numFmtId="164" fontId="4" fillId="0" borderId="0" xfId="0" applyNumberFormat="1" applyFont="1" applyFill="1" applyAlignment="1"/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5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 vertical="center"/>
    </xf>
    <xf numFmtId="164" fontId="5" fillId="0" borderId="23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164" fontId="5" fillId="0" borderId="19" xfId="0" applyNumberFormat="1" applyFont="1" applyFill="1" applyBorder="1" applyAlignment="1">
      <alignment horizontal="center" wrapText="1"/>
    </xf>
    <xf numFmtId="164" fontId="5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0" fontId="5" fillId="0" borderId="23" xfId="0" applyNumberFormat="1" applyFont="1" applyFill="1" applyBorder="1" applyAlignment="1" applyProtection="1">
      <alignment horizontal="center"/>
    </xf>
    <xf numFmtId="164" fontId="5" fillId="0" borderId="24" xfId="0" applyNumberFormat="1" applyFont="1" applyFill="1" applyBorder="1" applyAlignment="1" applyProtection="1">
      <alignment horizontal="center"/>
    </xf>
    <xf numFmtId="1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0" fontId="5" fillId="0" borderId="20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 applyProtection="1">
      <alignment horizontal="center"/>
    </xf>
    <xf numFmtId="1" fontId="5" fillId="0" borderId="21" xfId="0" applyNumberFormat="1" applyFont="1" applyFill="1" applyBorder="1" applyAlignment="1" applyProtection="1">
      <alignment horizontal="center"/>
    </xf>
    <xf numFmtId="164" fontId="5" fillId="0" borderId="26" xfId="0" applyNumberFormat="1" applyFont="1" applyFill="1" applyBorder="1" applyAlignment="1">
      <alignment horizontal="center" wrapText="1"/>
    </xf>
    <xf numFmtId="164" fontId="5" fillId="0" borderId="26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27" xfId="0" applyNumberFormat="1" applyFont="1" applyFill="1" applyBorder="1" applyAlignment="1">
      <alignment horizontal="center" wrapText="1"/>
    </xf>
    <xf numFmtId="2" fontId="5" fillId="0" borderId="28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5" fillId="0" borderId="28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/>
    <xf numFmtId="0" fontId="5" fillId="0" borderId="24" xfId="0" applyFont="1" applyFill="1" applyBorder="1" applyAlignment="1"/>
    <xf numFmtId="164" fontId="4" fillId="0" borderId="31" xfId="0" applyNumberFormat="1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2" fontId="5" fillId="0" borderId="30" xfId="0" applyNumberFormat="1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5" fillId="0" borderId="26" xfId="0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 wrapText="1"/>
    </xf>
    <xf numFmtId="164" fontId="5" fillId="0" borderId="29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35" xfId="0" applyNumberFormat="1" applyFont="1" applyFill="1" applyBorder="1" applyAlignment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/>
    <xf numFmtId="164" fontId="5" fillId="0" borderId="0" xfId="0" applyNumberFormat="1" applyFont="1" applyFill="1"/>
    <xf numFmtId="2" fontId="6" fillId="0" borderId="0" xfId="0" applyNumberFormat="1" applyFont="1" applyFill="1"/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0"/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A3" sqref="A3:XFD6"/>
    </sheetView>
  </sheetViews>
  <sheetFormatPr defaultColWidth="9.42578125" defaultRowHeight="13.35" customHeight="1"/>
  <cols>
    <col min="1" max="1" width="13.5703125" style="68" customWidth="1"/>
    <col min="2" max="2" width="39.28515625" style="68" bestFit="1" customWidth="1"/>
    <col min="3" max="3" width="4.5703125" style="65" bestFit="1" customWidth="1"/>
    <col min="4" max="4" width="4.42578125" style="65" bestFit="1" customWidth="1"/>
    <col min="5" max="5" width="18" style="65" bestFit="1" customWidth="1"/>
    <col min="6" max="6" width="13.42578125" style="65" bestFit="1" customWidth="1"/>
    <col min="7" max="7" width="7.5703125" style="69" customWidth="1"/>
    <col min="8" max="8" width="7.42578125" style="69" bestFit="1" customWidth="1"/>
    <col min="9" max="9" width="7.5703125" style="70" bestFit="1" customWidth="1"/>
    <col min="10" max="10" width="7.42578125" style="69" bestFit="1" customWidth="1"/>
    <col min="11" max="16384" width="9.42578125" style="65"/>
  </cols>
  <sheetData>
    <row r="1" spans="1:10" s="52" customFormat="1" ht="13.35" customHeight="1" thickBot="1">
      <c r="A1" s="49"/>
      <c r="B1" s="49"/>
      <c r="C1" s="49"/>
      <c r="D1" s="49"/>
      <c r="E1" s="49"/>
      <c r="F1" s="49"/>
      <c r="G1" s="50"/>
      <c r="H1" s="50"/>
      <c r="I1" s="51"/>
      <c r="J1" s="50" t="s">
        <v>85</v>
      </c>
    </row>
    <row r="2" spans="1:10" s="52" customFormat="1" ht="13.35" customHeight="1" thickBot="1">
      <c r="A2" s="46" t="s">
        <v>18</v>
      </c>
      <c r="B2" s="53" t="s">
        <v>19</v>
      </c>
      <c r="C2" s="53" t="s">
        <v>20</v>
      </c>
      <c r="D2" s="53" t="s">
        <v>21</v>
      </c>
      <c r="E2" s="53" t="s">
        <v>68</v>
      </c>
      <c r="F2" s="54" t="s">
        <v>69</v>
      </c>
      <c r="G2" s="55" t="s">
        <v>47</v>
      </c>
      <c r="H2" s="56" t="s">
        <v>8</v>
      </c>
      <c r="I2" s="57" t="s">
        <v>66</v>
      </c>
      <c r="J2" s="58" t="s">
        <v>57</v>
      </c>
    </row>
    <row r="3" spans="1:10" ht="13.35" customHeight="1" thickBot="1">
      <c r="A3" s="134" t="s">
        <v>96</v>
      </c>
      <c r="B3" s="135" t="s">
        <v>107</v>
      </c>
      <c r="C3" s="59">
        <v>2021</v>
      </c>
      <c r="D3" s="15">
        <v>1.2</v>
      </c>
      <c r="E3" s="15" t="s">
        <v>89</v>
      </c>
      <c r="F3" s="60" t="s">
        <v>90</v>
      </c>
      <c r="G3" s="61">
        <f t="shared" ref="G3:G5" si="0">IF(F3="Y",((1/(1+EXP(2.6968+(1.1686*LN(D3-0.9)))))),((1/(1+EXP(2.8891+(1.1686*(LN(D3-0.9))))))))</f>
        <v>0.1851047975833634</v>
      </c>
      <c r="H3" s="62">
        <f t="shared" ref="H3:H5" si="1">ROUND(G3,3)</f>
        <v>0.185</v>
      </c>
      <c r="I3" s="63">
        <f t="shared" ref="I3:I5" si="2">ROUND(H3/0.15,2)</f>
        <v>1.23</v>
      </c>
      <c r="J3" s="64">
        <f t="shared" ref="J3:J5" si="3">IF(I3&lt;0.673,5,IF(I3&lt;1.33,4,IF(I3&lt;2,3,IF(I3&lt;2.67,2,1))))</f>
        <v>4</v>
      </c>
    </row>
    <row r="4" spans="1:10" ht="13.35" customHeight="1" thickBot="1">
      <c r="A4" s="134" t="s">
        <v>96</v>
      </c>
      <c r="B4" s="135" t="s">
        <v>108</v>
      </c>
      <c r="C4" s="59">
        <v>2021</v>
      </c>
      <c r="D4" s="66">
        <v>1.21</v>
      </c>
      <c r="E4" s="66" t="s">
        <v>89</v>
      </c>
      <c r="F4" s="67" t="s">
        <v>90</v>
      </c>
      <c r="G4" s="61">
        <f t="shared" si="0"/>
        <v>0.17939444452697093</v>
      </c>
      <c r="H4" s="62">
        <f t="shared" si="1"/>
        <v>0.17899999999999999</v>
      </c>
      <c r="I4" s="63">
        <f t="shared" si="2"/>
        <v>1.19</v>
      </c>
      <c r="J4" s="64">
        <f t="shared" si="3"/>
        <v>4</v>
      </c>
    </row>
    <row r="5" spans="1:10" ht="13.35" customHeight="1" thickBot="1">
      <c r="A5" s="136" t="s">
        <v>95</v>
      </c>
      <c r="B5" s="66" t="s">
        <v>97</v>
      </c>
      <c r="C5" s="59">
        <v>2021</v>
      </c>
      <c r="D5" s="15">
        <v>1.2</v>
      </c>
      <c r="E5" s="15" t="s">
        <v>89</v>
      </c>
      <c r="F5" s="60" t="s">
        <v>90</v>
      </c>
      <c r="G5" s="61">
        <f t="shared" si="0"/>
        <v>0.1851047975833634</v>
      </c>
      <c r="H5" s="62">
        <f t="shared" si="1"/>
        <v>0.185</v>
      </c>
      <c r="I5" s="63">
        <f t="shared" si="2"/>
        <v>1.23</v>
      </c>
      <c r="J5" s="64">
        <f t="shared" si="3"/>
        <v>4</v>
      </c>
    </row>
    <row r="6" spans="1:10" ht="13.35" customHeight="1" thickBot="1">
      <c r="A6" s="136" t="s">
        <v>95</v>
      </c>
      <c r="B6" s="66" t="s">
        <v>98</v>
      </c>
      <c r="C6" s="59">
        <v>2021</v>
      </c>
      <c r="D6" s="66">
        <v>1.21</v>
      </c>
      <c r="E6" s="66" t="s">
        <v>89</v>
      </c>
      <c r="F6" s="67" t="s">
        <v>90</v>
      </c>
      <c r="G6" s="61">
        <f t="shared" ref="G6:G9" si="4">IF(F6="Y",((1/(1+EXP(2.6968+(1.1686*LN(D6-0.9)))))),((1/(1+EXP(2.8891+(1.1686*(LN(D6-0.9))))))))</f>
        <v>0.17939444452697093</v>
      </c>
      <c r="H6" s="62">
        <f t="shared" ref="H6:H9" si="5">ROUND(G6,3)</f>
        <v>0.17899999999999999</v>
      </c>
      <c r="I6" s="63">
        <f t="shared" ref="I6:I9" si="6">ROUND(H6/0.15,2)</f>
        <v>1.19</v>
      </c>
      <c r="J6" s="64">
        <f t="shared" ref="J6:J9" si="7">IF(I6&lt;0.673,5,IF(I6&lt;1.33,4,IF(I6&lt;2,3,IF(I6&lt;2.67,2,1))))</f>
        <v>4</v>
      </c>
    </row>
    <row r="7" spans="1:10" ht="13.35" customHeight="1" thickBot="1">
      <c r="A7" s="134" t="s">
        <v>86</v>
      </c>
      <c r="B7" s="135" t="s">
        <v>99</v>
      </c>
      <c r="C7" s="59">
        <v>2021</v>
      </c>
      <c r="D7" s="66">
        <v>1.42</v>
      </c>
      <c r="E7" s="66" t="s">
        <v>90</v>
      </c>
      <c r="F7" s="66" t="s">
        <v>90</v>
      </c>
      <c r="G7" s="61">
        <f t="shared" si="4"/>
        <v>0.10669807295458973</v>
      </c>
      <c r="H7" s="62">
        <f t="shared" si="5"/>
        <v>0.107</v>
      </c>
      <c r="I7" s="63">
        <f t="shared" si="6"/>
        <v>0.71</v>
      </c>
      <c r="J7" s="64">
        <f t="shared" si="7"/>
        <v>4</v>
      </c>
    </row>
    <row r="8" spans="1:10" ht="13.35" customHeight="1" thickBot="1">
      <c r="A8" s="134" t="s">
        <v>86</v>
      </c>
      <c r="B8" s="135" t="s">
        <v>87</v>
      </c>
      <c r="C8" s="59">
        <v>2021</v>
      </c>
      <c r="D8" s="66">
        <v>1.23</v>
      </c>
      <c r="E8" s="66" t="s">
        <v>89</v>
      </c>
      <c r="F8" s="66" t="s">
        <v>90</v>
      </c>
      <c r="G8" s="61">
        <f t="shared" si="4"/>
        <v>0.16888967495700072</v>
      </c>
      <c r="H8" s="62">
        <f t="shared" si="5"/>
        <v>0.16900000000000001</v>
      </c>
      <c r="I8" s="63">
        <f t="shared" si="6"/>
        <v>1.1299999999999999</v>
      </c>
      <c r="J8" s="64">
        <f t="shared" si="7"/>
        <v>4</v>
      </c>
    </row>
    <row r="9" spans="1:10" ht="13.35" customHeight="1">
      <c r="A9" s="134" t="s">
        <v>86</v>
      </c>
      <c r="B9" s="135" t="s">
        <v>88</v>
      </c>
      <c r="C9" s="59">
        <v>2021</v>
      </c>
      <c r="D9" s="15">
        <v>1.27</v>
      </c>
      <c r="E9" s="66" t="s">
        <v>89</v>
      </c>
      <c r="F9" s="66" t="s">
        <v>90</v>
      </c>
      <c r="G9" s="61">
        <f t="shared" si="4"/>
        <v>0.15094392869398887</v>
      </c>
      <c r="H9" s="62">
        <f t="shared" si="5"/>
        <v>0.151</v>
      </c>
      <c r="I9" s="63">
        <f t="shared" si="6"/>
        <v>1.01</v>
      </c>
      <c r="J9" s="64">
        <f t="shared" si="7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6"/>
  <sheetViews>
    <sheetView workbookViewId="0">
      <pane xSplit="6" ySplit="2" topLeftCell="G3" activePane="bottomRight" state="frozen"/>
      <selection activeCell="B26" sqref="B26"/>
      <selection pane="topRight" activeCell="B26" sqref="B26"/>
      <selection pane="bottomLeft" activeCell="B26" sqref="B26"/>
      <selection pane="bottomRight" activeCell="A3" sqref="A3:XFD6"/>
    </sheetView>
  </sheetViews>
  <sheetFormatPr defaultColWidth="9.140625" defaultRowHeight="12.75"/>
  <cols>
    <col min="1" max="1" width="8.42578125" style="106" customWidth="1"/>
    <col min="2" max="2" width="9.5703125" style="106" bestFit="1" customWidth="1"/>
    <col min="3" max="3" width="13.7109375" style="214" bestFit="1" customWidth="1"/>
    <col min="4" max="4" width="36.5703125" style="214" bestFit="1" customWidth="1"/>
    <col min="5" max="5" width="7.42578125" style="214" customWidth="1"/>
    <col min="6" max="6" width="8.42578125" style="214" customWidth="1"/>
    <col min="7" max="7" width="6.7109375" style="221" bestFit="1" customWidth="1"/>
    <col min="8" max="8" width="4.85546875" style="221" bestFit="1" customWidth="1"/>
    <col min="9" max="9" width="9.5703125" style="221" customWidth="1"/>
    <col min="10" max="10" width="10.140625" style="221" customWidth="1"/>
    <col min="11" max="11" width="8.5703125" style="221" customWidth="1"/>
    <col min="12" max="12" width="8.140625" style="221" bestFit="1" customWidth="1"/>
    <col min="13" max="13" width="8.5703125" style="221" customWidth="1"/>
    <col min="14" max="14" width="8.5703125" style="221" bestFit="1" customWidth="1"/>
    <col min="15" max="15" width="6.7109375" style="221" bestFit="1" customWidth="1"/>
    <col min="16" max="16" width="4.85546875" style="221" bestFit="1" customWidth="1"/>
    <col min="17" max="17" width="8.5703125" style="221" customWidth="1"/>
    <col min="18" max="18" width="8.5703125" style="221" bestFit="1" customWidth="1"/>
    <col min="19" max="19" width="9.140625" style="221" customWidth="1"/>
    <col min="20" max="20" width="8.140625" style="221" bestFit="1" customWidth="1"/>
    <col min="21" max="21" width="7.5703125" style="221" bestFit="1" customWidth="1"/>
    <col min="22" max="22" width="8.5703125" style="221" customWidth="1"/>
    <col min="23" max="23" width="7.5703125" style="216" bestFit="1" customWidth="1"/>
    <col min="24" max="24" width="5.5703125" style="216" bestFit="1" customWidth="1"/>
    <col min="25" max="25" width="10.5703125" style="216" bestFit="1" customWidth="1"/>
    <col min="26" max="26" width="11.5703125" style="216" bestFit="1" customWidth="1"/>
    <col min="27" max="27" width="7.42578125" style="216" customWidth="1"/>
    <col min="28" max="28" width="7.7109375" style="216" bestFit="1" customWidth="1"/>
    <col min="29" max="29" width="7.7109375" style="65" bestFit="1" customWidth="1"/>
    <col min="30" max="31" width="9.140625" style="65" bestFit="1" customWidth="1"/>
    <col min="32" max="32" width="8.140625" style="65" bestFit="1" customWidth="1"/>
    <col min="33" max="33" width="7.5703125" style="65" bestFit="1" customWidth="1"/>
    <col min="34" max="34" width="5.140625" style="65" bestFit="1" customWidth="1"/>
    <col min="35" max="35" width="10.5703125" style="65" bestFit="1" customWidth="1"/>
    <col min="36" max="36" width="11.7109375" style="65" bestFit="1" customWidth="1"/>
    <col min="37" max="37" width="7.140625" style="65" bestFit="1" customWidth="1"/>
    <col min="38" max="39" width="7.7109375" style="65" bestFit="1" customWidth="1"/>
    <col min="40" max="41" width="9.140625" style="65" bestFit="1" customWidth="1"/>
    <col min="42" max="42" width="8.140625" style="65" bestFit="1" customWidth="1"/>
    <col min="43" max="43" width="7.5703125" style="65" customWidth="1"/>
    <col min="44" max="44" width="9.7109375" style="65" bestFit="1" customWidth="1"/>
    <col min="45" max="45" width="7.5703125" style="65" bestFit="1" customWidth="1"/>
    <col min="46" max="46" width="5.7109375" style="216" bestFit="1" customWidth="1"/>
    <col min="47" max="47" width="9.7109375" style="216" bestFit="1" customWidth="1"/>
    <col min="48" max="48" width="5.7109375" style="216" bestFit="1" customWidth="1"/>
    <col min="49" max="49" width="5.7109375" style="217" bestFit="1" customWidth="1"/>
    <col min="50" max="50" width="9.7109375" style="217" bestFit="1" customWidth="1"/>
    <col min="51" max="51" width="5.7109375" style="218" bestFit="1" customWidth="1"/>
    <col min="52" max="16384" width="9.140625" style="65"/>
  </cols>
  <sheetData>
    <row r="1" spans="1:51" s="191" customFormat="1" ht="13.5" thickBot="1">
      <c r="A1" s="179"/>
      <c r="B1" s="116"/>
      <c r="C1" s="180"/>
      <c r="D1" s="180"/>
      <c r="E1" s="181"/>
      <c r="F1" s="181"/>
      <c r="G1" s="142" t="s">
        <v>27</v>
      </c>
      <c r="H1" s="182"/>
      <c r="I1" s="182"/>
      <c r="J1" s="182"/>
      <c r="K1" s="182"/>
      <c r="L1" s="182"/>
      <c r="M1" s="182"/>
      <c r="N1" s="183"/>
      <c r="O1" s="142" t="s">
        <v>28</v>
      </c>
      <c r="P1" s="182"/>
      <c r="Q1" s="182"/>
      <c r="R1" s="182"/>
      <c r="S1" s="182"/>
      <c r="T1" s="182"/>
      <c r="U1" s="182"/>
      <c r="V1" s="183"/>
      <c r="W1" s="184" t="s">
        <v>29</v>
      </c>
      <c r="X1" s="185"/>
      <c r="Y1" s="185"/>
      <c r="Z1" s="185"/>
      <c r="AA1" s="185"/>
      <c r="AB1" s="185"/>
      <c r="AC1" s="185"/>
      <c r="AD1" s="185"/>
      <c r="AE1" s="185"/>
      <c r="AF1" s="186"/>
      <c r="AG1" s="184" t="s">
        <v>30</v>
      </c>
      <c r="AH1" s="185"/>
      <c r="AI1" s="185"/>
      <c r="AJ1" s="185"/>
      <c r="AK1" s="185"/>
      <c r="AL1" s="185"/>
      <c r="AM1" s="185"/>
      <c r="AN1" s="185"/>
      <c r="AO1" s="185"/>
      <c r="AP1" s="186"/>
      <c r="AQ1" s="179" t="s">
        <v>13</v>
      </c>
      <c r="AR1" s="116" t="s">
        <v>16</v>
      </c>
      <c r="AS1" s="187" t="s">
        <v>9</v>
      </c>
      <c r="AT1" s="188" t="s">
        <v>13</v>
      </c>
      <c r="AU1" s="33" t="s">
        <v>16</v>
      </c>
      <c r="AV1" s="34" t="s">
        <v>50</v>
      </c>
      <c r="AW1" s="189" t="s">
        <v>13</v>
      </c>
      <c r="AX1" s="37" t="s">
        <v>16</v>
      </c>
      <c r="AY1" s="190" t="s">
        <v>50</v>
      </c>
    </row>
    <row r="2" spans="1:51" s="6" customFormat="1" ht="34.5" thickBot="1">
      <c r="A2" s="46" t="s">
        <v>26</v>
      </c>
      <c r="B2" s="192" t="s">
        <v>82</v>
      </c>
      <c r="C2" s="46" t="s">
        <v>18</v>
      </c>
      <c r="D2" s="53" t="s">
        <v>19</v>
      </c>
      <c r="E2" s="192" t="s">
        <v>74</v>
      </c>
      <c r="F2" s="54" t="s">
        <v>20</v>
      </c>
      <c r="G2" s="193" t="s">
        <v>24</v>
      </c>
      <c r="H2" s="194" t="s">
        <v>0</v>
      </c>
      <c r="I2" s="195" t="s">
        <v>33</v>
      </c>
      <c r="J2" s="195" t="s">
        <v>60</v>
      </c>
      <c r="K2" s="195" t="s">
        <v>34</v>
      </c>
      <c r="L2" s="195" t="s">
        <v>35</v>
      </c>
      <c r="M2" s="195" t="s">
        <v>36</v>
      </c>
      <c r="N2" s="196" t="s">
        <v>37</v>
      </c>
      <c r="O2" s="193" t="s">
        <v>24</v>
      </c>
      <c r="P2" s="194" t="s">
        <v>0</v>
      </c>
      <c r="Q2" s="195" t="s">
        <v>33</v>
      </c>
      <c r="R2" s="195" t="s">
        <v>60</v>
      </c>
      <c r="S2" s="195" t="s">
        <v>34</v>
      </c>
      <c r="T2" s="195" t="s">
        <v>35</v>
      </c>
      <c r="U2" s="195" t="s">
        <v>36</v>
      </c>
      <c r="V2" s="196" t="s">
        <v>37</v>
      </c>
      <c r="W2" s="197" t="s">
        <v>25</v>
      </c>
      <c r="X2" s="198" t="s">
        <v>2</v>
      </c>
      <c r="Y2" s="30" t="s">
        <v>5</v>
      </c>
      <c r="Z2" s="30" t="s">
        <v>61</v>
      </c>
      <c r="AA2" s="198" t="s">
        <v>6</v>
      </c>
      <c r="AB2" s="30" t="s">
        <v>3</v>
      </c>
      <c r="AC2" s="199" t="s">
        <v>3</v>
      </c>
      <c r="AD2" s="199" t="s">
        <v>22</v>
      </c>
      <c r="AE2" s="199" t="s">
        <v>23</v>
      </c>
      <c r="AF2" s="200" t="s">
        <v>4</v>
      </c>
      <c r="AG2" s="193" t="s">
        <v>25</v>
      </c>
      <c r="AH2" s="194" t="s">
        <v>2</v>
      </c>
      <c r="AI2" s="194" t="s">
        <v>5</v>
      </c>
      <c r="AJ2" s="194" t="s">
        <v>62</v>
      </c>
      <c r="AK2" s="194" t="s">
        <v>6</v>
      </c>
      <c r="AL2" s="194" t="s">
        <v>3</v>
      </c>
      <c r="AM2" s="194" t="s">
        <v>3</v>
      </c>
      <c r="AN2" s="194" t="s">
        <v>22</v>
      </c>
      <c r="AO2" s="194" t="s">
        <v>23</v>
      </c>
      <c r="AP2" s="201" t="s">
        <v>4</v>
      </c>
      <c r="AQ2" s="46" t="s">
        <v>7</v>
      </c>
      <c r="AR2" s="53" t="s">
        <v>8</v>
      </c>
      <c r="AS2" s="54" t="s">
        <v>8</v>
      </c>
      <c r="AT2" s="202" t="s">
        <v>63</v>
      </c>
      <c r="AU2" s="172" t="s">
        <v>63</v>
      </c>
      <c r="AV2" s="35" t="s">
        <v>63</v>
      </c>
      <c r="AW2" s="173" t="s">
        <v>44</v>
      </c>
      <c r="AX2" s="174" t="s">
        <v>44</v>
      </c>
      <c r="AY2" s="203" t="s">
        <v>31</v>
      </c>
    </row>
    <row r="3" spans="1:51" ht="13.35" customHeight="1">
      <c r="A3" s="204">
        <v>11270</v>
      </c>
      <c r="B3" s="60" t="s">
        <v>106</v>
      </c>
      <c r="C3" s="205" t="str">
        <f>Rollover!A3</f>
        <v>Chevrolet</v>
      </c>
      <c r="D3" s="206" t="str">
        <f>Rollover!B3</f>
        <v>Trailblazer SUV FWD (Later Release)</v>
      </c>
      <c r="E3" s="131" t="s">
        <v>92</v>
      </c>
      <c r="F3" s="207">
        <f>Rollover!C3</f>
        <v>2021</v>
      </c>
      <c r="G3" s="208">
        <v>184.547</v>
      </c>
      <c r="H3" s="9">
        <v>0.23899999999999999</v>
      </c>
      <c r="I3" s="9">
        <v>845.81</v>
      </c>
      <c r="J3" s="9">
        <v>66.527000000000001</v>
      </c>
      <c r="K3" s="9">
        <v>21.013000000000002</v>
      </c>
      <c r="L3" s="9">
        <v>46.2</v>
      </c>
      <c r="M3" s="9">
        <v>370.19799999999998</v>
      </c>
      <c r="N3" s="10">
        <v>1160.6959999999999</v>
      </c>
      <c r="O3" s="8">
        <v>401.44600000000003</v>
      </c>
      <c r="P3" s="9">
        <v>0.29199999999999998</v>
      </c>
      <c r="Q3" s="9">
        <v>681.58799999999997</v>
      </c>
      <c r="R3" s="9">
        <v>362.983</v>
      </c>
      <c r="S3" s="9">
        <v>10.385999999999999</v>
      </c>
      <c r="T3" s="9">
        <v>46.183999999999997</v>
      </c>
      <c r="U3" s="9">
        <v>1819.8130000000001</v>
      </c>
      <c r="V3" s="10">
        <v>1705.146</v>
      </c>
      <c r="W3" s="209">
        <f t="shared" ref="W3:W5" si="0">NORMDIST(LN(G3),7.45231,0.73998,1)</f>
        <v>1.265756938705759E-3</v>
      </c>
      <c r="X3" s="5">
        <f t="shared" ref="X3:X5" si="1">1/(1+EXP(3.2269-1.9688*H3))</f>
        <v>5.9728644329886275E-2</v>
      </c>
      <c r="Y3" s="5">
        <f t="shared" ref="Y3:Y5" si="2">1/(1+EXP(10.9745-2.375*I3/1000))</f>
        <v>1.2769972379128808E-4</v>
      </c>
      <c r="Z3" s="5">
        <f t="shared" ref="Z3:Z5" si="3">1/(1+EXP(10.9745-2.375*J3/1000))</f>
        <v>2.0065303259501311E-5</v>
      </c>
      <c r="AA3" s="5">
        <f t="shared" ref="AA3:AA5" si="4">MAX(X3,Y3,Z3)</f>
        <v>5.9728644329886275E-2</v>
      </c>
      <c r="AB3" s="5">
        <f t="shared" ref="AB3:AB5" si="5">1/(1+EXP(12.597-0.05861*35-1.568*(K3^0.4612)))</f>
        <v>1.5383832354787418E-2</v>
      </c>
      <c r="AC3" s="5">
        <f t="shared" ref="AC3:AC5" si="6">AB3</f>
        <v>1.5383832354787418E-2</v>
      </c>
      <c r="AD3" s="5">
        <f t="shared" ref="AD3:AD5" si="7">1/(1+EXP(5.7949-0.5196*M3/1000))</f>
        <v>3.674909407374092E-3</v>
      </c>
      <c r="AE3" s="5">
        <f t="shared" ref="AE3:AE5" si="8">1/(1+EXP(5.7949-0.5196*N3/1000))</f>
        <v>5.531208672634051E-3</v>
      </c>
      <c r="AF3" s="22">
        <f t="shared" ref="AF3:AF5" si="9">MAX(AD3,AE3)</f>
        <v>5.531208672634051E-3</v>
      </c>
      <c r="AG3" s="21">
        <f t="shared" ref="AG3:AG5" si="10">NORMDIST(LN(O3),7.45231,0.73998,1)</f>
        <v>2.4459763174449315E-2</v>
      </c>
      <c r="AH3" s="5">
        <f t="shared" ref="AH3:AH5" si="11">1/(1+EXP(3.2269-1.9688*P3))</f>
        <v>6.5865207635833936E-2</v>
      </c>
      <c r="AI3" s="5">
        <f t="shared" ref="AI3:AI5" si="12">1/(1+EXP(10.958-3.77*Q3/1000))</f>
        <v>2.2743622191911397E-4</v>
      </c>
      <c r="AJ3" s="5">
        <f t="shared" ref="AJ3:AJ5" si="13">1/(1+EXP(10.958-3.77*R3/1000))</f>
        <v>6.8435249152448799E-5</v>
      </c>
      <c r="AK3" s="5">
        <f t="shared" ref="AK3:AK5" si="14">MAX(AH3,AI3,AJ3)</f>
        <v>6.5865207635833936E-2</v>
      </c>
      <c r="AL3" s="5">
        <f t="shared" ref="AL3:AL5" si="15">1/(1+EXP(12.597-0.05861*35-1.568*((S3/0.817)^0.4612)))</f>
        <v>4.1510555939668192E-3</v>
      </c>
      <c r="AM3" s="5">
        <f t="shared" ref="AM3:AM5" si="16">AL3</f>
        <v>4.1510555939668192E-3</v>
      </c>
      <c r="AN3" s="5">
        <f t="shared" ref="AN3:AN5" si="17">1/(1+EXP(5.7949-0.7619*U3/1000))</f>
        <v>1.2028387602739986E-2</v>
      </c>
      <c r="AO3" s="5">
        <f t="shared" ref="AO3:AO5" si="18">1/(1+EXP(5.7949-0.7619*V3/1000))</f>
        <v>1.1033228262350037E-2</v>
      </c>
      <c r="AP3" s="22">
        <f t="shared" ref="AP3:AP5" si="19">MAX(AN3,AO3)</f>
        <v>1.2028387602739986E-2</v>
      </c>
      <c r="AQ3" s="21">
        <f t="shared" ref="AQ3:AQ5" si="20">ROUND(1-(1-W3)*(1-AA3)*(1-AC3)*(1-AF3),3)</f>
        <v>0.08</v>
      </c>
      <c r="AR3" s="5">
        <f t="shared" ref="AR3:AR5" si="21">ROUND(1-(1-AG3)*(1-AK3)*(1-AM3)*(1-AP3),3)</f>
        <v>0.10299999999999999</v>
      </c>
      <c r="AS3" s="22">
        <f t="shared" ref="AS3:AS5" si="22">ROUND(AVERAGE(AR3,AQ3),3)</f>
        <v>9.1999999999999998E-2</v>
      </c>
      <c r="AT3" s="23">
        <f t="shared" ref="AT3:AT5" si="23">ROUND(AQ3/0.15,2)</f>
        <v>0.53</v>
      </c>
      <c r="AU3" s="132">
        <f t="shared" ref="AU3:AU5" si="24">ROUND(AR3/0.15,2)</f>
        <v>0.69</v>
      </c>
      <c r="AV3" s="24">
        <f t="shared" ref="AV3:AV5" si="25">ROUND(AS3/0.15,2)</f>
        <v>0.61</v>
      </c>
      <c r="AW3" s="210">
        <f t="shared" ref="AW3:AW5" si="26">IF(AT3&lt;0.67,5,IF(AT3&lt;1,4,IF(AT3&lt;1.33,3,IF(AT3&lt;2.67,2,1))))</f>
        <v>5</v>
      </c>
      <c r="AX3" s="43">
        <f t="shared" ref="AX3:AX5" si="27">IF(AU3&lt;0.67,5,IF(AU3&lt;1,4,IF(AU3&lt;1.33,3,IF(AU3&lt;2.67,2,1))))</f>
        <v>4</v>
      </c>
      <c r="AY3" s="211">
        <f t="shared" ref="AY3:AY5" si="28">IF(AV3&lt;0.67,5,IF(AV3&lt;1,4,IF(AV3&lt;1.33,3,IF(AV3&lt;2.67,2,1))))</f>
        <v>5</v>
      </c>
    </row>
    <row r="4" spans="1:51" ht="13.35" customHeight="1">
      <c r="A4" s="204">
        <v>11270</v>
      </c>
      <c r="B4" s="60" t="s">
        <v>106</v>
      </c>
      <c r="C4" s="205" t="str">
        <f>Rollover!A4</f>
        <v>Chevrolet</v>
      </c>
      <c r="D4" s="206" t="str">
        <f>Rollover!B4</f>
        <v>Trailblazer SUV AWD (Later Release)</v>
      </c>
      <c r="E4" s="131" t="s">
        <v>92</v>
      </c>
      <c r="F4" s="207">
        <f>Rollover!C4</f>
        <v>2021</v>
      </c>
      <c r="G4" s="208">
        <v>184.547</v>
      </c>
      <c r="H4" s="9">
        <v>0.23899999999999999</v>
      </c>
      <c r="I4" s="9">
        <v>845.81</v>
      </c>
      <c r="J4" s="9">
        <v>66.527000000000001</v>
      </c>
      <c r="K4" s="9">
        <v>21.013000000000002</v>
      </c>
      <c r="L4" s="9">
        <v>46.2</v>
      </c>
      <c r="M4" s="9">
        <v>370.19799999999998</v>
      </c>
      <c r="N4" s="10">
        <v>1160.6959999999999</v>
      </c>
      <c r="O4" s="8">
        <v>401.44600000000003</v>
      </c>
      <c r="P4" s="9">
        <v>0.29199999999999998</v>
      </c>
      <c r="Q4" s="9">
        <v>681.58799999999997</v>
      </c>
      <c r="R4" s="9">
        <v>362.983</v>
      </c>
      <c r="S4" s="9">
        <v>10.385999999999999</v>
      </c>
      <c r="T4" s="9">
        <v>46.183999999999997</v>
      </c>
      <c r="U4" s="9">
        <v>1819.8130000000001</v>
      </c>
      <c r="V4" s="10">
        <v>1705.146</v>
      </c>
      <c r="W4" s="209">
        <f t="shared" si="0"/>
        <v>1.265756938705759E-3</v>
      </c>
      <c r="X4" s="5">
        <f t="shared" si="1"/>
        <v>5.9728644329886275E-2</v>
      </c>
      <c r="Y4" s="5">
        <f t="shared" si="2"/>
        <v>1.2769972379128808E-4</v>
      </c>
      <c r="Z4" s="5">
        <f t="shared" si="3"/>
        <v>2.0065303259501311E-5</v>
      </c>
      <c r="AA4" s="5">
        <f t="shared" si="4"/>
        <v>5.9728644329886275E-2</v>
      </c>
      <c r="AB4" s="5">
        <f t="shared" si="5"/>
        <v>1.5383832354787418E-2</v>
      </c>
      <c r="AC4" s="5">
        <f t="shared" si="6"/>
        <v>1.5383832354787418E-2</v>
      </c>
      <c r="AD4" s="5">
        <f t="shared" si="7"/>
        <v>3.674909407374092E-3</v>
      </c>
      <c r="AE4" s="5">
        <f t="shared" si="8"/>
        <v>5.531208672634051E-3</v>
      </c>
      <c r="AF4" s="22">
        <f t="shared" si="9"/>
        <v>5.531208672634051E-3</v>
      </c>
      <c r="AG4" s="21">
        <f t="shared" si="10"/>
        <v>2.4459763174449315E-2</v>
      </c>
      <c r="AH4" s="5">
        <f t="shared" si="11"/>
        <v>6.5865207635833936E-2</v>
      </c>
      <c r="AI4" s="5">
        <f t="shared" si="12"/>
        <v>2.2743622191911397E-4</v>
      </c>
      <c r="AJ4" s="5">
        <f t="shared" si="13"/>
        <v>6.8435249152448799E-5</v>
      </c>
      <c r="AK4" s="5">
        <f t="shared" si="14"/>
        <v>6.5865207635833936E-2</v>
      </c>
      <c r="AL4" s="5">
        <f t="shared" si="15"/>
        <v>4.1510555939668192E-3</v>
      </c>
      <c r="AM4" s="5">
        <f t="shared" si="16"/>
        <v>4.1510555939668192E-3</v>
      </c>
      <c r="AN4" s="5">
        <f t="shared" si="17"/>
        <v>1.2028387602739986E-2</v>
      </c>
      <c r="AO4" s="5">
        <f t="shared" si="18"/>
        <v>1.1033228262350037E-2</v>
      </c>
      <c r="AP4" s="22">
        <f t="shared" si="19"/>
        <v>1.2028387602739986E-2</v>
      </c>
      <c r="AQ4" s="21">
        <f t="shared" si="20"/>
        <v>0.08</v>
      </c>
      <c r="AR4" s="5">
        <f t="shared" si="21"/>
        <v>0.10299999999999999</v>
      </c>
      <c r="AS4" s="22">
        <f t="shared" si="22"/>
        <v>9.1999999999999998E-2</v>
      </c>
      <c r="AT4" s="23">
        <f t="shared" si="23"/>
        <v>0.53</v>
      </c>
      <c r="AU4" s="132">
        <f t="shared" si="24"/>
        <v>0.69</v>
      </c>
      <c r="AV4" s="24">
        <f t="shared" si="25"/>
        <v>0.61</v>
      </c>
      <c r="AW4" s="210">
        <f t="shared" si="26"/>
        <v>5</v>
      </c>
      <c r="AX4" s="43">
        <f t="shared" si="27"/>
        <v>4</v>
      </c>
      <c r="AY4" s="211">
        <f t="shared" si="28"/>
        <v>5</v>
      </c>
    </row>
    <row r="5" spans="1:51" ht="13.35" customHeight="1">
      <c r="A5" s="136">
        <v>11270</v>
      </c>
      <c r="B5" s="67" t="s">
        <v>106</v>
      </c>
      <c r="C5" s="212" t="str">
        <f>Rollover!A5</f>
        <v>Buick</v>
      </c>
      <c r="D5" s="213" t="str">
        <f>Rollover!B5</f>
        <v>Encore GX SUV FWD</v>
      </c>
      <c r="E5" s="131" t="s">
        <v>92</v>
      </c>
      <c r="F5" s="207">
        <f>Rollover!C5</f>
        <v>2021</v>
      </c>
      <c r="G5" s="8">
        <v>184.547</v>
      </c>
      <c r="H5" s="9">
        <v>0.23899999999999999</v>
      </c>
      <c r="I5" s="9">
        <v>845.81</v>
      </c>
      <c r="J5" s="9">
        <v>66.527000000000001</v>
      </c>
      <c r="K5" s="9">
        <v>21.013000000000002</v>
      </c>
      <c r="L5" s="9">
        <v>46.2</v>
      </c>
      <c r="M5" s="9">
        <v>370.19799999999998</v>
      </c>
      <c r="N5" s="10">
        <v>1160.6959999999999</v>
      </c>
      <c r="O5" s="8">
        <v>401.44600000000003</v>
      </c>
      <c r="P5" s="9">
        <v>0.29199999999999998</v>
      </c>
      <c r="Q5" s="9">
        <v>681.58799999999997</v>
      </c>
      <c r="R5" s="9">
        <v>362.983</v>
      </c>
      <c r="S5" s="9">
        <v>10.385999999999999</v>
      </c>
      <c r="T5" s="9">
        <v>46.183999999999997</v>
      </c>
      <c r="U5" s="9">
        <v>1819.8130000000001</v>
      </c>
      <c r="V5" s="10">
        <v>1705.146</v>
      </c>
      <c r="W5" s="209">
        <f t="shared" si="0"/>
        <v>1.265756938705759E-3</v>
      </c>
      <c r="X5" s="5">
        <f t="shared" si="1"/>
        <v>5.9728644329886275E-2</v>
      </c>
      <c r="Y5" s="5">
        <f t="shared" si="2"/>
        <v>1.2769972379128808E-4</v>
      </c>
      <c r="Z5" s="5">
        <f t="shared" si="3"/>
        <v>2.0065303259501311E-5</v>
      </c>
      <c r="AA5" s="5">
        <f t="shared" si="4"/>
        <v>5.9728644329886275E-2</v>
      </c>
      <c r="AB5" s="5">
        <f t="shared" si="5"/>
        <v>1.5383832354787418E-2</v>
      </c>
      <c r="AC5" s="5">
        <f t="shared" si="6"/>
        <v>1.5383832354787418E-2</v>
      </c>
      <c r="AD5" s="5">
        <f t="shared" si="7"/>
        <v>3.674909407374092E-3</v>
      </c>
      <c r="AE5" s="5">
        <f t="shared" si="8"/>
        <v>5.531208672634051E-3</v>
      </c>
      <c r="AF5" s="22">
        <f t="shared" si="9"/>
        <v>5.531208672634051E-3</v>
      </c>
      <c r="AG5" s="21">
        <f t="shared" si="10"/>
        <v>2.4459763174449315E-2</v>
      </c>
      <c r="AH5" s="5">
        <f t="shared" si="11"/>
        <v>6.5865207635833936E-2</v>
      </c>
      <c r="AI5" s="5">
        <f t="shared" si="12"/>
        <v>2.2743622191911397E-4</v>
      </c>
      <c r="AJ5" s="5">
        <f t="shared" si="13"/>
        <v>6.8435249152448799E-5</v>
      </c>
      <c r="AK5" s="5">
        <f t="shared" si="14"/>
        <v>6.5865207635833936E-2</v>
      </c>
      <c r="AL5" s="5">
        <f t="shared" si="15"/>
        <v>4.1510555939668192E-3</v>
      </c>
      <c r="AM5" s="5">
        <f t="shared" si="16"/>
        <v>4.1510555939668192E-3</v>
      </c>
      <c r="AN5" s="5">
        <f t="shared" si="17"/>
        <v>1.2028387602739986E-2</v>
      </c>
      <c r="AO5" s="5">
        <f t="shared" si="18"/>
        <v>1.1033228262350037E-2</v>
      </c>
      <c r="AP5" s="22">
        <f t="shared" si="19"/>
        <v>1.2028387602739986E-2</v>
      </c>
      <c r="AQ5" s="21">
        <f t="shared" si="20"/>
        <v>0.08</v>
      </c>
      <c r="AR5" s="5">
        <f t="shared" si="21"/>
        <v>0.10299999999999999</v>
      </c>
      <c r="AS5" s="22">
        <f t="shared" si="22"/>
        <v>9.1999999999999998E-2</v>
      </c>
      <c r="AT5" s="23">
        <f t="shared" si="23"/>
        <v>0.53</v>
      </c>
      <c r="AU5" s="132">
        <f t="shared" si="24"/>
        <v>0.69</v>
      </c>
      <c r="AV5" s="24">
        <f t="shared" si="25"/>
        <v>0.61</v>
      </c>
      <c r="AW5" s="210">
        <f t="shared" si="26"/>
        <v>5</v>
      </c>
      <c r="AX5" s="43">
        <f t="shared" si="27"/>
        <v>4</v>
      </c>
      <c r="AY5" s="211">
        <f t="shared" si="28"/>
        <v>5</v>
      </c>
    </row>
    <row r="6" spans="1:51" ht="13.35" customHeight="1">
      <c r="A6" s="136">
        <v>11270</v>
      </c>
      <c r="B6" s="67" t="s">
        <v>106</v>
      </c>
      <c r="C6" s="212" t="str">
        <f>Rollover!A6</f>
        <v>Buick</v>
      </c>
      <c r="D6" s="213" t="str">
        <f>Rollover!B6</f>
        <v>Encore GX SUV AWD</v>
      </c>
      <c r="E6" s="131" t="s">
        <v>92</v>
      </c>
      <c r="F6" s="207">
        <f>Rollover!C6</f>
        <v>2021</v>
      </c>
      <c r="G6" s="21">
        <v>184.547</v>
      </c>
      <c r="H6" s="5">
        <v>0.23899999999999999</v>
      </c>
      <c r="I6" s="5">
        <v>845.81</v>
      </c>
      <c r="J6" s="5">
        <v>66.527000000000001</v>
      </c>
      <c r="K6" s="5">
        <v>21.013000000000002</v>
      </c>
      <c r="L6" s="5">
        <v>46.2</v>
      </c>
      <c r="M6" s="5">
        <v>370.19799999999998</v>
      </c>
      <c r="N6" s="22">
        <v>1160.6959999999999</v>
      </c>
      <c r="O6" s="21">
        <v>401.44600000000003</v>
      </c>
      <c r="P6" s="5">
        <v>0.29199999999999998</v>
      </c>
      <c r="Q6" s="5">
        <v>681.58799999999997</v>
      </c>
      <c r="R6" s="5">
        <v>362.983</v>
      </c>
      <c r="S6" s="5">
        <v>10.385999999999999</v>
      </c>
      <c r="T6" s="5">
        <v>46.183999999999997</v>
      </c>
      <c r="U6" s="5">
        <v>1819.8130000000001</v>
      </c>
      <c r="V6" s="22">
        <v>1705.146</v>
      </c>
      <c r="W6" s="209">
        <f t="shared" ref="W6:W9" si="29">NORMDIST(LN(G6),7.45231,0.73998,1)</f>
        <v>1.265756938705759E-3</v>
      </c>
      <c r="X6" s="5">
        <f t="shared" ref="X6:X9" si="30">1/(1+EXP(3.2269-1.9688*H6))</f>
        <v>5.9728644329886275E-2</v>
      </c>
      <c r="Y6" s="5">
        <f t="shared" ref="Y6:Y9" si="31">1/(1+EXP(10.9745-2.375*I6/1000))</f>
        <v>1.2769972379128808E-4</v>
      </c>
      <c r="Z6" s="5">
        <f t="shared" ref="Z6:Z9" si="32">1/(1+EXP(10.9745-2.375*J6/1000))</f>
        <v>2.0065303259501311E-5</v>
      </c>
      <c r="AA6" s="5">
        <f t="shared" ref="AA6:AA9" si="33">MAX(X6,Y6,Z6)</f>
        <v>5.9728644329886275E-2</v>
      </c>
      <c r="AB6" s="5">
        <f t="shared" ref="AB6:AB9" si="34">1/(1+EXP(12.597-0.05861*35-1.568*(K6^0.4612)))</f>
        <v>1.5383832354787418E-2</v>
      </c>
      <c r="AC6" s="5">
        <f t="shared" ref="AC6:AC9" si="35">AB6</f>
        <v>1.5383832354787418E-2</v>
      </c>
      <c r="AD6" s="5">
        <f t="shared" ref="AD6:AD9" si="36">1/(1+EXP(5.7949-0.5196*M6/1000))</f>
        <v>3.674909407374092E-3</v>
      </c>
      <c r="AE6" s="5">
        <f t="shared" ref="AE6:AE9" si="37">1/(1+EXP(5.7949-0.5196*N6/1000))</f>
        <v>5.531208672634051E-3</v>
      </c>
      <c r="AF6" s="22">
        <f t="shared" ref="AF6:AF9" si="38">MAX(AD6,AE6)</f>
        <v>5.531208672634051E-3</v>
      </c>
      <c r="AG6" s="21">
        <f t="shared" ref="AG6:AG9" si="39">NORMDIST(LN(O6),7.45231,0.73998,1)</f>
        <v>2.4459763174449315E-2</v>
      </c>
      <c r="AH6" s="5">
        <f t="shared" ref="AH6:AH9" si="40">1/(1+EXP(3.2269-1.9688*P6))</f>
        <v>6.5865207635833936E-2</v>
      </c>
      <c r="AI6" s="5">
        <f t="shared" ref="AI6:AI9" si="41">1/(1+EXP(10.958-3.77*Q6/1000))</f>
        <v>2.2743622191911397E-4</v>
      </c>
      <c r="AJ6" s="5">
        <f t="shared" ref="AJ6:AJ9" si="42">1/(1+EXP(10.958-3.77*R6/1000))</f>
        <v>6.8435249152448799E-5</v>
      </c>
      <c r="AK6" s="5">
        <f t="shared" ref="AK6:AK9" si="43">MAX(AH6,AI6,AJ6)</f>
        <v>6.5865207635833936E-2</v>
      </c>
      <c r="AL6" s="5">
        <f t="shared" ref="AL6:AL9" si="44">1/(1+EXP(12.597-0.05861*35-1.568*((S6/0.817)^0.4612)))</f>
        <v>4.1510555939668192E-3</v>
      </c>
      <c r="AM6" s="5">
        <f t="shared" ref="AM6:AM9" si="45">AL6</f>
        <v>4.1510555939668192E-3</v>
      </c>
      <c r="AN6" s="5">
        <f t="shared" ref="AN6:AN9" si="46">1/(1+EXP(5.7949-0.7619*U6/1000))</f>
        <v>1.2028387602739986E-2</v>
      </c>
      <c r="AO6" s="5">
        <f t="shared" ref="AO6:AO9" si="47">1/(1+EXP(5.7949-0.7619*V6/1000))</f>
        <v>1.1033228262350037E-2</v>
      </c>
      <c r="AP6" s="22">
        <f t="shared" ref="AP6:AP9" si="48">MAX(AN6,AO6)</f>
        <v>1.2028387602739986E-2</v>
      </c>
      <c r="AQ6" s="21">
        <f t="shared" ref="AQ6:AQ9" si="49">ROUND(1-(1-W6)*(1-AA6)*(1-AC6)*(1-AF6),3)</f>
        <v>0.08</v>
      </c>
      <c r="AR6" s="5">
        <f t="shared" ref="AR6:AR9" si="50">ROUND(1-(1-AG6)*(1-AK6)*(1-AM6)*(1-AP6),3)</f>
        <v>0.10299999999999999</v>
      </c>
      <c r="AS6" s="22">
        <f t="shared" ref="AS6:AS9" si="51">ROUND(AVERAGE(AR6,AQ6),3)</f>
        <v>9.1999999999999998E-2</v>
      </c>
      <c r="AT6" s="23">
        <f t="shared" ref="AT6:AT9" si="52">ROUND(AQ6/0.15,2)</f>
        <v>0.53</v>
      </c>
      <c r="AU6" s="132">
        <f t="shared" ref="AU6:AU9" si="53">ROUND(AR6/0.15,2)</f>
        <v>0.69</v>
      </c>
      <c r="AV6" s="24">
        <f t="shared" ref="AV6:AV9" si="54">ROUND(AS6/0.15,2)</f>
        <v>0.61</v>
      </c>
      <c r="AW6" s="210">
        <f t="shared" ref="AW6:AW9" si="55">IF(AT6&lt;0.67,5,IF(AT6&lt;1,4,IF(AT6&lt;1.33,3,IF(AT6&lt;2.67,2,1))))</f>
        <v>5</v>
      </c>
      <c r="AX6" s="43">
        <f t="shared" ref="AX6:AX9" si="56">IF(AU6&lt;0.67,5,IF(AU6&lt;1,4,IF(AU6&lt;1.33,3,IF(AU6&lt;2.67,2,1))))</f>
        <v>4</v>
      </c>
      <c r="AY6" s="211">
        <f t="shared" ref="AY6:AY9" si="57">IF(AV6&lt;0.67,5,IF(AV6&lt;1,4,IF(AV6&lt;1.33,3,IF(AV6&lt;2.67,2,1))))</f>
        <v>5</v>
      </c>
    </row>
    <row r="7" spans="1:51" ht="13.35" customHeight="1">
      <c r="A7" s="136">
        <v>11268</v>
      </c>
      <c r="B7" s="66" t="s">
        <v>103</v>
      </c>
      <c r="C7" s="205" t="str">
        <f>Rollover!A7</f>
        <v>Kia</v>
      </c>
      <c r="D7" s="206" t="str">
        <f>Rollover!B7</f>
        <v>K5 4DR FWD</v>
      </c>
      <c r="E7" s="131" t="s">
        <v>92</v>
      </c>
      <c r="F7" s="207">
        <f>Rollover!C7</f>
        <v>2021</v>
      </c>
      <c r="G7" s="21">
        <v>294.64800000000002</v>
      </c>
      <c r="H7" s="5">
        <v>0.20899999999999999</v>
      </c>
      <c r="I7" s="5">
        <v>801.27300000000002</v>
      </c>
      <c r="J7" s="5">
        <v>94.372</v>
      </c>
      <c r="K7" s="5">
        <v>21.593</v>
      </c>
      <c r="L7" s="5">
        <v>41.38</v>
      </c>
      <c r="M7" s="5">
        <v>1975.1410000000001</v>
      </c>
      <c r="N7" s="22">
        <v>1229.261</v>
      </c>
      <c r="O7" s="21">
        <v>372.92899999999997</v>
      </c>
      <c r="P7" s="5">
        <v>0.501</v>
      </c>
      <c r="Q7" s="5">
        <v>655.30700000000002</v>
      </c>
      <c r="R7" s="5">
        <v>255.69800000000001</v>
      </c>
      <c r="S7" s="5">
        <v>13.215999999999999</v>
      </c>
      <c r="T7" s="5">
        <v>41.445</v>
      </c>
      <c r="U7" s="5">
        <v>88.203999999999994</v>
      </c>
      <c r="V7" s="22">
        <v>135.499</v>
      </c>
      <c r="W7" s="209">
        <f t="shared" si="29"/>
        <v>8.4871185456827716E-3</v>
      </c>
      <c r="X7" s="5">
        <f t="shared" si="30"/>
        <v>5.6496531186568832E-2</v>
      </c>
      <c r="Y7" s="5">
        <f t="shared" si="31"/>
        <v>1.1488355415619377E-4</v>
      </c>
      <c r="Z7" s="5">
        <f t="shared" si="32"/>
        <v>2.1437090455864124E-5</v>
      </c>
      <c r="AA7" s="5">
        <f t="shared" si="33"/>
        <v>5.6496531186568832E-2</v>
      </c>
      <c r="AB7" s="5">
        <f t="shared" si="34"/>
        <v>1.6655354772788181E-2</v>
      </c>
      <c r="AC7" s="5">
        <f t="shared" si="35"/>
        <v>1.6655354772788181E-2</v>
      </c>
      <c r="AD7" s="5">
        <f t="shared" si="36"/>
        <v>8.4206100565153187E-3</v>
      </c>
      <c r="AE7" s="5">
        <f t="shared" si="37"/>
        <v>5.7306682276977447E-3</v>
      </c>
      <c r="AF7" s="22">
        <f t="shared" si="38"/>
        <v>8.4206100565153187E-3</v>
      </c>
      <c r="AG7" s="21">
        <f t="shared" si="39"/>
        <v>1.9279173887082925E-2</v>
      </c>
      <c r="AH7" s="5">
        <f t="shared" si="40"/>
        <v>9.6169359468729107E-2</v>
      </c>
      <c r="AI7" s="5">
        <f t="shared" si="41"/>
        <v>2.0598676928946724E-4</v>
      </c>
      <c r="AJ7" s="5">
        <f t="shared" si="42"/>
        <v>4.5670215540480505E-5</v>
      </c>
      <c r="AK7" s="5">
        <f t="shared" si="43"/>
        <v>9.6169359468729107E-2</v>
      </c>
      <c r="AL7" s="5">
        <f t="shared" si="44"/>
        <v>7.5037978448511565E-3</v>
      </c>
      <c r="AM7" s="5">
        <f t="shared" si="45"/>
        <v>7.5037978448511565E-3</v>
      </c>
      <c r="AN7" s="5">
        <f t="shared" si="46"/>
        <v>3.2440048410150536E-3</v>
      </c>
      <c r="AO7" s="5">
        <f t="shared" si="47"/>
        <v>3.3626308875815566E-3</v>
      </c>
      <c r="AP7" s="22">
        <f t="shared" si="48"/>
        <v>3.3626308875815566E-3</v>
      </c>
      <c r="AQ7" s="21">
        <f t="shared" si="49"/>
        <v>8.7999999999999995E-2</v>
      </c>
      <c r="AR7" s="5">
        <f t="shared" si="50"/>
        <v>0.123</v>
      </c>
      <c r="AS7" s="22">
        <f t="shared" si="51"/>
        <v>0.106</v>
      </c>
      <c r="AT7" s="23">
        <f t="shared" si="52"/>
        <v>0.59</v>
      </c>
      <c r="AU7" s="132">
        <f t="shared" si="53"/>
        <v>0.82</v>
      </c>
      <c r="AV7" s="24">
        <f t="shared" si="54"/>
        <v>0.71</v>
      </c>
      <c r="AW7" s="210">
        <f t="shared" si="55"/>
        <v>5</v>
      </c>
      <c r="AX7" s="43">
        <f t="shared" si="56"/>
        <v>4</v>
      </c>
      <c r="AY7" s="211">
        <f t="shared" si="57"/>
        <v>4</v>
      </c>
    </row>
    <row r="8" spans="1:51" ht="13.35" customHeight="1">
      <c r="A8" s="66">
        <v>11079</v>
      </c>
      <c r="B8" s="67" t="s">
        <v>94</v>
      </c>
      <c r="C8" s="205" t="str">
        <f>Rollover!A8</f>
        <v>Kia</v>
      </c>
      <c r="D8" s="206" t="str">
        <f>Rollover!B8</f>
        <v>Seltos SUV FWD</v>
      </c>
      <c r="E8" s="131" t="s">
        <v>92</v>
      </c>
      <c r="F8" s="207">
        <f>Rollover!C8</f>
        <v>2021</v>
      </c>
      <c r="G8" s="8">
        <v>129.126</v>
      </c>
      <c r="H8" s="9">
        <v>0.24199999999999999</v>
      </c>
      <c r="I8" s="9">
        <v>1054.5129999999999</v>
      </c>
      <c r="J8" s="9">
        <v>103.148</v>
      </c>
      <c r="K8" s="9">
        <v>26.001999999999999</v>
      </c>
      <c r="L8" s="9">
        <v>43.406999999999996</v>
      </c>
      <c r="M8" s="9">
        <v>2045.9860000000001</v>
      </c>
      <c r="N8" s="10">
        <v>1907.635</v>
      </c>
      <c r="O8" s="8">
        <v>404.99299999999999</v>
      </c>
      <c r="P8" s="9">
        <v>0.41399999999999998</v>
      </c>
      <c r="Q8" s="9">
        <v>566.78099999999995</v>
      </c>
      <c r="R8" s="9">
        <v>762.06899999999996</v>
      </c>
      <c r="S8" s="9">
        <v>13.621</v>
      </c>
      <c r="T8" s="9">
        <v>52.731000000000002</v>
      </c>
      <c r="U8" s="9">
        <v>639.43100000000004</v>
      </c>
      <c r="V8" s="10">
        <v>194.53100000000001</v>
      </c>
      <c r="W8" s="209">
        <f t="shared" si="29"/>
        <v>2.3075942002772419E-4</v>
      </c>
      <c r="X8" s="5">
        <f t="shared" si="30"/>
        <v>6.0061218312841474E-2</v>
      </c>
      <c r="Y8" s="5">
        <f t="shared" si="31"/>
        <v>2.0961432543799391E-4</v>
      </c>
      <c r="Z8" s="5">
        <f t="shared" si="32"/>
        <v>2.1888582834895422E-5</v>
      </c>
      <c r="AA8" s="5">
        <f t="shared" si="33"/>
        <v>6.0061218312841474E-2</v>
      </c>
      <c r="AB8" s="5">
        <f t="shared" si="34"/>
        <v>2.9324284916038272E-2</v>
      </c>
      <c r="AC8" s="5">
        <f t="shared" si="35"/>
        <v>2.9324284916038272E-2</v>
      </c>
      <c r="AD8" s="5">
        <f t="shared" si="36"/>
        <v>8.733599889142794E-3</v>
      </c>
      <c r="AE8" s="5">
        <f t="shared" si="37"/>
        <v>8.1327282525987463E-3</v>
      </c>
      <c r="AF8" s="22">
        <f t="shared" si="38"/>
        <v>8.733599889142794E-3</v>
      </c>
      <c r="AG8" s="21">
        <f t="shared" si="39"/>
        <v>2.5149962139034938E-2</v>
      </c>
      <c r="AH8" s="5">
        <f t="shared" si="40"/>
        <v>8.2276033427140446E-2</v>
      </c>
      <c r="AI8" s="5">
        <f t="shared" si="41"/>
        <v>1.4754413818385533E-4</v>
      </c>
      <c r="AJ8" s="5">
        <f t="shared" si="42"/>
        <v>3.080316719954209E-4</v>
      </c>
      <c r="AK8" s="5">
        <f t="shared" si="43"/>
        <v>8.2276033427140446E-2</v>
      </c>
      <c r="AL8" s="5">
        <f t="shared" si="44"/>
        <v>8.118503430097403E-3</v>
      </c>
      <c r="AM8" s="5">
        <f t="shared" si="45"/>
        <v>8.118503430097403E-3</v>
      </c>
      <c r="AN8" s="5">
        <f t="shared" si="46"/>
        <v>4.9288059862936072E-3</v>
      </c>
      <c r="AO8" s="5">
        <f t="shared" si="47"/>
        <v>3.5167788479315704E-3</v>
      </c>
      <c r="AP8" s="22">
        <f t="shared" si="48"/>
        <v>4.9288059862936072E-3</v>
      </c>
      <c r="AQ8" s="21">
        <f t="shared" si="49"/>
        <v>9.6000000000000002E-2</v>
      </c>
      <c r="AR8" s="5">
        <f t="shared" si="50"/>
        <v>0.11700000000000001</v>
      </c>
      <c r="AS8" s="22">
        <f t="shared" si="51"/>
        <v>0.107</v>
      </c>
      <c r="AT8" s="23">
        <f t="shared" si="52"/>
        <v>0.64</v>
      </c>
      <c r="AU8" s="132">
        <f t="shared" si="53"/>
        <v>0.78</v>
      </c>
      <c r="AV8" s="24">
        <f t="shared" si="54"/>
        <v>0.71</v>
      </c>
      <c r="AW8" s="210">
        <f t="shared" si="55"/>
        <v>5</v>
      </c>
      <c r="AX8" s="43">
        <f t="shared" si="56"/>
        <v>4</v>
      </c>
      <c r="AY8" s="211">
        <f t="shared" si="57"/>
        <v>4</v>
      </c>
    </row>
    <row r="9" spans="1:51" ht="13.35" customHeight="1">
      <c r="A9" s="136">
        <v>11079</v>
      </c>
      <c r="B9" s="67" t="s">
        <v>94</v>
      </c>
      <c r="C9" s="205" t="str">
        <f>Rollover!A9</f>
        <v>Kia</v>
      </c>
      <c r="D9" s="206" t="str">
        <f>Rollover!B9</f>
        <v>Seltos SUV AWD</v>
      </c>
      <c r="E9" s="131" t="s">
        <v>92</v>
      </c>
      <c r="F9" s="207">
        <f>Rollover!C9</f>
        <v>2021</v>
      </c>
      <c r="G9" s="208">
        <v>129.126</v>
      </c>
      <c r="H9" s="9">
        <v>0.24199999999999999</v>
      </c>
      <c r="I9" s="9">
        <v>1054.5129999999999</v>
      </c>
      <c r="J9" s="9">
        <v>103.148</v>
      </c>
      <c r="K9" s="9">
        <v>26.001999999999999</v>
      </c>
      <c r="L9" s="9">
        <v>43.406999999999996</v>
      </c>
      <c r="M9" s="9">
        <v>2045.9860000000001</v>
      </c>
      <c r="N9" s="10">
        <v>1907.635</v>
      </c>
      <c r="O9" s="8">
        <v>404.99299999999999</v>
      </c>
      <c r="P9" s="9">
        <v>0.41399999999999998</v>
      </c>
      <c r="Q9" s="9">
        <v>566.78099999999995</v>
      </c>
      <c r="R9" s="9">
        <v>762.06899999999996</v>
      </c>
      <c r="S9" s="9">
        <v>13.621</v>
      </c>
      <c r="T9" s="9">
        <v>52.731000000000002</v>
      </c>
      <c r="U9" s="9">
        <v>639.43100000000004</v>
      </c>
      <c r="V9" s="10">
        <v>194.53100000000001</v>
      </c>
      <c r="W9" s="209">
        <f t="shared" si="29"/>
        <v>2.3075942002772419E-4</v>
      </c>
      <c r="X9" s="5">
        <f t="shared" si="30"/>
        <v>6.0061218312841474E-2</v>
      </c>
      <c r="Y9" s="5">
        <f t="shared" si="31"/>
        <v>2.0961432543799391E-4</v>
      </c>
      <c r="Z9" s="5">
        <f t="shared" si="32"/>
        <v>2.1888582834895422E-5</v>
      </c>
      <c r="AA9" s="5">
        <f t="shared" si="33"/>
        <v>6.0061218312841474E-2</v>
      </c>
      <c r="AB9" s="5">
        <f t="shared" si="34"/>
        <v>2.9324284916038272E-2</v>
      </c>
      <c r="AC9" s="5">
        <f t="shared" si="35"/>
        <v>2.9324284916038272E-2</v>
      </c>
      <c r="AD9" s="5">
        <f t="shared" si="36"/>
        <v>8.733599889142794E-3</v>
      </c>
      <c r="AE9" s="5">
        <f t="shared" si="37"/>
        <v>8.1327282525987463E-3</v>
      </c>
      <c r="AF9" s="22">
        <f t="shared" si="38"/>
        <v>8.733599889142794E-3</v>
      </c>
      <c r="AG9" s="21">
        <f t="shared" si="39"/>
        <v>2.5149962139034938E-2</v>
      </c>
      <c r="AH9" s="5">
        <f t="shared" si="40"/>
        <v>8.2276033427140446E-2</v>
      </c>
      <c r="AI9" s="5">
        <f t="shared" si="41"/>
        <v>1.4754413818385533E-4</v>
      </c>
      <c r="AJ9" s="5">
        <f t="shared" si="42"/>
        <v>3.080316719954209E-4</v>
      </c>
      <c r="AK9" s="5">
        <f t="shared" si="43"/>
        <v>8.2276033427140446E-2</v>
      </c>
      <c r="AL9" s="5">
        <f t="shared" si="44"/>
        <v>8.118503430097403E-3</v>
      </c>
      <c r="AM9" s="5">
        <f t="shared" si="45"/>
        <v>8.118503430097403E-3</v>
      </c>
      <c r="AN9" s="5">
        <f t="shared" si="46"/>
        <v>4.9288059862936072E-3</v>
      </c>
      <c r="AO9" s="5">
        <f t="shared" si="47"/>
        <v>3.5167788479315704E-3</v>
      </c>
      <c r="AP9" s="22">
        <f t="shared" si="48"/>
        <v>4.9288059862936072E-3</v>
      </c>
      <c r="AQ9" s="21">
        <f t="shared" si="49"/>
        <v>9.6000000000000002E-2</v>
      </c>
      <c r="AR9" s="5">
        <f t="shared" si="50"/>
        <v>0.11700000000000001</v>
      </c>
      <c r="AS9" s="22">
        <f t="shared" si="51"/>
        <v>0.107</v>
      </c>
      <c r="AT9" s="23">
        <f t="shared" si="52"/>
        <v>0.64</v>
      </c>
      <c r="AU9" s="132">
        <f t="shared" si="53"/>
        <v>0.78</v>
      </c>
      <c r="AV9" s="24">
        <f t="shared" si="54"/>
        <v>0.71</v>
      </c>
      <c r="AW9" s="210">
        <f t="shared" si="55"/>
        <v>5</v>
      </c>
      <c r="AX9" s="43">
        <f t="shared" si="56"/>
        <v>4</v>
      </c>
      <c r="AY9" s="211">
        <f t="shared" si="57"/>
        <v>4</v>
      </c>
    </row>
    <row r="10" spans="1:51">
      <c r="A10" s="102"/>
      <c r="B10" s="102"/>
      <c r="C10" s="102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</row>
    <row r="11" spans="1:51">
      <c r="A11" s="102"/>
      <c r="B11" s="102"/>
      <c r="C11" s="102"/>
      <c r="D11" s="102"/>
      <c r="E11" s="102"/>
      <c r="F11" s="102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</row>
    <row r="12" spans="1:51">
      <c r="A12" s="102"/>
      <c r="B12" s="102"/>
      <c r="C12" s="102"/>
      <c r="D12" s="102"/>
      <c r="E12" s="102"/>
      <c r="F12" s="102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</row>
    <row r="13" spans="1:51">
      <c r="A13" s="102"/>
      <c r="B13" s="102"/>
      <c r="C13" s="102"/>
      <c r="D13" s="102"/>
      <c r="E13" s="102"/>
      <c r="F13" s="102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</row>
    <row r="14" spans="1:51">
      <c r="A14" s="102"/>
      <c r="B14" s="102"/>
      <c r="C14" s="102"/>
      <c r="D14" s="102"/>
      <c r="E14" s="102"/>
      <c r="F14" s="102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</row>
    <row r="15" spans="1:51">
      <c r="A15" s="102"/>
      <c r="B15" s="102"/>
      <c r="C15" s="102"/>
      <c r="D15" s="102"/>
      <c r="E15" s="102"/>
      <c r="F15" s="102"/>
      <c r="G15" s="215"/>
      <c r="H15" s="215"/>
      <c r="I15" s="21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:51">
      <c r="A16" s="102"/>
      <c r="B16" s="102"/>
      <c r="C16" s="102"/>
      <c r="D16" s="102"/>
      <c r="E16" s="102"/>
      <c r="F16" s="102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</row>
    <row r="17" spans="1:26">
      <c r="A17" s="219"/>
      <c r="B17" s="219"/>
      <c r="C17" s="102"/>
      <c r="D17" s="102"/>
      <c r="E17" s="102"/>
      <c r="F17" s="102"/>
      <c r="G17" s="215"/>
      <c r="H17" s="215"/>
      <c r="I17" s="215"/>
      <c r="J17" s="215"/>
      <c r="K17" s="215"/>
      <c r="L17" s="220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65"/>
      <c r="X17" s="65"/>
      <c r="Y17" s="65"/>
      <c r="Z17" s="65"/>
    </row>
    <row r="18" spans="1:26">
      <c r="L18" s="220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65"/>
      <c r="X18" s="65"/>
      <c r="Y18" s="65"/>
      <c r="Z18" s="65"/>
    </row>
    <row r="19" spans="1:26">
      <c r="L19" s="220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65"/>
      <c r="X19" s="65"/>
      <c r="Y19" s="65"/>
      <c r="Z19" s="65"/>
    </row>
    <row r="20" spans="1:26">
      <c r="C20" s="106"/>
      <c r="D20" s="106"/>
      <c r="E20" s="106"/>
      <c r="F20" s="106"/>
      <c r="G20" s="222"/>
      <c r="H20" s="222"/>
      <c r="K20" s="22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65"/>
      <c r="X20" s="65"/>
      <c r="Y20" s="65"/>
      <c r="Z20" s="65"/>
    </row>
    <row r="21" spans="1:26">
      <c r="C21" s="106"/>
      <c r="D21" s="106"/>
      <c r="E21" s="106"/>
      <c r="F21" s="106"/>
      <c r="G21" s="222"/>
      <c r="H21" s="222"/>
      <c r="K21" s="223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65"/>
      <c r="X21" s="65"/>
      <c r="Y21" s="65"/>
      <c r="Z21" s="65"/>
    </row>
    <row r="22" spans="1:26">
      <c r="C22" s="106"/>
      <c r="D22" s="106"/>
      <c r="E22" s="106"/>
      <c r="F22" s="106"/>
      <c r="G22" s="222"/>
      <c r="H22" s="222"/>
      <c r="K22" s="222"/>
      <c r="L22" s="220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65"/>
      <c r="X22" s="65"/>
      <c r="Y22" s="65"/>
      <c r="Z22" s="65"/>
    </row>
    <row r="23" spans="1:26">
      <c r="C23" s="106"/>
      <c r="D23" s="106"/>
      <c r="E23" s="106"/>
      <c r="F23" s="106"/>
      <c r="G23" s="222"/>
      <c r="H23" s="222"/>
      <c r="K23" s="222"/>
      <c r="L23" s="220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65"/>
      <c r="X23" s="65"/>
      <c r="Y23" s="65"/>
      <c r="Z23" s="65"/>
    </row>
    <row r="24" spans="1:26">
      <c r="C24" s="106"/>
      <c r="D24" s="106"/>
      <c r="E24" s="106"/>
      <c r="F24" s="106"/>
      <c r="G24" s="222"/>
      <c r="H24" s="222"/>
      <c r="K24" s="223"/>
      <c r="L24" s="220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65"/>
      <c r="X24" s="65"/>
      <c r="Y24" s="65"/>
      <c r="Z24" s="65"/>
    </row>
    <row r="25" spans="1:26">
      <c r="C25" s="106"/>
      <c r="D25" s="106"/>
      <c r="E25" s="106"/>
      <c r="F25" s="106"/>
      <c r="G25" s="222"/>
      <c r="H25" s="222"/>
      <c r="K25" s="222"/>
      <c r="L25" s="220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65"/>
      <c r="X25" s="65"/>
      <c r="Y25" s="65"/>
      <c r="Z25" s="65"/>
    </row>
    <row r="26" spans="1:26">
      <c r="C26" s="106"/>
      <c r="D26" s="106"/>
      <c r="E26" s="106"/>
      <c r="F26" s="106"/>
      <c r="G26" s="222"/>
      <c r="H26" s="222"/>
      <c r="K26" s="222"/>
    </row>
    <row r="27" spans="1:26">
      <c r="C27" s="106"/>
      <c r="D27" s="106"/>
      <c r="E27" s="106"/>
      <c r="F27" s="106"/>
      <c r="G27" s="222"/>
      <c r="H27" s="222"/>
      <c r="K27" s="222"/>
    </row>
    <row r="28" spans="1:26">
      <c r="C28" s="106"/>
      <c r="D28" s="106"/>
      <c r="E28" s="106"/>
      <c r="F28" s="106"/>
      <c r="G28" s="222"/>
      <c r="H28" s="222"/>
      <c r="K28" s="223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</row>
    <row r="29" spans="1:26">
      <c r="C29" s="106"/>
      <c r="D29" s="106"/>
      <c r="E29" s="106"/>
      <c r="F29" s="106"/>
      <c r="G29" s="222"/>
      <c r="H29" s="222"/>
      <c r="K29" s="222"/>
    </row>
    <row r="30" spans="1:26">
      <c r="G30" s="222"/>
      <c r="H30" s="222"/>
      <c r="K30" s="222"/>
    </row>
    <row r="31" spans="1:26">
      <c r="G31" s="222"/>
      <c r="H31" s="222"/>
      <c r="K31" s="222"/>
    </row>
    <row r="32" spans="1:26">
      <c r="C32" s="106"/>
      <c r="D32" s="106"/>
      <c r="E32" s="106"/>
      <c r="F32" s="106"/>
      <c r="G32" s="222"/>
      <c r="H32" s="222"/>
      <c r="K32" s="222"/>
    </row>
    <row r="33" spans="1:31">
      <c r="A33" s="102"/>
      <c r="B33" s="102"/>
      <c r="C33" s="106"/>
      <c r="D33" s="106"/>
      <c r="E33" s="106"/>
      <c r="F33" s="106"/>
      <c r="G33" s="222"/>
      <c r="H33" s="222"/>
      <c r="K33" s="222"/>
    </row>
    <row r="34" spans="1:31">
      <c r="A34" s="102"/>
      <c r="B34" s="102"/>
      <c r="C34" s="106"/>
      <c r="D34" s="106"/>
      <c r="E34" s="106"/>
      <c r="F34" s="106"/>
      <c r="G34" s="222"/>
      <c r="H34" s="222"/>
      <c r="K34" s="222"/>
    </row>
    <row r="35" spans="1:31">
      <c r="A35" s="102"/>
      <c r="B35" s="102"/>
      <c r="C35" s="106"/>
      <c r="D35" s="106"/>
      <c r="E35" s="106"/>
      <c r="F35" s="106"/>
      <c r="G35" s="222"/>
      <c r="H35" s="222"/>
      <c r="K35" s="222"/>
      <c r="N35" s="222"/>
      <c r="O35" s="222"/>
      <c r="P35" s="222"/>
      <c r="Q35" s="222"/>
      <c r="R35" s="222"/>
      <c r="S35" s="222"/>
      <c r="T35" s="222"/>
      <c r="U35" s="222"/>
      <c r="V35" s="222"/>
      <c r="W35" s="224"/>
      <c r="X35" s="225"/>
      <c r="Y35" s="224"/>
      <c r="Z35" s="224"/>
      <c r="AA35" s="106"/>
      <c r="AB35" s="106"/>
      <c r="AC35" s="106"/>
      <c r="AD35" s="106"/>
      <c r="AE35" s="106"/>
    </row>
    <row r="36" spans="1:31">
      <c r="C36" s="106"/>
      <c r="D36" s="106"/>
      <c r="E36" s="106"/>
      <c r="F36" s="106"/>
      <c r="H36" s="162"/>
      <c r="I36" s="162"/>
      <c r="J36" s="162"/>
      <c r="K36" s="162"/>
      <c r="L36" s="162"/>
      <c r="M36" s="162"/>
      <c r="N36" s="222"/>
      <c r="O36" s="222"/>
      <c r="P36" s="222"/>
      <c r="Q36" s="222"/>
      <c r="R36" s="222"/>
      <c r="S36" s="222"/>
      <c r="T36" s="222"/>
      <c r="U36" s="222"/>
      <c r="V36" s="222"/>
      <c r="W36" s="224"/>
      <c r="X36" s="225"/>
      <c r="Y36" s="224"/>
      <c r="Z36" s="224"/>
      <c r="AA36" s="68"/>
      <c r="AB36" s="68"/>
      <c r="AC36" s="68"/>
      <c r="AD36" s="68"/>
      <c r="AE36" s="68"/>
    </row>
    <row r="37" spans="1:31">
      <c r="C37" s="106"/>
      <c r="D37" s="106"/>
      <c r="E37" s="106"/>
      <c r="F37" s="106"/>
      <c r="H37" s="162"/>
      <c r="I37" s="162"/>
      <c r="J37" s="162"/>
      <c r="K37" s="162"/>
      <c r="L37" s="162"/>
      <c r="M37" s="162"/>
      <c r="N37" s="222"/>
      <c r="O37" s="222"/>
      <c r="P37" s="222"/>
      <c r="Q37" s="222"/>
      <c r="R37" s="222"/>
      <c r="S37" s="222"/>
      <c r="T37" s="222"/>
      <c r="U37" s="222"/>
      <c r="V37" s="222"/>
      <c r="W37" s="224"/>
      <c r="X37" s="225"/>
      <c r="Y37" s="224"/>
      <c r="Z37" s="224"/>
      <c r="AA37" s="178"/>
      <c r="AB37" s="224"/>
      <c r="AC37" s="224"/>
      <c r="AD37" s="178"/>
      <c r="AE37" s="178"/>
    </row>
    <row r="38" spans="1:31">
      <c r="A38" s="226"/>
      <c r="B38" s="226"/>
      <c r="C38" s="109"/>
      <c r="D38" s="109"/>
      <c r="E38" s="109"/>
      <c r="F38" s="109"/>
      <c r="G38" s="227"/>
      <c r="H38" s="162"/>
      <c r="I38" s="162"/>
      <c r="J38" s="162"/>
      <c r="K38" s="162"/>
      <c r="L38" s="162"/>
      <c r="M38" s="162"/>
      <c r="N38" s="222"/>
      <c r="O38" s="222"/>
      <c r="P38" s="222"/>
      <c r="Q38" s="222"/>
      <c r="R38" s="222"/>
      <c r="S38" s="222"/>
      <c r="T38" s="222"/>
      <c r="U38" s="222"/>
      <c r="V38" s="222"/>
      <c r="W38" s="224"/>
      <c r="X38" s="225"/>
      <c r="Y38" s="224"/>
      <c r="Z38" s="224"/>
      <c r="AA38" s="178"/>
      <c r="AB38" s="224"/>
      <c r="AC38" s="224"/>
      <c r="AD38" s="178"/>
      <c r="AE38" s="178"/>
    </row>
    <row r="39" spans="1:31">
      <c r="A39" s="102"/>
      <c r="B39" s="102"/>
      <c r="C39" s="102"/>
      <c r="D39" s="102"/>
      <c r="E39" s="102"/>
      <c r="F39" s="102"/>
      <c r="G39" s="215"/>
      <c r="H39" s="162"/>
      <c r="I39" s="162"/>
      <c r="J39" s="162"/>
      <c r="K39" s="162"/>
      <c r="L39" s="162"/>
      <c r="M39" s="162"/>
      <c r="N39" s="222"/>
      <c r="O39" s="222"/>
      <c r="P39" s="222"/>
      <c r="Q39" s="222"/>
      <c r="R39" s="222"/>
      <c r="S39" s="222"/>
      <c r="T39" s="222"/>
      <c r="U39" s="222"/>
      <c r="V39" s="222"/>
      <c r="W39" s="224"/>
      <c r="X39" s="225"/>
      <c r="Y39" s="224"/>
      <c r="Z39" s="224"/>
      <c r="AA39" s="178"/>
      <c r="AB39" s="224"/>
      <c r="AC39" s="224"/>
      <c r="AD39" s="178"/>
      <c r="AE39" s="178"/>
    </row>
    <row r="40" spans="1:31">
      <c r="C40" s="106"/>
      <c r="D40" s="106"/>
      <c r="E40" s="106"/>
      <c r="F40" s="106"/>
      <c r="H40" s="162"/>
      <c r="I40" s="162"/>
      <c r="J40" s="162"/>
      <c r="K40" s="162"/>
      <c r="L40" s="162"/>
      <c r="M40" s="162"/>
      <c r="N40" s="222"/>
      <c r="O40" s="222"/>
      <c r="P40" s="222"/>
      <c r="Q40" s="222"/>
      <c r="R40" s="222"/>
      <c r="S40" s="222"/>
      <c r="T40" s="222"/>
      <c r="U40" s="222"/>
      <c r="V40" s="222"/>
      <c r="W40" s="224"/>
      <c r="X40" s="225"/>
      <c r="Y40" s="224"/>
      <c r="Z40" s="224"/>
      <c r="AA40" s="178"/>
      <c r="AB40" s="224"/>
      <c r="AC40" s="224"/>
      <c r="AD40" s="178"/>
      <c r="AE40" s="178"/>
    </row>
    <row r="41" spans="1:31">
      <c r="A41" s="102"/>
      <c r="B41" s="102"/>
      <c r="C41" s="106"/>
      <c r="D41" s="106"/>
      <c r="E41" s="106"/>
      <c r="F41" s="106"/>
      <c r="H41" s="162"/>
      <c r="I41" s="162"/>
      <c r="J41" s="162"/>
      <c r="K41" s="162"/>
      <c r="L41" s="162"/>
      <c r="M41" s="162"/>
      <c r="N41" s="222"/>
      <c r="O41" s="222"/>
      <c r="P41" s="222"/>
      <c r="Q41" s="222"/>
      <c r="R41" s="222"/>
      <c r="S41" s="222"/>
      <c r="T41" s="222"/>
      <c r="U41" s="222"/>
      <c r="V41" s="222"/>
      <c r="W41" s="224"/>
      <c r="X41" s="225"/>
      <c r="Y41" s="224"/>
      <c r="Z41" s="224"/>
      <c r="AA41" s="178"/>
      <c r="AB41" s="224"/>
      <c r="AC41" s="224"/>
      <c r="AD41" s="178"/>
      <c r="AE41" s="178"/>
    </row>
    <row r="42" spans="1:31">
      <c r="C42" s="106"/>
      <c r="D42" s="106"/>
      <c r="E42" s="106"/>
      <c r="F42" s="106"/>
      <c r="H42" s="162"/>
      <c r="I42" s="162"/>
      <c r="J42" s="162"/>
      <c r="K42" s="162"/>
      <c r="L42" s="162"/>
      <c r="M42" s="162"/>
      <c r="N42" s="222"/>
      <c r="O42" s="222"/>
      <c r="P42" s="222"/>
      <c r="Q42" s="222"/>
      <c r="R42" s="222"/>
      <c r="S42" s="222"/>
      <c r="T42" s="222"/>
      <c r="U42" s="222"/>
      <c r="V42" s="222"/>
      <c r="W42" s="224"/>
      <c r="X42" s="225"/>
      <c r="Y42" s="224"/>
      <c r="Z42" s="224"/>
      <c r="AA42" s="178"/>
      <c r="AB42" s="224"/>
      <c r="AC42" s="224"/>
      <c r="AD42" s="178"/>
      <c r="AE42" s="178"/>
    </row>
    <row r="43" spans="1:31">
      <c r="C43" s="106"/>
      <c r="D43" s="106"/>
      <c r="E43" s="106"/>
      <c r="F43" s="106"/>
      <c r="H43" s="162"/>
      <c r="I43" s="162"/>
      <c r="J43" s="162"/>
      <c r="K43" s="162"/>
      <c r="L43" s="162"/>
      <c r="M43" s="162"/>
      <c r="N43" s="222"/>
      <c r="O43" s="222"/>
      <c r="P43" s="222"/>
      <c r="Q43" s="222"/>
      <c r="R43" s="222"/>
      <c r="S43" s="222"/>
      <c r="T43" s="222"/>
      <c r="U43" s="222"/>
      <c r="V43" s="222"/>
      <c r="W43" s="224"/>
      <c r="X43" s="225"/>
      <c r="Y43" s="224"/>
      <c r="Z43" s="224"/>
      <c r="AA43" s="178"/>
      <c r="AB43" s="224"/>
      <c r="AC43" s="224"/>
      <c r="AD43" s="178"/>
      <c r="AE43" s="178"/>
    </row>
    <row r="44" spans="1:31">
      <c r="A44" s="102"/>
      <c r="B44" s="102"/>
      <c r="C44" s="102"/>
      <c r="D44" s="102"/>
      <c r="E44" s="102"/>
      <c r="F44" s="102"/>
      <c r="G44" s="215"/>
      <c r="H44" s="162"/>
      <c r="I44" s="162"/>
      <c r="J44" s="162"/>
      <c r="K44" s="162"/>
      <c r="L44" s="162"/>
      <c r="M44" s="162"/>
      <c r="N44" s="222"/>
      <c r="O44" s="222"/>
      <c r="P44" s="222"/>
      <c r="Q44" s="222"/>
      <c r="R44" s="222"/>
      <c r="S44" s="222"/>
      <c r="T44" s="222"/>
      <c r="U44" s="222"/>
      <c r="V44" s="222"/>
      <c r="W44" s="224"/>
      <c r="X44" s="225"/>
      <c r="Y44" s="224"/>
      <c r="Z44" s="224"/>
      <c r="AA44" s="178"/>
      <c r="AB44" s="224"/>
      <c r="AC44" s="224"/>
      <c r="AD44" s="178"/>
      <c r="AE44" s="178"/>
    </row>
    <row r="45" spans="1:31">
      <c r="H45" s="162"/>
      <c r="I45" s="162"/>
      <c r="J45" s="162"/>
      <c r="K45" s="162"/>
      <c r="L45" s="162"/>
      <c r="M45" s="162"/>
      <c r="N45" s="222"/>
      <c r="O45" s="222"/>
      <c r="P45" s="222"/>
      <c r="Q45" s="222"/>
      <c r="R45" s="222"/>
      <c r="S45" s="222"/>
      <c r="T45" s="222"/>
      <c r="U45" s="222"/>
      <c r="V45" s="222"/>
      <c r="W45" s="224"/>
      <c r="X45" s="225"/>
      <c r="Y45" s="224"/>
      <c r="Z45" s="224"/>
      <c r="AA45" s="178"/>
      <c r="AB45" s="224"/>
      <c r="AC45" s="224"/>
      <c r="AD45" s="178"/>
      <c r="AE45" s="178"/>
    </row>
    <row r="46" spans="1:31">
      <c r="H46" s="162"/>
      <c r="I46" s="162"/>
      <c r="J46" s="162"/>
      <c r="K46" s="162"/>
      <c r="L46" s="162"/>
      <c r="M46" s="162"/>
      <c r="N46" s="222"/>
      <c r="O46" s="222"/>
      <c r="P46" s="222"/>
      <c r="Q46" s="222"/>
      <c r="R46" s="222"/>
      <c r="S46" s="222"/>
      <c r="T46" s="222"/>
      <c r="U46" s="222"/>
      <c r="V46" s="222"/>
      <c r="W46" s="224"/>
      <c r="X46" s="225"/>
      <c r="Y46" s="224"/>
      <c r="Z46" s="224"/>
      <c r="AA46" s="178"/>
      <c r="AB46" s="224"/>
      <c r="AC46" s="224"/>
      <c r="AD46" s="178"/>
      <c r="AE46" s="178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5"/>
  <sheetViews>
    <sheetView workbookViewId="0">
      <pane xSplit="6" ySplit="2" topLeftCell="G3" activePane="bottomRight" state="frozen"/>
      <selection activeCell="B26" sqref="B26"/>
      <selection pane="topRight" activeCell="B26" sqref="B26"/>
      <selection pane="bottomLeft" activeCell="B26" sqref="B26"/>
      <selection pane="bottomRight" activeCell="A3" sqref="A3:XFD6"/>
    </sheetView>
  </sheetViews>
  <sheetFormatPr defaultRowHeight="12.75"/>
  <cols>
    <col min="1" max="1" width="7.42578125" style="177" customWidth="1"/>
    <col min="2" max="2" width="9" style="177" bestFit="1" customWidth="1"/>
    <col min="3" max="3" width="13.5703125" style="65" bestFit="1" customWidth="1"/>
    <col min="4" max="4" width="36.42578125" style="65" customWidth="1"/>
    <col min="5" max="5" width="6.5703125" style="65" bestFit="1" customWidth="1"/>
    <col min="6" max="6" width="5.5703125" style="65" customWidth="1"/>
    <col min="7" max="16" width="8.5703125" style="162" customWidth="1"/>
    <col min="17" max="20" width="9.42578125" style="65" customWidth="1"/>
    <col min="21" max="21" width="10.5703125" style="65" customWidth="1"/>
    <col min="22" max="22" width="8.42578125" style="65" customWidth="1"/>
    <col min="23" max="23" width="8" style="178" customWidth="1"/>
    <col min="24" max="24" width="10.42578125" style="178" customWidth="1"/>
    <col min="25" max="25" width="9.42578125" style="178" customWidth="1"/>
    <col min="26" max="26" width="8" style="178" customWidth="1"/>
    <col min="27" max="27" width="9.5703125" style="178" customWidth="1"/>
    <col min="28" max="28" width="6.42578125" style="178" customWidth="1"/>
    <col min="29" max="29" width="5.5703125" style="2" customWidth="1"/>
    <col min="30" max="30" width="9" style="2" customWidth="1"/>
    <col min="31" max="31" width="8.42578125" style="1" bestFit="1" customWidth="1"/>
    <col min="32" max="16384" width="9.140625" style="65"/>
  </cols>
  <sheetData>
    <row r="1" spans="1:51" s="52" customFormat="1" ht="13.5" thickBot="1">
      <c r="A1" s="114"/>
      <c r="B1" s="115"/>
      <c r="C1" s="116"/>
      <c r="D1" s="116"/>
      <c r="E1" s="117"/>
      <c r="F1" s="117"/>
      <c r="G1" s="118" t="s">
        <v>40</v>
      </c>
      <c r="H1" s="119"/>
      <c r="I1" s="119"/>
      <c r="J1" s="119"/>
      <c r="K1" s="120"/>
      <c r="L1" s="121" t="s">
        <v>41</v>
      </c>
      <c r="M1" s="122"/>
      <c r="N1" s="122"/>
      <c r="O1" s="122"/>
      <c r="P1" s="123"/>
      <c r="Q1" s="47" t="s">
        <v>42</v>
      </c>
      <c r="R1" s="124"/>
      <c r="S1" s="124"/>
      <c r="T1" s="125"/>
      <c r="U1" s="47" t="s">
        <v>41</v>
      </c>
      <c r="V1" s="48"/>
      <c r="W1" s="32" t="s">
        <v>13</v>
      </c>
      <c r="X1" s="33" t="s">
        <v>67</v>
      </c>
      <c r="Y1" s="34" t="s">
        <v>48</v>
      </c>
      <c r="Z1" s="32" t="s">
        <v>13</v>
      </c>
      <c r="AA1" s="33" t="s">
        <v>16</v>
      </c>
      <c r="AB1" s="34" t="s">
        <v>53</v>
      </c>
      <c r="AC1" s="36" t="s">
        <v>13</v>
      </c>
      <c r="AD1" s="37" t="s">
        <v>16</v>
      </c>
      <c r="AE1" s="38" t="s">
        <v>43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26" t="s">
        <v>26</v>
      </c>
      <c r="B2" s="127" t="s">
        <v>82</v>
      </c>
      <c r="C2" s="46" t="s">
        <v>18</v>
      </c>
      <c r="D2" s="53" t="s">
        <v>19</v>
      </c>
      <c r="E2" s="53" t="s">
        <v>74</v>
      </c>
      <c r="F2" s="54" t="s">
        <v>20</v>
      </c>
      <c r="G2" s="128" t="s">
        <v>58</v>
      </c>
      <c r="H2" s="129" t="s">
        <v>32</v>
      </c>
      <c r="I2" s="129" t="s">
        <v>10</v>
      </c>
      <c r="J2" s="129" t="s">
        <v>11</v>
      </c>
      <c r="K2" s="130" t="s">
        <v>12</v>
      </c>
      <c r="L2" s="128" t="s">
        <v>58</v>
      </c>
      <c r="M2" s="129" t="s">
        <v>32</v>
      </c>
      <c r="N2" s="129" t="s">
        <v>10</v>
      </c>
      <c r="O2" s="129" t="s">
        <v>38</v>
      </c>
      <c r="P2" s="130" t="s">
        <v>39</v>
      </c>
      <c r="Q2" s="26" t="s">
        <v>1</v>
      </c>
      <c r="R2" s="27" t="s">
        <v>3</v>
      </c>
      <c r="S2" s="27" t="s">
        <v>14</v>
      </c>
      <c r="T2" s="28" t="s">
        <v>15</v>
      </c>
      <c r="U2" s="26" t="s">
        <v>1</v>
      </c>
      <c r="V2" s="28" t="s">
        <v>15</v>
      </c>
      <c r="W2" s="29" t="s">
        <v>17</v>
      </c>
      <c r="X2" s="30" t="s">
        <v>17</v>
      </c>
      <c r="Y2" s="31" t="s">
        <v>17</v>
      </c>
      <c r="Z2" s="171" t="s">
        <v>64</v>
      </c>
      <c r="AA2" s="172" t="s">
        <v>64</v>
      </c>
      <c r="AB2" s="35" t="s">
        <v>64</v>
      </c>
      <c r="AC2" s="173" t="s">
        <v>44</v>
      </c>
      <c r="AD2" s="174" t="s">
        <v>44</v>
      </c>
      <c r="AE2" s="28" t="s">
        <v>44</v>
      </c>
      <c r="AF2" s="175"/>
      <c r="AG2" s="175"/>
      <c r="AH2" s="176"/>
      <c r="AI2" s="176"/>
      <c r="AJ2" s="176"/>
      <c r="AK2" s="176"/>
      <c r="AL2" s="12"/>
      <c r="AM2" s="12"/>
      <c r="AN2" s="12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</row>
    <row r="3" spans="1:51" ht="13.35" customHeight="1">
      <c r="A3" s="66">
        <v>11271</v>
      </c>
      <c r="B3" s="131" t="s">
        <v>105</v>
      </c>
      <c r="C3" s="25" t="str">
        <f>Rollover!A3</f>
        <v>Chevrolet</v>
      </c>
      <c r="D3" s="41" t="str">
        <f>Rollover!B3</f>
        <v>Trailblazer SUV FWD (Later Release)</v>
      </c>
      <c r="E3" s="7" t="s">
        <v>92</v>
      </c>
      <c r="F3" s="96">
        <f>Rollover!C3</f>
        <v>2021</v>
      </c>
      <c r="G3" s="8">
        <v>90.795000000000002</v>
      </c>
      <c r="H3" s="9">
        <v>28.062000000000001</v>
      </c>
      <c r="I3" s="9">
        <v>34.384999999999998</v>
      </c>
      <c r="J3" s="9">
        <v>886.01700000000005</v>
      </c>
      <c r="K3" s="10">
        <v>2042.7360000000001</v>
      </c>
      <c r="L3" s="8">
        <v>185.41</v>
      </c>
      <c r="M3" s="9">
        <v>22.013000000000002</v>
      </c>
      <c r="N3" s="9">
        <v>40.75</v>
      </c>
      <c r="O3" s="9">
        <v>22.038</v>
      </c>
      <c r="P3" s="10">
        <v>2299.375</v>
      </c>
      <c r="Q3" s="21">
        <f t="shared" ref="Q3:Q5" si="0">NORMDIST(LN(G3),7.45231,0.73998,1)</f>
        <v>3.4735786681506435E-5</v>
      </c>
      <c r="R3" s="5">
        <f t="shared" ref="R3:R5" si="1">1/(1+EXP(5.3895-0.0919*H3))</f>
        <v>5.6753934674754751E-2</v>
      </c>
      <c r="S3" s="5">
        <f t="shared" ref="S3:S5" si="2">1/(1+EXP(6.04044-0.002133*J3))</f>
        <v>1.5511115081119643E-2</v>
      </c>
      <c r="T3" s="22">
        <f t="shared" ref="T3:T5" si="3">1/(1+EXP(7.5969-0.0011*K3))</f>
        <v>4.7262281208529811E-3</v>
      </c>
      <c r="U3" s="21">
        <f t="shared" ref="U3:U5" si="4">NORMDIST(LN(L3),7.45231,0.73998,1)</f>
        <v>1.2923543824272684E-3</v>
      </c>
      <c r="V3" s="22">
        <f t="shared" ref="V3:V5" si="5">1/(1+EXP(6.3055-0.00094*P3))</f>
        <v>1.5610352284136739E-2</v>
      </c>
      <c r="W3" s="21">
        <f t="shared" ref="W3:W5" si="6">ROUND(1-(1-Q3)*(1-R3)*(1-S3)*(1-T3),3)</f>
        <v>7.5999999999999998E-2</v>
      </c>
      <c r="X3" s="5">
        <f t="shared" ref="X3:X5" si="7">IF(L3="N/A",L3,ROUND(1-(1-U3)*(1-V3),3))</f>
        <v>1.7000000000000001E-2</v>
      </c>
      <c r="Y3" s="22">
        <f t="shared" ref="Y3:Y5" si="8">ROUND(AVERAGE(W3:X3),3)</f>
        <v>4.7E-2</v>
      </c>
      <c r="Z3" s="23">
        <f t="shared" ref="Z3:Z5" si="9">ROUND(W3/0.15,2)</f>
        <v>0.51</v>
      </c>
      <c r="AA3" s="132">
        <f t="shared" ref="AA3:AA5" si="10">IF(L3="N/A", L3, ROUND(X3/0.15,2))</f>
        <v>0.11</v>
      </c>
      <c r="AB3" s="24">
        <f t="shared" ref="AB3:AB5" si="11">ROUND(Y3/0.15,2)</f>
        <v>0.31</v>
      </c>
      <c r="AC3" s="19">
        <f t="shared" ref="AC3:AC5" si="12">IF(Z3&lt;0.67,5,IF(Z3&lt;1,4,IF(Z3&lt;1.33,3,IF(Z3&lt;2.67,2,1))))</f>
        <v>5</v>
      </c>
      <c r="AD3" s="43">
        <f t="shared" ref="AD3:AD5" si="13">IF(L3="N/A",L3,IF(AA3&lt;0.67,5,IF(AA3&lt;1,4,IF(AA3&lt;1.33,3,IF(AA3&lt;2.67,2,1)))))</f>
        <v>5</v>
      </c>
      <c r="AE3" s="20">
        <f t="shared" ref="AE3:AE5" si="14">IF(AB3&lt;0.67,5,IF(AB3&lt;1,4,IF(AB3&lt;1.33,3,IF(AB3&lt;2.67,2,1))))</f>
        <v>5</v>
      </c>
      <c r="AF3" s="11"/>
      <c r="AG3" s="11"/>
      <c r="AH3" s="13"/>
      <c r="AI3" s="13"/>
      <c r="AJ3" s="13"/>
      <c r="AK3" s="13"/>
      <c r="AL3" s="12"/>
      <c r="AM3" s="12"/>
      <c r="AN3" s="12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ht="13.35" customHeight="1">
      <c r="A4" s="66">
        <v>11271</v>
      </c>
      <c r="B4" s="131" t="s">
        <v>105</v>
      </c>
      <c r="C4" s="25" t="str">
        <f>Rollover!A4</f>
        <v>Chevrolet</v>
      </c>
      <c r="D4" s="41" t="str">
        <f>Rollover!B4</f>
        <v>Trailblazer SUV AWD (Later Release)</v>
      </c>
      <c r="E4" s="7" t="s">
        <v>92</v>
      </c>
      <c r="F4" s="96">
        <f>Rollover!C4</f>
        <v>2021</v>
      </c>
      <c r="G4" s="8">
        <v>90.795000000000002</v>
      </c>
      <c r="H4" s="9">
        <v>28.062000000000001</v>
      </c>
      <c r="I4" s="9">
        <v>34.384999999999998</v>
      </c>
      <c r="J4" s="9">
        <v>886.01700000000005</v>
      </c>
      <c r="K4" s="10">
        <v>2042.7360000000001</v>
      </c>
      <c r="L4" s="8">
        <v>185.41</v>
      </c>
      <c r="M4" s="9">
        <v>22.013000000000002</v>
      </c>
      <c r="N4" s="9">
        <v>40.75</v>
      </c>
      <c r="O4" s="9">
        <v>22.038</v>
      </c>
      <c r="P4" s="10">
        <v>2299.375</v>
      </c>
      <c r="Q4" s="21">
        <f t="shared" si="0"/>
        <v>3.4735786681506435E-5</v>
      </c>
      <c r="R4" s="5">
        <f t="shared" si="1"/>
        <v>5.6753934674754751E-2</v>
      </c>
      <c r="S4" s="5">
        <f t="shared" si="2"/>
        <v>1.5511115081119643E-2</v>
      </c>
      <c r="T4" s="22">
        <f t="shared" si="3"/>
        <v>4.7262281208529811E-3</v>
      </c>
      <c r="U4" s="21">
        <f t="shared" si="4"/>
        <v>1.2923543824272684E-3</v>
      </c>
      <c r="V4" s="22">
        <f t="shared" si="5"/>
        <v>1.5610352284136739E-2</v>
      </c>
      <c r="W4" s="21">
        <f t="shared" si="6"/>
        <v>7.5999999999999998E-2</v>
      </c>
      <c r="X4" s="5">
        <f t="shared" si="7"/>
        <v>1.7000000000000001E-2</v>
      </c>
      <c r="Y4" s="22">
        <f t="shared" si="8"/>
        <v>4.7E-2</v>
      </c>
      <c r="Z4" s="23">
        <f t="shared" si="9"/>
        <v>0.51</v>
      </c>
      <c r="AA4" s="132">
        <f t="shared" si="10"/>
        <v>0.11</v>
      </c>
      <c r="AB4" s="24">
        <f t="shared" si="11"/>
        <v>0.31</v>
      </c>
      <c r="AC4" s="19">
        <f t="shared" si="12"/>
        <v>5</v>
      </c>
      <c r="AD4" s="43">
        <f t="shared" si="13"/>
        <v>5</v>
      </c>
      <c r="AE4" s="20">
        <f t="shared" si="14"/>
        <v>5</v>
      </c>
      <c r="AF4" s="11"/>
      <c r="AG4" s="11"/>
      <c r="AH4" s="13"/>
      <c r="AI4" s="13"/>
      <c r="AJ4" s="13"/>
      <c r="AK4" s="13"/>
      <c r="AL4" s="12"/>
      <c r="AM4" s="12"/>
      <c r="AN4" s="12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</row>
    <row r="5" spans="1:51">
      <c r="A5" s="66">
        <v>11271</v>
      </c>
      <c r="B5" s="131" t="s">
        <v>105</v>
      </c>
      <c r="C5" s="133" t="str">
        <f>Rollover!A5</f>
        <v>Buick</v>
      </c>
      <c r="D5" s="7" t="str">
        <f>Rollover!B5</f>
        <v>Encore GX SUV FWD</v>
      </c>
      <c r="E5" s="7" t="s">
        <v>92</v>
      </c>
      <c r="F5" s="96">
        <f>Rollover!C5</f>
        <v>2021</v>
      </c>
      <c r="G5" s="8">
        <v>90.795000000000002</v>
      </c>
      <c r="H5" s="9">
        <v>28.062000000000001</v>
      </c>
      <c r="I5" s="9">
        <v>34.384999999999998</v>
      </c>
      <c r="J5" s="9">
        <v>886.01700000000005</v>
      </c>
      <c r="K5" s="10">
        <v>2042.7360000000001</v>
      </c>
      <c r="L5" s="8">
        <v>185.41</v>
      </c>
      <c r="M5" s="9">
        <v>22.013000000000002</v>
      </c>
      <c r="N5" s="9">
        <v>40.75</v>
      </c>
      <c r="O5" s="9">
        <v>22.038</v>
      </c>
      <c r="P5" s="10">
        <v>2299.375</v>
      </c>
      <c r="Q5" s="21">
        <f t="shared" si="0"/>
        <v>3.4735786681506435E-5</v>
      </c>
      <c r="R5" s="5">
        <f t="shared" si="1"/>
        <v>5.6753934674754751E-2</v>
      </c>
      <c r="S5" s="5">
        <f t="shared" si="2"/>
        <v>1.5511115081119643E-2</v>
      </c>
      <c r="T5" s="22">
        <f t="shared" si="3"/>
        <v>4.7262281208529811E-3</v>
      </c>
      <c r="U5" s="21">
        <f t="shared" si="4"/>
        <v>1.2923543824272684E-3</v>
      </c>
      <c r="V5" s="22">
        <f t="shared" si="5"/>
        <v>1.5610352284136739E-2</v>
      </c>
      <c r="W5" s="21">
        <f t="shared" si="6"/>
        <v>7.5999999999999998E-2</v>
      </c>
      <c r="X5" s="5">
        <f t="shared" si="7"/>
        <v>1.7000000000000001E-2</v>
      </c>
      <c r="Y5" s="22">
        <f t="shared" si="8"/>
        <v>4.7E-2</v>
      </c>
      <c r="Z5" s="23">
        <f t="shared" si="9"/>
        <v>0.51</v>
      </c>
      <c r="AA5" s="132">
        <f t="shared" si="10"/>
        <v>0.11</v>
      </c>
      <c r="AB5" s="24">
        <f t="shared" si="11"/>
        <v>0.31</v>
      </c>
      <c r="AC5" s="19">
        <f t="shared" si="12"/>
        <v>5</v>
      </c>
      <c r="AD5" s="43">
        <f t="shared" si="13"/>
        <v>5</v>
      </c>
      <c r="AE5" s="20">
        <f t="shared" si="14"/>
        <v>5</v>
      </c>
      <c r="AF5" s="11"/>
      <c r="AG5" s="11"/>
      <c r="AH5" s="13"/>
      <c r="AI5" s="13"/>
      <c r="AJ5" s="13"/>
      <c r="AK5" s="13"/>
      <c r="AL5" s="12"/>
      <c r="AM5" s="12"/>
      <c r="AN5" s="12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</row>
    <row r="6" spans="1:51">
      <c r="A6" s="66">
        <v>11271</v>
      </c>
      <c r="B6" s="131" t="s">
        <v>105</v>
      </c>
      <c r="C6" s="133" t="str">
        <f>Rollover!A6</f>
        <v>Buick</v>
      </c>
      <c r="D6" s="7" t="str">
        <f>Rollover!B6</f>
        <v>Encore GX SUV AWD</v>
      </c>
      <c r="E6" s="7" t="s">
        <v>92</v>
      </c>
      <c r="F6" s="96">
        <f>Rollover!C6</f>
        <v>2021</v>
      </c>
      <c r="G6" s="8">
        <v>90.795000000000002</v>
      </c>
      <c r="H6" s="9">
        <v>28.062000000000001</v>
      </c>
      <c r="I6" s="9">
        <v>34.384999999999998</v>
      </c>
      <c r="J6" s="9">
        <v>886.01700000000005</v>
      </c>
      <c r="K6" s="10">
        <v>2042.7360000000001</v>
      </c>
      <c r="L6" s="8">
        <v>185.41</v>
      </c>
      <c r="M6" s="9">
        <v>22.013000000000002</v>
      </c>
      <c r="N6" s="9">
        <v>40.75</v>
      </c>
      <c r="O6" s="9">
        <v>22.038</v>
      </c>
      <c r="P6" s="10">
        <v>2299.375</v>
      </c>
      <c r="Q6" s="21">
        <f t="shared" ref="Q6:Q9" si="15">NORMDIST(LN(G6),7.45231,0.73998,1)</f>
        <v>3.4735786681506435E-5</v>
      </c>
      <c r="R6" s="5">
        <f t="shared" ref="R6:R9" si="16">1/(1+EXP(5.3895-0.0919*H6))</f>
        <v>5.6753934674754751E-2</v>
      </c>
      <c r="S6" s="5">
        <f t="shared" ref="S6:S9" si="17">1/(1+EXP(6.04044-0.002133*J6))</f>
        <v>1.5511115081119643E-2</v>
      </c>
      <c r="T6" s="22">
        <f t="shared" ref="T6:T9" si="18">1/(1+EXP(7.5969-0.0011*K6))</f>
        <v>4.7262281208529811E-3</v>
      </c>
      <c r="U6" s="21">
        <f t="shared" ref="U6:U9" si="19">NORMDIST(LN(L6),7.45231,0.73998,1)</f>
        <v>1.2923543824272684E-3</v>
      </c>
      <c r="V6" s="22">
        <f t="shared" ref="V6:V9" si="20">1/(1+EXP(6.3055-0.00094*P6))</f>
        <v>1.5610352284136739E-2</v>
      </c>
      <c r="W6" s="21">
        <f t="shared" ref="W6:W9" si="21">ROUND(1-(1-Q6)*(1-R6)*(1-S6)*(1-T6),3)</f>
        <v>7.5999999999999998E-2</v>
      </c>
      <c r="X6" s="5">
        <f t="shared" ref="X6:X9" si="22">IF(L6="N/A",L6,ROUND(1-(1-U6)*(1-V6),3))</f>
        <v>1.7000000000000001E-2</v>
      </c>
      <c r="Y6" s="22">
        <f t="shared" ref="Y6:Y9" si="23">ROUND(AVERAGE(W6:X6),3)</f>
        <v>4.7E-2</v>
      </c>
      <c r="Z6" s="23">
        <f t="shared" ref="Z6:Z9" si="24">ROUND(W6/0.15,2)</f>
        <v>0.51</v>
      </c>
      <c r="AA6" s="132">
        <f t="shared" ref="AA6:AA9" si="25">IF(L6="N/A", L6, ROUND(X6/0.15,2))</f>
        <v>0.11</v>
      </c>
      <c r="AB6" s="24">
        <f t="shared" ref="AB6:AB9" si="26">ROUND(Y6/0.15,2)</f>
        <v>0.31</v>
      </c>
      <c r="AC6" s="19">
        <f t="shared" ref="AC6:AC9" si="27">IF(Z6&lt;0.67,5,IF(Z6&lt;1,4,IF(Z6&lt;1.33,3,IF(Z6&lt;2.67,2,1))))</f>
        <v>5</v>
      </c>
      <c r="AD6" s="43">
        <f t="shared" ref="AD6:AD9" si="28">IF(L6="N/A",L6,IF(AA6&lt;0.67,5,IF(AA6&lt;1,4,IF(AA6&lt;1.33,3,IF(AA6&lt;2.67,2,1)))))</f>
        <v>5</v>
      </c>
      <c r="AE6" s="20">
        <f t="shared" ref="AE6:AE9" si="29">IF(AB6&lt;0.67,5,IF(AB6&lt;1,4,IF(AB6&lt;1.33,3,IF(AB6&lt;2.67,2,1))))</f>
        <v>5</v>
      </c>
      <c r="AF6" s="11"/>
      <c r="AG6" s="11"/>
      <c r="AH6" s="13"/>
      <c r="AI6" s="13"/>
      <c r="AJ6" s="13"/>
      <c r="AK6" s="13"/>
      <c r="AL6" s="12"/>
      <c r="AM6" s="12"/>
      <c r="AN6" s="12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</row>
    <row r="7" spans="1:51">
      <c r="A7" s="66">
        <v>11267</v>
      </c>
      <c r="B7" s="131" t="s">
        <v>102</v>
      </c>
      <c r="C7" s="25" t="str">
        <f>Rollover!A7</f>
        <v>Kia</v>
      </c>
      <c r="D7" s="41" t="str">
        <f>Rollover!B7</f>
        <v>K5 4DR FWD</v>
      </c>
      <c r="E7" s="7" t="s">
        <v>92</v>
      </c>
      <c r="F7" s="96">
        <f>Rollover!C7</f>
        <v>2021</v>
      </c>
      <c r="G7" s="8">
        <v>110.14400000000001</v>
      </c>
      <c r="H7" s="9">
        <v>25.866</v>
      </c>
      <c r="I7" s="9">
        <v>28.81</v>
      </c>
      <c r="J7" s="9">
        <v>846.61900000000003</v>
      </c>
      <c r="K7" s="10">
        <v>1173.597</v>
      </c>
      <c r="L7" s="8">
        <v>201.66300000000001</v>
      </c>
      <c r="M7" s="42">
        <v>25.321999999999999</v>
      </c>
      <c r="N7" s="9">
        <v>73.677999999999997</v>
      </c>
      <c r="O7" s="9">
        <v>27.437999999999999</v>
      </c>
      <c r="P7" s="10">
        <v>3054.8580000000002</v>
      </c>
      <c r="Q7" s="21">
        <f t="shared" si="15"/>
        <v>1.0079273895586684E-4</v>
      </c>
      <c r="R7" s="5">
        <f t="shared" si="16"/>
        <v>4.6868163686306558E-2</v>
      </c>
      <c r="S7" s="5">
        <f t="shared" si="17"/>
        <v>1.4278743182930412E-2</v>
      </c>
      <c r="T7" s="22">
        <f t="shared" si="18"/>
        <v>1.8220973352437615E-3</v>
      </c>
      <c r="U7" s="21">
        <f t="shared" si="19"/>
        <v>1.8676641942671772E-3</v>
      </c>
      <c r="V7" s="22">
        <f t="shared" si="20"/>
        <v>3.1251626465802755E-2</v>
      </c>
      <c r="W7" s="21">
        <f t="shared" si="21"/>
        <v>6.2E-2</v>
      </c>
      <c r="X7" s="5">
        <f t="shared" si="22"/>
        <v>3.3000000000000002E-2</v>
      </c>
      <c r="Y7" s="22">
        <f t="shared" si="23"/>
        <v>4.8000000000000001E-2</v>
      </c>
      <c r="Z7" s="23">
        <f t="shared" si="24"/>
        <v>0.41</v>
      </c>
      <c r="AA7" s="132">
        <f t="shared" si="25"/>
        <v>0.22</v>
      </c>
      <c r="AB7" s="24">
        <f t="shared" si="26"/>
        <v>0.32</v>
      </c>
      <c r="AC7" s="19">
        <f t="shared" si="27"/>
        <v>5</v>
      </c>
      <c r="AD7" s="43">
        <f t="shared" si="28"/>
        <v>5</v>
      </c>
      <c r="AE7" s="20">
        <f t="shared" si="29"/>
        <v>5</v>
      </c>
      <c r="AF7" s="11"/>
      <c r="AG7" s="11"/>
      <c r="AH7" s="13"/>
      <c r="AI7" s="13"/>
      <c r="AJ7" s="13"/>
      <c r="AK7" s="13"/>
      <c r="AL7" s="12"/>
      <c r="AM7" s="12"/>
      <c r="AN7" s="12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13.35" customHeight="1">
      <c r="A8" s="15">
        <v>11080</v>
      </c>
      <c r="B8" s="131" t="s">
        <v>93</v>
      </c>
      <c r="C8" s="25" t="str">
        <f>Rollover!A8</f>
        <v>Kia</v>
      </c>
      <c r="D8" s="41" t="str">
        <f>Rollover!B8</f>
        <v>Seltos SUV FWD</v>
      </c>
      <c r="E8" s="7" t="s">
        <v>92</v>
      </c>
      <c r="F8" s="96">
        <f>Rollover!C8</f>
        <v>2021</v>
      </c>
      <c r="G8" s="16">
        <v>109.039</v>
      </c>
      <c r="H8" s="17">
        <v>30.085000000000001</v>
      </c>
      <c r="I8" s="17">
        <v>38.634</v>
      </c>
      <c r="J8" s="17">
        <v>757.82</v>
      </c>
      <c r="K8" s="18">
        <v>1902.3240000000001</v>
      </c>
      <c r="L8" s="16">
        <v>233.83699999999999</v>
      </c>
      <c r="M8" s="17">
        <v>19.001999999999999</v>
      </c>
      <c r="N8" s="17">
        <v>70.343000000000004</v>
      </c>
      <c r="O8" s="17">
        <v>30.202999999999999</v>
      </c>
      <c r="P8" s="18">
        <v>3351.54</v>
      </c>
      <c r="Q8" s="21">
        <f t="shared" si="15"/>
        <v>9.5494222878269731E-5</v>
      </c>
      <c r="R8" s="5">
        <f t="shared" si="16"/>
        <v>6.7566313341018355E-2</v>
      </c>
      <c r="S8" s="5">
        <f t="shared" si="17"/>
        <v>1.1844108023259633E-2</v>
      </c>
      <c r="T8" s="22">
        <f t="shared" si="18"/>
        <v>4.0525684957305186E-3</v>
      </c>
      <c r="U8" s="21">
        <f t="shared" si="19"/>
        <v>3.4706411568995173E-3</v>
      </c>
      <c r="V8" s="22">
        <f t="shared" si="20"/>
        <v>4.0892660504839071E-2</v>
      </c>
      <c r="W8" s="21">
        <f t="shared" si="21"/>
        <v>8.2000000000000003E-2</v>
      </c>
      <c r="X8" s="5">
        <f t="shared" si="22"/>
        <v>4.3999999999999997E-2</v>
      </c>
      <c r="Y8" s="22">
        <f t="shared" si="23"/>
        <v>6.3E-2</v>
      </c>
      <c r="Z8" s="23">
        <f t="shared" si="24"/>
        <v>0.55000000000000004</v>
      </c>
      <c r="AA8" s="132">
        <f t="shared" si="25"/>
        <v>0.28999999999999998</v>
      </c>
      <c r="AB8" s="24">
        <f t="shared" si="26"/>
        <v>0.42</v>
      </c>
      <c r="AC8" s="19">
        <f t="shared" si="27"/>
        <v>5</v>
      </c>
      <c r="AD8" s="43">
        <f t="shared" si="28"/>
        <v>5</v>
      </c>
      <c r="AE8" s="20">
        <f t="shared" si="29"/>
        <v>5</v>
      </c>
      <c r="AF8" s="11"/>
      <c r="AG8" s="11"/>
      <c r="AH8" s="13"/>
      <c r="AI8" s="13"/>
      <c r="AJ8" s="13"/>
      <c r="AK8" s="13"/>
      <c r="AL8" s="12"/>
      <c r="AM8" s="12"/>
      <c r="AN8" s="12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</row>
    <row r="9" spans="1:51" ht="13.35" customHeight="1">
      <c r="A9" s="15">
        <v>11080</v>
      </c>
      <c r="B9" s="131" t="s">
        <v>93</v>
      </c>
      <c r="C9" s="25" t="str">
        <f>Rollover!A9</f>
        <v>Kia</v>
      </c>
      <c r="D9" s="41" t="str">
        <f>Rollover!B9</f>
        <v>Seltos SUV AWD</v>
      </c>
      <c r="E9" s="7" t="s">
        <v>92</v>
      </c>
      <c r="F9" s="96">
        <f>Rollover!C9</f>
        <v>2021</v>
      </c>
      <c r="G9" s="16">
        <v>109.039</v>
      </c>
      <c r="H9" s="17">
        <v>30.085000000000001</v>
      </c>
      <c r="I9" s="17">
        <v>38.634</v>
      </c>
      <c r="J9" s="17">
        <v>757.82</v>
      </c>
      <c r="K9" s="18">
        <v>1902.3240000000001</v>
      </c>
      <c r="L9" s="16">
        <v>233.83699999999999</v>
      </c>
      <c r="M9" s="17">
        <v>19.001999999999999</v>
      </c>
      <c r="N9" s="17">
        <v>70.343000000000004</v>
      </c>
      <c r="O9" s="17">
        <v>30.202999999999999</v>
      </c>
      <c r="P9" s="18">
        <v>3351.54</v>
      </c>
      <c r="Q9" s="21">
        <f t="shared" si="15"/>
        <v>9.5494222878269731E-5</v>
      </c>
      <c r="R9" s="5">
        <f t="shared" si="16"/>
        <v>6.7566313341018355E-2</v>
      </c>
      <c r="S9" s="5">
        <f t="shared" si="17"/>
        <v>1.1844108023259633E-2</v>
      </c>
      <c r="T9" s="22">
        <f t="shared" si="18"/>
        <v>4.0525684957305186E-3</v>
      </c>
      <c r="U9" s="21">
        <f t="shared" si="19"/>
        <v>3.4706411568995173E-3</v>
      </c>
      <c r="V9" s="22">
        <f t="shared" si="20"/>
        <v>4.0892660504839071E-2</v>
      </c>
      <c r="W9" s="21">
        <f t="shared" si="21"/>
        <v>8.2000000000000003E-2</v>
      </c>
      <c r="X9" s="5">
        <f t="shared" si="22"/>
        <v>4.3999999999999997E-2</v>
      </c>
      <c r="Y9" s="22">
        <f t="shared" si="23"/>
        <v>6.3E-2</v>
      </c>
      <c r="Z9" s="23">
        <f t="shared" si="24"/>
        <v>0.55000000000000004</v>
      </c>
      <c r="AA9" s="132">
        <f t="shared" si="25"/>
        <v>0.28999999999999998</v>
      </c>
      <c r="AB9" s="24">
        <f t="shared" si="26"/>
        <v>0.42</v>
      </c>
      <c r="AC9" s="19">
        <f t="shared" si="27"/>
        <v>5</v>
      </c>
      <c r="AD9" s="43">
        <f t="shared" si="28"/>
        <v>5</v>
      </c>
      <c r="AE9" s="20">
        <f t="shared" si="29"/>
        <v>5</v>
      </c>
      <c r="AF9" s="11"/>
      <c r="AG9" s="11"/>
      <c r="AH9" s="13"/>
      <c r="AI9" s="13"/>
      <c r="AJ9" s="13"/>
      <c r="AK9" s="13"/>
      <c r="AL9" s="12"/>
      <c r="AM9" s="12"/>
      <c r="AN9" s="12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1:51">
      <c r="AE10" s="2"/>
    </row>
    <row r="11" spans="1:51">
      <c r="AE11" s="2"/>
    </row>
    <row r="12" spans="1:51">
      <c r="AE12" s="2"/>
    </row>
    <row r="13" spans="1:51">
      <c r="AE13" s="2"/>
    </row>
    <row r="14" spans="1:51">
      <c r="AE14" s="2"/>
    </row>
    <row r="15" spans="1:51">
      <c r="AE15" s="2"/>
    </row>
    <row r="16" spans="1:51">
      <c r="AE16" s="2"/>
    </row>
    <row r="17" spans="31:31">
      <c r="AE17" s="2"/>
    </row>
    <row r="18" spans="31:31">
      <c r="AE18" s="2"/>
    </row>
    <row r="19" spans="31:31">
      <c r="AE19" s="2"/>
    </row>
    <row r="20" spans="31:31">
      <c r="AE20" s="2"/>
    </row>
    <row r="21" spans="31:31">
      <c r="AE21" s="2"/>
    </row>
    <row r="22" spans="31:31">
      <c r="AE22" s="2"/>
    </row>
    <row r="23" spans="31:31">
      <c r="AE23" s="2"/>
    </row>
    <row r="24" spans="31:31">
      <c r="AE24" s="2"/>
    </row>
    <row r="25" spans="31:31">
      <c r="AE25" s="2"/>
    </row>
    <row r="26" spans="31:31">
      <c r="AE26" s="2"/>
    </row>
    <row r="27" spans="31:31">
      <c r="AE27" s="2"/>
    </row>
    <row r="28" spans="31:31">
      <c r="AE28" s="2"/>
    </row>
    <row r="29" spans="31:31">
      <c r="AE29" s="2"/>
    </row>
    <row r="30" spans="31:31">
      <c r="AE30" s="2"/>
    </row>
    <row r="31" spans="31:31">
      <c r="AE31" s="2"/>
    </row>
    <row r="32" spans="31:31">
      <c r="AE32" s="2"/>
    </row>
    <row r="33" spans="31:31">
      <c r="AE33" s="2"/>
    </row>
    <row r="34" spans="31:31">
      <c r="AE34" s="2"/>
    </row>
    <row r="35" spans="31:31">
      <c r="AE35" s="2"/>
    </row>
    <row r="36" spans="31:31">
      <c r="AE36" s="2"/>
    </row>
    <row r="37" spans="31:31">
      <c r="AE37" s="2"/>
    </row>
    <row r="38" spans="31:31">
      <c r="AE38" s="2"/>
    </row>
    <row r="39" spans="31:31">
      <c r="AE39" s="2"/>
    </row>
    <row r="40" spans="31:31">
      <c r="AE40" s="2"/>
    </row>
    <row r="41" spans="31:31">
      <c r="AE41" s="2"/>
    </row>
    <row r="42" spans="31:31">
      <c r="AE42" s="2"/>
    </row>
    <row r="43" spans="31:31">
      <c r="AE43" s="2"/>
    </row>
    <row r="44" spans="31:31">
      <c r="AE44" s="2"/>
    </row>
    <row r="45" spans="31:31">
      <c r="AE45" s="2"/>
    </row>
    <row r="46" spans="31:31">
      <c r="AE46" s="2"/>
    </row>
    <row r="47" spans="31:31">
      <c r="AE47" s="2"/>
    </row>
    <row r="48" spans="31:31">
      <c r="AE48" s="2"/>
    </row>
    <row r="49" spans="31:31">
      <c r="AE49" s="2"/>
    </row>
    <row r="50" spans="31:31">
      <c r="AE50" s="2"/>
    </row>
    <row r="51" spans="31:31">
      <c r="AE51" s="2"/>
    </row>
    <row r="52" spans="31:31">
      <c r="AE52" s="2"/>
    </row>
    <row r="53" spans="31:31">
      <c r="AE53" s="2"/>
    </row>
    <row r="54" spans="31:31">
      <c r="AE54" s="2"/>
    </row>
    <row r="55" spans="31:31">
      <c r="AE55" s="2"/>
    </row>
    <row r="56" spans="31:31">
      <c r="AE56" s="2"/>
    </row>
    <row r="57" spans="31:31">
      <c r="AE57" s="2"/>
    </row>
    <row r="58" spans="31:31">
      <c r="AE58" s="2"/>
    </row>
    <row r="59" spans="31:31">
      <c r="AE59" s="2"/>
    </row>
    <row r="60" spans="31:31">
      <c r="AE60" s="2"/>
    </row>
    <row r="61" spans="31:31">
      <c r="AE61" s="2"/>
    </row>
    <row r="62" spans="31:31">
      <c r="AE62" s="2"/>
    </row>
    <row r="63" spans="31:31">
      <c r="AE63" s="2"/>
    </row>
    <row r="64" spans="31:31">
      <c r="AE64" s="2"/>
    </row>
    <row r="65" spans="31:31">
      <c r="AE65" s="2"/>
    </row>
    <row r="66" spans="31:31">
      <c r="AE66" s="2"/>
    </row>
    <row r="67" spans="31:31">
      <c r="AE67" s="2"/>
    </row>
    <row r="68" spans="31:31">
      <c r="AE68" s="2"/>
    </row>
    <row r="69" spans="31:31">
      <c r="AE69" s="2"/>
    </row>
    <row r="70" spans="31:31">
      <c r="AE70" s="2"/>
    </row>
    <row r="71" spans="31:31">
      <c r="AE71" s="2"/>
    </row>
    <row r="72" spans="31:31">
      <c r="AE72" s="2"/>
    </row>
    <row r="73" spans="31:31">
      <c r="AE73" s="2"/>
    </row>
    <row r="74" spans="31:31">
      <c r="AE74" s="2"/>
    </row>
    <row r="75" spans="31:31">
      <c r="AE75" s="2"/>
    </row>
    <row r="76" spans="31:31">
      <c r="AE76" s="2"/>
    </row>
    <row r="77" spans="31:31">
      <c r="AE77" s="2"/>
    </row>
    <row r="78" spans="31:31">
      <c r="AE78" s="2"/>
    </row>
    <row r="79" spans="31:31">
      <c r="AE79" s="2"/>
    </row>
    <row r="80" spans="31:31">
      <c r="AE80" s="2"/>
    </row>
    <row r="81" spans="31:31">
      <c r="AE81" s="2"/>
    </row>
    <row r="82" spans="31:31">
      <c r="AE82" s="2"/>
    </row>
    <row r="83" spans="31:31">
      <c r="AE83" s="2"/>
    </row>
    <row r="84" spans="31:31">
      <c r="AE84" s="2"/>
    </row>
    <row r="85" spans="31:31">
      <c r="AE85" s="2"/>
    </row>
    <row r="86" spans="31:31">
      <c r="AE86" s="2"/>
    </row>
    <row r="87" spans="31:31">
      <c r="AE87" s="2"/>
    </row>
    <row r="88" spans="31:31">
      <c r="AE88" s="2"/>
    </row>
    <row r="89" spans="31:31">
      <c r="AE89" s="2"/>
    </row>
    <row r="90" spans="31:31">
      <c r="AE90" s="2"/>
    </row>
    <row r="91" spans="31:31">
      <c r="AE91" s="2"/>
    </row>
    <row r="92" spans="31:31">
      <c r="AE92" s="2"/>
    </row>
    <row r="93" spans="31:31">
      <c r="AE93" s="2"/>
    </row>
    <row r="94" spans="31:31">
      <c r="AE94" s="2"/>
    </row>
    <row r="95" spans="31:31">
      <c r="AE95" s="2"/>
    </row>
    <row r="96" spans="31:31">
      <c r="AE96" s="2"/>
    </row>
    <row r="97" spans="31:31">
      <c r="AE97" s="2"/>
    </row>
    <row r="98" spans="31:31">
      <c r="AE98" s="2"/>
    </row>
    <row r="99" spans="31:31">
      <c r="AE99" s="2"/>
    </row>
    <row r="100" spans="31:31">
      <c r="AE100" s="2"/>
    </row>
    <row r="101" spans="31:31">
      <c r="AE101" s="2"/>
    </row>
    <row r="102" spans="31:31">
      <c r="AE102" s="2"/>
    </row>
    <row r="103" spans="31:31">
      <c r="AE103" s="2"/>
    </row>
    <row r="104" spans="31:31">
      <c r="AE104" s="2"/>
    </row>
    <row r="105" spans="31:31">
      <c r="AE105" s="2"/>
    </row>
    <row r="106" spans="31:31">
      <c r="AE106" s="2"/>
    </row>
    <row r="107" spans="31:31">
      <c r="AE107" s="2"/>
    </row>
    <row r="108" spans="31:31">
      <c r="AE108" s="2"/>
    </row>
    <row r="109" spans="31:31">
      <c r="AE109" s="2"/>
    </row>
    <row r="110" spans="31:31">
      <c r="AE110" s="2"/>
    </row>
    <row r="111" spans="31:31">
      <c r="AE111" s="2"/>
    </row>
    <row r="112" spans="31:3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6"/>
  <sheetViews>
    <sheetView zoomScaleNormal="100" workbookViewId="0">
      <pane xSplit="6" ySplit="2" topLeftCell="G3" activePane="bottomRight" state="frozen"/>
      <selection activeCell="B26" sqref="B26"/>
      <selection pane="topRight" activeCell="B26" sqref="B26"/>
      <selection pane="bottomLeft" activeCell="B26" sqref="B26"/>
      <selection pane="bottomRight" activeCell="A3" sqref="A3:XFD6"/>
    </sheetView>
  </sheetViews>
  <sheetFormatPr defaultColWidth="9.42578125" defaultRowHeight="14.1" customHeight="1"/>
  <cols>
    <col min="1" max="1" width="8.5703125" style="165" bestFit="1" customWidth="1"/>
    <col min="2" max="2" width="9" style="165" bestFit="1" customWidth="1"/>
    <col min="3" max="3" width="13.5703125" style="166" bestFit="1" customWidth="1"/>
    <col min="4" max="4" width="36.42578125" style="166" bestFit="1" customWidth="1"/>
    <col min="5" max="5" width="6.5703125" style="167" customWidth="1"/>
    <col min="6" max="6" width="7.42578125" style="168" bestFit="1" customWidth="1"/>
    <col min="7" max="10" width="8.5703125" style="162" customWidth="1"/>
    <col min="11" max="11" width="9.5703125" style="162" customWidth="1"/>
    <col min="12" max="12" width="7" style="162" customWidth="1"/>
    <col min="13" max="13" width="7.42578125" style="162" customWidth="1"/>
    <col min="14" max="14" width="7.5703125" style="169" customWidth="1"/>
    <col min="15" max="15" width="8.5703125" style="169" bestFit="1" customWidth="1"/>
    <col min="16" max="16" width="8.42578125" style="170" customWidth="1"/>
    <col min="17" max="17" width="9.42578125" style="169" customWidth="1"/>
    <col min="18" max="18" width="10.42578125" style="162" customWidth="1"/>
    <col min="19" max="19" width="6" style="165" customWidth="1"/>
    <col min="20" max="20" width="10.42578125" style="165" bestFit="1" customWidth="1"/>
    <col min="21" max="21" width="10.42578125" style="165" customWidth="1"/>
    <col min="22" max="22" width="10.42578125" style="165" bestFit="1" customWidth="1"/>
    <col min="23" max="16384" width="9.42578125" style="162"/>
  </cols>
  <sheetData>
    <row r="1" spans="1:38" s="112" customFormat="1" ht="14.1" customHeight="1" thickBot="1">
      <c r="A1" s="137"/>
      <c r="B1" s="138"/>
      <c r="C1" s="139"/>
      <c r="D1" s="139"/>
      <c r="E1" s="140"/>
      <c r="F1" s="141"/>
      <c r="G1" s="142" t="s">
        <v>46</v>
      </c>
      <c r="H1" s="143"/>
      <c r="I1" s="143"/>
      <c r="J1" s="143"/>
      <c r="K1" s="111"/>
      <c r="L1" s="142" t="s">
        <v>46</v>
      </c>
      <c r="M1" s="111"/>
      <c r="N1" s="144" t="s">
        <v>13</v>
      </c>
      <c r="O1" s="145" t="s">
        <v>13</v>
      </c>
      <c r="P1" s="38" t="s">
        <v>45</v>
      </c>
      <c r="Q1" s="144" t="s">
        <v>13</v>
      </c>
      <c r="R1" s="129" t="s">
        <v>13</v>
      </c>
      <c r="S1" s="38" t="s">
        <v>13</v>
      </c>
      <c r="T1" s="36" t="s">
        <v>59</v>
      </c>
      <c r="U1" s="37" t="s">
        <v>75</v>
      </c>
      <c r="V1" s="38" t="s">
        <v>59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s="113" customFormat="1" ht="45.75" thickBot="1">
      <c r="A2" s="36" t="s">
        <v>26</v>
      </c>
      <c r="B2" s="37" t="s">
        <v>82</v>
      </c>
      <c r="C2" s="146" t="s">
        <v>18</v>
      </c>
      <c r="D2" s="146" t="s">
        <v>19</v>
      </c>
      <c r="E2" s="147" t="s">
        <v>74</v>
      </c>
      <c r="F2" s="148" t="s">
        <v>20</v>
      </c>
      <c r="G2" s="128" t="s">
        <v>58</v>
      </c>
      <c r="H2" s="129" t="s">
        <v>71</v>
      </c>
      <c r="I2" s="129" t="s">
        <v>72</v>
      </c>
      <c r="J2" s="129" t="s">
        <v>70</v>
      </c>
      <c r="K2" s="149" t="s">
        <v>39</v>
      </c>
      <c r="L2" s="144" t="s">
        <v>1</v>
      </c>
      <c r="M2" s="150" t="s">
        <v>15</v>
      </c>
      <c r="N2" s="144" t="s">
        <v>17</v>
      </c>
      <c r="O2" s="145" t="s">
        <v>65</v>
      </c>
      <c r="P2" s="38" t="s">
        <v>44</v>
      </c>
      <c r="Q2" s="128" t="s">
        <v>78</v>
      </c>
      <c r="R2" s="129" t="s">
        <v>79</v>
      </c>
      <c r="S2" s="151" t="s">
        <v>80</v>
      </c>
      <c r="T2" s="128" t="s">
        <v>77</v>
      </c>
      <c r="U2" s="129" t="s">
        <v>76</v>
      </c>
      <c r="V2" s="151" t="s">
        <v>81</v>
      </c>
      <c r="W2" s="4"/>
      <c r="X2" s="4"/>
      <c r="Y2" s="39"/>
      <c r="Z2" s="39"/>
      <c r="AA2" s="39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1:38" ht="14.1" customHeight="1">
      <c r="A3" s="152">
        <v>11054</v>
      </c>
      <c r="B3" s="153" t="s">
        <v>100</v>
      </c>
      <c r="C3" s="154" t="str">
        <f>Rollover!A3</f>
        <v>Chevrolet</v>
      </c>
      <c r="D3" s="154" t="str">
        <f>Rollover!B3</f>
        <v>Trailblazer SUV FWD (Later Release)</v>
      </c>
      <c r="E3" s="62" t="s">
        <v>101</v>
      </c>
      <c r="F3" s="155">
        <f>Rollover!C3</f>
        <v>2021</v>
      </c>
      <c r="G3" s="156">
        <v>336.51400000000001</v>
      </c>
      <c r="H3" s="9">
        <v>16.571999999999999</v>
      </c>
      <c r="I3" s="9">
        <v>37.764000000000003</v>
      </c>
      <c r="J3" s="157">
        <v>18.177</v>
      </c>
      <c r="K3" s="10">
        <v>2630.681</v>
      </c>
      <c r="L3" s="21">
        <f t="shared" ref="L3:L5" si="0">NORMDIST(LN(G3),7.45231,0.73998,1)</f>
        <v>1.3631823406957523E-2</v>
      </c>
      <c r="M3" s="22">
        <f t="shared" ref="M3:M5" si="1">1/(1+EXP(6.3055-0.00094*K3))</f>
        <v>2.1193076434665531E-2</v>
      </c>
      <c r="N3" s="21">
        <f t="shared" ref="N3:N5" si="2">ROUND(1-(1-L3)*(1-M3),3)</f>
        <v>3.5000000000000003E-2</v>
      </c>
      <c r="O3" s="5">
        <f t="shared" ref="O3:O5" si="3">ROUND(N3/0.15,2)</f>
        <v>0.23</v>
      </c>
      <c r="P3" s="20">
        <f t="shared" ref="P3:P5" si="4">IF(O3&lt;0.67,5,IF(O3&lt;1,4,IF(O3&lt;1.33,3,IF(O3&lt;2.67,2,1))))</f>
        <v>5</v>
      </c>
      <c r="Q3" s="158">
        <f>ROUND((0.8*'Side MDB'!W3+0.2*'Side Pole'!N3),3)</f>
        <v>6.8000000000000005E-2</v>
      </c>
      <c r="R3" s="159">
        <f t="shared" ref="R3:R5" si="5">ROUND((Q3)/0.15,2)</f>
        <v>0.45</v>
      </c>
      <c r="S3" s="20">
        <f t="shared" ref="S3:S5" si="6">IF(R3&lt;0.67,5,IF(R3&lt;1,4,IF(R3&lt;1.33,3,IF(R3&lt;2.67,2,1))))</f>
        <v>5</v>
      </c>
      <c r="T3" s="158">
        <f>ROUND(((0.8*'Side MDB'!W3+0.2*'Side Pole'!N3)+(IF('Side MDB'!X3="N/A",(0.8*'Side MDB'!W3+0.2*'Side Pole'!N3),'Side MDB'!X3)))/2,3)</f>
        <v>4.2000000000000003E-2</v>
      </c>
      <c r="U3" s="159">
        <f t="shared" ref="U3:U5" si="7">ROUND((T3)/0.15,2)</f>
        <v>0.28000000000000003</v>
      </c>
      <c r="V3" s="20">
        <f t="shared" ref="V3:V5" si="8">IF(U3&lt;0.67,5,IF(U3&lt;1,4,IF(U3&lt;1.33,3,IF(U3&lt;2.67,2,1))))</f>
        <v>5</v>
      </c>
      <c r="W3" s="13"/>
      <c r="X3" s="13"/>
      <c r="Y3" s="160"/>
      <c r="Z3" s="160"/>
      <c r="AA3" s="160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</row>
    <row r="4" spans="1:38" ht="14.1" customHeight="1">
      <c r="A4" s="152">
        <v>11054</v>
      </c>
      <c r="B4" s="153" t="s">
        <v>100</v>
      </c>
      <c r="C4" s="154" t="str">
        <f>Rollover!A4</f>
        <v>Chevrolet</v>
      </c>
      <c r="D4" s="154" t="str">
        <f>Rollover!B4</f>
        <v>Trailblazer SUV AWD (Later Release)</v>
      </c>
      <c r="E4" s="62" t="s">
        <v>101</v>
      </c>
      <c r="F4" s="155">
        <f>Rollover!C4</f>
        <v>2021</v>
      </c>
      <c r="G4" s="156">
        <v>336.51400000000001</v>
      </c>
      <c r="H4" s="9">
        <v>16.571999999999999</v>
      </c>
      <c r="I4" s="9">
        <v>37.764000000000003</v>
      </c>
      <c r="J4" s="157">
        <v>18.177</v>
      </c>
      <c r="K4" s="10">
        <v>2630.681</v>
      </c>
      <c r="L4" s="21">
        <f t="shared" si="0"/>
        <v>1.3631823406957523E-2</v>
      </c>
      <c r="M4" s="22">
        <f t="shared" si="1"/>
        <v>2.1193076434665531E-2</v>
      </c>
      <c r="N4" s="21">
        <f t="shared" si="2"/>
        <v>3.5000000000000003E-2</v>
      </c>
      <c r="O4" s="5">
        <f t="shared" si="3"/>
        <v>0.23</v>
      </c>
      <c r="P4" s="20">
        <f t="shared" si="4"/>
        <v>5</v>
      </c>
      <c r="Q4" s="158">
        <f>ROUND((0.8*'Side MDB'!W4+0.2*'Side Pole'!N4),3)</f>
        <v>6.8000000000000005E-2</v>
      </c>
      <c r="R4" s="159">
        <f t="shared" si="5"/>
        <v>0.45</v>
      </c>
      <c r="S4" s="20">
        <f t="shared" si="6"/>
        <v>5</v>
      </c>
      <c r="T4" s="158">
        <f>ROUND(((0.8*'Side MDB'!W4+0.2*'Side Pole'!N4)+(IF('Side MDB'!X4="N/A",(0.8*'Side MDB'!W4+0.2*'Side Pole'!N4),'Side MDB'!X4)))/2,3)</f>
        <v>4.2000000000000003E-2</v>
      </c>
      <c r="U4" s="159">
        <f t="shared" si="7"/>
        <v>0.28000000000000003</v>
      </c>
      <c r="V4" s="20">
        <f t="shared" si="8"/>
        <v>5</v>
      </c>
      <c r="W4" s="13"/>
      <c r="X4" s="13"/>
      <c r="Y4" s="160"/>
      <c r="Z4" s="160"/>
      <c r="AA4" s="160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</row>
    <row r="5" spans="1:38" ht="14.1" customHeight="1">
      <c r="A5" s="152">
        <v>11054</v>
      </c>
      <c r="B5" s="153" t="s">
        <v>100</v>
      </c>
      <c r="C5" s="163" t="str">
        <f>Rollover!A5</f>
        <v>Buick</v>
      </c>
      <c r="D5" s="163" t="str">
        <f>Rollover!B5</f>
        <v>Encore GX SUV FWD</v>
      </c>
      <c r="E5" s="62" t="s">
        <v>101</v>
      </c>
      <c r="F5" s="155">
        <f>Rollover!C5</f>
        <v>2021</v>
      </c>
      <c r="G5" s="156">
        <v>336.51400000000001</v>
      </c>
      <c r="H5" s="9">
        <v>16.571999999999999</v>
      </c>
      <c r="I5" s="9">
        <v>37.764000000000003</v>
      </c>
      <c r="J5" s="157">
        <v>18.177</v>
      </c>
      <c r="K5" s="10">
        <v>2630.681</v>
      </c>
      <c r="L5" s="21">
        <f t="shared" si="0"/>
        <v>1.3631823406957523E-2</v>
      </c>
      <c r="M5" s="22">
        <f t="shared" si="1"/>
        <v>2.1193076434665531E-2</v>
      </c>
      <c r="N5" s="21">
        <f t="shared" si="2"/>
        <v>3.5000000000000003E-2</v>
      </c>
      <c r="O5" s="5">
        <f t="shared" si="3"/>
        <v>0.23</v>
      </c>
      <c r="P5" s="20">
        <f t="shared" si="4"/>
        <v>5</v>
      </c>
      <c r="Q5" s="158">
        <f>ROUND((0.8*'Side MDB'!W5+0.2*'Side Pole'!N5),3)</f>
        <v>6.8000000000000005E-2</v>
      </c>
      <c r="R5" s="159">
        <f t="shared" si="5"/>
        <v>0.45</v>
      </c>
      <c r="S5" s="20">
        <f t="shared" si="6"/>
        <v>5</v>
      </c>
      <c r="T5" s="158">
        <f>ROUND(((0.8*'Side MDB'!W5+0.2*'Side Pole'!N5)+(IF('Side MDB'!X5="N/A",(0.8*'Side MDB'!W5+0.2*'Side Pole'!N5),'Side MDB'!X5)))/2,3)</f>
        <v>4.2000000000000003E-2</v>
      </c>
      <c r="U5" s="159">
        <f t="shared" si="7"/>
        <v>0.28000000000000003</v>
      </c>
      <c r="V5" s="20">
        <f t="shared" si="8"/>
        <v>5</v>
      </c>
      <c r="W5" s="13"/>
      <c r="X5" s="13"/>
      <c r="Y5" s="160"/>
      <c r="Z5" s="160"/>
      <c r="AA5" s="160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</row>
    <row r="6" spans="1:38" ht="14.1" customHeight="1">
      <c r="A6" s="152">
        <v>11054</v>
      </c>
      <c r="B6" s="153" t="s">
        <v>100</v>
      </c>
      <c r="C6" s="163" t="str">
        <f>Rollover!A6</f>
        <v>Buick</v>
      </c>
      <c r="D6" s="163" t="str">
        <f>Rollover!B6</f>
        <v>Encore GX SUV AWD</v>
      </c>
      <c r="E6" s="62" t="s">
        <v>101</v>
      </c>
      <c r="F6" s="155">
        <f>Rollover!C6</f>
        <v>2021</v>
      </c>
      <c r="G6" s="156">
        <v>336.51400000000001</v>
      </c>
      <c r="H6" s="9">
        <v>16.571999999999999</v>
      </c>
      <c r="I6" s="9">
        <v>37.764000000000003</v>
      </c>
      <c r="J6" s="157">
        <v>18.177</v>
      </c>
      <c r="K6" s="10">
        <v>2630.681</v>
      </c>
      <c r="L6" s="21">
        <f t="shared" ref="L6:L9" si="9">NORMDIST(LN(G6),7.45231,0.73998,1)</f>
        <v>1.3631823406957523E-2</v>
      </c>
      <c r="M6" s="22">
        <f t="shared" ref="M6:M9" si="10">1/(1+EXP(6.3055-0.00094*K6))</f>
        <v>2.1193076434665531E-2</v>
      </c>
      <c r="N6" s="21">
        <f t="shared" ref="N6:N9" si="11">ROUND(1-(1-L6)*(1-M6),3)</f>
        <v>3.5000000000000003E-2</v>
      </c>
      <c r="O6" s="5">
        <f t="shared" ref="O6:O9" si="12">ROUND(N6/0.15,2)</f>
        <v>0.23</v>
      </c>
      <c r="P6" s="20">
        <f t="shared" ref="P6:P9" si="13">IF(O6&lt;0.67,5,IF(O6&lt;1,4,IF(O6&lt;1.33,3,IF(O6&lt;2.67,2,1))))</f>
        <v>5</v>
      </c>
      <c r="Q6" s="158">
        <f>ROUND((0.8*'Side MDB'!W6+0.2*'Side Pole'!N6),3)</f>
        <v>6.8000000000000005E-2</v>
      </c>
      <c r="R6" s="159">
        <f t="shared" ref="R6:R9" si="14">ROUND((Q6)/0.15,2)</f>
        <v>0.45</v>
      </c>
      <c r="S6" s="20">
        <f t="shared" ref="S6:S9" si="15">IF(R6&lt;0.67,5,IF(R6&lt;1,4,IF(R6&lt;1.33,3,IF(R6&lt;2.67,2,1))))</f>
        <v>5</v>
      </c>
      <c r="T6" s="158">
        <f>ROUND(((0.8*'Side MDB'!W6+0.2*'Side Pole'!N6)+(IF('Side MDB'!X6="N/A",(0.8*'Side MDB'!W6+0.2*'Side Pole'!N6),'Side MDB'!X6)))/2,3)</f>
        <v>4.2000000000000003E-2</v>
      </c>
      <c r="U6" s="159">
        <f t="shared" ref="U6:U9" si="16">ROUND((T6)/0.15,2)</f>
        <v>0.28000000000000003</v>
      </c>
      <c r="V6" s="20">
        <f t="shared" ref="V6:V9" si="17">IF(U6&lt;0.67,5,IF(U6&lt;1,4,IF(U6&lt;1.33,3,IF(U6&lt;2.67,2,1))))</f>
        <v>5</v>
      </c>
      <c r="W6" s="13"/>
      <c r="X6" s="13"/>
      <c r="Y6" s="160"/>
      <c r="Z6" s="160"/>
      <c r="AA6" s="160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</row>
    <row r="7" spans="1:38" ht="14.1" customHeight="1">
      <c r="A7" s="152">
        <v>11269</v>
      </c>
      <c r="B7" s="153" t="s">
        <v>104</v>
      </c>
      <c r="C7" s="154" t="str">
        <f>Rollover!A7</f>
        <v>Kia</v>
      </c>
      <c r="D7" s="154" t="str">
        <f>Rollover!B7</f>
        <v>K5 4DR FWD</v>
      </c>
      <c r="E7" s="62" t="s">
        <v>92</v>
      </c>
      <c r="F7" s="155">
        <f>Rollover!C7</f>
        <v>2021</v>
      </c>
      <c r="G7" s="156">
        <v>296.85399999999998</v>
      </c>
      <c r="H7" s="9">
        <v>23.672999999999998</v>
      </c>
      <c r="I7" s="9">
        <v>31.783999999999999</v>
      </c>
      <c r="J7" s="157">
        <v>15.914</v>
      </c>
      <c r="K7" s="157">
        <v>2621.0100000000002</v>
      </c>
      <c r="L7" s="21">
        <f t="shared" si="9"/>
        <v>8.7226614174344165E-3</v>
      </c>
      <c r="M7" s="22">
        <f t="shared" si="10"/>
        <v>2.1005317314864116E-2</v>
      </c>
      <c r="N7" s="21">
        <f t="shared" si="11"/>
        <v>0.03</v>
      </c>
      <c r="O7" s="5">
        <f t="shared" si="12"/>
        <v>0.2</v>
      </c>
      <c r="P7" s="20">
        <f t="shared" si="13"/>
        <v>5</v>
      </c>
      <c r="Q7" s="158">
        <f>ROUND((0.8*'Side MDB'!W7+0.2*'Side Pole'!N7),3)</f>
        <v>5.6000000000000001E-2</v>
      </c>
      <c r="R7" s="159">
        <f t="shared" si="14"/>
        <v>0.37</v>
      </c>
      <c r="S7" s="20">
        <f t="shared" si="15"/>
        <v>5</v>
      </c>
      <c r="T7" s="158">
        <f>ROUND(((0.8*'Side MDB'!W7+0.2*'Side Pole'!N7)+(IF('Side MDB'!X7="N/A",(0.8*'Side MDB'!W7+0.2*'Side Pole'!N7),'Side MDB'!X7)))/2,3)</f>
        <v>4.3999999999999997E-2</v>
      </c>
      <c r="U7" s="159">
        <f t="shared" si="16"/>
        <v>0.28999999999999998</v>
      </c>
      <c r="V7" s="20">
        <f t="shared" si="17"/>
        <v>5</v>
      </c>
      <c r="W7" s="13"/>
      <c r="X7" s="13"/>
      <c r="Y7" s="160"/>
      <c r="Z7" s="160"/>
      <c r="AA7" s="160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38" ht="14.1" customHeight="1">
      <c r="A8" s="164">
        <v>11078</v>
      </c>
      <c r="B8" s="153" t="s">
        <v>91</v>
      </c>
      <c r="C8" s="154" t="str">
        <f>Rollover!A8</f>
        <v>Kia</v>
      </c>
      <c r="D8" s="154" t="str">
        <f>Rollover!B8</f>
        <v>Seltos SUV FWD</v>
      </c>
      <c r="E8" s="62" t="s">
        <v>92</v>
      </c>
      <c r="F8" s="155">
        <f>Rollover!C8</f>
        <v>2021</v>
      </c>
      <c r="G8" s="156">
        <v>225.005</v>
      </c>
      <c r="H8" s="9">
        <v>21.611000000000001</v>
      </c>
      <c r="I8" s="9">
        <v>32.741999999999997</v>
      </c>
      <c r="J8" s="157">
        <v>13.589</v>
      </c>
      <c r="K8" s="10">
        <v>1927.626</v>
      </c>
      <c r="L8" s="21">
        <f t="shared" si="9"/>
        <v>2.964530963824544E-3</v>
      </c>
      <c r="M8" s="22">
        <f t="shared" si="10"/>
        <v>1.1057452974636553E-2</v>
      </c>
      <c r="N8" s="21">
        <f t="shared" si="11"/>
        <v>1.4E-2</v>
      </c>
      <c r="O8" s="5">
        <f t="shared" si="12"/>
        <v>0.09</v>
      </c>
      <c r="P8" s="20">
        <f t="shared" si="13"/>
        <v>5</v>
      </c>
      <c r="Q8" s="158">
        <f>ROUND((0.8*'Side MDB'!W8+0.2*'Side Pole'!N8),3)</f>
        <v>6.8000000000000005E-2</v>
      </c>
      <c r="R8" s="159">
        <f t="shared" si="14"/>
        <v>0.45</v>
      </c>
      <c r="S8" s="20">
        <f t="shared" si="15"/>
        <v>5</v>
      </c>
      <c r="T8" s="158">
        <f>ROUND(((0.8*'Side MDB'!W8+0.2*'Side Pole'!N8)+(IF('Side MDB'!X8="N/A",(0.8*'Side MDB'!W8+0.2*'Side Pole'!N8),'Side MDB'!X8)))/2,3)</f>
        <v>5.6000000000000001E-2</v>
      </c>
      <c r="U8" s="159">
        <f t="shared" si="16"/>
        <v>0.37</v>
      </c>
      <c r="V8" s="20">
        <f t="shared" si="17"/>
        <v>5</v>
      </c>
      <c r="W8" s="13"/>
      <c r="X8" s="13"/>
      <c r="Y8" s="160"/>
      <c r="Z8" s="160"/>
      <c r="AA8" s="160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</row>
    <row r="9" spans="1:38" ht="14.1" customHeight="1">
      <c r="A9" s="152">
        <v>11078</v>
      </c>
      <c r="B9" s="153" t="s">
        <v>91</v>
      </c>
      <c r="C9" s="154" t="str">
        <f>Rollover!A9</f>
        <v>Kia</v>
      </c>
      <c r="D9" s="154" t="str">
        <f>Rollover!B9</f>
        <v>Seltos SUV AWD</v>
      </c>
      <c r="E9" s="62" t="s">
        <v>92</v>
      </c>
      <c r="F9" s="155">
        <f>Rollover!C9</f>
        <v>2021</v>
      </c>
      <c r="G9" s="156">
        <v>225.005</v>
      </c>
      <c r="H9" s="9">
        <v>21.611000000000001</v>
      </c>
      <c r="I9" s="9">
        <v>32.741999999999997</v>
      </c>
      <c r="J9" s="157">
        <v>13.589</v>
      </c>
      <c r="K9" s="10">
        <v>1927.626</v>
      </c>
      <c r="L9" s="21">
        <f t="shared" si="9"/>
        <v>2.964530963824544E-3</v>
      </c>
      <c r="M9" s="22">
        <f t="shared" si="10"/>
        <v>1.1057452974636553E-2</v>
      </c>
      <c r="N9" s="21">
        <f t="shared" si="11"/>
        <v>1.4E-2</v>
      </c>
      <c r="O9" s="5">
        <f t="shared" si="12"/>
        <v>0.09</v>
      </c>
      <c r="P9" s="20">
        <f t="shared" si="13"/>
        <v>5</v>
      </c>
      <c r="Q9" s="158">
        <f>ROUND((0.8*'Side MDB'!W9+0.2*'Side Pole'!N9),3)</f>
        <v>6.8000000000000005E-2</v>
      </c>
      <c r="R9" s="159">
        <f t="shared" si="14"/>
        <v>0.45</v>
      </c>
      <c r="S9" s="20">
        <f t="shared" si="15"/>
        <v>5</v>
      </c>
      <c r="T9" s="158">
        <f>ROUND(((0.8*'Side MDB'!W9+0.2*'Side Pole'!N9)+(IF('Side MDB'!X9="N/A",(0.8*'Side MDB'!W9+0.2*'Side Pole'!N9),'Side MDB'!X9)))/2,3)</f>
        <v>5.6000000000000001E-2</v>
      </c>
      <c r="U9" s="159">
        <f t="shared" si="16"/>
        <v>0.37</v>
      </c>
      <c r="V9" s="20">
        <f t="shared" si="17"/>
        <v>5</v>
      </c>
      <c r="W9" s="13"/>
      <c r="X9" s="13"/>
      <c r="Y9" s="160"/>
      <c r="Z9" s="160"/>
      <c r="AA9" s="160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</row>
    <row r="10" spans="1:38" ht="14.1" customHeight="1">
      <c r="N10" s="162"/>
      <c r="O10" s="162"/>
      <c r="P10" s="165"/>
      <c r="Q10" s="162"/>
    </row>
    <row r="11" spans="1:38" ht="14.1" customHeight="1">
      <c r="N11" s="162"/>
      <c r="O11" s="162"/>
      <c r="P11" s="165"/>
      <c r="Q11" s="162"/>
    </row>
    <row r="12" spans="1:38" ht="14.1" customHeight="1">
      <c r="N12" s="162"/>
      <c r="O12" s="162"/>
      <c r="P12" s="165"/>
      <c r="Q12" s="162"/>
    </row>
    <row r="13" spans="1:38" ht="14.1" customHeight="1">
      <c r="N13" s="162"/>
      <c r="O13" s="162"/>
      <c r="P13" s="165"/>
      <c r="Q13" s="162"/>
    </row>
    <row r="14" spans="1:38" ht="14.1" customHeight="1">
      <c r="N14" s="162"/>
      <c r="O14" s="162"/>
      <c r="P14" s="165"/>
      <c r="Q14" s="162"/>
    </row>
    <row r="15" spans="1:38" ht="14.1" customHeight="1">
      <c r="N15" s="162"/>
      <c r="O15" s="162"/>
      <c r="P15" s="165"/>
      <c r="Q15" s="162"/>
    </row>
    <row r="16" spans="1:38" ht="14.1" customHeight="1">
      <c r="N16" s="162"/>
      <c r="O16" s="162"/>
      <c r="P16" s="165"/>
      <c r="Q16" s="162"/>
    </row>
    <row r="17" spans="14:17" ht="14.1" customHeight="1">
      <c r="N17" s="162"/>
      <c r="O17" s="162"/>
      <c r="P17" s="165"/>
      <c r="Q17" s="162"/>
    </row>
    <row r="18" spans="14:17" ht="14.1" customHeight="1">
      <c r="N18" s="162"/>
      <c r="O18" s="162"/>
      <c r="P18" s="165"/>
      <c r="Q18" s="162"/>
    </row>
    <row r="19" spans="14:17" ht="14.1" customHeight="1">
      <c r="N19" s="162"/>
      <c r="O19" s="162"/>
      <c r="P19" s="165"/>
      <c r="Q19" s="162"/>
    </row>
    <row r="20" spans="14:17" ht="14.1" customHeight="1">
      <c r="N20" s="162"/>
      <c r="O20" s="162"/>
      <c r="P20" s="165"/>
      <c r="Q20" s="162"/>
    </row>
    <row r="21" spans="14:17" ht="14.1" customHeight="1">
      <c r="N21" s="162"/>
      <c r="O21" s="162"/>
      <c r="P21" s="165"/>
      <c r="Q21" s="162"/>
    </row>
    <row r="22" spans="14:17" ht="14.1" customHeight="1">
      <c r="N22" s="162"/>
      <c r="O22" s="162"/>
      <c r="P22" s="165"/>
      <c r="Q22" s="162"/>
    </row>
    <row r="23" spans="14:17" ht="14.1" customHeight="1">
      <c r="N23" s="162"/>
      <c r="O23" s="162"/>
      <c r="P23" s="165"/>
      <c r="Q23" s="162"/>
    </row>
    <row r="24" spans="14:17" ht="14.1" customHeight="1">
      <c r="N24" s="162"/>
      <c r="O24" s="162"/>
      <c r="P24" s="165"/>
      <c r="Q24" s="162"/>
    </row>
    <row r="25" spans="14:17" ht="14.1" customHeight="1">
      <c r="N25" s="162"/>
      <c r="O25" s="162"/>
      <c r="P25" s="165"/>
      <c r="Q25" s="162"/>
    </row>
    <row r="26" spans="14:17" ht="14.1" customHeight="1">
      <c r="N26" s="162"/>
      <c r="O26" s="162"/>
      <c r="P26" s="165"/>
      <c r="Q26" s="162"/>
    </row>
    <row r="27" spans="14:17" ht="14.1" customHeight="1">
      <c r="N27" s="162"/>
      <c r="O27" s="162"/>
      <c r="P27" s="165"/>
      <c r="Q27" s="162"/>
    </row>
    <row r="28" spans="14:17" ht="14.1" customHeight="1">
      <c r="N28" s="162"/>
      <c r="O28" s="162"/>
      <c r="P28" s="165"/>
      <c r="Q28" s="162"/>
    </row>
    <row r="29" spans="14:17" ht="14.1" customHeight="1">
      <c r="N29" s="162"/>
      <c r="O29" s="162"/>
      <c r="P29" s="165"/>
      <c r="Q29" s="162"/>
    </row>
    <row r="30" spans="14:17" ht="14.1" customHeight="1">
      <c r="N30" s="162"/>
      <c r="O30" s="162"/>
      <c r="P30" s="165"/>
      <c r="Q30" s="162"/>
    </row>
    <row r="31" spans="14:17" ht="14.1" customHeight="1">
      <c r="N31" s="162"/>
      <c r="O31" s="162"/>
      <c r="P31" s="165"/>
      <c r="Q31" s="162"/>
    </row>
    <row r="32" spans="14:17" ht="14.1" customHeight="1">
      <c r="N32" s="162"/>
      <c r="O32" s="162"/>
      <c r="P32" s="165"/>
      <c r="Q32" s="162"/>
    </row>
    <row r="33" spans="14:17" ht="14.1" customHeight="1">
      <c r="N33" s="162"/>
      <c r="O33" s="162"/>
      <c r="P33" s="165"/>
      <c r="Q33" s="162"/>
    </row>
    <row r="34" spans="14:17" ht="14.1" customHeight="1">
      <c r="N34" s="162"/>
      <c r="O34" s="162"/>
      <c r="P34" s="165"/>
      <c r="Q34" s="162"/>
    </row>
    <row r="35" spans="14:17" ht="14.1" customHeight="1">
      <c r="N35" s="162"/>
      <c r="O35" s="162"/>
      <c r="P35" s="165"/>
      <c r="Q35" s="162"/>
    </row>
    <row r="36" spans="14:17" ht="14.1" customHeight="1">
      <c r="N36" s="162"/>
      <c r="O36" s="162"/>
      <c r="P36" s="165"/>
      <c r="Q36" s="162"/>
    </row>
    <row r="37" spans="14:17" ht="14.1" customHeight="1">
      <c r="N37" s="162"/>
      <c r="O37" s="162"/>
      <c r="P37" s="165"/>
      <c r="Q37" s="162"/>
    </row>
    <row r="38" spans="14:17" ht="14.1" customHeight="1">
      <c r="N38" s="162"/>
      <c r="O38" s="162"/>
      <c r="P38" s="165"/>
      <c r="Q38" s="162"/>
    </row>
    <row r="39" spans="14:17" ht="14.1" customHeight="1">
      <c r="N39" s="162"/>
      <c r="O39" s="162"/>
      <c r="P39" s="165"/>
      <c r="Q39" s="162"/>
    </row>
    <row r="40" spans="14:17" ht="14.1" customHeight="1">
      <c r="N40" s="162"/>
      <c r="O40" s="162"/>
      <c r="P40" s="165"/>
      <c r="Q40" s="162"/>
    </row>
    <row r="41" spans="14:17" ht="14.1" customHeight="1">
      <c r="N41" s="162"/>
      <c r="O41" s="162"/>
      <c r="P41" s="165"/>
      <c r="Q41" s="162"/>
    </row>
    <row r="42" spans="14:17" ht="14.1" customHeight="1">
      <c r="N42" s="162"/>
      <c r="O42" s="162"/>
      <c r="P42" s="165"/>
      <c r="Q42" s="162"/>
    </row>
    <row r="43" spans="14:17" ht="14.1" customHeight="1">
      <c r="N43" s="162"/>
      <c r="O43" s="162"/>
      <c r="P43" s="165"/>
      <c r="Q43" s="162"/>
    </row>
    <row r="44" spans="14:17" ht="14.1" customHeight="1">
      <c r="N44" s="162"/>
      <c r="O44" s="162"/>
      <c r="P44" s="165"/>
      <c r="Q44" s="162"/>
    </row>
    <row r="45" spans="14:17" ht="14.1" customHeight="1">
      <c r="N45" s="162"/>
      <c r="O45" s="162"/>
      <c r="P45" s="165"/>
      <c r="Q45" s="162"/>
    </row>
    <row r="46" spans="14:17" ht="14.1" customHeight="1">
      <c r="N46" s="162"/>
      <c r="O46" s="162"/>
      <c r="P46" s="165"/>
      <c r="Q46" s="162"/>
    </row>
    <row r="47" spans="14:17" ht="14.1" customHeight="1">
      <c r="N47" s="162"/>
      <c r="O47" s="162"/>
      <c r="P47" s="165"/>
      <c r="Q47" s="162"/>
    </row>
    <row r="48" spans="14:17" ht="14.1" customHeight="1">
      <c r="N48" s="162"/>
      <c r="O48" s="162"/>
      <c r="P48" s="165"/>
      <c r="Q48" s="162"/>
    </row>
    <row r="49" spans="14:17" ht="14.1" customHeight="1">
      <c r="N49" s="162"/>
      <c r="O49" s="162"/>
      <c r="P49" s="165"/>
      <c r="Q49" s="162"/>
    </row>
    <row r="50" spans="14:17" ht="14.1" customHeight="1">
      <c r="N50" s="162"/>
      <c r="O50" s="162"/>
      <c r="P50" s="165"/>
      <c r="Q50" s="162"/>
    </row>
    <row r="51" spans="14:17" ht="14.1" customHeight="1">
      <c r="N51" s="162"/>
      <c r="O51" s="162"/>
      <c r="P51" s="165"/>
      <c r="Q51" s="162"/>
    </row>
    <row r="52" spans="14:17" ht="14.1" customHeight="1">
      <c r="N52" s="162"/>
      <c r="O52" s="162"/>
      <c r="P52" s="165"/>
      <c r="Q52" s="162"/>
    </row>
    <row r="53" spans="14:17" ht="14.1" customHeight="1">
      <c r="N53" s="162"/>
      <c r="O53" s="162"/>
      <c r="P53" s="165"/>
      <c r="Q53" s="162"/>
    </row>
    <row r="54" spans="14:17" ht="14.1" customHeight="1">
      <c r="N54" s="162"/>
      <c r="O54" s="162"/>
      <c r="P54" s="165"/>
      <c r="Q54" s="162"/>
    </row>
    <row r="55" spans="14:17" ht="14.1" customHeight="1">
      <c r="N55" s="162"/>
      <c r="O55" s="162"/>
      <c r="P55" s="165"/>
      <c r="Q55" s="162"/>
    </row>
    <row r="56" spans="14:17" ht="14.1" customHeight="1">
      <c r="N56" s="162"/>
      <c r="O56" s="162"/>
      <c r="P56" s="165"/>
      <c r="Q56" s="162"/>
    </row>
    <row r="57" spans="14:17" ht="14.1" customHeight="1">
      <c r="N57" s="162"/>
      <c r="O57" s="162"/>
      <c r="P57" s="165"/>
      <c r="Q57" s="162"/>
    </row>
    <row r="58" spans="14:17" ht="14.1" customHeight="1">
      <c r="N58" s="162"/>
      <c r="O58" s="162"/>
      <c r="P58" s="165"/>
      <c r="Q58" s="162"/>
    </row>
    <row r="59" spans="14:17" ht="14.1" customHeight="1">
      <c r="N59" s="162"/>
      <c r="O59" s="162"/>
      <c r="P59" s="165"/>
      <c r="Q59" s="162"/>
    </row>
    <row r="60" spans="14:17" ht="14.1" customHeight="1">
      <c r="N60" s="162"/>
      <c r="O60" s="162"/>
      <c r="P60" s="165"/>
      <c r="Q60" s="162"/>
    </row>
    <row r="61" spans="14:17" ht="14.1" customHeight="1">
      <c r="N61" s="162"/>
      <c r="O61" s="162"/>
      <c r="P61" s="165"/>
      <c r="Q61" s="162"/>
    </row>
    <row r="62" spans="14:17" ht="14.1" customHeight="1">
      <c r="N62" s="162"/>
      <c r="O62" s="162"/>
      <c r="P62" s="165"/>
      <c r="Q62" s="162"/>
    </row>
    <row r="63" spans="14:17" ht="14.1" customHeight="1">
      <c r="N63" s="162"/>
      <c r="O63" s="162"/>
      <c r="P63" s="165"/>
      <c r="Q63" s="162"/>
    </row>
    <row r="64" spans="14:17" ht="14.1" customHeight="1">
      <c r="N64" s="162"/>
      <c r="O64" s="162"/>
      <c r="P64" s="165"/>
      <c r="Q64" s="162"/>
    </row>
    <row r="65" spans="14:17" ht="14.1" customHeight="1">
      <c r="N65" s="162"/>
      <c r="O65" s="162"/>
      <c r="P65" s="165"/>
      <c r="Q65" s="162"/>
    </row>
    <row r="66" spans="14:17" ht="14.1" customHeight="1">
      <c r="N66" s="162"/>
      <c r="O66" s="162"/>
      <c r="P66" s="165"/>
      <c r="Q66" s="162"/>
    </row>
    <row r="67" spans="14:17" ht="14.1" customHeight="1">
      <c r="N67" s="162"/>
      <c r="O67" s="162"/>
      <c r="P67" s="165"/>
      <c r="Q67" s="162"/>
    </row>
    <row r="68" spans="14:17" ht="14.1" customHeight="1">
      <c r="N68" s="162"/>
      <c r="O68" s="162"/>
      <c r="P68" s="165"/>
      <c r="Q68" s="162"/>
    </row>
    <row r="69" spans="14:17" ht="14.1" customHeight="1">
      <c r="N69" s="162"/>
      <c r="O69" s="162"/>
      <c r="P69" s="165"/>
      <c r="Q69" s="162"/>
    </row>
    <row r="70" spans="14:17" ht="14.1" customHeight="1">
      <c r="N70" s="162"/>
      <c r="O70" s="162"/>
      <c r="P70" s="165"/>
      <c r="Q70" s="162"/>
    </row>
    <row r="71" spans="14:17" ht="14.1" customHeight="1">
      <c r="N71" s="162"/>
      <c r="O71" s="162"/>
      <c r="P71" s="165"/>
      <c r="Q71" s="162"/>
    </row>
    <row r="72" spans="14:17" ht="14.1" customHeight="1">
      <c r="N72" s="162"/>
      <c r="O72" s="162"/>
      <c r="P72" s="165"/>
      <c r="Q72" s="162"/>
    </row>
    <row r="73" spans="14:17" ht="14.1" customHeight="1">
      <c r="N73" s="162"/>
      <c r="O73" s="162"/>
      <c r="P73" s="165"/>
      <c r="Q73" s="162"/>
    </row>
    <row r="74" spans="14:17" ht="14.1" customHeight="1">
      <c r="N74" s="162"/>
      <c r="O74" s="162"/>
      <c r="P74" s="165"/>
      <c r="Q74" s="162"/>
    </row>
    <row r="75" spans="14:17" ht="14.1" customHeight="1">
      <c r="N75" s="162"/>
      <c r="O75" s="162"/>
      <c r="P75" s="165"/>
      <c r="Q75" s="162"/>
    </row>
    <row r="76" spans="14:17" ht="14.1" customHeight="1">
      <c r="N76" s="162"/>
      <c r="O76" s="162"/>
      <c r="P76" s="165"/>
      <c r="Q76" s="162"/>
    </row>
    <row r="77" spans="14:17" ht="14.1" customHeight="1">
      <c r="N77" s="162"/>
      <c r="O77" s="162"/>
      <c r="P77" s="165"/>
      <c r="Q77" s="162"/>
    </row>
    <row r="78" spans="14:17" ht="14.1" customHeight="1">
      <c r="N78" s="162"/>
      <c r="O78" s="162"/>
      <c r="P78" s="165"/>
      <c r="Q78" s="162"/>
    </row>
    <row r="79" spans="14:17" ht="14.1" customHeight="1">
      <c r="N79" s="162"/>
      <c r="O79" s="162"/>
      <c r="P79" s="165"/>
      <c r="Q79" s="162"/>
    </row>
    <row r="80" spans="14:17" ht="14.1" customHeight="1">
      <c r="N80" s="162"/>
      <c r="O80" s="162"/>
      <c r="P80" s="165"/>
      <c r="Q80" s="162"/>
    </row>
    <row r="81" spans="14:17" ht="14.1" customHeight="1">
      <c r="N81" s="162"/>
      <c r="O81" s="162"/>
      <c r="P81" s="165"/>
      <c r="Q81" s="162"/>
    </row>
    <row r="82" spans="14:17" ht="14.1" customHeight="1">
      <c r="N82" s="162"/>
      <c r="O82" s="162"/>
      <c r="P82" s="165"/>
      <c r="Q82" s="162"/>
    </row>
    <row r="83" spans="14:17" ht="14.1" customHeight="1">
      <c r="N83" s="162"/>
      <c r="O83" s="162"/>
      <c r="P83" s="165"/>
      <c r="Q83" s="162"/>
    </row>
    <row r="84" spans="14:17" ht="14.1" customHeight="1">
      <c r="N84" s="162"/>
      <c r="O84" s="162"/>
      <c r="P84" s="165"/>
      <c r="Q84" s="162"/>
    </row>
    <row r="85" spans="14:17" ht="14.1" customHeight="1">
      <c r="N85" s="162"/>
      <c r="O85" s="162"/>
      <c r="P85" s="165"/>
      <c r="Q85" s="162"/>
    </row>
    <row r="86" spans="14:17" ht="14.1" customHeight="1">
      <c r="N86" s="162"/>
      <c r="O86" s="162"/>
      <c r="P86" s="165"/>
      <c r="Q86" s="162"/>
    </row>
    <row r="87" spans="14:17" ht="14.1" customHeight="1">
      <c r="N87" s="162"/>
      <c r="O87" s="162"/>
      <c r="P87" s="165"/>
      <c r="Q87" s="162"/>
    </row>
    <row r="88" spans="14:17" ht="14.1" customHeight="1">
      <c r="N88" s="162"/>
      <c r="O88" s="162"/>
      <c r="P88" s="165"/>
      <c r="Q88" s="162"/>
    </row>
    <row r="89" spans="14:17" ht="14.1" customHeight="1">
      <c r="N89" s="162"/>
      <c r="O89" s="162"/>
      <c r="P89" s="165"/>
      <c r="Q89" s="162"/>
    </row>
    <row r="90" spans="14:17" ht="14.1" customHeight="1">
      <c r="N90" s="162"/>
      <c r="O90" s="162"/>
      <c r="P90" s="165"/>
      <c r="Q90" s="162"/>
    </row>
    <row r="91" spans="14:17" ht="14.1" customHeight="1">
      <c r="N91" s="162"/>
      <c r="O91" s="162"/>
      <c r="P91" s="165"/>
      <c r="Q91" s="162"/>
    </row>
    <row r="92" spans="14:17" ht="14.1" customHeight="1">
      <c r="N92" s="162"/>
      <c r="O92" s="162"/>
      <c r="P92" s="165"/>
      <c r="Q92" s="162"/>
    </row>
    <row r="93" spans="14:17" ht="14.1" customHeight="1">
      <c r="N93" s="162"/>
      <c r="O93" s="162"/>
      <c r="P93" s="165"/>
      <c r="Q93" s="162"/>
    </row>
    <row r="94" spans="14:17" ht="14.1" customHeight="1">
      <c r="N94" s="162"/>
      <c r="O94" s="162"/>
      <c r="P94" s="165"/>
      <c r="Q94" s="162"/>
    </row>
    <row r="95" spans="14:17" ht="14.1" customHeight="1">
      <c r="N95" s="162"/>
      <c r="O95" s="162"/>
      <c r="P95" s="165"/>
      <c r="Q95" s="162"/>
    </row>
    <row r="96" spans="14:17" ht="14.1" customHeight="1">
      <c r="N96" s="162"/>
      <c r="O96" s="162"/>
      <c r="P96" s="165"/>
      <c r="Q96" s="162"/>
    </row>
    <row r="97" spans="14:17" ht="14.1" customHeight="1">
      <c r="N97" s="162"/>
      <c r="O97" s="162"/>
      <c r="P97" s="165"/>
      <c r="Q97" s="162"/>
    </row>
    <row r="98" spans="14:17" ht="14.1" customHeight="1">
      <c r="N98" s="162"/>
      <c r="O98" s="162"/>
      <c r="P98" s="165"/>
      <c r="Q98" s="162"/>
    </row>
    <row r="99" spans="14:17" ht="14.1" customHeight="1">
      <c r="N99" s="162"/>
      <c r="O99" s="162"/>
      <c r="P99" s="165"/>
      <c r="Q99" s="162"/>
    </row>
    <row r="100" spans="14:17" ht="14.1" customHeight="1">
      <c r="N100" s="162"/>
      <c r="O100" s="162"/>
      <c r="P100" s="165"/>
      <c r="Q100" s="162"/>
    </row>
    <row r="101" spans="14:17" ht="14.1" customHeight="1">
      <c r="N101" s="162"/>
      <c r="O101" s="162"/>
      <c r="P101" s="165"/>
      <c r="Q101" s="162"/>
    </row>
    <row r="102" spans="14:17" ht="14.1" customHeight="1">
      <c r="N102" s="162"/>
      <c r="O102" s="162"/>
      <c r="P102" s="165"/>
      <c r="Q102" s="162"/>
    </row>
    <row r="103" spans="14:17" ht="14.1" customHeight="1">
      <c r="N103" s="162"/>
      <c r="O103" s="162"/>
      <c r="P103" s="165"/>
      <c r="Q103" s="162"/>
    </row>
    <row r="104" spans="14:17" ht="14.1" customHeight="1">
      <c r="N104" s="162"/>
      <c r="O104" s="162"/>
      <c r="P104" s="165"/>
      <c r="Q104" s="162"/>
    </row>
    <row r="105" spans="14:17" ht="14.1" customHeight="1">
      <c r="N105" s="162"/>
      <c r="O105" s="162"/>
      <c r="P105" s="165"/>
      <c r="Q105" s="162"/>
    </row>
    <row r="106" spans="14:17" ht="14.1" customHeight="1">
      <c r="N106" s="162"/>
      <c r="O106" s="162"/>
      <c r="P106" s="165"/>
      <c r="Q106" s="162"/>
    </row>
    <row r="107" spans="14:17" ht="14.1" customHeight="1">
      <c r="N107" s="162"/>
      <c r="O107" s="162"/>
      <c r="P107" s="165"/>
      <c r="Q107" s="162"/>
    </row>
    <row r="108" spans="14:17" ht="14.1" customHeight="1">
      <c r="N108" s="162"/>
      <c r="O108" s="162"/>
      <c r="P108" s="165"/>
      <c r="Q108" s="162"/>
    </row>
    <row r="109" spans="14:17" ht="14.1" customHeight="1">
      <c r="N109" s="162"/>
      <c r="O109" s="162"/>
      <c r="P109" s="165"/>
      <c r="Q109" s="162"/>
    </row>
    <row r="110" spans="14:17" ht="14.1" customHeight="1">
      <c r="N110" s="162"/>
      <c r="O110" s="162"/>
      <c r="P110" s="165"/>
      <c r="Q110" s="162"/>
    </row>
    <row r="111" spans="14:17" ht="14.1" customHeight="1">
      <c r="N111" s="162"/>
      <c r="O111" s="162"/>
      <c r="P111" s="165"/>
      <c r="Q111" s="162"/>
    </row>
    <row r="112" spans="14:17" ht="14.1" customHeight="1">
      <c r="N112" s="162"/>
      <c r="O112" s="162"/>
      <c r="P112" s="165"/>
      <c r="Q112" s="162"/>
    </row>
    <row r="113" spans="14:17" ht="14.1" customHeight="1">
      <c r="N113" s="162"/>
      <c r="O113" s="162"/>
      <c r="P113" s="165"/>
      <c r="Q113" s="162"/>
    </row>
    <row r="114" spans="14:17" ht="14.1" customHeight="1">
      <c r="N114" s="162"/>
      <c r="O114" s="162"/>
      <c r="P114" s="165"/>
      <c r="Q114" s="162"/>
    </row>
    <row r="115" spans="14:17" ht="14.1" customHeight="1">
      <c r="N115" s="162"/>
      <c r="O115" s="162"/>
      <c r="P115" s="165"/>
      <c r="Q115" s="162"/>
    </row>
    <row r="116" spans="14:17" ht="14.1" customHeight="1">
      <c r="N116" s="162"/>
      <c r="O116" s="162"/>
      <c r="P116" s="165"/>
      <c r="Q116" s="162"/>
    </row>
    <row r="117" spans="14:17" ht="14.1" customHeight="1">
      <c r="N117" s="162"/>
      <c r="O117" s="162"/>
      <c r="P117" s="165"/>
      <c r="Q117" s="162"/>
    </row>
    <row r="118" spans="14:17" ht="14.1" customHeight="1">
      <c r="N118" s="162"/>
      <c r="O118" s="162"/>
      <c r="P118" s="165"/>
      <c r="Q118" s="162"/>
    </row>
    <row r="119" spans="14:17" ht="14.1" customHeight="1">
      <c r="N119" s="162"/>
      <c r="O119" s="162"/>
      <c r="P119" s="165"/>
      <c r="Q119" s="162"/>
    </row>
    <row r="120" spans="14:17" ht="14.1" customHeight="1">
      <c r="N120" s="162"/>
      <c r="O120" s="162"/>
      <c r="P120" s="165"/>
      <c r="Q120" s="162"/>
    </row>
    <row r="121" spans="14:17" ht="14.1" customHeight="1">
      <c r="N121" s="162"/>
      <c r="O121" s="162"/>
      <c r="P121" s="165"/>
      <c r="Q121" s="162"/>
    </row>
    <row r="122" spans="14:17" ht="14.1" customHeight="1">
      <c r="N122" s="162"/>
      <c r="O122" s="162"/>
      <c r="P122" s="165"/>
      <c r="Q122" s="162"/>
    </row>
    <row r="123" spans="14:17" ht="14.1" customHeight="1">
      <c r="N123" s="162"/>
      <c r="O123" s="162"/>
      <c r="P123" s="165"/>
      <c r="Q123" s="162"/>
    </row>
    <row r="124" spans="14:17" ht="14.1" customHeight="1">
      <c r="N124" s="162"/>
      <c r="O124" s="162"/>
      <c r="P124" s="165"/>
      <c r="Q124" s="162"/>
    </row>
    <row r="125" spans="14:17" ht="14.1" customHeight="1">
      <c r="N125" s="162"/>
      <c r="O125" s="162"/>
      <c r="P125" s="165"/>
      <c r="Q125" s="162"/>
    </row>
    <row r="126" spans="14:17" ht="14.1" customHeight="1">
      <c r="N126" s="162"/>
      <c r="O126" s="162"/>
      <c r="P126" s="165"/>
      <c r="Q126" s="162"/>
    </row>
    <row r="127" spans="14:17" ht="14.1" customHeight="1">
      <c r="N127" s="162"/>
      <c r="O127" s="162"/>
      <c r="P127" s="165"/>
      <c r="Q127" s="162"/>
    </row>
    <row r="128" spans="14:17" ht="14.1" customHeight="1">
      <c r="N128" s="162"/>
      <c r="O128" s="162"/>
      <c r="P128" s="165"/>
      <c r="Q128" s="162"/>
    </row>
    <row r="129" spans="14:17" ht="14.1" customHeight="1">
      <c r="N129" s="162"/>
      <c r="O129" s="162"/>
      <c r="P129" s="165"/>
      <c r="Q129" s="162"/>
    </row>
    <row r="130" spans="14:17" ht="14.1" customHeight="1">
      <c r="N130" s="162"/>
      <c r="O130" s="162"/>
      <c r="P130" s="165"/>
      <c r="Q130" s="162"/>
    </row>
    <row r="131" spans="14:17" ht="14.1" customHeight="1">
      <c r="N131" s="162"/>
      <c r="O131" s="162"/>
      <c r="P131" s="165"/>
      <c r="Q131" s="162"/>
    </row>
    <row r="132" spans="14:17" ht="14.1" customHeight="1">
      <c r="N132" s="162"/>
      <c r="O132" s="162"/>
      <c r="P132" s="165"/>
      <c r="Q132" s="162"/>
    </row>
    <row r="133" spans="14:17" ht="14.1" customHeight="1">
      <c r="N133" s="162"/>
      <c r="O133" s="162"/>
      <c r="P133" s="165"/>
      <c r="Q133" s="162"/>
    </row>
    <row r="134" spans="14:17" ht="14.1" customHeight="1">
      <c r="N134" s="162"/>
      <c r="O134" s="162"/>
      <c r="P134" s="165"/>
      <c r="Q134" s="162"/>
    </row>
    <row r="135" spans="14:17" ht="14.1" customHeight="1">
      <c r="N135" s="162"/>
      <c r="O135" s="162"/>
      <c r="P135" s="165"/>
      <c r="Q135" s="162"/>
    </row>
    <row r="136" spans="14:17" ht="14.1" customHeight="1">
      <c r="N136" s="162"/>
      <c r="O136" s="162"/>
      <c r="P136" s="165"/>
      <c r="Q136" s="162"/>
    </row>
  </sheetData>
  <mergeCells count="2">
    <mergeCell ref="G1:K1"/>
    <mergeCell ref="L1:M1"/>
  </mergeCells>
  <phoneticPr fontId="3" type="noConversion"/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zoomScale="96" zoomScaleNormal="96" workbookViewId="0">
      <pane xSplit="4" ySplit="2" topLeftCell="E3" activePane="bottomRight" state="frozen"/>
      <selection activeCell="B26" sqref="B26"/>
      <selection pane="topRight" activeCell="B26" sqref="B26"/>
      <selection pane="bottomLeft" activeCell="B26" sqref="B26"/>
      <selection pane="bottomRight" activeCell="A3" sqref="A3:XFD6"/>
    </sheetView>
  </sheetViews>
  <sheetFormatPr defaultColWidth="9.42578125" defaultRowHeight="14.85" customHeight="1"/>
  <cols>
    <col min="1" max="1" width="9.42578125" style="101" customWidth="1"/>
    <col min="2" max="2" width="12.5703125" style="101" customWidth="1"/>
    <col min="3" max="3" width="38.5703125" style="101" customWidth="1"/>
    <col min="4" max="4" width="5.5703125" style="101" customWidth="1"/>
    <col min="5" max="5" width="6.42578125" style="103" customWidth="1"/>
    <col min="6" max="6" width="5.42578125" style="104" customWidth="1"/>
    <col min="7" max="8" width="6.42578125" style="104" customWidth="1"/>
    <col min="9" max="9" width="5.5703125" style="104" bestFit="1" customWidth="1"/>
    <col min="10" max="10" width="7.42578125" style="104" customWidth="1"/>
    <col min="11" max="11" width="9.42578125" style="104" customWidth="1"/>
    <col min="12" max="12" width="11" style="104" customWidth="1"/>
    <col min="13" max="13" width="10" style="104" customWidth="1"/>
    <col min="14" max="14" width="7.42578125" style="103" customWidth="1"/>
    <col min="15" max="15" width="9" style="105" customWidth="1"/>
    <col min="16" max="16" width="9.5703125" style="101" customWidth="1"/>
    <col min="17" max="16384" width="9.42578125" style="101"/>
  </cols>
  <sheetData>
    <row r="1" spans="1:16" s="81" customFormat="1" ht="33.75">
      <c r="A1" s="71" t="s">
        <v>73</v>
      </c>
      <c r="B1" s="72" t="s">
        <v>18</v>
      </c>
      <c r="C1" s="72" t="s">
        <v>19</v>
      </c>
      <c r="D1" s="73" t="s">
        <v>20</v>
      </c>
      <c r="E1" s="74" t="s">
        <v>49</v>
      </c>
      <c r="F1" s="75"/>
      <c r="G1" s="76"/>
      <c r="H1" s="74" t="s">
        <v>51</v>
      </c>
      <c r="I1" s="75"/>
      <c r="J1" s="75"/>
      <c r="K1" s="77" t="s">
        <v>54</v>
      </c>
      <c r="L1" s="77" t="s">
        <v>84</v>
      </c>
      <c r="M1" s="77" t="s">
        <v>83</v>
      </c>
      <c r="N1" s="78" t="s">
        <v>55</v>
      </c>
      <c r="O1" s="79" t="s">
        <v>48</v>
      </c>
      <c r="P1" s="80" t="s">
        <v>48</v>
      </c>
    </row>
    <row r="2" spans="1:16" s="95" customFormat="1" ht="12" thickBot="1">
      <c r="A2" s="82"/>
      <c r="B2" s="83"/>
      <c r="C2" s="83"/>
      <c r="D2" s="84"/>
      <c r="E2" s="85" t="s">
        <v>13</v>
      </c>
      <c r="F2" s="86" t="s">
        <v>52</v>
      </c>
      <c r="G2" s="87" t="s">
        <v>53</v>
      </c>
      <c r="H2" s="88" t="s">
        <v>13</v>
      </c>
      <c r="I2" s="89" t="s">
        <v>52</v>
      </c>
      <c r="J2" s="90" t="s">
        <v>53</v>
      </c>
      <c r="K2" s="91" t="s">
        <v>13</v>
      </c>
      <c r="L2" s="91" t="s">
        <v>13</v>
      </c>
      <c r="M2" s="91" t="s">
        <v>48</v>
      </c>
      <c r="N2" s="92"/>
      <c r="O2" s="93" t="s">
        <v>56</v>
      </c>
      <c r="P2" s="94" t="s">
        <v>57</v>
      </c>
    </row>
    <row r="3" spans="1:16" ht="14.85" customHeight="1">
      <c r="A3" s="45">
        <v>44159</v>
      </c>
      <c r="B3" s="41" t="str">
        <f>Rollover!A3</f>
        <v>Chevrolet</v>
      </c>
      <c r="C3" s="41" t="str">
        <f>Rollover!B3</f>
        <v>Trailblazer SUV FWD (Later Release)</v>
      </c>
      <c r="D3" s="96">
        <f>Rollover!C3</f>
        <v>2021</v>
      </c>
      <c r="E3" s="19">
        <f>Front!AW3</f>
        <v>5</v>
      </c>
      <c r="F3" s="41">
        <f>Front!AX3</f>
        <v>4</v>
      </c>
      <c r="G3" s="44">
        <f>Front!AY3</f>
        <v>5</v>
      </c>
      <c r="H3" s="19">
        <f>'Side MDB'!AC3</f>
        <v>5</v>
      </c>
      <c r="I3" s="43">
        <f>'Side MDB'!AD3</f>
        <v>5</v>
      </c>
      <c r="J3" s="20">
        <f>'Side MDB'!AE3</f>
        <v>5</v>
      </c>
      <c r="K3" s="97">
        <f>'Side Pole'!P3</f>
        <v>5</v>
      </c>
      <c r="L3" s="97">
        <f>'Side Pole'!S3</f>
        <v>5</v>
      </c>
      <c r="M3" s="98">
        <f>'Side Pole'!V3</f>
        <v>5</v>
      </c>
      <c r="N3" s="99">
        <f>Rollover!J3</f>
        <v>4</v>
      </c>
      <c r="O3" s="100">
        <f>ROUND(5/12*Front!AV3+4/12*'Side Pole'!U3+3/12*Rollover!I3,2)</f>
        <v>0.66</v>
      </c>
      <c r="P3" s="44">
        <f t="shared" ref="P3:P5" si="0">IF(O3&lt;0.67,5,IF(O3&lt;1,4,IF(O3&lt;1.33,3,IF(O3&lt;2.67,2,1))))</f>
        <v>5</v>
      </c>
    </row>
    <row r="4" spans="1:16" ht="14.85" customHeight="1">
      <c r="A4" s="45">
        <v>44159</v>
      </c>
      <c r="B4" s="41" t="str">
        <f>Rollover!A4</f>
        <v>Chevrolet</v>
      </c>
      <c r="C4" s="41" t="str">
        <f>Rollover!B4</f>
        <v>Trailblazer SUV AWD (Later Release)</v>
      </c>
      <c r="D4" s="96">
        <f>Rollover!C4</f>
        <v>2021</v>
      </c>
      <c r="E4" s="19">
        <f>Front!AW4</f>
        <v>5</v>
      </c>
      <c r="F4" s="41">
        <f>Front!AX4</f>
        <v>4</v>
      </c>
      <c r="G4" s="44">
        <f>Front!AY4</f>
        <v>5</v>
      </c>
      <c r="H4" s="19">
        <f>'Side MDB'!AC4</f>
        <v>5</v>
      </c>
      <c r="I4" s="43">
        <f>'Side MDB'!AD4</f>
        <v>5</v>
      </c>
      <c r="J4" s="20">
        <f>'Side MDB'!AE4</f>
        <v>5</v>
      </c>
      <c r="K4" s="97">
        <f>'Side Pole'!P4</f>
        <v>5</v>
      </c>
      <c r="L4" s="97">
        <f>'Side Pole'!S4</f>
        <v>5</v>
      </c>
      <c r="M4" s="98">
        <f>'Side Pole'!V4</f>
        <v>5</v>
      </c>
      <c r="N4" s="99">
        <f>Rollover!J4</f>
        <v>4</v>
      </c>
      <c r="O4" s="100">
        <f>ROUND(5/12*Front!AV4+4/12*'Side Pole'!U4+3/12*Rollover!I4,2)</f>
        <v>0.65</v>
      </c>
      <c r="P4" s="44">
        <f t="shared" si="0"/>
        <v>5</v>
      </c>
    </row>
    <row r="5" spans="1:16" ht="14.85" customHeight="1">
      <c r="A5" s="45">
        <v>44159</v>
      </c>
      <c r="B5" s="7" t="str">
        <f>Rollover!A5</f>
        <v>Buick</v>
      </c>
      <c r="C5" s="7" t="str">
        <f>Rollover!B5</f>
        <v>Encore GX SUV FWD</v>
      </c>
      <c r="D5" s="96">
        <f>Rollover!C5</f>
        <v>2021</v>
      </c>
      <c r="E5" s="19">
        <f>Front!AW5</f>
        <v>5</v>
      </c>
      <c r="F5" s="41">
        <f>Front!AX5</f>
        <v>4</v>
      </c>
      <c r="G5" s="44">
        <f>Front!AY5</f>
        <v>5</v>
      </c>
      <c r="H5" s="19">
        <f>'Side MDB'!AC5</f>
        <v>5</v>
      </c>
      <c r="I5" s="43">
        <f>'Side MDB'!AD5</f>
        <v>5</v>
      </c>
      <c r="J5" s="20">
        <f>'Side MDB'!AE5</f>
        <v>5</v>
      </c>
      <c r="K5" s="97">
        <f>'Side Pole'!P5</f>
        <v>5</v>
      </c>
      <c r="L5" s="97">
        <f>'Side Pole'!S5</f>
        <v>5</v>
      </c>
      <c r="M5" s="98">
        <f>'Side Pole'!V5</f>
        <v>5</v>
      </c>
      <c r="N5" s="99">
        <f>Rollover!J5</f>
        <v>4</v>
      </c>
      <c r="O5" s="100">
        <f>ROUND(5/12*Front!AV5+4/12*'Side Pole'!U5+3/12*Rollover!I5,2)</f>
        <v>0.66</v>
      </c>
      <c r="P5" s="44">
        <f t="shared" si="0"/>
        <v>5</v>
      </c>
    </row>
    <row r="6" spans="1:16" ht="14.85" customHeight="1">
      <c r="A6" s="45">
        <v>44159</v>
      </c>
      <c r="B6" s="7" t="str">
        <f>Rollover!A6</f>
        <v>Buick</v>
      </c>
      <c r="C6" s="7" t="str">
        <f>Rollover!B6</f>
        <v>Encore GX SUV AWD</v>
      </c>
      <c r="D6" s="96">
        <f>Rollover!C6</f>
        <v>2021</v>
      </c>
      <c r="E6" s="19">
        <f>Front!AW6</f>
        <v>5</v>
      </c>
      <c r="F6" s="41">
        <f>Front!AX6</f>
        <v>4</v>
      </c>
      <c r="G6" s="44">
        <f>Front!AY6</f>
        <v>5</v>
      </c>
      <c r="H6" s="19">
        <f>'Side MDB'!AC6</f>
        <v>5</v>
      </c>
      <c r="I6" s="43">
        <f>'Side MDB'!AD6</f>
        <v>5</v>
      </c>
      <c r="J6" s="20">
        <f>'Side MDB'!AE6</f>
        <v>5</v>
      </c>
      <c r="K6" s="97">
        <f>'Side Pole'!P6</f>
        <v>5</v>
      </c>
      <c r="L6" s="97">
        <f>'Side Pole'!S6</f>
        <v>5</v>
      </c>
      <c r="M6" s="98">
        <f>'Side Pole'!V6</f>
        <v>5</v>
      </c>
      <c r="N6" s="99">
        <f>Rollover!J6</f>
        <v>4</v>
      </c>
      <c r="O6" s="100">
        <f>ROUND(5/12*Front!AV6+4/12*'Side Pole'!U6+3/12*Rollover!I6,2)</f>
        <v>0.65</v>
      </c>
      <c r="P6" s="44">
        <f t="shared" ref="P6" si="1">IF(O6&lt;0.67,5,IF(O6&lt;1,4,IF(O6&lt;1.33,3,IF(O6&lt;2.67,2,1))))</f>
        <v>5</v>
      </c>
    </row>
    <row r="7" spans="1:16" ht="14.85" customHeight="1">
      <c r="A7" s="45">
        <v>44131</v>
      </c>
      <c r="B7" s="41" t="str">
        <f>Rollover!A7</f>
        <v>Kia</v>
      </c>
      <c r="C7" s="41" t="str">
        <f>Rollover!B7</f>
        <v>K5 4DR FWD</v>
      </c>
      <c r="D7" s="96">
        <f>Rollover!C7</f>
        <v>2021</v>
      </c>
      <c r="E7" s="19">
        <f>Front!AW7</f>
        <v>5</v>
      </c>
      <c r="F7" s="41">
        <f>Front!AX7</f>
        <v>4</v>
      </c>
      <c r="G7" s="44">
        <f>Front!AY7</f>
        <v>4</v>
      </c>
      <c r="H7" s="19">
        <f>'Side MDB'!AC7</f>
        <v>5</v>
      </c>
      <c r="I7" s="43">
        <f>'Side MDB'!AD7</f>
        <v>5</v>
      </c>
      <c r="J7" s="20">
        <f>'Side MDB'!AE7</f>
        <v>5</v>
      </c>
      <c r="K7" s="97">
        <f>'Side Pole'!P7</f>
        <v>5</v>
      </c>
      <c r="L7" s="97">
        <f>'Side Pole'!S7</f>
        <v>5</v>
      </c>
      <c r="M7" s="98">
        <f>'Side Pole'!V7</f>
        <v>5</v>
      </c>
      <c r="N7" s="99">
        <f>Rollover!J7</f>
        <v>4</v>
      </c>
      <c r="O7" s="100">
        <f>ROUND(5/12*Front!AV7+4/12*'Side Pole'!U7+3/12*Rollover!I7,2)</f>
        <v>0.56999999999999995</v>
      </c>
      <c r="P7" s="44">
        <f t="shared" ref="P7:P9" si="2">IF(O7&lt;0.67,5,IF(O7&lt;1,4,IF(O7&lt;1.33,3,IF(O7&lt;2.67,2,1))))</f>
        <v>5</v>
      </c>
    </row>
    <row r="8" spans="1:16" ht="14.85" customHeight="1">
      <c r="A8" s="45">
        <v>44048</v>
      </c>
      <c r="B8" s="41" t="str">
        <f>Rollover!A8</f>
        <v>Kia</v>
      </c>
      <c r="C8" s="41" t="str">
        <f>Rollover!B8</f>
        <v>Seltos SUV FWD</v>
      </c>
      <c r="D8" s="96">
        <f>Rollover!C8</f>
        <v>2021</v>
      </c>
      <c r="E8" s="19">
        <f>Front!AW8</f>
        <v>5</v>
      </c>
      <c r="F8" s="41">
        <f>Front!AX8</f>
        <v>4</v>
      </c>
      <c r="G8" s="44">
        <f>Front!AY8</f>
        <v>4</v>
      </c>
      <c r="H8" s="19">
        <f>'Side MDB'!AC8</f>
        <v>5</v>
      </c>
      <c r="I8" s="43">
        <f>'Side MDB'!AD8</f>
        <v>5</v>
      </c>
      <c r="J8" s="20">
        <f>'Side MDB'!AE8</f>
        <v>5</v>
      </c>
      <c r="K8" s="97">
        <f>'Side Pole'!P8</f>
        <v>5</v>
      </c>
      <c r="L8" s="97">
        <f>'Side Pole'!S8</f>
        <v>5</v>
      </c>
      <c r="M8" s="98">
        <f>'Side Pole'!V8</f>
        <v>5</v>
      </c>
      <c r="N8" s="99">
        <f>Rollover!J8</f>
        <v>4</v>
      </c>
      <c r="O8" s="100">
        <f>ROUND(5/12*Front!AV8+4/12*'Side Pole'!U8+3/12*Rollover!I8,2)</f>
        <v>0.7</v>
      </c>
      <c r="P8" s="44">
        <f t="shared" si="2"/>
        <v>4</v>
      </c>
    </row>
    <row r="9" spans="1:16" ht="14.85" customHeight="1">
      <c r="A9" s="45">
        <v>44048</v>
      </c>
      <c r="B9" s="41" t="str">
        <f>Rollover!A9</f>
        <v>Kia</v>
      </c>
      <c r="C9" s="41" t="str">
        <f>Rollover!B9</f>
        <v>Seltos SUV AWD</v>
      </c>
      <c r="D9" s="96">
        <f>Rollover!C9</f>
        <v>2021</v>
      </c>
      <c r="E9" s="19">
        <f>Front!AW9</f>
        <v>5</v>
      </c>
      <c r="F9" s="41">
        <f>Front!AX9</f>
        <v>4</v>
      </c>
      <c r="G9" s="44">
        <f>Front!AY9</f>
        <v>4</v>
      </c>
      <c r="H9" s="19">
        <f>'Side MDB'!AC9</f>
        <v>5</v>
      </c>
      <c r="I9" s="43">
        <f>'Side MDB'!AD9</f>
        <v>5</v>
      </c>
      <c r="J9" s="20">
        <f>'Side MDB'!AE9</f>
        <v>5</v>
      </c>
      <c r="K9" s="97">
        <f>'Side Pole'!P9</f>
        <v>5</v>
      </c>
      <c r="L9" s="97">
        <f>'Side Pole'!S9</f>
        <v>5</v>
      </c>
      <c r="M9" s="98">
        <f>'Side Pole'!V9</f>
        <v>5</v>
      </c>
      <c r="N9" s="99">
        <f>Rollover!J9</f>
        <v>4</v>
      </c>
      <c r="O9" s="100">
        <f>ROUND(5/12*Front!AV9+4/12*'Side Pole'!U9+3/12*Rollover!I9,2)</f>
        <v>0.67</v>
      </c>
      <c r="P9" s="44">
        <f t="shared" si="2"/>
        <v>4</v>
      </c>
    </row>
    <row r="10" spans="1:16" ht="14.85" customHeight="1">
      <c r="B10" s="102"/>
    </row>
    <row r="11" spans="1:16" ht="14.85" customHeight="1">
      <c r="B11" s="102"/>
      <c r="C11" s="102"/>
      <c r="D11" s="102"/>
    </row>
    <row r="12" spans="1:16" ht="14.85" customHeight="1">
      <c r="B12" s="102"/>
      <c r="C12" s="102"/>
      <c r="D12" s="102"/>
    </row>
    <row r="13" spans="1:16" ht="14.85" customHeight="1">
      <c r="B13" s="102"/>
      <c r="C13" s="102"/>
      <c r="D13" s="102"/>
    </row>
    <row r="14" spans="1:16" ht="14.85" customHeight="1">
      <c r="B14" s="102"/>
      <c r="C14" s="102"/>
      <c r="D14" s="102"/>
    </row>
    <row r="15" spans="1:16" ht="14.85" customHeight="1">
      <c r="B15" s="102"/>
      <c r="C15" s="102"/>
      <c r="D15" s="102"/>
    </row>
    <row r="16" spans="1:16" ht="14.85" customHeight="1">
      <c r="B16" s="102"/>
      <c r="C16" s="102"/>
      <c r="D16" s="102"/>
    </row>
    <row r="17" spans="2:6" ht="14.85" customHeight="1">
      <c r="B17" s="102"/>
      <c r="C17" s="102"/>
      <c r="D17" s="102"/>
    </row>
    <row r="20" spans="2:6" ht="14.85" customHeight="1">
      <c r="B20" s="106"/>
      <c r="C20" s="106"/>
      <c r="D20" s="106"/>
      <c r="E20" s="107"/>
      <c r="F20" s="102"/>
    </row>
    <row r="21" spans="2:6" ht="14.85" customHeight="1">
      <c r="B21" s="106"/>
      <c r="C21" s="106"/>
      <c r="D21" s="106"/>
      <c r="E21" s="107"/>
      <c r="F21" s="102"/>
    </row>
    <row r="22" spans="2:6" ht="14.85" customHeight="1">
      <c r="B22" s="106"/>
      <c r="C22" s="106"/>
      <c r="D22" s="106"/>
      <c r="E22" s="107"/>
      <c r="F22" s="102"/>
    </row>
    <row r="23" spans="2:6" ht="14.85" customHeight="1">
      <c r="B23" s="106"/>
      <c r="C23" s="106"/>
      <c r="D23" s="106"/>
      <c r="E23" s="107"/>
      <c r="F23" s="102"/>
    </row>
    <row r="24" spans="2:6" ht="14.85" customHeight="1">
      <c r="B24" s="106"/>
      <c r="C24" s="106"/>
      <c r="D24" s="106"/>
      <c r="E24" s="107"/>
      <c r="F24" s="102"/>
    </row>
    <row r="25" spans="2:6" ht="14.85" customHeight="1">
      <c r="B25" s="106"/>
      <c r="C25" s="106"/>
      <c r="D25" s="106"/>
      <c r="E25" s="107"/>
      <c r="F25" s="102"/>
    </row>
    <row r="26" spans="2:6" ht="14.85" customHeight="1">
      <c r="B26" s="106"/>
      <c r="C26" s="106"/>
      <c r="D26" s="106"/>
      <c r="E26" s="107"/>
      <c r="F26" s="102"/>
    </row>
    <row r="27" spans="2:6" ht="14.85" customHeight="1">
      <c r="B27" s="106"/>
      <c r="C27" s="106"/>
      <c r="D27" s="106"/>
      <c r="E27" s="107"/>
      <c r="F27" s="102"/>
    </row>
    <row r="28" spans="2:6" ht="14.85" customHeight="1">
      <c r="B28" s="106"/>
      <c r="C28" s="106"/>
      <c r="D28" s="106"/>
      <c r="E28" s="107"/>
      <c r="F28" s="102"/>
    </row>
    <row r="29" spans="2:6" ht="14.85" customHeight="1">
      <c r="B29" s="106"/>
      <c r="C29" s="106"/>
      <c r="D29" s="106"/>
      <c r="E29" s="107"/>
      <c r="F29" s="102"/>
    </row>
    <row r="30" spans="2:6" ht="14.85" customHeight="1">
      <c r="E30" s="107"/>
      <c r="F30" s="102"/>
    </row>
    <row r="31" spans="2:6" ht="14.85" customHeight="1">
      <c r="E31" s="107"/>
      <c r="F31" s="102"/>
    </row>
    <row r="32" spans="2:6" ht="14.85" customHeight="1">
      <c r="B32" s="106"/>
      <c r="C32" s="106"/>
      <c r="D32" s="106"/>
      <c r="E32" s="107"/>
      <c r="F32" s="102"/>
    </row>
    <row r="33" spans="2:10" ht="14.85" customHeight="1">
      <c r="B33" s="106"/>
      <c r="C33" s="106"/>
      <c r="D33" s="106"/>
      <c r="E33" s="107"/>
      <c r="F33" s="102"/>
    </row>
    <row r="34" spans="2:10" ht="14.85" customHeight="1">
      <c r="B34" s="106"/>
      <c r="C34" s="106"/>
      <c r="D34" s="106"/>
      <c r="E34" s="107"/>
      <c r="F34" s="102"/>
    </row>
    <row r="35" spans="2:10" ht="14.85" customHeight="1">
      <c r="B35" s="106"/>
      <c r="C35" s="106"/>
      <c r="D35" s="106"/>
      <c r="E35" s="107"/>
      <c r="F35" s="102"/>
      <c r="H35" s="108"/>
      <c r="I35" s="108"/>
      <c r="J35" s="108"/>
    </row>
    <row r="36" spans="2:10" ht="14.85" customHeight="1">
      <c r="B36" s="106"/>
      <c r="C36" s="106"/>
      <c r="D36" s="106"/>
      <c r="H36" s="108"/>
      <c r="I36" s="108"/>
      <c r="J36" s="108"/>
    </row>
    <row r="37" spans="2:10" ht="14.85" customHeight="1">
      <c r="B37" s="106"/>
      <c r="C37" s="106"/>
      <c r="D37" s="106"/>
      <c r="H37" s="108"/>
      <c r="I37" s="108"/>
      <c r="J37" s="108"/>
    </row>
    <row r="38" spans="2:10" ht="14.85" customHeight="1">
      <c r="B38" s="109"/>
      <c r="C38" s="109"/>
      <c r="D38" s="109"/>
      <c r="E38" s="110"/>
      <c r="H38" s="108"/>
      <c r="I38" s="108"/>
      <c r="J38" s="108"/>
    </row>
    <row r="39" spans="2:10" ht="14.85" customHeight="1">
      <c r="B39" s="102"/>
      <c r="C39" s="102"/>
      <c r="D39" s="102"/>
      <c r="H39" s="108"/>
      <c r="I39" s="108"/>
      <c r="J39" s="108"/>
    </row>
    <row r="40" spans="2:10" ht="14.85" customHeight="1">
      <c r="B40" s="106"/>
      <c r="C40" s="106"/>
      <c r="D40" s="106"/>
      <c r="H40" s="108"/>
      <c r="I40" s="108"/>
      <c r="J40" s="108"/>
    </row>
    <row r="41" spans="2:10" ht="14.85" customHeight="1">
      <c r="B41" s="106"/>
      <c r="C41" s="106"/>
      <c r="D41" s="106"/>
      <c r="H41" s="108"/>
      <c r="I41" s="108"/>
      <c r="J41" s="108"/>
    </row>
    <row r="42" spans="2:10" ht="14.85" customHeight="1">
      <c r="B42" s="106"/>
      <c r="C42" s="106"/>
      <c r="D42" s="106"/>
      <c r="H42" s="108"/>
      <c r="I42" s="108"/>
      <c r="J42" s="108"/>
    </row>
    <row r="43" spans="2:10" ht="14.85" customHeight="1">
      <c r="B43" s="106"/>
      <c r="C43" s="106"/>
      <c r="D43" s="106"/>
      <c r="H43" s="108"/>
      <c r="I43" s="108"/>
      <c r="J43" s="108"/>
    </row>
    <row r="44" spans="2:10" ht="14.85" customHeight="1">
      <c r="B44" s="102"/>
      <c r="C44" s="102"/>
      <c r="D44" s="102"/>
      <c r="H44" s="108"/>
      <c r="I44" s="108"/>
      <c r="J44" s="108"/>
    </row>
    <row r="45" spans="2:10" ht="14.85" customHeight="1">
      <c r="H45" s="108"/>
      <c r="I45" s="108"/>
      <c r="J45" s="108"/>
    </row>
    <row r="46" spans="2:10" ht="14.85" customHeight="1">
      <c r="H46" s="108"/>
      <c r="I46" s="108"/>
      <c r="J46" s="108"/>
    </row>
  </sheetData>
  <mergeCells count="7">
    <mergeCell ref="E1:G1"/>
    <mergeCell ref="H1:J1"/>
    <mergeCell ref="A1:A2"/>
    <mergeCell ref="N1:N2"/>
    <mergeCell ref="B1:B2"/>
    <mergeCell ref="C1:C2"/>
    <mergeCell ref="D1:D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2020-11-23T15:50:55Z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