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a\Rulemaking\NCAPDATA\Web Database and media files\2020 web and docket data\"/>
    </mc:Choice>
  </mc:AlternateContent>
  <bookViews>
    <workbookView xWindow="8970" yWindow="750" windowWidth="11550" windowHeight="6945" activeTab="4"/>
  </bookViews>
  <sheets>
    <sheet name="Rollover" sheetId="24" r:id="rId1"/>
    <sheet name="Front" sheetId="21" r:id="rId2"/>
    <sheet name="Side MDB" sheetId="22" r:id="rId3"/>
    <sheet name="Side Pole" sheetId="29" r:id="rId4"/>
    <sheet name="Comb VSS+Overall Ratings" sheetId="31" r:id="rId5"/>
  </sheets>
  <definedNames>
    <definedName name="_xlnm.Print_Area" localSheetId="4">'Comb VSS+Overall Ratings'!$B$1:$P$2</definedName>
    <definedName name="_xlnm.Print_Area" localSheetId="1">Front!$A$2:$V$2</definedName>
    <definedName name="_xlnm.Print_Area" localSheetId="2">'Side MDB'!$A$2:$P$2</definedName>
    <definedName name="_xlnm.Print_Area" localSheetId="3">'Side Pole'!$A$2:$K$2</definedName>
    <definedName name="_xlnm.Print_Titles" localSheetId="4">'Comb VSS+Overall Ratings'!$B:$C,'Comb VSS+Overall Ratings'!$1:$2</definedName>
    <definedName name="_xlnm.Print_Titles" localSheetId="1">Front!$A:$D,Front!$2:$2</definedName>
    <definedName name="_xlnm.Print_Titles" localSheetId="0">Rollover!$2:$2</definedName>
    <definedName name="_xlnm.Print_Titles" localSheetId="2">'Side MDB'!$A:$D,'Side MDB'!$2:$2</definedName>
    <definedName name="_xlnm.Print_Titles" localSheetId="3">'Side Pole'!$A:$D,'Side Pole'!$2:$2</definedName>
  </definedNames>
  <calcPr calcId="171027"/>
</workbook>
</file>

<file path=xl/calcChain.xml><?xml version="1.0" encoding="utf-8"?>
<calcChain xmlns="http://schemas.openxmlformats.org/spreadsheetml/2006/main">
  <c r="C9" i="22" l="1"/>
  <c r="D9" i="22"/>
  <c r="F9" i="22"/>
  <c r="C10" i="22"/>
  <c r="D10" i="22"/>
  <c r="F10" i="22"/>
  <c r="C11" i="22"/>
  <c r="D11" i="22"/>
  <c r="F11" i="22"/>
  <c r="C12" i="22"/>
  <c r="D12" i="22"/>
  <c r="F12" i="22"/>
  <c r="C13" i="22"/>
  <c r="D13" i="22"/>
  <c r="F13" i="22"/>
  <c r="D43" i="29" l="1"/>
  <c r="G3" i="24" l="1"/>
  <c r="H3" i="24" s="1"/>
  <c r="I3" i="24" s="1"/>
  <c r="J3" i="24" s="1"/>
  <c r="N3" i="31" s="1"/>
  <c r="G4" i="24"/>
  <c r="H4" i="24" s="1"/>
  <c r="I4" i="24" s="1"/>
  <c r="J4" i="24" s="1"/>
  <c r="N4" i="31" s="1"/>
  <c r="G5" i="24"/>
  <c r="H5" i="24" s="1"/>
  <c r="I5" i="24" s="1"/>
  <c r="J5" i="24" s="1"/>
  <c r="N5" i="31" s="1"/>
  <c r="G6" i="24"/>
  <c r="H6" i="24" s="1"/>
  <c r="I6" i="24" s="1"/>
  <c r="J6" i="24" s="1"/>
  <c r="N6" i="31" s="1"/>
  <c r="G7" i="24"/>
  <c r="H7" i="24" s="1"/>
  <c r="I7" i="24" s="1"/>
  <c r="J7" i="24" s="1"/>
  <c r="N7" i="31" s="1"/>
  <c r="G8" i="24"/>
  <c r="H8" i="24" s="1"/>
  <c r="I8" i="24" s="1"/>
  <c r="J8" i="24" s="1"/>
  <c r="N8" i="31" s="1"/>
  <c r="G9" i="24"/>
  <c r="H9" i="24" s="1"/>
  <c r="I9" i="24" s="1"/>
  <c r="J9" i="24" s="1"/>
  <c r="N9" i="31" s="1"/>
  <c r="G10" i="24"/>
  <c r="H10" i="24" s="1"/>
  <c r="I10" i="24" s="1"/>
  <c r="J10" i="24" s="1"/>
  <c r="N10" i="31" s="1"/>
  <c r="G11" i="24"/>
  <c r="H11" i="24" s="1"/>
  <c r="I11" i="24" s="1"/>
  <c r="J11" i="24" s="1"/>
  <c r="N11" i="31" s="1"/>
  <c r="G12" i="24"/>
  <c r="H12" i="24" s="1"/>
  <c r="I12" i="24" s="1"/>
  <c r="J12" i="24" s="1"/>
  <c r="N12" i="31" s="1"/>
  <c r="G13" i="24"/>
  <c r="H13" i="24" s="1"/>
  <c r="I13" i="24" s="1"/>
  <c r="J13" i="24" s="1"/>
  <c r="N13" i="31" s="1"/>
  <c r="B3" i="31"/>
  <c r="C3" i="31"/>
  <c r="D3" i="31"/>
  <c r="B4" i="31"/>
  <c r="C4" i="31"/>
  <c r="D4" i="31"/>
  <c r="B5" i="31"/>
  <c r="C5" i="31"/>
  <c r="D5" i="31"/>
  <c r="B6" i="31"/>
  <c r="C6" i="31"/>
  <c r="D6" i="31"/>
  <c r="B7" i="31"/>
  <c r="C7" i="31"/>
  <c r="D7" i="31"/>
  <c r="B8" i="31"/>
  <c r="C8" i="31"/>
  <c r="D8" i="31"/>
  <c r="B9" i="31"/>
  <c r="C9" i="31"/>
  <c r="D9" i="31"/>
  <c r="B10" i="31"/>
  <c r="C10" i="31"/>
  <c r="D10" i="31"/>
  <c r="B11" i="31"/>
  <c r="C11" i="31"/>
  <c r="D11" i="31"/>
  <c r="B12" i="31"/>
  <c r="C12" i="31"/>
  <c r="D12" i="31"/>
  <c r="B13" i="31"/>
  <c r="C13" i="31"/>
  <c r="D13" i="31"/>
  <c r="C3" i="29"/>
  <c r="D3" i="29"/>
  <c r="F3" i="29"/>
  <c r="L3" i="29"/>
  <c r="M3" i="29"/>
  <c r="C4" i="29"/>
  <c r="D4" i="29"/>
  <c r="F4" i="29"/>
  <c r="L4" i="29"/>
  <c r="M4" i="29"/>
  <c r="C5" i="29"/>
  <c r="D5" i="29"/>
  <c r="F5" i="29"/>
  <c r="L5" i="29"/>
  <c r="M5" i="29"/>
  <c r="C6" i="29"/>
  <c r="D6" i="29"/>
  <c r="F6" i="29"/>
  <c r="L6" i="29"/>
  <c r="M6" i="29"/>
  <c r="C7" i="29"/>
  <c r="D7" i="29"/>
  <c r="F7" i="29"/>
  <c r="L7" i="29"/>
  <c r="M7" i="29"/>
  <c r="C8" i="29"/>
  <c r="D8" i="29"/>
  <c r="F8" i="29"/>
  <c r="L8" i="29"/>
  <c r="M8" i="29"/>
  <c r="C9" i="29"/>
  <c r="D9" i="29"/>
  <c r="F9" i="29"/>
  <c r="L9" i="29"/>
  <c r="M9" i="29"/>
  <c r="C10" i="29"/>
  <c r="D10" i="29"/>
  <c r="F10" i="29"/>
  <c r="L10" i="29"/>
  <c r="M10" i="29"/>
  <c r="C11" i="29"/>
  <c r="D11" i="29"/>
  <c r="F11" i="29"/>
  <c r="L11" i="29"/>
  <c r="M11" i="29"/>
  <c r="C12" i="29"/>
  <c r="D12" i="29"/>
  <c r="F12" i="29"/>
  <c r="L12" i="29"/>
  <c r="M12" i="29"/>
  <c r="C13" i="29"/>
  <c r="D13" i="29"/>
  <c r="F13" i="29"/>
  <c r="L13" i="29"/>
  <c r="M13" i="29"/>
  <c r="C3" i="22"/>
  <c r="D3" i="22"/>
  <c r="F3" i="22"/>
  <c r="Q3" i="22"/>
  <c r="R3" i="22"/>
  <c r="S3" i="22"/>
  <c r="T3" i="22"/>
  <c r="U3" i="22"/>
  <c r="V3" i="22"/>
  <c r="C4" i="22"/>
  <c r="D4" i="22"/>
  <c r="F4" i="22"/>
  <c r="Q4" i="22"/>
  <c r="R4" i="22"/>
  <c r="S4" i="22"/>
  <c r="T4" i="22"/>
  <c r="U4" i="22"/>
  <c r="V4" i="22"/>
  <c r="C5" i="22"/>
  <c r="D5" i="22"/>
  <c r="F5" i="22"/>
  <c r="Q5" i="22"/>
  <c r="R5" i="22"/>
  <c r="S5" i="22"/>
  <c r="T5" i="22"/>
  <c r="U5" i="22"/>
  <c r="V5" i="22"/>
  <c r="C6" i="22"/>
  <c r="D6" i="22"/>
  <c r="F6" i="22"/>
  <c r="Q6" i="22"/>
  <c r="R6" i="22"/>
  <c r="S6" i="22"/>
  <c r="T6" i="22"/>
  <c r="U6" i="22"/>
  <c r="V6" i="22"/>
  <c r="C7" i="22"/>
  <c r="D7" i="22"/>
  <c r="F7" i="22"/>
  <c r="Q7" i="22"/>
  <c r="R7" i="22"/>
  <c r="S7" i="22"/>
  <c r="T7" i="22"/>
  <c r="U7" i="22"/>
  <c r="V7" i="22"/>
  <c r="C8" i="22"/>
  <c r="D8" i="22"/>
  <c r="F8" i="22"/>
  <c r="Q8" i="22"/>
  <c r="R8" i="22"/>
  <c r="S8" i="22"/>
  <c r="T8" i="22"/>
  <c r="U8" i="22"/>
  <c r="V8" i="22"/>
  <c r="Q9" i="22"/>
  <c r="R9" i="22"/>
  <c r="S9" i="22"/>
  <c r="T9" i="22"/>
  <c r="U9" i="22"/>
  <c r="V9" i="22"/>
  <c r="Q10" i="22"/>
  <c r="R10" i="22"/>
  <c r="S10" i="22"/>
  <c r="T10" i="22"/>
  <c r="U10" i="22"/>
  <c r="V10" i="22"/>
  <c r="Q11" i="22"/>
  <c r="R11" i="22"/>
  <c r="S11" i="22"/>
  <c r="T11" i="22"/>
  <c r="U11" i="22"/>
  <c r="V11" i="22"/>
  <c r="Q12" i="22"/>
  <c r="R12" i="22"/>
  <c r="S12" i="22"/>
  <c r="T12" i="22"/>
  <c r="U12" i="22"/>
  <c r="V12" i="22"/>
  <c r="Q13" i="22"/>
  <c r="R13" i="22"/>
  <c r="S13" i="22"/>
  <c r="T13" i="22"/>
  <c r="U13" i="22"/>
  <c r="V13" i="22"/>
  <c r="C3" i="21"/>
  <c r="D3" i="21"/>
  <c r="F3" i="21"/>
  <c r="W3" i="21"/>
  <c r="X3" i="21"/>
  <c r="Y3" i="21"/>
  <c r="Z3" i="21"/>
  <c r="AB3" i="21"/>
  <c r="AC3" i="21" s="1"/>
  <c r="AD3" i="21"/>
  <c r="AE3" i="21"/>
  <c r="AG3" i="21"/>
  <c r="AH3" i="21"/>
  <c r="AI3" i="21"/>
  <c r="AJ3" i="21"/>
  <c r="AL3" i="21"/>
  <c r="AM3" i="21" s="1"/>
  <c r="AN3" i="21"/>
  <c r="AO3" i="21"/>
  <c r="C4" i="21"/>
  <c r="D4" i="21"/>
  <c r="F4" i="21"/>
  <c r="W4" i="21"/>
  <c r="X4" i="21"/>
  <c r="Y4" i="21"/>
  <c r="Z4" i="21"/>
  <c r="AB4" i="21"/>
  <c r="AC4" i="21" s="1"/>
  <c r="AD4" i="21"/>
  <c r="AE4" i="21"/>
  <c r="AF4" i="21" s="1"/>
  <c r="AG4" i="21"/>
  <c r="AH4" i="21"/>
  <c r="AI4" i="21"/>
  <c r="AJ4" i="21"/>
  <c r="AL4" i="21"/>
  <c r="AM4" i="21" s="1"/>
  <c r="AN4" i="21"/>
  <c r="AO4" i="21"/>
  <c r="C5" i="21"/>
  <c r="D5" i="21"/>
  <c r="F5" i="21"/>
  <c r="W5" i="21"/>
  <c r="X5" i="21"/>
  <c r="Y5" i="21"/>
  <c r="Z5" i="21"/>
  <c r="AB5" i="21"/>
  <c r="AC5" i="21" s="1"/>
  <c r="AD5" i="21"/>
  <c r="AE5" i="21"/>
  <c r="AG5" i="21"/>
  <c r="AH5" i="21"/>
  <c r="AI5" i="21"/>
  <c r="AJ5" i="21"/>
  <c r="AL5" i="21"/>
  <c r="AM5" i="21" s="1"/>
  <c r="AN5" i="21"/>
  <c r="AO5" i="21"/>
  <c r="C6" i="21"/>
  <c r="D6" i="21"/>
  <c r="F6" i="21"/>
  <c r="W6" i="21"/>
  <c r="X6" i="21"/>
  <c r="Y6" i="21"/>
  <c r="Z6" i="21"/>
  <c r="AB6" i="21"/>
  <c r="AC6" i="21" s="1"/>
  <c r="AD6" i="21"/>
  <c r="AE6" i="21"/>
  <c r="AG6" i="21"/>
  <c r="AH6" i="21"/>
  <c r="AI6" i="21"/>
  <c r="AJ6" i="21"/>
  <c r="AL6" i="21"/>
  <c r="AM6" i="21" s="1"/>
  <c r="AN6" i="21"/>
  <c r="AO6" i="21"/>
  <c r="C7" i="21"/>
  <c r="D7" i="21"/>
  <c r="F7" i="21"/>
  <c r="W7" i="21"/>
  <c r="X7" i="21"/>
  <c r="Y7" i="21"/>
  <c r="Z7" i="21"/>
  <c r="AB7" i="21"/>
  <c r="AC7" i="21" s="1"/>
  <c r="AD7" i="21"/>
  <c r="AE7" i="21"/>
  <c r="AG7" i="21"/>
  <c r="AH7" i="21"/>
  <c r="AI7" i="21"/>
  <c r="AJ7" i="21"/>
  <c r="AL7" i="21"/>
  <c r="AM7" i="21" s="1"/>
  <c r="AN7" i="21"/>
  <c r="AO7" i="21"/>
  <c r="C8" i="21"/>
  <c r="D8" i="21"/>
  <c r="F8" i="21"/>
  <c r="W8" i="21"/>
  <c r="X8" i="21"/>
  <c r="Y8" i="21"/>
  <c r="Z8" i="21"/>
  <c r="AB8" i="21"/>
  <c r="AC8" i="21" s="1"/>
  <c r="AD8" i="21"/>
  <c r="AE8" i="21"/>
  <c r="AG8" i="21"/>
  <c r="AH8" i="21"/>
  <c r="AI8" i="21"/>
  <c r="AJ8" i="21"/>
  <c r="AL8" i="21"/>
  <c r="AM8" i="21" s="1"/>
  <c r="AN8" i="21"/>
  <c r="AO8" i="21"/>
  <c r="C9" i="21"/>
  <c r="D9" i="21"/>
  <c r="F9" i="21"/>
  <c r="W9" i="21"/>
  <c r="X9" i="21"/>
  <c r="Y9" i="21"/>
  <c r="Z9" i="21"/>
  <c r="AB9" i="21"/>
  <c r="AC9" i="21" s="1"/>
  <c r="AD9" i="21"/>
  <c r="AE9" i="21"/>
  <c r="AG9" i="21"/>
  <c r="AH9" i="21"/>
  <c r="AI9" i="21"/>
  <c r="AJ9" i="21"/>
  <c r="AL9" i="21"/>
  <c r="AM9" i="21" s="1"/>
  <c r="AN9" i="21"/>
  <c r="AO9" i="21"/>
  <c r="C10" i="21"/>
  <c r="D10" i="21"/>
  <c r="F10" i="21"/>
  <c r="W10" i="21"/>
  <c r="X10" i="21"/>
  <c r="Y10" i="21"/>
  <c r="Z10" i="21"/>
  <c r="AB10" i="21"/>
  <c r="AC10" i="21" s="1"/>
  <c r="AD10" i="21"/>
  <c r="AE10" i="21"/>
  <c r="AG10" i="21"/>
  <c r="AH10" i="21"/>
  <c r="AI10" i="21"/>
  <c r="AJ10" i="21"/>
  <c r="AL10" i="21"/>
  <c r="AM10" i="21" s="1"/>
  <c r="AN10" i="21"/>
  <c r="AO10" i="21"/>
  <c r="C11" i="21"/>
  <c r="D11" i="21"/>
  <c r="F11" i="21"/>
  <c r="W11" i="21"/>
  <c r="X11" i="21"/>
  <c r="Y11" i="21"/>
  <c r="Z11" i="21"/>
  <c r="AB11" i="21"/>
  <c r="AC11" i="21" s="1"/>
  <c r="AD11" i="21"/>
  <c r="AE11" i="21"/>
  <c r="AG11" i="21"/>
  <c r="AH11" i="21"/>
  <c r="AI11" i="21"/>
  <c r="AJ11" i="21"/>
  <c r="AL11" i="21"/>
  <c r="AM11" i="21" s="1"/>
  <c r="AN11" i="21"/>
  <c r="AO11" i="21"/>
  <c r="C12" i="21"/>
  <c r="D12" i="21"/>
  <c r="F12" i="21"/>
  <c r="W12" i="21"/>
  <c r="X12" i="21"/>
  <c r="Y12" i="21"/>
  <c r="Z12" i="21"/>
  <c r="AB12" i="21"/>
  <c r="AC12" i="21" s="1"/>
  <c r="AD12" i="21"/>
  <c r="AE12" i="21"/>
  <c r="AG12" i="21"/>
  <c r="AH12" i="21"/>
  <c r="AI12" i="21"/>
  <c r="AJ12" i="21"/>
  <c r="AL12" i="21"/>
  <c r="AM12" i="21" s="1"/>
  <c r="AN12" i="21"/>
  <c r="AO12" i="21"/>
  <c r="C13" i="21"/>
  <c r="D13" i="21"/>
  <c r="F13" i="21"/>
  <c r="W13" i="21"/>
  <c r="X13" i="21"/>
  <c r="Y13" i="21"/>
  <c r="Z13" i="21"/>
  <c r="AB13" i="21"/>
  <c r="AC13" i="21" s="1"/>
  <c r="AD13" i="21"/>
  <c r="AE13" i="21"/>
  <c r="AG13" i="21"/>
  <c r="AH13" i="21"/>
  <c r="AI13" i="21"/>
  <c r="AJ13" i="21"/>
  <c r="AL13" i="21"/>
  <c r="AM13" i="21" s="1"/>
  <c r="AN13" i="21"/>
  <c r="AO13" i="21"/>
  <c r="G14" i="24"/>
  <c r="H14" i="24" s="1"/>
  <c r="I14" i="24" s="1"/>
  <c r="J14" i="24" s="1"/>
  <c r="N14" i="31" s="1"/>
  <c r="G15" i="24"/>
  <c r="H15" i="24" s="1"/>
  <c r="I15" i="24" s="1"/>
  <c r="J15" i="24" s="1"/>
  <c r="N15" i="31" s="1"/>
  <c r="G16" i="24"/>
  <c r="H16" i="24" s="1"/>
  <c r="I16" i="24" s="1"/>
  <c r="J16" i="24" s="1"/>
  <c r="N16" i="31" s="1"/>
  <c r="G17" i="24"/>
  <c r="H17" i="24" s="1"/>
  <c r="I17" i="24" s="1"/>
  <c r="J17" i="24" s="1"/>
  <c r="N17" i="31" s="1"/>
  <c r="G18" i="24"/>
  <c r="H18" i="24" s="1"/>
  <c r="I18" i="24" s="1"/>
  <c r="J18" i="24" s="1"/>
  <c r="N18" i="31" s="1"/>
  <c r="G19" i="24"/>
  <c r="H19" i="24" s="1"/>
  <c r="I19" i="24" s="1"/>
  <c r="J19" i="24" s="1"/>
  <c r="N19" i="31" s="1"/>
  <c r="G20" i="24"/>
  <c r="H20" i="24" s="1"/>
  <c r="I20" i="24" s="1"/>
  <c r="J20" i="24" s="1"/>
  <c r="N20" i="31" s="1"/>
  <c r="G21" i="24"/>
  <c r="H21" i="24" s="1"/>
  <c r="I21" i="24" s="1"/>
  <c r="J21" i="24" s="1"/>
  <c r="N21" i="31" s="1"/>
  <c r="G22" i="24"/>
  <c r="H22" i="24" s="1"/>
  <c r="I22" i="24" s="1"/>
  <c r="J22" i="24" s="1"/>
  <c r="N22" i="31" s="1"/>
  <c r="G23" i="24"/>
  <c r="H23" i="24" s="1"/>
  <c r="I23" i="24" s="1"/>
  <c r="J23" i="24" s="1"/>
  <c r="N23" i="31" s="1"/>
  <c r="G24" i="24"/>
  <c r="H24" i="24" s="1"/>
  <c r="I24" i="24" s="1"/>
  <c r="J24" i="24" s="1"/>
  <c r="N24" i="31" s="1"/>
  <c r="G25" i="24"/>
  <c r="H25" i="24" s="1"/>
  <c r="I25" i="24" s="1"/>
  <c r="J25" i="24" s="1"/>
  <c r="N25" i="31" s="1"/>
  <c r="G26" i="24"/>
  <c r="H26" i="24" s="1"/>
  <c r="I26" i="24" s="1"/>
  <c r="J26" i="24" s="1"/>
  <c r="N26" i="31" s="1"/>
  <c r="G27" i="24"/>
  <c r="H27" i="24" s="1"/>
  <c r="I27" i="24" s="1"/>
  <c r="J27" i="24" s="1"/>
  <c r="N27" i="31" s="1"/>
  <c r="G28" i="24"/>
  <c r="H28" i="24" s="1"/>
  <c r="I28" i="24" s="1"/>
  <c r="J28" i="24" s="1"/>
  <c r="N28" i="31" s="1"/>
  <c r="G29" i="24"/>
  <c r="H29" i="24" s="1"/>
  <c r="I29" i="24" s="1"/>
  <c r="J29" i="24" s="1"/>
  <c r="N29" i="31" s="1"/>
  <c r="G30" i="24"/>
  <c r="H30" i="24" s="1"/>
  <c r="I30" i="24" s="1"/>
  <c r="J30" i="24" s="1"/>
  <c r="N30" i="31" s="1"/>
  <c r="G31" i="24"/>
  <c r="H31" i="24" s="1"/>
  <c r="I31" i="24" s="1"/>
  <c r="J31" i="24" s="1"/>
  <c r="N31" i="31" s="1"/>
  <c r="B14" i="31"/>
  <c r="C14" i="31"/>
  <c r="D14" i="31"/>
  <c r="B15" i="31"/>
  <c r="C15" i="31"/>
  <c r="D15" i="31"/>
  <c r="B16" i="31"/>
  <c r="C16" i="31"/>
  <c r="D16" i="31"/>
  <c r="B17" i="31"/>
  <c r="C17" i="31"/>
  <c r="D17" i="31"/>
  <c r="B18" i="31"/>
  <c r="C18" i="31"/>
  <c r="D18" i="31"/>
  <c r="B19" i="31"/>
  <c r="C19" i="31"/>
  <c r="D19" i="31"/>
  <c r="B20" i="31"/>
  <c r="C20" i="31"/>
  <c r="D20" i="31"/>
  <c r="B21" i="31"/>
  <c r="C21" i="31"/>
  <c r="D21" i="31"/>
  <c r="B22" i="31"/>
  <c r="C22" i="31"/>
  <c r="D22" i="31"/>
  <c r="B23" i="31"/>
  <c r="C23" i="31"/>
  <c r="D23" i="31"/>
  <c r="B24" i="31"/>
  <c r="C24" i="31"/>
  <c r="D24" i="31"/>
  <c r="B25" i="31"/>
  <c r="C25" i="31"/>
  <c r="D25" i="31"/>
  <c r="B26" i="31"/>
  <c r="C26" i="31"/>
  <c r="D26" i="31"/>
  <c r="B27" i="31"/>
  <c r="C27" i="31"/>
  <c r="D27" i="31"/>
  <c r="B28" i="31"/>
  <c r="C28" i="31"/>
  <c r="D28" i="31"/>
  <c r="B29" i="31"/>
  <c r="C29" i="31"/>
  <c r="D29" i="31"/>
  <c r="B30" i="31"/>
  <c r="C30" i="31"/>
  <c r="D30" i="31"/>
  <c r="B31" i="31"/>
  <c r="C31" i="31"/>
  <c r="D31" i="31"/>
  <c r="C14" i="29"/>
  <c r="D14" i="29"/>
  <c r="F14" i="29"/>
  <c r="L14" i="29"/>
  <c r="M14" i="29"/>
  <c r="C15" i="29"/>
  <c r="D15" i="29"/>
  <c r="F15" i="29"/>
  <c r="L15" i="29"/>
  <c r="M15" i="29"/>
  <c r="C16" i="29"/>
  <c r="D16" i="29"/>
  <c r="F16" i="29"/>
  <c r="L16" i="29"/>
  <c r="M16" i="29"/>
  <c r="C17" i="29"/>
  <c r="D17" i="29"/>
  <c r="F17" i="29"/>
  <c r="L17" i="29"/>
  <c r="M17" i="29"/>
  <c r="C18" i="29"/>
  <c r="D18" i="29"/>
  <c r="F18" i="29"/>
  <c r="L18" i="29"/>
  <c r="M18" i="29"/>
  <c r="C19" i="29"/>
  <c r="D19" i="29"/>
  <c r="F19" i="29"/>
  <c r="L19" i="29"/>
  <c r="M19" i="29"/>
  <c r="C20" i="29"/>
  <c r="D20" i="29"/>
  <c r="F20" i="29"/>
  <c r="L20" i="29"/>
  <c r="M20" i="29"/>
  <c r="C21" i="29"/>
  <c r="D21" i="29"/>
  <c r="F21" i="29"/>
  <c r="L21" i="29"/>
  <c r="M21" i="29"/>
  <c r="C22" i="29"/>
  <c r="D22" i="29"/>
  <c r="F22" i="29"/>
  <c r="L22" i="29"/>
  <c r="M22" i="29"/>
  <c r="C23" i="29"/>
  <c r="D23" i="29"/>
  <c r="F23" i="29"/>
  <c r="L23" i="29"/>
  <c r="M23" i="29"/>
  <c r="C24" i="29"/>
  <c r="D24" i="29"/>
  <c r="F24" i="29"/>
  <c r="L24" i="29"/>
  <c r="M24" i="29"/>
  <c r="C25" i="29"/>
  <c r="D25" i="29"/>
  <c r="F25" i="29"/>
  <c r="L25" i="29"/>
  <c r="M25" i="29"/>
  <c r="C26" i="29"/>
  <c r="D26" i="29"/>
  <c r="F26" i="29"/>
  <c r="L26" i="29"/>
  <c r="M26" i="29"/>
  <c r="C27" i="29"/>
  <c r="D27" i="29"/>
  <c r="F27" i="29"/>
  <c r="L27" i="29"/>
  <c r="M27" i="29"/>
  <c r="C28" i="29"/>
  <c r="D28" i="29"/>
  <c r="F28" i="29"/>
  <c r="L28" i="29"/>
  <c r="M28" i="29"/>
  <c r="C29" i="29"/>
  <c r="D29" i="29"/>
  <c r="F29" i="29"/>
  <c r="L29" i="29"/>
  <c r="M29" i="29"/>
  <c r="C30" i="29"/>
  <c r="D30" i="29"/>
  <c r="F30" i="29"/>
  <c r="L30" i="29"/>
  <c r="M30" i="29"/>
  <c r="C31" i="29"/>
  <c r="D31" i="29"/>
  <c r="F31" i="29"/>
  <c r="L31" i="29"/>
  <c r="M31" i="29"/>
  <c r="C14" i="22"/>
  <c r="D14" i="22"/>
  <c r="F14" i="22"/>
  <c r="Q14" i="22"/>
  <c r="R14" i="22"/>
  <c r="S14" i="22"/>
  <c r="T14" i="22"/>
  <c r="U14" i="22"/>
  <c r="V14" i="22"/>
  <c r="C15" i="22"/>
  <c r="D15" i="22"/>
  <c r="F15" i="22"/>
  <c r="Q15" i="22"/>
  <c r="R15" i="22"/>
  <c r="S15" i="22"/>
  <c r="T15" i="22"/>
  <c r="U15" i="22"/>
  <c r="V15" i="22"/>
  <c r="C16" i="22"/>
  <c r="D16" i="22"/>
  <c r="F16" i="22"/>
  <c r="Q16" i="22"/>
  <c r="R16" i="22"/>
  <c r="S16" i="22"/>
  <c r="T16" i="22"/>
  <c r="U16" i="22"/>
  <c r="V16" i="22"/>
  <c r="C17" i="22"/>
  <c r="D17" i="22"/>
  <c r="F17" i="22"/>
  <c r="Q17" i="22"/>
  <c r="R17" i="22"/>
  <c r="S17" i="22"/>
  <c r="T17" i="22"/>
  <c r="U17" i="22"/>
  <c r="V17" i="22"/>
  <c r="C18" i="22"/>
  <c r="D18" i="22"/>
  <c r="F18" i="22"/>
  <c r="Q18" i="22"/>
  <c r="R18" i="22"/>
  <c r="S18" i="22"/>
  <c r="T18" i="22"/>
  <c r="U18" i="22"/>
  <c r="V18" i="22"/>
  <c r="C19" i="22"/>
  <c r="D19" i="22"/>
  <c r="F19" i="22"/>
  <c r="Q19" i="22"/>
  <c r="R19" i="22"/>
  <c r="S19" i="22"/>
  <c r="T19" i="22"/>
  <c r="U19" i="22"/>
  <c r="V19" i="22"/>
  <c r="C20" i="22"/>
  <c r="D20" i="22"/>
  <c r="F20" i="22"/>
  <c r="Q20" i="22"/>
  <c r="R20" i="22"/>
  <c r="S20" i="22"/>
  <c r="T20" i="22"/>
  <c r="U20" i="22"/>
  <c r="V20" i="22"/>
  <c r="C21" i="22"/>
  <c r="D21" i="22"/>
  <c r="F21" i="22"/>
  <c r="Q21" i="22"/>
  <c r="R21" i="22"/>
  <c r="S21" i="22"/>
  <c r="T21" i="22"/>
  <c r="U21" i="22"/>
  <c r="V21" i="22"/>
  <c r="C22" i="22"/>
  <c r="D22" i="22"/>
  <c r="F22" i="22"/>
  <c r="Q22" i="22"/>
  <c r="R22" i="22"/>
  <c r="S22" i="22"/>
  <c r="T22" i="22"/>
  <c r="U22" i="22"/>
  <c r="V22" i="22"/>
  <c r="C23" i="22"/>
  <c r="D23" i="22"/>
  <c r="F23" i="22"/>
  <c r="Q23" i="22"/>
  <c r="R23" i="22"/>
  <c r="S23" i="22"/>
  <c r="T23" i="22"/>
  <c r="U23" i="22"/>
  <c r="V23" i="22"/>
  <c r="C24" i="22"/>
  <c r="D24" i="22"/>
  <c r="F24" i="22"/>
  <c r="Q24" i="22"/>
  <c r="R24" i="22"/>
  <c r="S24" i="22"/>
  <c r="T24" i="22"/>
  <c r="U24" i="22"/>
  <c r="V24" i="22"/>
  <c r="C25" i="22"/>
  <c r="D25" i="22"/>
  <c r="F25" i="22"/>
  <c r="Q25" i="22"/>
  <c r="R25" i="22"/>
  <c r="S25" i="22"/>
  <c r="T25" i="22"/>
  <c r="U25" i="22"/>
  <c r="V25" i="22"/>
  <c r="C26" i="22"/>
  <c r="D26" i="22"/>
  <c r="F26" i="22"/>
  <c r="Q26" i="22"/>
  <c r="R26" i="22"/>
  <c r="S26" i="22"/>
  <c r="T26" i="22"/>
  <c r="U26" i="22"/>
  <c r="V26" i="22"/>
  <c r="C27" i="22"/>
  <c r="D27" i="22"/>
  <c r="F27" i="22"/>
  <c r="Q27" i="22"/>
  <c r="R27" i="22"/>
  <c r="S27" i="22"/>
  <c r="T27" i="22"/>
  <c r="U27" i="22"/>
  <c r="V27" i="22"/>
  <c r="C28" i="22"/>
  <c r="D28" i="22"/>
  <c r="F28" i="22"/>
  <c r="Q28" i="22"/>
  <c r="R28" i="22"/>
  <c r="S28" i="22"/>
  <c r="T28" i="22"/>
  <c r="U28" i="22"/>
  <c r="V28" i="22"/>
  <c r="C29" i="22"/>
  <c r="D29" i="22"/>
  <c r="F29" i="22"/>
  <c r="Q29" i="22"/>
  <c r="R29" i="22"/>
  <c r="S29" i="22"/>
  <c r="T29" i="22"/>
  <c r="U29" i="22"/>
  <c r="V29" i="22"/>
  <c r="C30" i="22"/>
  <c r="D30" i="22"/>
  <c r="F30" i="22"/>
  <c r="Q30" i="22"/>
  <c r="R30" i="22"/>
  <c r="S30" i="22"/>
  <c r="T30" i="22"/>
  <c r="U30" i="22"/>
  <c r="V30" i="22"/>
  <c r="C31" i="22"/>
  <c r="D31" i="22"/>
  <c r="F31" i="22"/>
  <c r="Q31" i="22"/>
  <c r="R31" i="22"/>
  <c r="S31" i="22"/>
  <c r="T31" i="22"/>
  <c r="U31" i="22"/>
  <c r="V31" i="22"/>
  <c r="C14" i="21"/>
  <c r="D14" i="21"/>
  <c r="F14" i="21"/>
  <c r="W14" i="21"/>
  <c r="X14" i="21"/>
  <c r="Y14" i="21"/>
  <c r="Z14" i="21"/>
  <c r="AB14" i="21"/>
  <c r="AC14" i="21" s="1"/>
  <c r="AD14" i="21"/>
  <c r="AE14" i="21"/>
  <c r="AG14" i="21"/>
  <c r="AH14" i="21"/>
  <c r="AI14" i="21"/>
  <c r="AJ14" i="21"/>
  <c r="AL14" i="21"/>
  <c r="AM14" i="21" s="1"/>
  <c r="AN14" i="21"/>
  <c r="AO14" i="21"/>
  <c r="C15" i="21"/>
  <c r="D15" i="21"/>
  <c r="F15" i="21"/>
  <c r="W15" i="21"/>
  <c r="X15" i="21"/>
  <c r="Y15" i="21"/>
  <c r="Z15" i="21"/>
  <c r="AB15" i="21"/>
  <c r="AC15" i="21" s="1"/>
  <c r="AD15" i="21"/>
  <c r="AE15" i="21"/>
  <c r="AG15" i="21"/>
  <c r="AH15" i="21"/>
  <c r="AI15" i="21"/>
  <c r="AJ15" i="21"/>
  <c r="AL15" i="21"/>
  <c r="AM15" i="21" s="1"/>
  <c r="AN15" i="21"/>
  <c r="AO15" i="21"/>
  <c r="C16" i="21"/>
  <c r="D16" i="21"/>
  <c r="F16" i="21"/>
  <c r="W16" i="21"/>
  <c r="X16" i="21"/>
  <c r="Y16" i="21"/>
  <c r="Z16" i="21"/>
  <c r="AB16" i="21"/>
  <c r="AC16" i="21" s="1"/>
  <c r="AD16" i="21"/>
  <c r="AE16" i="21"/>
  <c r="AG16" i="21"/>
  <c r="AH16" i="21"/>
  <c r="AI16" i="21"/>
  <c r="AJ16" i="21"/>
  <c r="AL16" i="21"/>
  <c r="AM16" i="21" s="1"/>
  <c r="AN16" i="21"/>
  <c r="AO16" i="21"/>
  <c r="C17" i="21"/>
  <c r="D17" i="21"/>
  <c r="F17" i="21"/>
  <c r="W17" i="21"/>
  <c r="X17" i="21"/>
  <c r="Y17" i="21"/>
  <c r="Z17" i="21"/>
  <c r="AB17" i="21"/>
  <c r="AC17" i="21" s="1"/>
  <c r="AD17" i="21"/>
  <c r="AE17" i="21"/>
  <c r="AG17" i="21"/>
  <c r="AH17" i="21"/>
  <c r="AI17" i="21"/>
  <c r="AJ17" i="21"/>
  <c r="AL17" i="21"/>
  <c r="AM17" i="21" s="1"/>
  <c r="AN17" i="21"/>
  <c r="AO17" i="21"/>
  <c r="C18" i="21"/>
  <c r="D18" i="21"/>
  <c r="F18" i="21"/>
  <c r="W18" i="21"/>
  <c r="X18" i="21"/>
  <c r="Y18" i="21"/>
  <c r="Z18" i="21"/>
  <c r="AB18" i="21"/>
  <c r="AC18" i="21" s="1"/>
  <c r="AD18" i="21"/>
  <c r="AE18" i="21"/>
  <c r="AG18" i="21"/>
  <c r="AH18" i="21"/>
  <c r="AI18" i="21"/>
  <c r="AJ18" i="21"/>
  <c r="AL18" i="21"/>
  <c r="AM18" i="21" s="1"/>
  <c r="AN18" i="21"/>
  <c r="AO18" i="21"/>
  <c r="C19" i="21"/>
  <c r="D19" i="21"/>
  <c r="F19" i="21"/>
  <c r="W19" i="21"/>
  <c r="X19" i="21"/>
  <c r="Y19" i="21"/>
  <c r="Z19" i="21"/>
  <c r="AB19" i="21"/>
  <c r="AC19" i="21" s="1"/>
  <c r="AD19" i="21"/>
  <c r="AE19" i="21"/>
  <c r="AG19" i="21"/>
  <c r="AH19" i="21"/>
  <c r="AI19" i="21"/>
  <c r="AJ19" i="21"/>
  <c r="AL19" i="21"/>
  <c r="AM19" i="21" s="1"/>
  <c r="AN19" i="21"/>
  <c r="AO19" i="21"/>
  <c r="C20" i="21"/>
  <c r="D20" i="21"/>
  <c r="F20" i="21"/>
  <c r="W20" i="21"/>
  <c r="X20" i="21"/>
  <c r="Y20" i="21"/>
  <c r="Z20" i="21"/>
  <c r="AB20" i="21"/>
  <c r="AC20" i="21" s="1"/>
  <c r="AD20" i="21"/>
  <c r="AE20" i="21"/>
  <c r="AG20" i="21"/>
  <c r="AH20" i="21"/>
  <c r="AI20" i="21"/>
  <c r="AJ20" i="21"/>
  <c r="AL20" i="21"/>
  <c r="AM20" i="21" s="1"/>
  <c r="AN20" i="21"/>
  <c r="AO20" i="21"/>
  <c r="C21" i="21"/>
  <c r="D21" i="21"/>
  <c r="F21" i="21"/>
  <c r="W21" i="21"/>
  <c r="X21" i="21"/>
  <c r="Y21" i="21"/>
  <c r="Z21" i="21"/>
  <c r="AB21" i="21"/>
  <c r="AC21" i="21" s="1"/>
  <c r="AD21" i="21"/>
  <c r="AE21" i="21"/>
  <c r="AG21" i="21"/>
  <c r="AH21" i="21"/>
  <c r="AI21" i="21"/>
  <c r="AJ21" i="21"/>
  <c r="AL21" i="21"/>
  <c r="AM21" i="21" s="1"/>
  <c r="AN21" i="21"/>
  <c r="AO21" i="21"/>
  <c r="C22" i="21"/>
  <c r="D22" i="21"/>
  <c r="F22" i="21"/>
  <c r="W22" i="21"/>
  <c r="X22" i="21"/>
  <c r="Y22" i="21"/>
  <c r="Z22" i="21"/>
  <c r="AB22" i="21"/>
  <c r="AC22" i="21" s="1"/>
  <c r="AD22" i="21"/>
  <c r="AE22" i="21"/>
  <c r="AG22" i="21"/>
  <c r="AH22" i="21"/>
  <c r="AI22" i="21"/>
  <c r="AJ22" i="21"/>
  <c r="AL22" i="21"/>
  <c r="AM22" i="21" s="1"/>
  <c r="AN22" i="21"/>
  <c r="AO22" i="21"/>
  <c r="C23" i="21"/>
  <c r="D23" i="21"/>
  <c r="F23" i="21"/>
  <c r="W23" i="21"/>
  <c r="X23" i="21"/>
  <c r="Y23" i="21"/>
  <c r="Z23" i="21"/>
  <c r="AB23" i="21"/>
  <c r="AC23" i="21" s="1"/>
  <c r="AD23" i="21"/>
  <c r="AE23" i="21"/>
  <c r="AG23" i="21"/>
  <c r="AH23" i="21"/>
  <c r="AI23" i="21"/>
  <c r="AJ23" i="21"/>
  <c r="AL23" i="21"/>
  <c r="AM23" i="21" s="1"/>
  <c r="AN23" i="21"/>
  <c r="AO23" i="21"/>
  <c r="C24" i="21"/>
  <c r="D24" i="21"/>
  <c r="F24" i="21"/>
  <c r="W24" i="21"/>
  <c r="X24" i="21"/>
  <c r="Y24" i="21"/>
  <c r="Z24" i="21"/>
  <c r="AB24" i="21"/>
  <c r="AC24" i="21" s="1"/>
  <c r="AD24" i="21"/>
  <c r="AE24" i="21"/>
  <c r="AG24" i="21"/>
  <c r="AH24" i="21"/>
  <c r="AI24" i="21"/>
  <c r="AJ24" i="21"/>
  <c r="AL24" i="21"/>
  <c r="AM24" i="21" s="1"/>
  <c r="AN24" i="21"/>
  <c r="AO24" i="21"/>
  <c r="C25" i="21"/>
  <c r="D25" i="21"/>
  <c r="F25" i="21"/>
  <c r="W25" i="21"/>
  <c r="X25" i="21"/>
  <c r="Y25" i="21"/>
  <c r="Z25" i="21"/>
  <c r="AB25" i="21"/>
  <c r="AC25" i="21" s="1"/>
  <c r="AD25" i="21"/>
  <c r="AE25" i="21"/>
  <c r="AG25" i="21"/>
  <c r="AH25" i="21"/>
  <c r="AI25" i="21"/>
  <c r="AJ25" i="21"/>
  <c r="AL25" i="21"/>
  <c r="AM25" i="21" s="1"/>
  <c r="AN25" i="21"/>
  <c r="AO25" i="21"/>
  <c r="C26" i="21"/>
  <c r="D26" i="21"/>
  <c r="F26" i="21"/>
  <c r="W26" i="21"/>
  <c r="X26" i="21"/>
  <c r="Y26" i="21"/>
  <c r="Z26" i="21"/>
  <c r="AB26" i="21"/>
  <c r="AC26" i="21" s="1"/>
  <c r="AD26" i="21"/>
  <c r="AE26" i="21"/>
  <c r="AG26" i="21"/>
  <c r="AH26" i="21"/>
  <c r="AI26" i="21"/>
  <c r="AJ26" i="21"/>
  <c r="AL26" i="21"/>
  <c r="AM26" i="21" s="1"/>
  <c r="AN26" i="21"/>
  <c r="AO26" i="21"/>
  <c r="C27" i="21"/>
  <c r="D27" i="21"/>
  <c r="F27" i="21"/>
  <c r="W27" i="21"/>
  <c r="X27" i="21"/>
  <c r="Y27" i="21"/>
  <c r="Z27" i="21"/>
  <c r="AB27" i="21"/>
  <c r="AC27" i="21" s="1"/>
  <c r="AD27" i="21"/>
  <c r="AE27" i="21"/>
  <c r="AG27" i="21"/>
  <c r="AH27" i="21"/>
  <c r="AI27" i="21"/>
  <c r="AJ27" i="21"/>
  <c r="AL27" i="21"/>
  <c r="AM27" i="21" s="1"/>
  <c r="AN27" i="21"/>
  <c r="AO27" i="21"/>
  <c r="C28" i="21"/>
  <c r="D28" i="21"/>
  <c r="F28" i="21"/>
  <c r="W28" i="21"/>
  <c r="X28" i="21"/>
  <c r="Y28" i="21"/>
  <c r="Z28" i="21"/>
  <c r="AB28" i="21"/>
  <c r="AC28" i="21" s="1"/>
  <c r="AD28" i="21"/>
  <c r="AE28" i="21"/>
  <c r="AG28" i="21"/>
  <c r="AH28" i="21"/>
  <c r="AI28" i="21"/>
  <c r="AJ28" i="21"/>
  <c r="AL28" i="21"/>
  <c r="AM28" i="21" s="1"/>
  <c r="AN28" i="21"/>
  <c r="AO28" i="21"/>
  <c r="C29" i="21"/>
  <c r="D29" i="21"/>
  <c r="F29" i="21"/>
  <c r="W29" i="21"/>
  <c r="X29" i="21"/>
  <c r="Y29" i="21"/>
  <c r="Z29" i="21"/>
  <c r="AB29" i="21"/>
  <c r="AC29" i="21" s="1"/>
  <c r="AD29" i="21"/>
  <c r="AE29" i="21"/>
  <c r="AG29" i="21"/>
  <c r="AH29" i="21"/>
  <c r="AI29" i="21"/>
  <c r="AJ29" i="21"/>
  <c r="AL29" i="21"/>
  <c r="AM29" i="21" s="1"/>
  <c r="AN29" i="21"/>
  <c r="AO29" i="21"/>
  <c r="C30" i="21"/>
  <c r="D30" i="21"/>
  <c r="F30" i="21"/>
  <c r="W30" i="21"/>
  <c r="X30" i="21"/>
  <c r="Y30" i="21"/>
  <c r="Z30" i="21"/>
  <c r="AB30" i="21"/>
  <c r="AC30" i="21" s="1"/>
  <c r="AD30" i="21"/>
  <c r="AE30" i="21"/>
  <c r="AG30" i="21"/>
  <c r="AH30" i="21"/>
  <c r="AI30" i="21"/>
  <c r="AJ30" i="21"/>
  <c r="AL30" i="21"/>
  <c r="AM30" i="21" s="1"/>
  <c r="AN30" i="21"/>
  <c r="AO30" i="21"/>
  <c r="C31" i="21"/>
  <c r="D31" i="21"/>
  <c r="F31" i="21"/>
  <c r="W31" i="21"/>
  <c r="X31" i="21"/>
  <c r="Y31" i="21"/>
  <c r="Z31" i="21"/>
  <c r="AB31" i="21"/>
  <c r="AC31" i="21" s="1"/>
  <c r="AD31" i="21"/>
  <c r="AE31" i="21"/>
  <c r="AG31" i="21"/>
  <c r="AH31" i="21"/>
  <c r="AI31" i="21"/>
  <c r="AJ31" i="21"/>
  <c r="AL31" i="21"/>
  <c r="AM31" i="21" s="1"/>
  <c r="AN31" i="21"/>
  <c r="AO31" i="21"/>
  <c r="G34" i="24"/>
  <c r="H34" i="24" s="1"/>
  <c r="I34" i="24" s="1"/>
  <c r="J34" i="24" s="1"/>
  <c r="N34" i="31" s="1"/>
  <c r="G35" i="24"/>
  <c r="H35" i="24" s="1"/>
  <c r="I35" i="24" s="1"/>
  <c r="J35" i="24" s="1"/>
  <c r="N35" i="31" s="1"/>
  <c r="G36" i="24"/>
  <c r="H36" i="24" s="1"/>
  <c r="I36" i="24" s="1"/>
  <c r="J36" i="24" s="1"/>
  <c r="N36" i="31" s="1"/>
  <c r="G37" i="24"/>
  <c r="H37" i="24" s="1"/>
  <c r="I37" i="24" s="1"/>
  <c r="J37" i="24" s="1"/>
  <c r="N37" i="31" s="1"/>
  <c r="G38" i="24"/>
  <c r="H38" i="24" s="1"/>
  <c r="I38" i="24" s="1"/>
  <c r="J38" i="24" s="1"/>
  <c r="N38" i="31" s="1"/>
  <c r="G39" i="24"/>
  <c r="H39" i="24" s="1"/>
  <c r="I39" i="24" s="1"/>
  <c r="J39" i="24" s="1"/>
  <c r="N39" i="31" s="1"/>
  <c r="B34" i="31"/>
  <c r="C34" i="31"/>
  <c r="D34" i="31"/>
  <c r="B35" i="31"/>
  <c r="C35" i="31"/>
  <c r="D35" i="31"/>
  <c r="B36" i="31"/>
  <c r="C36" i="31"/>
  <c r="D36" i="31"/>
  <c r="B37" i="31"/>
  <c r="C37" i="31"/>
  <c r="D37" i="31"/>
  <c r="B38" i="31"/>
  <c r="C38" i="31"/>
  <c r="D38" i="31"/>
  <c r="B39" i="31"/>
  <c r="C39" i="31"/>
  <c r="D39" i="31"/>
  <c r="C34" i="29"/>
  <c r="D34" i="29"/>
  <c r="F34" i="29"/>
  <c r="L34" i="29"/>
  <c r="M34" i="29"/>
  <c r="C35" i="29"/>
  <c r="D35" i="29"/>
  <c r="F35" i="29"/>
  <c r="L35" i="29"/>
  <c r="M35" i="29"/>
  <c r="C36" i="29"/>
  <c r="D36" i="29"/>
  <c r="F36" i="29"/>
  <c r="L36" i="29"/>
  <c r="M36" i="29"/>
  <c r="C37" i="29"/>
  <c r="D37" i="29"/>
  <c r="F37" i="29"/>
  <c r="L37" i="29"/>
  <c r="M37" i="29"/>
  <c r="C38" i="29"/>
  <c r="D38" i="29"/>
  <c r="F38" i="29"/>
  <c r="L38" i="29"/>
  <c r="M38" i="29"/>
  <c r="C39" i="29"/>
  <c r="D39" i="29"/>
  <c r="F39" i="29"/>
  <c r="L39" i="29"/>
  <c r="M39" i="29"/>
  <c r="C34" i="22"/>
  <c r="D34" i="22"/>
  <c r="F34" i="22"/>
  <c r="Q34" i="22"/>
  <c r="R34" i="22"/>
  <c r="S34" i="22"/>
  <c r="T34" i="22"/>
  <c r="U34" i="22"/>
  <c r="V34" i="22"/>
  <c r="C35" i="22"/>
  <c r="D35" i="22"/>
  <c r="F35" i="22"/>
  <c r="Q35" i="22"/>
  <c r="R35" i="22"/>
  <c r="S35" i="22"/>
  <c r="T35" i="22"/>
  <c r="U35" i="22"/>
  <c r="V35" i="22"/>
  <c r="C36" i="22"/>
  <c r="D36" i="22"/>
  <c r="F36" i="22"/>
  <c r="Q36" i="22"/>
  <c r="R36" i="22"/>
  <c r="S36" i="22"/>
  <c r="T36" i="22"/>
  <c r="U36" i="22"/>
  <c r="V36" i="22"/>
  <c r="C37" i="22"/>
  <c r="D37" i="22"/>
  <c r="F37" i="22"/>
  <c r="Q37" i="22"/>
  <c r="R37" i="22"/>
  <c r="S37" i="22"/>
  <c r="T37" i="22"/>
  <c r="U37" i="22"/>
  <c r="V37" i="22"/>
  <c r="C38" i="22"/>
  <c r="D38" i="22"/>
  <c r="F38" i="22"/>
  <c r="Q38" i="22"/>
  <c r="R38" i="22"/>
  <c r="S38" i="22"/>
  <c r="T38" i="22"/>
  <c r="U38" i="22"/>
  <c r="V38" i="22"/>
  <c r="C39" i="22"/>
  <c r="D39" i="22"/>
  <c r="F39" i="22"/>
  <c r="Q39" i="22"/>
  <c r="R39" i="22"/>
  <c r="S39" i="22"/>
  <c r="T39" i="22"/>
  <c r="U39" i="22"/>
  <c r="V39" i="22"/>
  <c r="C34" i="21"/>
  <c r="D34" i="21"/>
  <c r="F34" i="21"/>
  <c r="W34" i="21"/>
  <c r="X34" i="21"/>
  <c r="Y34" i="21"/>
  <c r="Z34" i="21"/>
  <c r="AB34" i="21"/>
  <c r="AC34" i="21" s="1"/>
  <c r="AD34" i="21"/>
  <c r="AE34" i="21"/>
  <c r="AG34" i="21"/>
  <c r="AH34" i="21"/>
  <c r="AI34" i="21"/>
  <c r="AJ34" i="21"/>
  <c r="AL34" i="21"/>
  <c r="AM34" i="21" s="1"/>
  <c r="AN34" i="21"/>
  <c r="AO34" i="21"/>
  <c r="C35" i="21"/>
  <c r="D35" i="21"/>
  <c r="F35" i="21"/>
  <c r="W35" i="21"/>
  <c r="X35" i="21"/>
  <c r="Y35" i="21"/>
  <c r="Z35" i="21"/>
  <c r="AB35" i="21"/>
  <c r="AC35" i="21" s="1"/>
  <c r="AD35" i="21"/>
  <c r="AE35" i="21"/>
  <c r="AG35" i="21"/>
  <c r="AH35" i="21"/>
  <c r="AI35" i="21"/>
  <c r="AJ35" i="21"/>
  <c r="AL35" i="21"/>
  <c r="AM35" i="21" s="1"/>
  <c r="AN35" i="21"/>
  <c r="AO35" i="21"/>
  <c r="C36" i="21"/>
  <c r="D36" i="21"/>
  <c r="F36" i="21"/>
  <c r="W36" i="21"/>
  <c r="X36" i="21"/>
  <c r="Y36" i="21"/>
  <c r="Z36" i="21"/>
  <c r="AB36" i="21"/>
  <c r="AC36" i="21" s="1"/>
  <c r="AD36" i="21"/>
  <c r="AE36" i="21"/>
  <c r="AG36" i="21"/>
  <c r="AH36" i="21"/>
  <c r="AI36" i="21"/>
  <c r="AJ36" i="21"/>
  <c r="AL36" i="21"/>
  <c r="AM36" i="21" s="1"/>
  <c r="AN36" i="21"/>
  <c r="AO36" i="21"/>
  <c r="C37" i="21"/>
  <c r="D37" i="21"/>
  <c r="F37" i="21"/>
  <c r="W37" i="21"/>
  <c r="X37" i="21"/>
  <c r="Y37" i="21"/>
  <c r="Z37" i="21"/>
  <c r="AB37" i="21"/>
  <c r="AC37" i="21" s="1"/>
  <c r="AD37" i="21"/>
  <c r="AE37" i="21"/>
  <c r="AG37" i="21"/>
  <c r="AH37" i="21"/>
  <c r="AI37" i="21"/>
  <c r="AJ37" i="21"/>
  <c r="AL37" i="21"/>
  <c r="AM37" i="21" s="1"/>
  <c r="AN37" i="21"/>
  <c r="AO37" i="21"/>
  <c r="C38" i="21"/>
  <c r="D38" i="21"/>
  <c r="F38" i="21"/>
  <c r="W38" i="21"/>
  <c r="X38" i="21"/>
  <c r="Y38" i="21"/>
  <c r="Z38" i="21"/>
  <c r="AB38" i="21"/>
  <c r="AC38" i="21" s="1"/>
  <c r="AD38" i="21"/>
  <c r="AE38" i="21"/>
  <c r="AG38" i="21"/>
  <c r="AH38" i="21"/>
  <c r="AI38" i="21"/>
  <c r="AJ38" i="21"/>
  <c r="AL38" i="21"/>
  <c r="AM38" i="21" s="1"/>
  <c r="AN38" i="21"/>
  <c r="AO38" i="21"/>
  <c r="C39" i="21"/>
  <c r="D39" i="21"/>
  <c r="F39" i="21"/>
  <c r="W39" i="21"/>
  <c r="X39" i="21"/>
  <c r="Y39" i="21"/>
  <c r="Z39" i="21"/>
  <c r="AB39" i="21"/>
  <c r="AC39" i="21" s="1"/>
  <c r="AD39" i="21"/>
  <c r="AE39" i="21"/>
  <c r="AG39" i="21"/>
  <c r="AH39" i="21"/>
  <c r="AI39" i="21"/>
  <c r="AJ39" i="21"/>
  <c r="AL39" i="21"/>
  <c r="AM39" i="21" s="1"/>
  <c r="AN39" i="21"/>
  <c r="AO39" i="21"/>
  <c r="G42" i="24"/>
  <c r="H42" i="24" s="1"/>
  <c r="I42" i="24" s="1"/>
  <c r="J42" i="24" s="1"/>
  <c r="N42" i="31" s="1"/>
  <c r="G43" i="24"/>
  <c r="H43" i="24" s="1"/>
  <c r="I43" i="24" s="1"/>
  <c r="J43" i="24" s="1"/>
  <c r="N43" i="31" s="1"/>
  <c r="G44" i="24"/>
  <c r="H44" i="24" s="1"/>
  <c r="I44" i="24" s="1"/>
  <c r="J44" i="24" s="1"/>
  <c r="N44" i="31" s="1"/>
  <c r="G45" i="24"/>
  <c r="H45" i="24" s="1"/>
  <c r="I45" i="24" s="1"/>
  <c r="J45" i="24" s="1"/>
  <c r="N45" i="31" s="1"/>
  <c r="G46" i="24"/>
  <c r="H46" i="24" s="1"/>
  <c r="I46" i="24" s="1"/>
  <c r="J46" i="24" s="1"/>
  <c r="N46" i="31" s="1"/>
  <c r="B42" i="31"/>
  <c r="C42" i="31"/>
  <c r="D42" i="31"/>
  <c r="B43" i="31"/>
  <c r="C43" i="31"/>
  <c r="D43" i="31"/>
  <c r="B44" i="31"/>
  <c r="C44" i="31"/>
  <c r="D44" i="31"/>
  <c r="B45" i="31"/>
  <c r="C45" i="31"/>
  <c r="D45" i="31"/>
  <c r="B46" i="31"/>
  <c r="C46" i="31"/>
  <c r="D46" i="31"/>
  <c r="C42" i="29"/>
  <c r="D42" i="29"/>
  <c r="F42" i="29"/>
  <c r="L42" i="29"/>
  <c r="M42" i="29"/>
  <c r="C43" i="29"/>
  <c r="F43" i="29"/>
  <c r="L43" i="29"/>
  <c r="M43" i="29"/>
  <c r="C44" i="29"/>
  <c r="D44" i="29"/>
  <c r="F44" i="29"/>
  <c r="L44" i="29"/>
  <c r="M44" i="29"/>
  <c r="C45" i="29"/>
  <c r="D45" i="29"/>
  <c r="F45" i="29"/>
  <c r="L45" i="29"/>
  <c r="M45" i="29"/>
  <c r="C46" i="29"/>
  <c r="D46" i="29"/>
  <c r="F46" i="29"/>
  <c r="L46" i="29"/>
  <c r="M46" i="29"/>
  <c r="C42" i="22"/>
  <c r="D42" i="22"/>
  <c r="F42" i="22"/>
  <c r="Q42" i="22"/>
  <c r="R42" i="22"/>
  <c r="S42" i="22"/>
  <c r="T42" i="22"/>
  <c r="U42" i="22"/>
  <c r="V42" i="22"/>
  <c r="C43" i="22"/>
  <c r="D43" i="22"/>
  <c r="F43" i="22"/>
  <c r="Q43" i="22"/>
  <c r="R43" i="22"/>
  <c r="S43" i="22"/>
  <c r="T43" i="22"/>
  <c r="U43" i="22"/>
  <c r="V43" i="22"/>
  <c r="C44" i="22"/>
  <c r="D44" i="22"/>
  <c r="F44" i="22"/>
  <c r="Q44" i="22"/>
  <c r="R44" i="22"/>
  <c r="S44" i="22"/>
  <c r="T44" i="22"/>
  <c r="U44" i="22"/>
  <c r="V44" i="22"/>
  <c r="C45" i="22"/>
  <c r="D45" i="22"/>
  <c r="F45" i="22"/>
  <c r="Q45" i="22"/>
  <c r="R45" i="22"/>
  <c r="S45" i="22"/>
  <c r="T45" i="22"/>
  <c r="U45" i="22"/>
  <c r="V45" i="22"/>
  <c r="C46" i="22"/>
  <c r="D46" i="22"/>
  <c r="F46" i="22"/>
  <c r="Q46" i="22"/>
  <c r="R46" i="22"/>
  <c r="S46" i="22"/>
  <c r="T46" i="22"/>
  <c r="U46" i="22"/>
  <c r="V46" i="22"/>
  <c r="C42" i="21"/>
  <c r="D42" i="21"/>
  <c r="F42" i="21"/>
  <c r="W42" i="21"/>
  <c r="X42" i="21"/>
  <c r="Y42" i="21"/>
  <c r="Z42" i="21"/>
  <c r="AB42" i="21"/>
  <c r="AC42" i="21" s="1"/>
  <c r="AD42" i="21"/>
  <c r="AE42" i="21"/>
  <c r="AG42" i="21"/>
  <c r="AH42" i="21"/>
  <c r="AI42" i="21"/>
  <c r="AJ42" i="21"/>
  <c r="AL42" i="21"/>
  <c r="AM42" i="21" s="1"/>
  <c r="AN42" i="21"/>
  <c r="AO42" i="21"/>
  <c r="C43" i="21"/>
  <c r="D43" i="21"/>
  <c r="F43" i="21"/>
  <c r="W43" i="21"/>
  <c r="X43" i="21"/>
  <c r="Y43" i="21"/>
  <c r="Z43" i="21"/>
  <c r="AB43" i="21"/>
  <c r="AC43" i="21" s="1"/>
  <c r="AD43" i="21"/>
  <c r="AE43" i="21"/>
  <c r="AG43" i="21"/>
  <c r="AH43" i="21"/>
  <c r="AI43" i="21"/>
  <c r="AJ43" i="21"/>
  <c r="AL43" i="21"/>
  <c r="AM43" i="21" s="1"/>
  <c r="AN43" i="21"/>
  <c r="AO43" i="21"/>
  <c r="C44" i="21"/>
  <c r="D44" i="21"/>
  <c r="F44" i="21"/>
  <c r="W44" i="21"/>
  <c r="X44" i="21"/>
  <c r="Y44" i="21"/>
  <c r="Z44" i="21"/>
  <c r="AB44" i="21"/>
  <c r="AC44" i="21" s="1"/>
  <c r="AD44" i="21"/>
  <c r="AE44" i="21"/>
  <c r="AG44" i="21"/>
  <c r="AH44" i="21"/>
  <c r="AI44" i="21"/>
  <c r="AJ44" i="21"/>
  <c r="AL44" i="21"/>
  <c r="AM44" i="21" s="1"/>
  <c r="AN44" i="21"/>
  <c r="AO44" i="21"/>
  <c r="C45" i="21"/>
  <c r="D45" i="21"/>
  <c r="F45" i="21"/>
  <c r="W45" i="21"/>
  <c r="X45" i="21"/>
  <c r="Y45" i="21"/>
  <c r="Z45" i="21"/>
  <c r="AB45" i="21"/>
  <c r="AC45" i="21" s="1"/>
  <c r="AD45" i="21"/>
  <c r="AE45" i="21"/>
  <c r="AG45" i="21"/>
  <c r="AH45" i="21"/>
  <c r="AI45" i="21"/>
  <c r="AJ45" i="21"/>
  <c r="AL45" i="21"/>
  <c r="AM45" i="21" s="1"/>
  <c r="AN45" i="21"/>
  <c r="AO45" i="21"/>
  <c r="C46" i="21"/>
  <c r="D46" i="21"/>
  <c r="F46" i="21"/>
  <c r="W46" i="21"/>
  <c r="X46" i="21"/>
  <c r="Y46" i="21"/>
  <c r="Z46" i="21"/>
  <c r="AB46" i="21"/>
  <c r="AC46" i="21" s="1"/>
  <c r="AD46" i="21"/>
  <c r="AE46" i="21"/>
  <c r="AG46" i="21"/>
  <c r="AH46" i="21"/>
  <c r="AI46" i="21"/>
  <c r="AJ46" i="21"/>
  <c r="AL46" i="21"/>
  <c r="AM46" i="21" s="1"/>
  <c r="AN46" i="21"/>
  <c r="AO46" i="21"/>
  <c r="G49" i="24"/>
  <c r="H49" i="24" s="1"/>
  <c r="I49" i="24" s="1"/>
  <c r="J49" i="24" s="1"/>
  <c r="N49" i="31" s="1"/>
  <c r="G50" i="24"/>
  <c r="H50" i="24" s="1"/>
  <c r="I50" i="24" s="1"/>
  <c r="J50" i="24" s="1"/>
  <c r="N50" i="31" s="1"/>
  <c r="G51" i="24"/>
  <c r="H51" i="24" s="1"/>
  <c r="I51" i="24" s="1"/>
  <c r="J51" i="24" s="1"/>
  <c r="N51" i="31" s="1"/>
  <c r="G52" i="24"/>
  <c r="H52" i="24" s="1"/>
  <c r="I52" i="24" s="1"/>
  <c r="J52" i="24" s="1"/>
  <c r="N52" i="31" s="1"/>
  <c r="G53" i="24"/>
  <c r="H53" i="24" s="1"/>
  <c r="I53" i="24" s="1"/>
  <c r="J53" i="24" s="1"/>
  <c r="N53" i="31" s="1"/>
  <c r="G54" i="24"/>
  <c r="H54" i="24" s="1"/>
  <c r="I54" i="24" s="1"/>
  <c r="J54" i="24" s="1"/>
  <c r="N54" i="31" s="1"/>
  <c r="G55" i="24"/>
  <c r="H55" i="24" s="1"/>
  <c r="I55" i="24" s="1"/>
  <c r="J55" i="24" s="1"/>
  <c r="N55" i="31" s="1"/>
  <c r="G56" i="24"/>
  <c r="H56" i="24" s="1"/>
  <c r="I56" i="24" s="1"/>
  <c r="J56" i="24" s="1"/>
  <c r="N56" i="31" s="1"/>
  <c r="G57" i="24"/>
  <c r="H57" i="24" s="1"/>
  <c r="I57" i="24" s="1"/>
  <c r="J57" i="24" s="1"/>
  <c r="N57" i="31" s="1"/>
  <c r="G58" i="24"/>
  <c r="H58" i="24" s="1"/>
  <c r="I58" i="24" s="1"/>
  <c r="J58" i="24" s="1"/>
  <c r="N58" i="31" s="1"/>
  <c r="G59" i="24"/>
  <c r="H59" i="24" s="1"/>
  <c r="I59" i="24" s="1"/>
  <c r="J59" i="24" s="1"/>
  <c r="N59" i="31" s="1"/>
  <c r="B49" i="31"/>
  <c r="C49" i="31"/>
  <c r="D49" i="31"/>
  <c r="B50" i="31"/>
  <c r="C50" i="31"/>
  <c r="D50" i="31"/>
  <c r="B51" i="31"/>
  <c r="C51" i="31"/>
  <c r="D51" i="31"/>
  <c r="B52" i="31"/>
  <c r="C52" i="31"/>
  <c r="D52" i="31"/>
  <c r="B53" i="31"/>
  <c r="C53" i="31"/>
  <c r="D53" i="31"/>
  <c r="B54" i="31"/>
  <c r="C54" i="31"/>
  <c r="D54" i="31"/>
  <c r="B55" i="31"/>
  <c r="C55" i="31"/>
  <c r="D55" i="31"/>
  <c r="B56" i="31"/>
  <c r="C56" i="31"/>
  <c r="D56" i="31"/>
  <c r="B57" i="31"/>
  <c r="C57" i="31"/>
  <c r="D57" i="31"/>
  <c r="B58" i="31"/>
  <c r="C58" i="31"/>
  <c r="D58" i="31"/>
  <c r="B59" i="31"/>
  <c r="C59" i="31"/>
  <c r="D59" i="31"/>
  <c r="C49" i="29"/>
  <c r="D49" i="29"/>
  <c r="F49" i="29"/>
  <c r="L49" i="29"/>
  <c r="M49" i="29"/>
  <c r="C50" i="29"/>
  <c r="D50" i="29"/>
  <c r="F50" i="29"/>
  <c r="L50" i="29"/>
  <c r="M50" i="29"/>
  <c r="C51" i="29"/>
  <c r="D51" i="29"/>
  <c r="F51" i="29"/>
  <c r="L51" i="29"/>
  <c r="M51" i="29"/>
  <c r="C52" i="29"/>
  <c r="D52" i="29"/>
  <c r="F52" i="29"/>
  <c r="L52" i="29"/>
  <c r="M52" i="29"/>
  <c r="C53" i="29"/>
  <c r="D53" i="29"/>
  <c r="F53" i="29"/>
  <c r="L53" i="29"/>
  <c r="M53" i="29"/>
  <c r="C54" i="29"/>
  <c r="D54" i="29"/>
  <c r="F54" i="29"/>
  <c r="L54" i="29"/>
  <c r="M54" i="29"/>
  <c r="C55" i="29"/>
  <c r="D55" i="29"/>
  <c r="F55" i="29"/>
  <c r="L55" i="29"/>
  <c r="M55" i="29"/>
  <c r="C56" i="29"/>
  <c r="D56" i="29"/>
  <c r="F56" i="29"/>
  <c r="L56" i="29"/>
  <c r="M56" i="29"/>
  <c r="C57" i="29"/>
  <c r="D57" i="29"/>
  <c r="F57" i="29"/>
  <c r="L57" i="29"/>
  <c r="M57" i="29"/>
  <c r="C58" i="29"/>
  <c r="D58" i="29"/>
  <c r="F58" i="29"/>
  <c r="L58" i="29"/>
  <c r="M58" i="29"/>
  <c r="C59" i="29"/>
  <c r="D59" i="29"/>
  <c r="F59" i="29"/>
  <c r="L59" i="29"/>
  <c r="M59" i="29"/>
  <c r="C49" i="22"/>
  <c r="D49" i="22"/>
  <c r="F49" i="22"/>
  <c r="Q49" i="22"/>
  <c r="R49" i="22"/>
  <c r="S49" i="22"/>
  <c r="T49" i="22"/>
  <c r="U49" i="22"/>
  <c r="V49" i="22"/>
  <c r="C50" i="22"/>
  <c r="D50" i="22"/>
  <c r="F50" i="22"/>
  <c r="Q50" i="22"/>
  <c r="R50" i="22"/>
  <c r="S50" i="22"/>
  <c r="T50" i="22"/>
  <c r="U50" i="22"/>
  <c r="V50" i="22"/>
  <c r="C51" i="22"/>
  <c r="D51" i="22"/>
  <c r="F51" i="22"/>
  <c r="Q51" i="22"/>
  <c r="R51" i="22"/>
  <c r="S51" i="22"/>
  <c r="T51" i="22"/>
  <c r="U51" i="22"/>
  <c r="V51" i="22"/>
  <c r="C52" i="22"/>
  <c r="D52" i="22"/>
  <c r="F52" i="22"/>
  <c r="Q52" i="22"/>
  <c r="R52" i="22"/>
  <c r="S52" i="22"/>
  <c r="T52" i="22"/>
  <c r="U52" i="22"/>
  <c r="V52" i="22"/>
  <c r="C53" i="22"/>
  <c r="D53" i="22"/>
  <c r="F53" i="22"/>
  <c r="Q53" i="22"/>
  <c r="R53" i="22"/>
  <c r="S53" i="22"/>
  <c r="T53" i="22"/>
  <c r="U53" i="22"/>
  <c r="V53" i="22"/>
  <c r="C54" i="22"/>
  <c r="D54" i="22"/>
  <c r="F54" i="22"/>
  <c r="Q54" i="22"/>
  <c r="R54" i="22"/>
  <c r="S54" i="22"/>
  <c r="T54" i="22"/>
  <c r="U54" i="22"/>
  <c r="V54" i="22"/>
  <c r="C55" i="22"/>
  <c r="D55" i="22"/>
  <c r="F55" i="22"/>
  <c r="Q55" i="22"/>
  <c r="R55" i="22"/>
  <c r="S55" i="22"/>
  <c r="T55" i="22"/>
  <c r="U55" i="22"/>
  <c r="V55" i="22"/>
  <c r="C56" i="22"/>
  <c r="D56" i="22"/>
  <c r="F56" i="22"/>
  <c r="Q56" i="22"/>
  <c r="R56" i="22"/>
  <c r="S56" i="22"/>
  <c r="T56" i="22"/>
  <c r="U56" i="22"/>
  <c r="V56" i="22"/>
  <c r="C57" i="22"/>
  <c r="D57" i="22"/>
  <c r="F57" i="22"/>
  <c r="Q57" i="22"/>
  <c r="R57" i="22"/>
  <c r="S57" i="22"/>
  <c r="T57" i="22"/>
  <c r="U57" i="22"/>
  <c r="V57" i="22"/>
  <c r="C58" i="22"/>
  <c r="D58" i="22"/>
  <c r="F58" i="22"/>
  <c r="Q58" i="22"/>
  <c r="R58" i="22"/>
  <c r="S58" i="22"/>
  <c r="T58" i="22"/>
  <c r="U58" i="22"/>
  <c r="V58" i="22"/>
  <c r="C59" i="22"/>
  <c r="D59" i="22"/>
  <c r="F59" i="22"/>
  <c r="Q59" i="22"/>
  <c r="R59" i="22"/>
  <c r="S59" i="22"/>
  <c r="T59" i="22"/>
  <c r="U59" i="22"/>
  <c r="V59" i="22"/>
  <c r="C49" i="21"/>
  <c r="D49" i="21"/>
  <c r="F49" i="21"/>
  <c r="W49" i="21"/>
  <c r="X49" i="21"/>
  <c r="Y49" i="21"/>
  <c r="Z49" i="21"/>
  <c r="AB49" i="21"/>
  <c r="AC49" i="21" s="1"/>
  <c r="AD49" i="21"/>
  <c r="AE49" i="21"/>
  <c r="AG49" i="21"/>
  <c r="AH49" i="21"/>
  <c r="AI49" i="21"/>
  <c r="AJ49" i="21"/>
  <c r="AL49" i="21"/>
  <c r="AM49" i="21" s="1"/>
  <c r="AN49" i="21"/>
  <c r="AO49" i="21"/>
  <c r="C50" i="21"/>
  <c r="D50" i="21"/>
  <c r="F50" i="21"/>
  <c r="W50" i="21"/>
  <c r="X50" i="21"/>
  <c r="Y50" i="21"/>
  <c r="Z50" i="21"/>
  <c r="AB50" i="21"/>
  <c r="AC50" i="21" s="1"/>
  <c r="AD50" i="21"/>
  <c r="AE50" i="21"/>
  <c r="AG50" i="21"/>
  <c r="AH50" i="21"/>
  <c r="AI50" i="21"/>
  <c r="AJ50" i="21"/>
  <c r="AL50" i="21"/>
  <c r="AM50" i="21" s="1"/>
  <c r="AN50" i="21"/>
  <c r="AO50" i="21"/>
  <c r="C51" i="21"/>
  <c r="D51" i="21"/>
  <c r="F51" i="21"/>
  <c r="W51" i="21"/>
  <c r="X51" i="21"/>
  <c r="Y51" i="21"/>
  <c r="Z51" i="21"/>
  <c r="AB51" i="21"/>
  <c r="AC51" i="21" s="1"/>
  <c r="AD51" i="21"/>
  <c r="AE51" i="21"/>
  <c r="AG51" i="21"/>
  <c r="AH51" i="21"/>
  <c r="AI51" i="21"/>
  <c r="AJ51" i="21"/>
  <c r="AL51" i="21"/>
  <c r="AM51" i="21" s="1"/>
  <c r="AN51" i="21"/>
  <c r="AO51" i="21"/>
  <c r="C52" i="21"/>
  <c r="D52" i="21"/>
  <c r="F52" i="21"/>
  <c r="W52" i="21"/>
  <c r="X52" i="21"/>
  <c r="Y52" i="21"/>
  <c r="Z52" i="21"/>
  <c r="AB52" i="21"/>
  <c r="AC52" i="21" s="1"/>
  <c r="AD52" i="21"/>
  <c r="AE52" i="21"/>
  <c r="AG52" i="21"/>
  <c r="AH52" i="21"/>
  <c r="AI52" i="21"/>
  <c r="AJ52" i="21"/>
  <c r="AL52" i="21"/>
  <c r="AM52" i="21" s="1"/>
  <c r="AN52" i="21"/>
  <c r="AO52" i="21"/>
  <c r="C53" i="21"/>
  <c r="D53" i="21"/>
  <c r="F53" i="21"/>
  <c r="W53" i="21"/>
  <c r="X53" i="21"/>
  <c r="Y53" i="21"/>
  <c r="Z53" i="21"/>
  <c r="AB53" i="21"/>
  <c r="AC53" i="21" s="1"/>
  <c r="AD53" i="21"/>
  <c r="AE53" i="21"/>
  <c r="AG53" i="21"/>
  <c r="AH53" i="21"/>
  <c r="AI53" i="21"/>
  <c r="AJ53" i="21"/>
  <c r="AL53" i="21"/>
  <c r="AM53" i="21" s="1"/>
  <c r="AN53" i="21"/>
  <c r="AO53" i="21"/>
  <c r="C54" i="21"/>
  <c r="D54" i="21"/>
  <c r="F54" i="21"/>
  <c r="W54" i="21"/>
  <c r="X54" i="21"/>
  <c r="Y54" i="21"/>
  <c r="Z54" i="21"/>
  <c r="AB54" i="21"/>
  <c r="AC54" i="21" s="1"/>
  <c r="AD54" i="21"/>
  <c r="AE54" i="21"/>
  <c r="AG54" i="21"/>
  <c r="AH54" i="21"/>
  <c r="AI54" i="21"/>
  <c r="AJ54" i="21"/>
  <c r="AL54" i="21"/>
  <c r="AM54" i="21" s="1"/>
  <c r="AN54" i="21"/>
  <c r="AO54" i="21"/>
  <c r="C55" i="21"/>
  <c r="D55" i="21"/>
  <c r="F55" i="21"/>
  <c r="W55" i="21"/>
  <c r="X55" i="21"/>
  <c r="Y55" i="21"/>
  <c r="Z55" i="21"/>
  <c r="AB55" i="21"/>
  <c r="AC55" i="21" s="1"/>
  <c r="AD55" i="21"/>
  <c r="AE55" i="21"/>
  <c r="AG55" i="21"/>
  <c r="AH55" i="21"/>
  <c r="AI55" i="21"/>
  <c r="AJ55" i="21"/>
  <c r="AL55" i="21"/>
  <c r="AM55" i="21" s="1"/>
  <c r="AN55" i="21"/>
  <c r="AO55" i="21"/>
  <c r="C56" i="21"/>
  <c r="D56" i="21"/>
  <c r="F56" i="21"/>
  <c r="W56" i="21"/>
  <c r="X56" i="21"/>
  <c r="Y56" i="21"/>
  <c r="Z56" i="21"/>
  <c r="AB56" i="21"/>
  <c r="AC56" i="21" s="1"/>
  <c r="AD56" i="21"/>
  <c r="AE56" i="21"/>
  <c r="AG56" i="21"/>
  <c r="AH56" i="21"/>
  <c r="AI56" i="21"/>
  <c r="AJ56" i="21"/>
  <c r="AL56" i="21"/>
  <c r="AM56" i="21" s="1"/>
  <c r="AN56" i="21"/>
  <c r="AO56" i="21"/>
  <c r="C57" i="21"/>
  <c r="D57" i="21"/>
  <c r="F57" i="21"/>
  <c r="W57" i="21"/>
  <c r="X57" i="21"/>
  <c r="Y57" i="21"/>
  <c r="Z57" i="21"/>
  <c r="AB57" i="21"/>
  <c r="AC57" i="21" s="1"/>
  <c r="AD57" i="21"/>
  <c r="AE57" i="21"/>
  <c r="AG57" i="21"/>
  <c r="AH57" i="21"/>
  <c r="AI57" i="21"/>
  <c r="AJ57" i="21"/>
  <c r="AL57" i="21"/>
  <c r="AM57" i="21" s="1"/>
  <c r="AN57" i="21"/>
  <c r="AO57" i="21"/>
  <c r="C58" i="21"/>
  <c r="D58" i="21"/>
  <c r="F58" i="21"/>
  <c r="W58" i="21"/>
  <c r="X58" i="21"/>
  <c r="Y58" i="21"/>
  <c r="Z58" i="21"/>
  <c r="AB58" i="21"/>
  <c r="AC58" i="21" s="1"/>
  <c r="AD58" i="21"/>
  <c r="AE58" i="21"/>
  <c r="AG58" i="21"/>
  <c r="AH58" i="21"/>
  <c r="AI58" i="21"/>
  <c r="AJ58" i="21"/>
  <c r="AL58" i="21"/>
  <c r="AM58" i="21" s="1"/>
  <c r="AN58" i="21"/>
  <c r="AO58" i="21"/>
  <c r="C59" i="21"/>
  <c r="D59" i="21"/>
  <c r="F59" i="21"/>
  <c r="W59" i="21"/>
  <c r="X59" i="21"/>
  <c r="Y59" i="21"/>
  <c r="Z59" i="21"/>
  <c r="AB59" i="21"/>
  <c r="AC59" i="21" s="1"/>
  <c r="AD59" i="21"/>
  <c r="AE59" i="21"/>
  <c r="AG59" i="21"/>
  <c r="AH59" i="21"/>
  <c r="AI59" i="21"/>
  <c r="AJ59" i="21"/>
  <c r="AL59" i="21"/>
  <c r="AM59" i="21" s="1"/>
  <c r="AN59" i="21"/>
  <c r="AO59" i="21"/>
  <c r="X4" i="22" l="1"/>
  <c r="AA4" i="22" s="1"/>
  <c r="AD4" i="22" s="1"/>
  <c r="I4" i="31" s="1"/>
  <c r="N4" i="29"/>
  <c r="O4" i="29" s="1"/>
  <c r="P4" i="29" s="1"/>
  <c r="K4" i="31" s="1"/>
  <c r="N37" i="29"/>
  <c r="O37" i="29" s="1"/>
  <c r="P37" i="29" s="1"/>
  <c r="K37" i="31" s="1"/>
  <c r="AK5" i="21"/>
  <c r="AF21" i="21"/>
  <c r="AP18" i="21"/>
  <c r="AK7" i="21"/>
  <c r="W5" i="22"/>
  <c r="Z5" i="22" s="1"/>
  <c r="AC5" i="22" s="1"/>
  <c r="H5" i="31" s="1"/>
  <c r="N13" i="29"/>
  <c r="O13" i="29" s="1"/>
  <c r="P13" i="29" s="1"/>
  <c r="K13" i="31" s="1"/>
  <c r="N9" i="29"/>
  <c r="O9" i="29" s="1"/>
  <c r="P9" i="29" s="1"/>
  <c r="K9" i="31" s="1"/>
  <c r="AP30" i="21"/>
  <c r="AF29" i="21"/>
  <c r="AP26" i="21"/>
  <c r="AA53" i="21"/>
  <c r="X24" i="22"/>
  <c r="AA24" i="22" s="1"/>
  <c r="AD24" i="22" s="1"/>
  <c r="I24" i="31" s="1"/>
  <c r="X20" i="22"/>
  <c r="AA20" i="22" s="1"/>
  <c r="AD20" i="22" s="1"/>
  <c r="I20" i="31" s="1"/>
  <c r="N22" i="29"/>
  <c r="O22" i="29" s="1"/>
  <c r="P22" i="29" s="1"/>
  <c r="K22" i="31" s="1"/>
  <c r="N14" i="29"/>
  <c r="O14" i="29" s="1"/>
  <c r="P14" i="29" s="1"/>
  <c r="K14" i="31" s="1"/>
  <c r="N11" i="29"/>
  <c r="O11" i="29" s="1"/>
  <c r="P11" i="29" s="1"/>
  <c r="K11" i="31" s="1"/>
  <c r="W10" i="22"/>
  <c r="Z10" i="22" s="1"/>
  <c r="AC10" i="22" s="1"/>
  <c r="H10" i="31" s="1"/>
  <c r="W4" i="22"/>
  <c r="N6" i="29"/>
  <c r="O6" i="29" s="1"/>
  <c r="P6" i="29" s="1"/>
  <c r="K6" i="31" s="1"/>
  <c r="X54" i="22"/>
  <c r="AA54" i="22" s="1"/>
  <c r="AD54" i="22" s="1"/>
  <c r="I54" i="31" s="1"/>
  <c r="AF35" i="21"/>
  <c r="AP19" i="21"/>
  <c r="X27" i="22"/>
  <c r="AA27" i="22" s="1"/>
  <c r="AD27" i="22" s="1"/>
  <c r="I27" i="31" s="1"/>
  <c r="X22" i="22"/>
  <c r="AA22" i="22" s="1"/>
  <c r="AD22" i="22" s="1"/>
  <c r="I22" i="31" s="1"/>
  <c r="X6" i="22"/>
  <c r="AA6" i="22" s="1"/>
  <c r="AD6" i="22" s="1"/>
  <c r="I6" i="31" s="1"/>
  <c r="AK6" i="21"/>
  <c r="X56" i="22"/>
  <c r="AA56" i="22" s="1"/>
  <c r="AD56" i="22" s="1"/>
  <c r="I56" i="31" s="1"/>
  <c r="X53" i="22"/>
  <c r="AA53" i="22" s="1"/>
  <c r="AD53" i="22" s="1"/>
  <c r="I53" i="31" s="1"/>
  <c r="AP31" i="21"/>
  <c r="AP21" i="21"/>
  <c r="AP20" i="21"/>
  <c r="AF16" i="21"/>
  <c r="X26" i="22"/>
  <c r="AA26" i="22" s="1"/>
  <c r="AD26" i="22" s="1"/>
  <c r="I26" i="31" s="1"/>
  <c r="AA3" i="21"/>
  <c r="X13" i="22"/>
  <c r="AA13" i="22" s="1"/>
  <c r="AD13" i="22" s="1"/>
  <c r="I13" i="31" s="1"/>
  <c r="X11" i="22"/>
  <c r="AA11" i="22" s="1"/>
  <c r="AD11" i="22" s="1"/>
  <c r="I11" i="31" s="1"/>
  <c r="X9" i="22"/>
  <c r="AA9" i="22" s="1"/>
  <c r="AD9" i="22" s="1"/>
  <c r="I9" i="31" s="1"/>
  <c r="W7" i="22"/>
  <c r="Z7" i="22" s="1"/>
  <c r="AC7" i="22" s="1"/>
  <c r="H7" i="31" s="1"/>
  <c r="X14" i="22"/>
  <c r="AA14" i="22" s="1"/>
  <c r="AD14" i="22" s="1"/>
  <c r="I14" i="31" s="1"/>
  <c r="W14" i="22"/>
  <c r="Z14" i="22" s="1"/>
  <c r="AC14" i="22" s="1"/>
  <c r="H14" i="31" s="1"/>
  <c r="AF24" i="21"/>
  <c r="W35" i="22"/>
  <c r="Z35" i="22" s="1"/>
  <c r="AC35" i="22" s="1"/>
  <c r="H35" i="31" s="1"/>
  <c r="AF18" i="21"/>
  <c r="AK18" i="21"/>
  <c r="X37" i="22"/>
  <c r="AA37" i="22" s="1"/>
  <c r="AD37" i="22" s="1"/>
  <c r="I37" i="31" s="1"/>
  <c r="AK13" i="21"/>
  <c r="AK12" i="21"/>
  <c r="AK11" i="21"/>
  <c r="AK10" i="21"/>
  <c r="AK9" i="21"/>
  <c r="AK8" i="21"/>
  <c r="X12" i="22"/>
  <c r="AA12" i="22" s="1"/>
  <c r="AD12" i="22" s="1"/>
  <c r="I12" i="31" s="1"/>
  <c r="W8" i="22"/>
  <c r="Z8" i="22" s="1"/>
  <c r="AC8" i="22" s="1"/>
  <c r="H8" i="31" s="1"/>
  <c r="W13" i="22"/>
  <c r="W12" i="22"/>
  <c r="W11" i="22"/>
  <c r="N42" i="29"/>
  <c r="O42" i="29" s="1"/>
  <c r="P42" i="29" s="1"/>
  <c r="K42" i="31" s="1"/>
  <c r="N29" i="29"/>
  <c r="O29" i="29" s="1"/>
  <c r="P29" i="29" s="1"/>
  <c r="K29" i="31" s="1"/>
  <c r="N28" i="29"/>
  <c r="O28" i="29" s="1"/>
  <c r="P28" i="29" s="1"/>
  <c r="K28" i="31" s="1"/>
  <c r="X45" i="22"/>
  <c r="AA45" i="22" s="1"/>
  <c r="AD45" i="22" s="1"/>
  <c r="I45" i="31" s="1"/>
  <c r="X35" i="22"/>
  <c r="AA35" i="22" s="1"/>
  <c r="AD35" i="22" s="1"/>
  <c r="I35" i="31" s="1"/>
  <c r="AP29" i="21"/>
  <c r="AF28" i="21"/>
  <c r="AK23" i="21"/>
  <c r="AF23" i="21"/>
  <c r="AF15" i="21"/>
  <c r="X28" i="22"/>
  <c r="AA28" i="22" s="1"/>
  <c r="AD28" i="22" s="1"/>
  <c r="I28" i="31" s="1"/>
  <c r="W28" i="22"/>
  <c r="X59" i="22"/>
  <c r="AA59" i="22" s="1"/>
  <c r="AD59" i="22" s="1"/>
  <c r="I59" i="31" s="1"/>
  <c r="W56" i="22"/>
  <c r="Z56" i="22" s="1"/>
  <c r="AC56" i="22" s="1"/>
  <c r="H56" i="31" s="1"/>
  <c r="X51" i="22"/>
  <c r="AA51" i="22" s="1"/>
  <c r="AD51" i="22" s="1"/>
  <c r="I51" i="31" s="1"/>
  <c r="AK38" i="21"/>
  <c r="AF38" i="21"/>
  <c r="AF34" i="21"/>
  <c r="N36" i="29"/>
  <c r="O36" i="29" s="1"/>
  <c r="P36" i="29" s="1"/>
  <c r="K36" i="31" s="1"/>
  <c r="AF22" i="21"/>
  <c r="AA22" i="21"/>
  <c r="AK19" i="21"/>
  <c r="AA18" i="21"/>
  <c r="AQ18" i="21" s="1"/>
  <c r="AT18" i="21" s="1"/>
  <c r="AW18" i="21" s="1"/>
  <c r="E18" i="31" s="1"/>
  <c r="AP15" i="21"/>
  <c r="W42" i="22"/>
  <c r="W39" i="22"/>
  <c r="AF20" i="21"/>
  <c r="AF17" i="21"/>
  <c r="AA17" i="21"/>
  <c r="N16" i="29"/>
  <c r="O16" i="29" s="1"/>
  <c r="P16" i="29" s="1"/>
  <c r="K16" i="31" s="1"/>
  <c r="AF14" i="21"/>
  <c r="AA14" i="21"/>
  <c r="AK4" i="21"/>
  <c r="AK3" i="21"/>
  <c r="X8" i="22"/>
  <c r="AA8" i="22" s="1"/>
  <c r="AD8" i="22" s="1"/>
  <c r="I8" i="31" s="1"/>
  <c r="X7" i="22"/>
  <c r="AA7" i="22" s="1"/>
  <c r="AD7" i="22" s="1"/>
  <c r="I7" i="31" s="1"/>
  <c r="X3" i="22"/>
  <c r="AA3" i="22" s="1"/>
  <c r="AD3" i="22" s="1"/>
  <c r="I3" i="31" s="1"/>
  <c r="W3" i="22"/>
  <c r="N10" i="29"/>
  <c r="O10" i="29" s="1"/>
  <c r="P10" i="29" s="1"/>
  <c r="K10" i="31" s="1"/>
  <c r="N5" i="29"/>
  <c r="O5" i="29" s="1"/>
  <c r="P5" i="29" s="1"/>
  <c r="K5" i="31" s="1"/>
  <c r="AP22" i="21"/>
  <c r="AK22" i="21"/>
  <c r="AF19" i="21"/>
  <c r="AP16" i="21"/>
  <c r="X30" i="22"/>
  <c r="AA30" i="22" s="1"/>
  <c r="AD30" i="22" s="1"/>
  <c r="I30" i="31" s="1"/>
  <c r="W30" i="22"/>
  <c r="Y30" i="22" s="1"/>
  <c r="AB30" i="22" s="1"/>
  <c r="AE30" i="22" s="1"/>
  <c r="J30" i="31" s="1"/>
  <c r="X29" i="22"/>
  <c r="AA29" i="22" s="1"/>
  <c r="AD29" i="22" s="1"/>
  <c r="I29" i="31" s="1"/>
  <c r="W29" i="22"/>
  <c r="Z29" i="22" s="1"/>
  <c r="AC29" i="22" s="1"/>
  <c r="H29" i="31" s="1"/>
  <c r="X25" i="22"/>
  <c r="AA25" i="22" s="1"/>
  <c r="AD25" i="22" s="1"/>
  <c r="I25" i="31" s="1"/>
  <c r="X16" i="22"/>
  <c r="AA16" i="22" s="1"/>
  <c r="AD16" i="22" s="1"/>
  <c r="I16" i="31" s="1"/>
  <c r="X15" i="22"/>
  <c r="AA15" i="22" s="1"/>
  <c r="AD15" i="22" s="1"/>
  <c r="I15" i="31" s="1"/>
  <c r="N24" i="29"/>
  <c r="O24" i="29" s="1"/>
  <c r="P24" i="29" s="1"/>
  <c r="K24" i="31" s="1"/>
  <c r="AF13" i="21"/>
  <c r="AP12" i="21"/>
  <c r="AF12" i="21"/>
  <c r="AF11" i="21"/>
  <c r="AP10" i="21"/>
  <c r="AF10" i="21"/>
  <c r="AF9" i="21"/>
  <c r="AP8" i="21"/>
  <c r="AF8" i="21"/>
  <c r="AP7" i="21"/>
  <c r="AF7" i="21"/>
  <c r="AF6" i="21"/>
  <c r="AP5" i="21"/>
  <c r="AF5" i="21"/>
  <c r="X10" i="22"/>
  <c r="AA10" i="22" s="1"/>
  <c r="AD10" i="22" s="1"/>
  <c r="I10" i="31" s="1"/>
  <c r="X5" i="22"/>
  <c r="AA5" i="22" s="1"/>
  <c r="AD5" i="22" s="1"/>
  <c r="I5" i="31" s="1"/>
  <c r="AA13" i="21"/>
  <c r="AA12" i="21"/>
  <c r="AA11" i="21"/>
  <c r="AA10" i="21"/>
  <c r="AA9" i="21"/>
  <c r="AA8" i="21"/>
  <c r="AA7" i="21"/>
  <c r="AQ7" i="21" s="1"/>
  <c r="AT7" i="21" s="1"/>
  <c r="AW7" i="21" s="1"/>
  <c r="E7" i="31" s="1"/>
  <c r="AA6" i="21"/>
  <c r="AQ6" i="21" s="1"/>
  <c r="AT6" i="21" s="1"/>
  <c r="AW6" i="21" s="1"/>
  <c r="E6" i="31" s="1"/>
  <c r="AA5" i="21"/>
  <c r="W9" i="22"/>
  <c r="W6" i="22"/>
  <c r="Z6" i="22" s="1"/>
  <c r="AC6" i="22" s="1"/>
  <c r="H6" i="31" s="1"/>
  <c r="AA4" i="21"/>
  <c r="AQ4" i="21" s="1"/>
  <c r="AT4" i="21" s="1"/>
  <c r="AW4" i="21" s="1"/>
  <c r="E4" i="31" s="1"/>
  <c r="AP3" i="21"/>
  <c r="AF3" i="21"/>
  <c r="AP58" i="21"/>
  <c r="AP57" i="21"/>
  <c r="AF44" i="21"/>
  <c r="AF43" i="21"/>
  <c r="AF42" i="21"/>
  <c r="AP38" i="21"/>
  <c r="X39" i="22"/>
  <c r="AA39" i="22" s="1"/>
  <c r="AD39" i="22" s="1"/>
  <c r="I39" i="31" s="1"/>
  <c r="AK30" i="21"/>
  <c r="AP28" i="21"/>
  <c r="AF27" i="21"/>
  <c r="AA27" i="21"/>
  <c r="AF25" i="21"/>
  <c r="AA25" i="21"/>
  <c r="AP23" i="21"/>
  <c r="X18" i="22"/>
  <c r="AA18" i="22" s="1"/>
  <c r="AD18" i="22" s="1"/>
  <c r="I18" i="31" s="1"/>
  <c r="W18" i="22"/>
  <c r="Z18" i="22" s="1"/>
  <c r="AC18" i="22" s="1"/>
  <c r="H18" i="31" s="1"/>
  <c r="AP59" i="21"/>
  <c r="AP52" i="21"/>
  <c r="X50" i="22"/>
  <c r="AA50" i="22" s="1"/>
  <c r="AD50" i="22" s="1"/>
  <c r="I50" i="31" s="1"/>
  <c r="N49" i="29"/>
  <c r="O49" i="29" s="1"/>
  <c r="P49" i="29" s="1"/>
  <c r="K49" i="31" s="1"/>
  <c r="AF46" i="21"/>
  <c r="AF45" i="21"/>
  <c r="N45" i="29"/>
  <c r="O45" i="29" s="1"/>
  <c r="P45" i="29" s="1"/>
  <c r="K45" i="31" s="1"/>
  <c r="AP39" i="21"/>
  <c r="AF39" i="21"/>
  <c r="AK37" i="21"/>
  <c r="AF36" i="21"/>
  <c r="X38" i="22"/>
  <c r="AA38" i="22" s="1"/>
  <c r="AD38" i="22" s="1"/>
  <c r="I38" i="31" s="1"/>
  <c r="W38" i="22"/>
  <c r="N38" i="29"/>
  <c r="O38" i="29" s="1"/>
  <c r="P38" i="29" s="1"/>
  <c r="K38" i="31" s="1"/>
  <c r="N35" i="29"/>
  <c r="AF31" i="21"/>
  <c r="AA31" i="21"/>
  <c r="W26" i="22"/>
  <c r="Z26" i="22" s="1"/>
  <c r="AC26" i="22" s="1"/>
  <c r="H26" i="31" s="1"/>
  <c r="Z3" i="22"/>
  <c r="AC3" i="22" s="1"/>
  <c r="H3" i="31" s="1"/>
  <c r="W45" i="22"/>
  <c r="Z45" i="22" s="1"/>
  <c r="AC45" i="22" s="1"/>
  <c r="H45" i="31" s="1"/>
  <c r="W16" i="22"/>
  <c r="T16" i="29" s="1"/>
  <c r="U16" i="29" s="1"/>
  <c r="V16" i="29" s="1"/>
  <c r="M16" i="31" s="1"/>
  <c r="W15" i="22"/>
  <c r="Z15" i="22" s="1"/>
  <c r="AC15" i="22" s="1"/>
  <c r="H15" i="31" s="1"/>
  <c r="N30" i="29"/>
  <c r="O30" i="29" s="1"/>
  <c r="P30" i="29" s="1"/>
  <c r="K30" i="31" s="1"/>
  <c r="AK31" i="21"/>
  <c r="AF30" i="21"/>
  <c r="AA30" i="21"/>
  <c r="AP27" i="21"/>
  <c r="AK27" i="21"/>
  <c r="AF26" i="21"/>
  <c r="AA26" i="21"/>
  <c r="AP25" i="21"/>
  <c r="AK25" i="21"/>
  <c r="AP17" i="21"/>
  <c r="AK17" i="21"/>
  <c r="AP14" i="21"/>
  <c r="AK14" i="21"/>
  <c r="X31" i="22"/>
  <c r="AA31" i="22" s="1"/>
  <c r="AD31" i="22" s="1"/>
  <c r="I31" i="31" s="1"/>
  <c r="W22" i="22"/>
  <c r="W20" i="22"/>
  <c r="X19" i="22"/>
  <c r="AA19" i="22" s="1"/>
  <c r="AD19" i="22" s="1"/>
  <c r="I19" i="31" s="1"/>
  <c r="W19" i="22"/>
  <c r="Z19" i="22" s="1"/>
  <c r="AC19" i="22" s="1"/>
  <c r="H19" i="31" s="1"/>
  <c r="X17" i="22"/>
  <c r="AA17" i="22" s="1"/>
  <c r="AD17" i="22" s="1"/>
  <c r="I17" i="31" s="1"/>
  <c r="N26" i="29"/>
  <c r="O26" i="29" s="1"/>
  <c r="P26" i="29" s="1"/>
  <c r="K26" i="31" s="1"/>
  <c r="N18" i="29"/>
  <c r="O18" i="29" s="1"/>
  <c r="P18" i="29" s="1"/>
  <c r="K18" i="31" s="1"/>
  <c r="AP13" i="21"/>
  <c r="AP11" i="21"/>
  <c r="AP9" i="21"/>
  <c r="AP6" i="21"/>
  <c r="AP4" i="21"/>
  <c r="AK26" i="21"/>
  <c r="AA19" i="21"/>
  <c r="W24" i="22"/>
  <c r="Z24" i="22" s="1"/>
  <c r="AC24" i="22" s="1"/>
  <c r="H24" i="31" s="1"/>
  <c r="X23" i="22"/>
  <c r="AA23" i="22" s="1"/>
  <c r="AD23" i="22" s="1"/>
  <c r="I23" i="31" s="1"/>
  <c r="W23" i="22"/>
  <c r="Z23" i="22" s="1"/>
  <c r="AC23" i="22" s="1"/>
  <c r="H23" i="31" s="1"/>
  <c r="X21" i="22"/>
  <c r="AA21" i="22" s="1"/>
  <c r="AD21" i="22" s="1"/>
  <c r="I21" i="31" s="1"/>
  <c r="N31" i="29"/>
  <c r="O31" i="29" s="1"/>
  <c r="P31" i="29" s="1"/>
  <c r="K31" i="31" s="1"/>
  <c r="N20" i="29"/>
  <c r="O20" i="29" s="1"/>
  <c r="P20" i="29" s="1"/>
  <c r="K20" i="31" s="1"/>
  <c r="N8" i="29"/>
  <c r="O8" i="29" s="1"/>
  <c r="P8" i="29" s="1"/>
  <c r="K8" i="31" s="1"/>
  <c r="N7" i="29"/>
  <c r="O7" i="29" s="1"/>
  <c r="P7" i="29" s="1"/>
  <c r="K7" i="31" s="1"/>
  <c r="N12" i="29"/>
  <c r="O12" i="29" s="1"/>
  <c r="P12" i="29" s="1"/>
  <c r="K12" i="31" s="1"/>
  <c r="N3" i="29"/>
  <c r="O3" i="29" s="1"/>
  <c r="P3" i="29" s="1"/>
  <c r="K3" i="31" s="1"/>
  <c r="AA38" i="21"/>
  <c r="AK28" i="21"/>
  <c r="AA28" i="21"/>
  <c r="AA23" i="21"/>
  <c r="AK21" i="21"/>
  <c r="AA21" i="21"/>
  <c r="AK15" i="21"/>
  <c r="AA15" i="21"/>
  <c r="W31" i="22"/>
  <c r="W27" i="22"/>
  <c r="W25" i="22"/>
  <c r="W21" i="22"/>
  <c r="W17" i="22"/>
  <c r="AA52" i="21"/>
  <c r="X52" i="22"/>
  <c r="AA52" i="22" s="1"/>
  <c r="AD52" i="22" s="1"/>
  <c r="I52" i="31" s="1"/>
  <c r="N58" i="29"/>
  <c r="O58" i="29" s="1"/>
  <c r="P58" i="29" s="1"/>
  <c r="K58" i="31" s="1"/>
  <c r="N57" i="29"/>
  <c r="O57" i="29" s="1"/>
  <c r="P57" i="29" s="1"/>
  <c r="K57" i="31" s="1"/>
  <c r="N54" i="29"/>
  <c r="O54" i="29" s="1"/>
  <c r="P54" i="29" s="1"/>
  <c r="K54" i="31" s="1"/>
  <c r="N50" i="29"/>
  <c r="O50" i="29" s="1"/>
  <c r="P50" i="29" s="1"/>
  <c r="K50" i="31" s="1"/>
  <c r="AK44" i="21"/>
  <c r="AA43" i="21"/>
  <c r="AA42" i="21"/>
  <c r="X43" i="22"/>
  <c r="AA43" i="22" s="1"/>
  <c r="AD43" i="22" s="1"/>
  <c r="I43" i="31" s="1"/>
  <c r="W43" i="22"/>
  <c r="N43" i="29"/>
  <c r="O43" i="29" s="1"/>
  <c r="P43" i="29" s="1"/>
  <c r="K43" i="31" s="1"/>
  <c r="AK39" i="21"/>
  <c r="AR39" i="21" s="1"/>
  <c r="AF37" i="21"/>
  <c r="AK34" i="21"/>
  <c r="AK29" i="21"/>
  <c r="AA29" i="21"/>
  <c r="AQ29" i="21" s="1"/>
  <c r="AT29" i="21" s="1"/>
  <c r="AW29" i="21" s="1"/>
  <c r="E29" i="31" s="1"/>
  <c r="AP24" i="21"/>
  <c r="AK24" i="21"/>
  <c r="Z22" i="22"/>
  <c r="AC22" i="22" s="1"/>
  <c r="H22" i="31" s="1"/>
  <c r="AK57" i="21"/>
  <c r="X58" i="22"/>
  <c r="AA58" i="22" s="1"/>
  <c r="AD58" i="22" s="1"/>
  <c r="I58" i="31" s="1"/>
  <c r="N59" i="29"/>
  <c r="O59" i="29" s="1"/>
  <c r="P59" i="29" s="1"/>
  <c r="K59" i="31" s="1"/>
  <c r="AP46" i="21"/>
  <c r="AK46" i="21"/>
  <c r="AA46" i="21"/>
  <c r="AA44" i="21"/>
  <c r="AK43" i="21"/>
  <c r="AK42" i="21"/>
  <c r="AA39" i="21"/>
  <c r="AP36" i="21"/>
  <c r="AK36" i="21"/>
  <c r="AP35" i="21"/>
  <c r="X36" i="22"/>
  <c r="AA36" i="22" s="1"/>
  <c r="AD36" i="22" s="1"/>
  <c r="I36" i="31" s="1"/>
  <c r="W36" i="22"/>
  <c r="N34" i="29"/>
  <c r="O34" i="29" s="1"/>
  <c r="P34" i="29" s="1"/>
  <c r="K34" i="31" s="1"/>
  <c r="AA24" i="21"/>
  <c r="AK20" i="21"/>
  <c r="AA20" i="21"/>
  <c r="AK16" i="21"/>
  <c r="AA16" i="21"/>
  <c r="X34" i="22"/>
  <c r="AA34" i="22" s="1"/>
  <c r="AD34" i="22" s="1"/>
  <c r="I34" i="31" s="1"/>
  <c r="W34" i="22"/>
  <c r="N39" i="29"/>
  <c r="O39" i="29" s="1"/>
  <c r="P39" i="29" s="1"/>
  <c r="K39" i="31" s="1"/>
  <c r="N25" i="29"/>
  <c r="O25" i="29" s="1"/>
  <c r="P25" i="29" s="1"/>
  <c r="K25" i="31" s="1"/>
  <c r="N21" i="29"/>
  <c r="O21" i="29" s="1"/>
  <c r="P21" i="29" s="1"/>
  <c r="K21" i="31" s="1"/>
  <c r="N17" i="29"/>
  <c r="O17" i="29" s="1"/>
  <c r="P17" i="29" s="1"/>
  <c r="K17" i="31" s="1"/>
  <c r="N27" i="29"/>
  <c r="O27" i="29" s="1"/>
  <c r="P27" i="29" s="1"/>
  <c r="K27" i="31" s="1"/>
  <c r="N23" i="29"/>
  <c r="O23" i="29" s="1"/>
  <c r="P23" i="29" s="1"/>
  <c r="K23" i="31" s="1"/>
  <c r="N19" i="29"/>
  <c r="O19" i="29" s="1"/>
  <c r="P19" i="29" s="1"/>
  <c r="K19" i="31" s="1"/>
  <c r="N15" i="29"/>
  <c r="AP37" i="21"/>
  <c r="AA36" i="21"/>
  <c r="X44" i="22"/>
  <c r="AA44" i="22" s="1"/>
  <c r="AD44" i="22" s="1"/>
  <c r="I44" i="31" s="1"/>
  <c r="W44" i="22"/>
  <c r="Z44" i="22" s="1"/>
  <c r="AC44" i="22" s="1"/>
  <c r="H44" i="31" s="1"/>
  <c r="AP34" i="21"/>
  <c r="W50" i="22"/>
  <c r="Z50" i="22" s="1"/>
  <c r="AC50" i="22" s="1"/>
  <c r="H50" i="31" s="1"/>
  <c r="X49" i="22"/>
  <c r="AA49" i="22" s="1"/>
  <c r="AD49" i="22" s="1"/>
  <c r="I49" i="31" s="1"/>
  <c r="W37" i="22"/>
  <c r="AP56" i="21"/>
  <c r="AA54" i="21"/>
  <c r="AP51" i="21"/>
  <c r="AF51" i="21"/>
  <c r="AA51" i="21"/>
  <c r="AA50" i="21"/>
  <c r="AK49" i="21"/>
  <c r="AA49" i="21"/>
  <c r="X57" i="22"/>
  <c r="AA57" i="22" s="1"/>
  <c r="AD57" i="22" s="1"/>
  <c r="I57" i="31" s="1"/>
  <c r="W52" i="22"/>
  <c r="Z52" i="22" s="1"/>
  <c r="AC52" i="22" s="1"/>
  <c r="H52" i="31" s="1"/>
  <c r="N53" i="29"/>
  <c r="O53" i="29" s="1"/>
  <c r="P53" i="29" s="1"/>
  <c r="K53" i="31" s="1"/>
  <c r="AP44" i="21"/>
  <c r="AP43" i="21"/>
  <c r="AP42" i="21"/>
  <c r="X46" i="22"/>
  <c r="AA46" i="22" s="1"/>
  <c r="AD46" i="22" s="1"/>
  <c r="I46" i="31" s="1"/>
  <c r="W46" i="22"/>
  <c r="AK35" i="21"/>
  <c r="AA34" i="21"/>
  <c r="AA35" i="21"/>
  <c r="AA58" i="21"/>
  <c r="AA57" i="21"/>
  <c r="AP54" i="21"/>
  <c r="N51" i="29"/>
  <c r="O51" i="29" s="1"/>
  <c r="P51" i="29" s="1"/>
  <c r="K51" i="31" s="1"/>
  <c r="AP45" i="21"/>
  <c r="AK45" i="21"/>
  <c r="N46" i="29"/>
  <c r="O46" i="29" s="1"/>
  <c r="P46" i="29" s="1"/>
  <c r="K46" i="31" s="1"/>
  <c r="AA37" i="21"/>
  <c r="AA45" i="21"/>
  <c r="X42" i="22"/>
  <c r="AA42" i="22" s="1"/>
  <c r="AD42" i="22" s="1"/>
  <c r="I42" i="31" s="1"/>
  <c r="N44" i="29"/>
  <c r="O44" i="29" s="1"/>
  <c r="P44" i="29" s="1"/>
  <c r="K44" i="31" s="1"/>
  <c r="AK53" i="21"/>
  <c r="AP50" i="21"/>
  <c r="AP55" i="21"/>
  <c r="AF59" i="21"/>
  <c r="AA59" i="21"/>
  <c r="AF58" i="21"/>
  <c r="AK56" i="21"/>
  <c r="AK50" i="21"/>
  <c r="AR50" i="21" s="1"/>
  <c r="AK59" i="21"/>
  <c r="AP53" i="21"/>
  <c r="AP49" i="21"/>
  <c r="W58" i="22"/>
  <c r="N55" i="29"/>
  <c r="O55" i="29" s="1"/>
  <c r="P55" i="29" s="1"/>
  <c r="K55" i="31" s="1"/>
  <c r="AA56" i="21"/>
  <c r="AF55" i="21"/>
  <c r="AA55" i="21"/>
  <c r="AF54" i="21"/>
  <c r="AK52" i="21"/>
  <c r="AF50" i="21"/>
  <c r="W54" i="22"/>
  <c r="Z54" i="22" s="1"/>
  <c r="AC54" i="22" s="1"/>
  <c r="H54" i="31" s="1"/>
  <c r="N56" i="29"/>
  <c r="O56" i="29" s="1"/>
  <c r="P56" i="29" s="1"/>
  <c r="K56" i="31" s="1"/>
  <c r="N52" i="29"/>
  <c r="O52" i="29" s="1"/>
  <c r="P52" i="29" s="1"/>
  <c r="K52" i="31" s="1"/>
  <c r="AK58" i="21"/>
  <c r="AK51" i="21"/>
  <c r="AK54" i="21"/>
  <c r="AK55" i="21"/>
  <c r="X55" i="22"/>
  <c r="AA55" i="22" s="1"/>
  <c r="AD55" i="22" s="1"/>
  <c r="I55" i="31" s="1"/>
  <c r="W55" i="22"/>
  <c r="W53" i="22"/>
  <c r="AF57" i="21"/>
  <c r="AF53" i="21"/>
  <c r="AF49" i="21"/>
  <c r="W57" i="22"/>
  <c r="W49" i="22"/>
  <c r="AF56" i="21"/>
  <c r="AF52" i="21"/>
  <c r="W59" i="22"/>
  <c r="W51" i="22"/>
  <c r="Q28" i="29" l="1"/>
  <c r="R28" i="29" s="1"/>
  <c r="S28" i="29" s="1"/>
  <c r="L28" i="31" s="1"/>
  <c r="AR18" i="21"/>
  <c r="AU18" i="21" s="1"/>
  <c r="AX18" i="21" s="1"/>
  <c r="F18" i="31" s="1"/>
  <c r="AQ23" i="21"/>
  <c r="AT23" i="21" s="1"/>
  <c r="AW23" i="21" s="1"/>
  <c r="E23" i="31" s="1"/>
  <c r="T4" i="29"/>
  <c r="U4" i="29" s="1"/>
  <c r="V4" i="29" s="1"/>
  <c r="M4" i="31" s="1"/>
  <c r="AQ46" i="21"/>
  <c r="AT46" i="21" s="1"/>
  <c r="AW46" i="21" s="1"/>
  <c r="E46" i="31" s="1"/>
  <c r="Z28" i="22"/>
  <c r="AC28" i="22" s="1"/>
  <c r="H28" i="31" s="1"/>
  <c r="Y22" i="22"/>
  <c r="AB22" i="22" s="1"/>
  <c r="AE22" i="22" s="1"/>
  <c r="J22" i="31" s="1"/>
  <c r="AR28" i="21"/>
  <c r="AQ28" i="21"/>
  <c r="AT28" i="21" s="1"/>
  <c r="AW28" i="21" s="1"/>
  <c r="E28" i="31" s="1"/>
  <c r="AR26" i="21"/>
  <c r="AR11" i="21"/>
  <c r="AU11" i="21" s="1"/>
  <c r="AX11" i="21" s="1"/>
  <c r="F11" i="31" s="1"/>
  <c r="Q13" i="29"/>
  <c r="R13" i="29" s="1"/>
  <c r="S13" i="29" s="1"/>
  <c r="L13" i="31" s="1"/>
  <c r="AQ35" i="21"/>
  <c r="AT35" i="21" s="1"/>
  <c r="AW35" i="21" s="1"/>
  <c r="E35" i="31" s="1"/>
  <c r="AQ16" i="21"/>
  <c r="AT16" i="21" s="1"/>
  <c r="AW16" i="21" s="1"/>
  <c r="E16" i="31" s="1"/>
  <c r="Q16" i="29"/>
  <c r="R16" i="29" s="1"/>
  <c r="S16" i="29" s="1"/>
  <c r="L16" i="31" s="1"/>
  <c r="Q9" i="29"/>
  <c r="R9" i="29" s="1"/>
  <c r="S9" i="29" s="1"/>
  <c r="L9" i="31" s="1"/>
  <c r="AR7" i="21"/>
  <c r="AU7" i="21" s="1"/>
  <c r="AX7" i="21" s="1"/>
  <c r="F7" i="31" s="1"/>
  <c r="AQ9" i="21"/>
  <c r="AT9" i="21" s="1"/>
  <c r="AW9" i="21" s="1"/>
  <c r="E9" i="31" s="1"/>
  <c r="AQ49" i="21"/>
  <c r="AT49" i="21" s="1"/>
  <c r="AW49" i="21" s="1"/>
  <c r="E49" i="31" s="1"/>
  <c r="Z30" i="22"/>
  <c r="AC30" i="22" s="1"/>
  <c r="H30" i="31" s="1"/>
  <c r="Y39" i="22"/>
  <c r="AB39" i="22" s="1"/>
  <c r="AE39" i="22" s="1"/>
  <c r="J39" i="31" s="1"/>
  <c r="AQ43" i="21"/>
  <c r="AT43" i="21" s="1"/>
  <c r="AW43" i="21" s="1"/>
  <c r="E43" i="31" s="1"/>
  <c r="Z16" i="22"/>
  <c r="AC16" i="22" s="1"/>
  <c r="H16" i="31" s="1"/>
  <c r="Y16" i="22"/>
  <c r="AB16" i="22" s="1"/>
  <c r="AE16" i="22" s="1"/>
  <c r="J16" i="31" s="1"/>
  <c r="Z9" i="22"/>
  <c r="AC9" i="22" s="1"/>
  <c r="H9" i="31" s="1"/>
  <c r="AR30" i="21"/>
  <c r="AU30" i="21" s="1"/>
  <c r="AX30" i="21" s="1"/>
  <c r="F30" i="31" s="1"/>
  <c r="Q42" i="29"/>
  <c r="R42" i="29" s="1"/>
  <c r="S42" i="29" s="1"/>
  <c r="L42" i="31" s="1"/>
  <c r="AQ36" i="21"/>
  <c r="AT36" i="21" s="1"/>
  <c r="AW36" i="21" s="1"/>
  <c r="E36" i="31" s="1"/>
  <c r="AQ15" i="21"/>
  <c r="AT15" i="21" s="1"/>
  <c r="AW15" i="21" s="1"/>
  <c r="E15" i="31" s="1"/>
  <c r="AR4" i="21"/>
  <c r="AU4" i="21" s="1"/>
  <c r="AX4" i="21" s="1"/>
  <c r="F4" i="31" s="1"/>
  <c r="AQ52" i="21"/>
  <c r="AT52" i="21" s="1"/>
  <c r="AW52" i="21" s="1"/>
  <c r="E52" i="31" s="1"/>
  <c r="AR57" i="21"/>
  <c r="AU57" i="21" s="1"/>
  <c r="AX57" i="21" s="1"/>
  <c r="F57" i="31" s="1"/>
  <c r="AR31" i="21"/>
  <c r="AU31" i="21" s="1"/>
  <c r="AX31" i="21" s="1"/>
  <c r="F31" i="31" s="1"/>
  <c r="AQ3" i="21"/>
  <c r="AT3" i="21" s="1"/>
  <c r="AW3" i="21" s="1"/>
  <c r="E3" i="31" s="1"/>
  <c r="AR49" i="21"/>
  <c r="T22" i="29"/>
  <c r="U22" i="29" s="1"/>
  <c r="V22" i="29" s="1"/>
  <c r="M22" i="31" s="1"/>
  <c r="Y10" i="22"/>
  <c r="AB10" i="22" s="1"/>
  <c r="AE10" i="22" s="1"/>
  <c r="J10" i="31" s="1"/>
  <c r="Q4" i="29"/>
  <c r="R4" i="29" s="1"/>
  <c r="S4" i="29" s="1"/>
  <c r="L4" i="31" s="1"/>
  <c r="AQ30" i="21"/>
  <c r="AT30" i="21" s="1"/>
  <c r="AW30" i="21" s="1"/>
  <c r="E30" i="31" s="1"/>
  <c r="AQ12" i="21"/>
  <c r="AT12" i="21" s="1"/>
  <c r="AW12" i="21" s="1"/>
  <c r="E12" i="31" s="1"/>
  <c r="AQ5" i="21"/>
  <c r="AT5" i="21" s="1"/>
  <c r="AW5" i="21" s="1"/>
  <c r="E5" i="31" s="1"/>
  <c r="AR51" i="21"/>
  <c r="AQ51" i="21"/>
  <c r="AT51" i="21" s="1"/>
  <c r="AW51" i="21" s="1"/>
  <c r="E51" i="31" s="1"/>
  <c r="Y35" i="22"/>
  <c r="AB35" i="22" s="1"/>
  <c r="AE35" i="22" s="1"/>
  <c r="J35" i="31" s="1"/>
  <c r="Q30" i="29"/>
  <c r="R30" i="29" s="1"/>
  <c r="S30" i="29" s="1"/>
  <c r="L30" i="31" s="1"/>
  <c r="Q10" i="29"/>
  <c r="R10" i="29" s="1"/>
  <c r="S10" i="29" s="1"/>
  <c r="L10" i="31" s="1"/>
  <c r="Y52" i="22"/>
  <c r="AB52" i="22" s="1"/>
  <c r="AE52" i="22" s="1"/>
  <c r="J52" i="31" s="1"/>
  <c r="AR59" i="21"/>
  <c r="AU59" i="21" s="1"/>
  <c r="AX59" i="21" s="1"/>
  <c r="F59" i="31" s="1"/>
  <c r="AR13" i="21"/>
  <c r="AU13" i="21" s="1"/>
  <c r="AX13" i="21" s="1"/>
  <c r="F13" i="31" s="1"/>
  <c r="AQ14" i="21"/>
  <c r="AT14" i="21" s="1"/>
  <c r="AW14" i="21" s="1"/>
  <c r="E14" i="31" s="1"/>
  <c r="AR8" i="21"/>
  <c r="AU8" i="21" s="1"/>
  <c r="AX8" i="21" s="1"/>
  <c r="F8" i="31" s="1"/>
  <c r="Q14" i="29"/>
  <c r="R14" i="29" s="1"/>
  <c r="S14" i="29" s="1"/>
  <c r="L14" i="31" s="1"/>
  <c r="AR19" i="21"/>
  <c r="AU19" i="21" s="1"/>
  <c r="AX19" i="21" s="1"/>
  <c r="F19" i="31" s="1"/>
  <c r="AQ45" i="21"/>
  <c r="AT45" i="21" s="1"/>
  <c r="AW45" i="21" s="1"/>
  <c r="E45" i="31" s="1"/>
  <c r="AQ10" i="21"/>
  <c r="AT10" i="21" s="1"/>
  <c r="AW10" i="21" s="1"/>
  <c r="E10" i="31" s="1"/>
  <c r="AR42" i="21"/>
  <c r="AU42" i="21" s="1"/>
  <c r="AX42" i="21" s="1"/>
  <c r="F42" i="31" s="1"/>
  <c r="AQ39" i="21"/>
  <c r="AT39" i="21" s="1"/>
  <c r="AW39" i="21" s="1"/>
  <c r="E39" i="31" s="1"/>
  <c r="AQ21" i="21"/>
  <c r="AT21" i="21" s="1"/>
  <c r="AW21" i="21" s="1"/>
  <c r="E21" i="31" s="1"/>
  <c r="Q6" i="29"/>
  <c r="R6" i="29" s="1"/>
  <c r="S6" i="29" s="1"/>
  <c r="L6" i="31" s="1"/>
  <c r="AR6" i="21"/>
  <c r="AU6" i="21" s="1"/>
  <c r="AX6" i="21" s="1"/>
  <c r="F6" i="31" s="1"/>
  <c r="AR37" i="21"/>
  <c r="AU37" i="21" s="1"/>
  <c r="AX37" i="21" s="1"/>
  <c r="F37" i="31" s="1"/>
  <c r="AR5" i="21"/>
  <c r="AU5" i="21" s="1"/>
  <c r="AX5" i="21" s="1"/>
  <c r="F5" i="31" s="1"/>
  <c r="AR3" i="21"/>
  <c r="AU3" i="21" s="1"/>
  <c r="AX3" i="21" s="1"/>
  <c r="F3" i="31" s="1"/>
  <c r="AQ53" i="21"/>
  <c r="AT53" i="21" s="1"/>
  <c r="AW53" i="21" s="1"/>
  <c r="E53" i="31" s="1"/>
  <c r="AR54" i="21"/>
  <c r="AU54" i="21" s="1"/>
  <c r="AX54" i="21" s="1"/>
  <c r="F54" i="31" s="1"/>
  <c r="Q45" i="29"/>
  <c r="R45" i="29" s="1"/>
  <c r="S45" i="29" s="1"/>
  <c r="L45" i="31" s="1"/>
  <c r="AR15" i="21"/>
  <c r="AU15" i="21" s="1"/>
  <c r="AX15" i="21" s="1"/>
  <c r="F15" i="31" s="1"/>
  <c r="T10" i="29"/>
  <c r="U10" i="29" s="1"/>
  <c r="V10" i="29" s="1"/>
  <c r="M10" i="31" s="1"/>
  <c r="Y5" i="22"/>
  <c r="AB5" i="22" s="1"/>
  <c r="AE5" i="22" s="1"/>
  <c r="J5" i="31" s="1"/>
  <c r="AQ27" i="21"/>
  <c r="AT27" i="21" s="1"/>
  <c r="AW27" i="21" s="1"/>
  <c r="E27" i="31" s="1"/>
  <c r="AQ13" i="21"/>
  <c r="AT13" i="21" s="1"/>
  <c r="AW13" i="21" s="1"/>
  <c r="E13" i="31" s="1"/>
  <c r="AQ17" i="21"/>
  <c r="AT17" i="21" s="1"/>
  <c r="AW17" i="21" s="1"/>
  <c r="E17" i="31" s="1"/>
  <c r="AR10" i="21"/>
  <c r="AR58" i="21"/>
  <c r="AU58" i="21" s="1"/>
  <c r="AX58" i="21" s="1"/>
  <c r="F58" i="31" s="1"/>
  <c r="Y45" i="22"/>
  <c r="AB45" i="22" s="1"/>
  <c r="AE45" i="22" s="1"/>
  <c r="J45" i="31" s="1"/>
  <c r="T29" i="29"/>
  <c r="U29" i="29" s="1"/>
  <c r="V29" i="29" s="1"/>
  <c r="M29" i="31" s="1"/>
  <c r="Y4" i="22"/>
  <c r="AB4" i="22" s="1"/>
  <c r="AE4" i="22" s="1"/>
  <c r="J4" i="31" s="1"/>
  <c r="T13" i="29"/>
  <c r="U13" i="29" s="1"/>
  <c r="V13" i="29" s="1"/>
  <c r="M13" i="31" s="1"/>
  <c r="AR9" i="21"/>
  <c r="AU9" i="21" s="1"/>
  <c r="AX9" i="21" s="1"/>
  <c r="F9" i="31" s="1"/>
  <c r="T20" i="29"/>
  <c r="U20" i="29" s="1"/>
  <c r="V20" i="29" s="1"/>
  <c r="M20" i="31" s="1"/>
  <c r="AQ11" i="21"/>
  <c r="AT11" i="21" s="1"/>
  <c r="AW11" i="21" s="1"/>
  <c r="E11" i="31" s="1"/>
  <c r="Y56" i="22"/>
  <c r="AB56" i="22" s="1"/>
  <c r="AE56" i="22" s="1"/>
  <c r="J56" i="31" s="1"/>
  <c r="T11" i="29"/>
  <c r="U11" i="29" s="1"/>
  <c r="V11" i="29" s="1"/>
  <c r="M11" i="31" s="1"/>
  <c r="Y7" i="22"/>
  <c r="AB7" i="22" s="1"/>
  <c r="AE7" i="22" s="1"/>
  <c r="J7" i="31" s="1"/>
  <c r="Q22" i="29"/>
  <c r="R22" i="29" s="1"/>
  <c r="S22" i="29" s="1"/>
  <c r="L22" i="31" s="1"/>
  <c r="AR21" i="21"/>
  <c r="AU21" i="21" s="1"/>
  <c r="AX21" i="21" s="1"/>
  <c r="F21" i="31" s="1"/>
  <c r="Z4" i="22"/>
  <c r="AC4" i="22" s="1"/>
  <c r="H4" i="31" s="1"/>
  <c r="AQ31" i="21"/>
  <c r="AT31" i="21" s="1"/>
  <c r="AW31" i="21" s="1"/>
  <c r="E31" i="31" s="1"/>
  <c r="AQ22" i="21"/>
  <c r="AT22" i="21" s="1"/>
  <c r="AW22" i="21" s="1"/>
  <c r="E22" i="31" s="1"/>
  <c r="AR52" i="21"/>
  <c r="AR20" i="21"/>
  <c r="Y14" i="22"/>
  <c r="AB14" i="22" s="1"/>
  <c r="AE14" i="22" s="1"/>
  <c r="J14" i="31" s="1"/>
  <c r="Z20" i="22"/>
  <c r="AC20" i="22" s="1"/>
  <c r="H20" i="31" s="1"/>
  <c r="Y6" i="22"/>
  <c r="AB6" i="22" s="1"/>
  <c r="AE6" i="22" s="1"/>
  <c r="J6" i="31" s="1"/>
  <c r="T6" i="29"/>
  <c r="U6" i="29" s="1"/>
  <c r="V6" i="29" s="1"/>
  <c r="M6" i="31" s="1"/>
  <c r="AQ8" i="21"/>
  <c r="AT8" i="21" s="1"/>
  <c r="AW8" i="21" s="1"/>
  <c r="E8" i="31" s="1"/>
  <c r="Z38" i="22"/>
  <c r="AC38" i="22" s="1"/>
  <c r="H38" i="31" s="1"/>
  <c r="Q38" i="29"/>
  <c r="R38" i="29" s="1"/>
  <c r="S38" i="29" s="1"/>
  <c r="L38" i="31" s="1"/>
  <c r="Z42" i="22"/>
  <c r="AC42" i="22" s="1"/>
  <c r="H42" i="31" s="1"/>
  <c r="Y58" i="22"/>
  <c r="AB58" i="22" s="1"/>
  <c r="AE58" i="22" s="1"/>
  <c r="J58" i="31" s="1"/>
  <c r="AQ24" i="21"/>
  <c r="AT24" i="21" s="1"/>
  <c r="AW24" i="21" s="1"/>
  <c r="E24" i="31" s="1"/>
  <c r="T14" i="29"/>
  <c r="U14" i="29" s="1"/>
  <c r="V14" i="29" s="1"/>
  <c r="M14" i="31" s="1"/>
  <c r="O35" i="29"/>
  <c r="P35" i="29" s="1"/>
  <c r="K35" i="31" s="1"/>
  <c r="Q35" i="29"/>
  <c r="R35" i="29" s="1"/>
  <c r="S35" i="29" s="1"/>
  <c r="L35" i="31" s="1"/>
  <c r="T42" i="29"/>
  <c r="U42" i="29" s="1"/>
  <c r="V42" i="29" s="1"/>
  <c r="M42" i="31" s="1"/>
  <c r="AQ56" i="21"/>
  <c r="AT56" i="21" s="1"/>
  <c r="AW56" i="21" s="1"/>
  <c r="E56" i="31" s="1"/>
  <c r="T45" i="29"/>
  <c r="U45" i="29" s="1"/>
  <c r="V45" i="29" s="1"/>
  <c r="M45" i="31" s="1"/>
  <c r="AQ25" i="21"/>
  <c r="AT25" i="21" s="1"/>
  <c r="AW25" i="21" s="1"/>
  <c r="E25" i="31" s="1"/>
  <c r="Y12" i="22"/>
  <c r="AB12" i="22" s="1"/>
  <c r="AE12" i="22" s="1"/>
  <c r="J12" i="31" s="1"/>
  <c r="AR38" i="21"/>
  <c r="AU38" i="21" s="1"/>
  <c r="AX38" i="21" s="1"/>
  <c r="F38" i="31" s="1"/>
  <c r="AQ20" i="21"/>
  <c r="AT20" i="21" s="1"/>
  <c r="AW20" i="21" s="1"/>
  <c r="E20" i="31" s="1"/>
  <c r="Q29" i="29"/>
  <c r="R29" i="29" s="1"/>
  <c r="S29" i="29" s="1"/>
  <c r="L29" i="31" s="1"/>
  <c r="Y15" i="22"/>
  <c r="AB15" i="22" s="1"/>
  <c r="AE15" i="22" s="1"/>
  <c r="J15" i="31" s="1"/>
  <c r="AR34" i="21"/>
  <c r="Y11" i="22"/>
  <c r="AB11" i="22" s="1"/>
  <c r="AE11" i="22" s="1"/>
  <c r="J11" i="31" s="1"/>
  <c r="Y9" i="22"/>
  <c r="AB9" i="22" s="1"/>
  <c r="AE9" i="22" s="1"/>
  <c r="J9" i="31" s="1"/>
  <c r="AR12" i="21"/>
  <c r="AU12" i="21" s="1"/>
  <c r="AX12" i="21" s="1"/>
  <c r="F12" i="31" s="1"/>
  <c r="AQ19" i="21"/>
  <c r="AT19" i="21" s="1"/>
  <c r="AW19" i="21" s="1"/>
  <c r="E19" i="31" s="1"/>
  <c r="Y13" i="22"/>
  <c r="AB13" i="22" s="1"/>
  <c r="AE13" i="22" s="1"/>
  <c r="J13" i="31" s="1"/>
  <c r="Q56" i="29"/>
  <c r="R56" i="29" s="1"/>
  <c r="S56" i="29" s="1"/>
  <c r="L56" i="31" s="1"/>
  <c r="Q24" i="29"/>
  <c r="R24" i="29" s="1"/>
  <c r="S24" i="29" s="1"/>
  <c r="L24" i="31" s="1"/>
  <c r="AQ34" i="21"/>
  <c r="AT34" i="21" s="1"/>
  <c r="AW34" i="21" s="1"/>
  <c r="E34" i="31" s="1"/>
  <c r="Y26" i="22"/>
  <c r="AB26" i="22" s="1"/>
  <c r="AE26" i="22" s="1"/>
  <c r="J26" i="31" s="1"/>
  <c r="AQ26" i="21"/>
  <c r="AT26" i="21" s="1"/>
  <c r="AW26" i="21" s="1"/>
  <c r="E26" i="31" s="1"/>
  <c r="T26" i="29"/>
  <c r="U26" i="29" s="1"/>
  <c r="V26" i="29" s="1"/>
  <c r="M26" i="31" s="1"/>
  <c r="AS18" i="21"/>
  <c r="AV18" i="21" s="1"/>
  <c r="AR17" i="21"/>
  <c r="AU17" i="21" s="1"/>
  <c r="AX17" i="21" s="1"/>
  <c r="F17" i="31" s="1"/>
  <c r="Q39" i="29"/>
  <c r="R39" i="29" s="1"/>
  <c r="S39" i="29" s="1"/>
  <c r="L39" i="31" s="1"/>
  <c r="T39" i="29"/>
  <c r="U39" i="29" s="1"/>
  <c r="V39" i="29" s="1"/>
  <c r="M39" i="31" s="1"/>
  <c r="Y36" i="22"/>
  <c r="AB36" i="22" s="1"/>
  <c r="AE36" i="22" s="1"/>
  <c r="J36" i="31" s="1"/>
  <c r="AQ38" i="21"/>
  <c r="AT38" i="21" s="1"/>
  <c r="AW38" i="21" s="1"/>
  <c r="E38" i="31" s="1"/>
  <c r="AR23" i="21"/>
  <c r="AU23" i="21" s="1"/>
  <c r="AX23" i="21" s="1"/>
  <c r="F23" i="31" s="1"/>
  <c r="Y23" i="22"/>
  <c r="AB23" i="22" s="1"/>
  <c r="AE23" i="22" s="1"/>
  <c r="J23" i="31" s="1"/>
  <c r="Z13" i="22"/>
  <c r="AC13" i="22" s="1"/>
  <c r="H13" i="31" s="1"/>
  <c r="Q12" i="29"/>
  <c r="R12" i="29" s="1"/>
  <c r="S12" i="29" s="1"/>
  <c r="L12" i="31" s="1"/>
  <c r="Z12" i="22"/>
  <c r="AC12" i="22" s="1"/>
  <c r="H12" i="31" s="1"/>
  <c r="Z11" i="22"/>
  <c r="AC11" i="22" s="1"/>
  <c r="H11" i="31" s="1"/>
  <c r="Q11" i="29"/>
  <c r="R11" i="29" s="1"/>
  <c r="S11" i="29" s="1"/>
  <c r="L11" i="31" s="1"/>
  <c r="T9" i="29"/>
  <c r="U9" i="29" s="1"/>
  <c r="V9" i="29" s="1"/>
  <c r="M9" i="31" s="1"/>
  <c r="Y8" i="22"/>
  <c r="AB8" i="22" s="1"/>
  <c r="AE8" i="22" s="1"/>
  <c r="J8" i="31" s="1"/>
  <c r="AQ42" i="21"/>
  <c r="AT42" i="21" s="1"/>
  <c r="AW42" i="21" s="1"/>
  <c r="E42" i="31" s="1"/>
  <c r="AQ44" i="21"/>
  <c r="AT44" i="21" s="1"/>
  <c r="AW44" i="21" s="1"/>
  <c r="E44" i="31" s="1"/>
  <c r="Y42" i="22"/>
  <c r="AB42" i="22" s="1"/>
  <c r="AE42" i="22" s="1"/>
  <c r="J42" i="31" s="1"/>
  <c r="Y54" i="22"/>
  <c r="AB54" i="22" s="1"/>
  <c r="AE54" i="22" s="1"/>
  <c r="J54" i="31" s="1"/>
  <c r="T46" i="29"/>
  <c r="U46" i="29" s="1"/>
  <c r="V46" i="29" s="1"/>
  <c r="M46" i="31" s="1"/>
  <c r="T58" i="29"/>
  <c r="U58" i="29" s="1"/>
  <c r="V58" i="29" s="1"/>
  <c r="M58" i="31" s="1"/>
  <c r="Y38" i="22"/>
  <c r="AB38" i="22" s="1"/>
  <c r="AE38" i="22" s="1"/>
  <c r="J38" i="31" s="1"/>
  <c r="Z39" i="22"/>
  <c r="AC39" i="22" s="1"/>
  <c r="H39" i="31" s="1"/>
  <c r="T23" i="29"/>
  <c r="U23" i="29" s="1"/>
  <c r="V23" i="29" s="1"/>
  <c r="M23" i="31" s="1"/>
  <c r="Y28" i="22"/>
  <c r="AB28" i="22" s="1"/>
  <c r="AE28" i="22" s="1"/>
  <c r="J28" i="31" s="1"/>
  <c r="Y20" i="22"/>
  <c r="AB20" i="22" s="1"/>
  <c r="AE20" i="22" s="1"/>
  <c r="J20" i="31" s="1"/>
  <c r="Y24" i="22"/>
  <c r="AB24" i="22" s="1"/>
  <c r="AE24" i="22" s="1"/>
  <c r="J24" i="31" s="1"/>
  <c r="T30" i="29"/>
  <c r="U30" i="29" s="1"/>
  <c r="V30" i="29" s="1"/>
  <c r="M30" i="31" s="1"/>
  <c r="Q7" i="29"/>
  <c r="R7" i="29" s="1"/>
  <c r="S7" i="29" s="1"/>
  <c r="L7" i="31" s="1"/>
  <c r="T5" i="29"/>
  <c r="U5" i="29" s="1"/>
  <c r="V5" i="29" s="1"/>
  <c r="M5" i="31" s="1"/>
  <c r="Q3" i="29"/>
  <c r="R3" i="29" s="1"/>
  <c r="S3" i="29" s="1"/>
  <c r="L3" i="31" s="1"/>
  <c r="T8" i="29"/>
  <c r="U8" i="29" s="1"/>
  <c r="V8" i="29" s="1"/>
  <c r="M8" i="31" s="1"/>
  <c r="Y50" i="22"/>
  <c r="AB50" i="22" s="1"/>
  <c r="AE50" i="22" s="1"/>
  <c r="J50" i="31" s="1"/>
  <c r="T54" i="29"/>
  <c r="U54" i="29" s="1"/>
  <c r="V54" i="29" s="1"/>
  <c r="M54" i="31" s="1"/>
  <c r="T56" i="29"/>
  <c r="U56" i="29" s="1"/>
  <c r="V56" i="29" s="1"/>
  <c r="M56" i="31" s="1"/>
  <c r="Q46" i="29"/>
  <c r="R46" i="29" s="1"/>
  <c r="S46" i="29" s="1"/>
  <c r="L46" i="31" s="1"/>
  <c r="AQ50" i="21"/>
  <c r="AT50" i="21" s="1"/>
  <c r="AW50" i="21" s="1"/>
  <c r="E50" i="31" s="1"/>
  <c r="T35" i="29"/>
  <c r="U35" i="29" s="1"/>
  <c r="V35" i="29" s="1"/>
  <c r="M35" i="31" s="1"/>
  <c r="T38" i="29"/>
  <c r="U38" i="29" s="1"/>
  <c r="V38" i="29" s="1"/>
  <c r="M38" i="31" s="1"/>
  <c r="Q18" i="29"/>
  <c r="R18" i="29" s="1"/>
  <c r="S18" i="29" s="1"/>
  <c r="L18" i="31" s="1"/>
  <c r="T28" i="29"/>
  <c r="U28" i="29" s="1"/>
  <c r="V28" i="29" s="1"/>
  <c r="M28" i="31" s="1"/>
  <c r="AR25" i="21"/>
  <c r="AR27" i="21"/>
  <c r="AU27" i="21" s="1"/>
  <c r="AX27" i="21" s="1"/>
  <c r="F27" i="31" s="1"/>
  <c r="Q5" i="29"/>
  <c r="R5" i="29" s="1"/>
  <c r="S5" i="29" s="1"/>
  <c r="L5" i="31" s="1"/>
  <c r="AR22" i="21"/>
  <c r="Q15" i="29"/>
  <c r="R15" i="29" s="1"/>
  <c r="S15" i="29" s="1"/>
  <c r="L15" i="31" s="1"/>
  <c r="T34" i="29"/>
  <c r="U34" i="29" s="1"/>
  <c r="V34" i="29" s="1"/>
  <c r="M34" i="31" s="1"/>
  <c r="AR16" i="21"/>
  <c r="AU16" i="21" s="1"/>
  <c r="AX16" i="21" s="1"/>
  <c r="F16" i="31" s="1"/>
  <c r="T18" i="29"/>
  <c r="U18" i="29" s="1"/>
  <c r="V18" i="29" s="1"/>
  <c r="M18" i="31" s="1"/>
  <c r="Y29" i="22"/>
  <c r="AB29" i="22" s="1"/>
  <c r="AE29" i="22" s="1"/>
  <c r="J29" i="31" s="1"/>
  <c r="AR29" i="21"/>
  <c r="AS29" i="21" s="1"/>
  <c r="AV29" i="21" s="1"/>
  <c r="T24" i="29"/>
  <c r="U24" i="29" s="1"/>
  <c r="V24" i="29" s="1"/>
  <c r="M24" i="31" s="1"/>
  <c r="Q26" i="29"/>
  <c r="R26" i="29" s="1"/>
  <c r="S26" i="29" s="1"/>
  <c r="L26" i="31" s="1"/>
  <c r="Y3" i="22"/>
  <c r="AB3" i="22" s="1"/>
  <c r="AE3" i="22" s="1"/>
  <c r="J3" i="31" s="1"/>
  <c r="Q43" i="29"/>
  <c r="R43" i="29" s="1"/>
  <c r="S43" i="29" s="1"/>
  <c r="L43" i="31" s="1"/>
  <c r="T43" i="29"/>
  <c r="U43" i="29" s="1"/>
  <c r="V43" i="29" s="1"/>
  <c r="M43" i="31" s="1"/>
  <c r="AR43" i="21"/>
  <c r="AU43" i="21" s="1"/>
  <c r="AX43" i="21" s="1"/>
  <c r="F43" i="31" s="1"/>
  <c r="Z58" i="22"/>
  <c r="AC58" i="22" s="1"/>
  <c r="H58" i="31" s="1"/>
  <c r="AR53" i="21"/>
  <c r="AU53" i="21" s="1"/>
  <c r="AX53" i="21" s="1"/>
  <c r="F53" i="31" s="1"/>
  <c r="AR46" i="21"/>
  <c r="AU46" i="21" s="1"/>
  <c r="AX46" i="21" s="1"/>
  <c r="F46" i="31" s="1"/>
  <c r="Y18" i="22"/>
  <c r="AB18" i="22" s="1"/>
  <c r="AE18" i="22" s="1"/>
  <c r="J18" i="31" s="1"/>
  <c r="Q20" i="29"/>
  <c r="R20" i="29" s="1"/>
  <c r="S20" i="29" s="1"/>
  <c r="L20" i="31" s="1"/>
  <c r="AR14" i="21"/>
  <c r="T3" i="29"/>
  <c r="U3" i="29" s="1"/>
  <c r="V3" i="29" s="1"/>
  <c r="M3" i="31" s="1"/>
  <c r="T12" i="29"/>
  <c r="U12" i="29" s="1"/>
  <c r="V12" i="29" s="1"/>
  <c r="M12" i="31" s="1"/>
  <c r="T50" i="29"/>
  <c r="U50" i="29" s="1"/>
  <c r="V50" i="29" s="1"/>
  <c r="M50" i="31" s="1"/>
  <c r="Q54" i="29"/>
  <c r="R54" i="29" s="1"/>
  <c r="S54" i="29" s="1"/>
  <c r="L54" i="31" s="1"/>
  <c r="Q58" i="29"/>
  <c r="R58" i="29" s="1"/>
  <c r="S58" i="29" s="1"/>
  <c r="L58" i="31" s="1"/>
  <c r="AR55" i="21"/>
  <c r="AU55" i="21" s="1"/>
  <c r="AX55" i="21" s="1"/>
  <c r="F55" i="31" s="1"/>
  <c r="AQ58" i="21"/>
  <c r="AT58" i="21" s="1"/>
  <c r="AW58" i="21" s="1"/>
  <c r="E58" i="31" s="1"/>
  <c r="AR35" i="21"/>
  <c r="AU35" i="21" s="1"/>
  <c r="AX35" i="21" s="1"/>
  <c r="F35" i="31" s="1"/>
  <c r="Y19" i="22"/>
  <c r="AB19" i="22" s="1"/>
  <c r="AE19" i="22" s="1"/>
  <c r="J19" i="31" s="1"/>
  <c r="T7" i="29"/>
  <c r="U7" i="29" s="1"/>
  <c r="V7" i="29" s="1"/>
  <c r="M7" i="31" s="1"/>
  <c r="T19" i="29"/>
  <c r="U19" i="29" s="1"/>
  <c r="V19" i="29" s="1"/>
  <c r="M19" i="31" s="1"/>
  <c r="Q8" i="29"/>
  <c r="R8" i="29" s="1"/>
  <c r="S8" i="29" s="1"/>
  <c r="L8" i="31" s="1"/>
  <c r="Z36" i="22"/>
  <c r="AC36" i="22" s="1"/>
  <c r="H36" i="31" s="1"/>
  <c r="Q36" i="29"/>
  <c r="R36" i="29" s="1"/>
  <c r="S36" i="29" s="1"/>
  <c r="L36" i="31" s="1"/>
  <c r="T36" i="29"/>
  <c r="U36" i="29" s="1"/>
  <c r="V36" i="29" s="1"/>
  <c r="M36" i="31" s="1"/>
  <c r="AQ57" i="21"/>
  <c r="AT57" i="21" s="1"/>
  <c r="AW57" i="21" s="1"/>
  <c r="E57" i="31" s="1"/>
  <c r="AR56" i="21"/>
  <c r="AU56" i="21" s="1"/>
  <c r="AX56" i="21" s="1"/>
  <c r="F56" i="31" s="1"/>
  <c r="O15" i="29"/>
  <c r="P15" i="29" s="1"/>
  <c r="K15" i="31" s="1"/>
  <c r="T15" i="29"/>
  <c r="U15" i="29" s="1"/>
  <c r="V15" i="29" s="1"/>
  <c r="M15" i="31" s="1"/>
  <c r="Q34" i="29"/>
  <c r="R34" i="29" s="1"/>
  <c r="S34" i="29" s="1"/>
  <c r="L34" i="31" s="1"/>
  <c r="Z34" i="22"/>
  <c r="AC34" i="22" s="1"/>
  <c r="H34" i="31" s="1"/>
  <c r="Y34" i="22"/>
  <c r="AB34" i="22" s="1"/>
  <c r="AE34" i="22" s="1"/>
  <c r="J34" i="31" s="1"/>
  <c r="Y43" i="22"/>
  <c r="AB43" i="22" s="1"/>
  <c r="AE43" i="22" s="1"/>
  <c r="J43" i="31" s="1"/>
  <c r="Z43" i="22"/>
  <c r="AC43" i="22" s="1"/>
  <c r="H43" i="31" s="1"/>
  <c r="T17" i="29"/>
  <c r="U17" i="29" s="1"/>
  <c r="V17" i="29" s="1"/>
  <c r="M17" i="31" s="1"/>
  <c r="Y17" i="22"/>
  <c r="AB17" i="22" s="1"/>
  <c r="AE17" i="22" s="1"/>
  <c r="J17" i="31" s="1"/>
  <c r="Q17" i="29"/>
  <c r="R17" i="29" s="1"/>
  <c r="S17" i="29" s="1"/>
  <c r="L17" i="31" s="1"/>
  <c r="Z17" i="22"/>
  <c r="AC17" i="22" s="1"/>
  <c r="H17" i="31" s="1"/>
  <c r="T31" i="29"/>
  <c r="U31" i="29" s="1"/>
  <c r="V31" i="29" s="1"/>
  <c r="M31" i="31" s="1"/>
  <c r="Y31" i="22"/>
  <c r="AB31" i="22" s="1"/>
  <c r="AE31" i="22" s="1"/>
  <c r="J31" i="31" s="1"/>
  <c r="Z31" i="22"/>
  <c r="AC31" i="22" s="1"/>
  <c r="H31" i="31" s="1"/>
  <c r="Q31" i="29"/>
  <c r="R31" i="29" s="1"/>
  <c r="S31" i="29" s="1"/>
  <c r="L31" i="31" s="1"/>
  <c r="T44" i="29"/>
  <c r="U44" i="29" s="1"/>
  <c r="V44" i="29" s="1"/>
  <c r="M44" i="31" s="1"/>
  <c r="Y44" i="22"/>
  <c r="AB44" i="22" s="1"/>
  <c r="AE44" i="22" s="1"/>
  <c r="J44" i="31" s="1"/>
  <c r="AQ55" i="21"/>
  <c r="AT55" i="21" s="1"/>
  <c r="AW55" i="21" s="1"/>
  <c r="E55" i="31" s="1"/>
  <c r="AR44" i="21"/>
  <c r="AU44" i="21" s="1"/>
  <c r="AX44" i="21" s="1"/>
  <c r="F44" i="31" s="1"/>
  <c r="T21" i="29"/>
  <c r="U21" i="29" s="1"/>
  <c r="V21" i="29" s="1"/>
  <c r="M21" i="31" s="1"/>
  <c r="Y21" i="22"/>
  <c r="AB21" i="22" s="1"/>
  <c r="AE21" i="22" s="1"/>
  <c r="J21" i="31" s="1"/>
  <c r="Q21" i="29"/>
  <c r="R21" i="29" s="1"/>
  <c r="S21" i="29" s="1"/>
  <c r="L21" i="31" s="1"/>
  <c r="Z21" i="22"/>
  <c r="AC21" i="22" s="1"/>
  <c r="H21" i="31" s="1"/>
  <c r="AU28" i="21"/>
  <c r="AX28" i="21" s="1"/>
  <c r="F28" i="31" s="1"/>
  <c r="AQ37" i="21"/>
  <c r="AT37" i="21" s="1"/>
  <c r="AW37" i="21" s="1"/>
  <c r="E37" i="31" s="1"/>
  <c r="AR45" i="21"/>
  <c r="AU45" i="21" s="1"/>
  <c r="AX45" i="21" s="1"/>
  <c r="F45" i="31" s="1"/>
  <c r="Y46" i="22"/>
  <c r="AB46" i="22" s="1"/>
  <c r="AE46" i="22" s="1"/>
  <c r="J46" i="31" s="1"/>
  <c r="AR36" i="21"/>
  <c r="Q23" i="29"/>
  <c r="R23" i="29" s="1"/>
  <c r="S23" i="29" s="1"/>
  <c r="L23" i="31" s="1"/>
  <c r="T25" i="29"/>
  <c r="U25" i="29" s="1"/>
  <c r="V25" i="29" s="1"/>
  <c r="M25" i="31" s="1"/>
  <c r="Q25" i="29"/>
  <c r="R25" i="29" s="1"/>
  <c r="S25" i="29" s="1"/>
  <c r="L25" i="31" s="1"/>
  <c r="Y25" i="22"/>
  <c r="AB25" i="22" s="1"/>
  <c r="AE25" i="22" s="1"/>
  <c r="J25" i="31" s="1"/>
  <c r="Z25" i="22"/>
  <c r="AC25" i="22" s="1"/>
  <c r="H25" i="31" s="1"/>
  <c r="AU26" i="21"/>
  <c r="AX26" i="21" s="1"/>
  <c r="F26" i="31" s="1"/>
  <c r="AQ54" i="21"/>
  <c r="AT54" i="21" s="1"/>
  <c r="AW54" i="21" s="1"/>
  <c r="E54" i="31" s="1"/>
  <c r="AQ59" i="21"/>
  <c r="AT59" i="21" s="1"/>
  <c r="AW59" i="21" s="1"/>
  <c r="E59" i="31" s="1"/>
  <c r="Q19" i="29"/>
  <c r="R19" i="29" s="1"/>
  <c r="S19" i="29" s="1"/>
  <c r="L19" i="31" s="1"/>
  <c r="AR24" i="21"/>
  <c r="Q27" i="29"/>
  <c r="R27" i="29" s="1"/>
  <c r="S27" i="29" s="1"/>
  <c r="L27" i="31" s="1"/>
  <c r="T27" i="29"/>
  <c r="U27" i="29" s="1"/>
  <c r="V27" i="29" s="1"/>
  <c r="M27" i="31" s="1"/>
  <c r="Y27" i="22"/>
  <c r="AB27" i="22" s="1"/>
  <c r="AE27" i="22" s="1"/>
  <c r="J27" i="31" s="1"/>
  <c r="Z27" i="22"/>
  <c r="AC27" i="22" s="1"/>
  <c r="H27" i="31" s="1"/>
  <c r="AU39" i="21"/>
  <c r="AX39" i="21" s="1"/>
  <c r="F39" i="31" s="1"/>
  <c r="Q50" i="29"/>
  <c r="R50" i="29" s="1"/>
  <c r="S50" i="29" s="1"/>
  <c r="L50" i="31" s="1"/>
  <c r="T52" i="29"/>
  <c r="U52" i="29" s="1"/>
  <c r="V52" i="29" s="1"/>
  <c r="M52" i="31" s="1"/>
  <c r="Z46" i="22"/>
  <c r="AC46" i="22" s="1"/>
  <c r="H46" i="31" s="1"/>
  <c r="Q44" i="29"/>
  <c r="R44" i="29" s="1"/>
  <c r="S44" i="29" s="1"/>
  <c r="L44" i="31" s="1"/>
  <c r="Q37" i="29"/>
  <c r="R37" i="29" s="1"/>
  <c r="S37" i="29" s="1"/>
  <c r="L37" i="31" s="1"/>
  <c r="Z37" i="22"/>
  <c r="AC37" i="22" s="1"/>
  <c r="H37" i="31" s="1"/>
  <c r="T37" i="29"/>
  <c r="U37" i="29" s="1"/>
  <c r="V37" i="29" s="1"/>
  <c r="M37" i="31" s="1"/>
  <c r="Y37" i="22"/>
  <c r="AB37" i="22" s="1"/>
  <c r="AE37" i="22" s="1"/>
  <c r="J37" i="31" s="1"/>
  <c r="Q52" i="29"/>
  <c r="R52" i="29" s="1"/>
  <c r="S52" i="29" s="1"/>
  <c r="L52" i="31" s="1"/>
  <c r="AU34" i="21"/>
  <c r="AX34" i="21" s="1"/>
  <c r="F34" i="31" s="1"/>
  <c r="Y57" i="22"/>
  <c r="AB57" i="22" s="1"/>
  <c r="AE57" i="22" s="1"/>
  <c r="J57" i="31" s="1"/>
  <c r="T57" i="29"/>
  <c r="U57" i="29" s="1"/>
  <c r="V57" i="29" s="1"/>
  <c r="M57" i="31" s="1"/>
  <c r="Z57" i="22"/>
  <c r="AC57" i="22" s="1"/>
  <c r="H57" i="31" s="1"/>
  <c r="Q57" i="29"/>
  <c r="R57" i="29" s="1"/>
  <c r="S57" i="29" s="1"/>
  <c r="L57" i="31" s="1"/>
  <c r="Z51" i="22"/>
  <c r="AC51" i="22" s="1"/>
  <c r="H51" i="31" s="1"/>
  <c r="T51" i="29"/>
  <c r="U51" i="29" s="1"/>
  <c r="V51" i="29" s="1"/>
  <c r="M51" i="31" s="1"/>
  <c r="Q51" i="29"/>
  <c r="R51" i="29" s="1"/>
  <c r="S51" i="29" s="1"/>
  <c r="L51" i="31" s="1"/>
  <c r="Y51" i="22"/>
  <c r="AB51" i="22" s="1"/>
  <c r="AE51" i="22" s="1"/>
  <c r="J51" i="31" s="1"/>
  <c r="Z59" i="22"/>
  <c r="AC59" i="22" s="1"/>
  <c r="H59" i="31" s="1"/>
  <c r="T59" i="29"/>
  <c r="U59" i="29" s="1"/>
  <c r="V59" i="29" s="1"/>
  <c r="M59" i="31" s="1"/>
  <c r="Q59" i="29"/>
  <c r="R59" i="29" s="1"/>
  <c r="S59" i="29" s="1"/>
  <c r="L59" i="31" s="1"/>
  <c r="Y59" i="22"/>
  <c r="AB59" i="22" s="1"/>
  <c r="AE59" i="22" s="1"/>
  <c r="J59" i="31" s="1"/>
  <c r="T53" i="29"/>
  <c r="U53" i="29" s="1"/>
  <c r="V53" i="29" s="1"/>
  <c r="M53" i="31" s="1"/>
  <c r="Z53" i="22"/>
  <c r="AC53" i="22" s="1"/>
  <c r="H53" i="31" s="1"/>
  <c r="Q53" i="29"/>
  <c r="R53" i="29" s="1"/>
  <c r="S53" i="29" s="1"/>
  <c r="L53" i="31" s="1"/>
  <c r="Y53" i="22"/>
  <c r="AB53" i="22" s="1"/>
  <c r="AE53" i="22" s="1"/>
  <c r="J53" i="31" s="1"/>
  <c r="AU49" i="21"/>
  <c r="AX49" i="21" s="1"/>
  <c r="F49" i="31" s="1"/>
  <c r="AU50" i="21"/>
  <c r="AX50" i="21" s="1"/>
  <c r="F50" i="31" s="1"/>
  <c r="T55" i="29"/>
  <c r="U55" i="29" s="1"/>
  <c r="V55" i="29" s="1"/>
  <c r="M55" i="31" s="1"/>
  <c r="Y55" i="22"/>
  <c r="AB55" i="22" s="1"/>
  <c r="AE55" i="22" s="1"/>
  <c r="J55" i="31" s="1"/>
  <c r="Q55" i="29"/>
  <c r="R55" i="29" s="1"/>
  <c r="S55" i="29" s="1"/>
  <c r="L55" i="31" s="1"/>
  <c r="Z55" i="22"/>
  <c r="AC55" i="22" s="1"/>
  <c r="H55" i="31" s="1"/>
  <c r="Y49" i="22"/>
  <c r="AB49" i="22" s="1"/>
  <c r="AE49" i="22" s="1"/>
  <c r="J49" i="31" s="1"/>
  <c r="T49" i="29"/>
  <c r="U49" i="29" s="1"/>
  <c r="V49" i="29" s="1"/>
  <c r="M49" i="31" s="1"/>
  <c r="Z49" i="22"/>
  <c r="AC49" i="22" s="1"/>
  <c r="H49" i="31" s="1"/>
  <c r="Q49" i="29"/>
  <c r="R49" i="29" s="1"/>
  <c r="S49" i="29" s="1"/>
  <c r="L49" i="31" s="1"/>
  <c r="AS16" i="21" l="1"/>
  <c r="AV16" i="21" s="1"/>
  <c r="AS28" i="21"/>
  <c r="AV28" i="21" s="1"/>
  <c r="AY28" i="21" s="1"/>
  <c r="G28" i="31" s="1"/>
  <c r="AS12" i="21"/>
  <c r="AV12" i="21" s="1"/>
  <c r="O12" i="31" s="1"/>
  <c r="P12" i="31" s="1"/>
  <c r="AS11" i="21"/>
  <c r="AV11" i="21" s="1"/>
  <c r="O11" i="31" s="1"/>
  <c r="P11" i="31" s="1"/>
  <c r="AS21" i="21"/>
  <c r="AV21" i="21" s="1"/>
  <c r="O21" i="31" s="1"/>
  <c r="P21" i="31" s="1"/>
  <c r="AS7" i="21"/>
  <c r="AV7" i="21" s="1"/>
  <c r="AY7" i="21" s="1"/>
  <c r="G7" i="31" s="1"/>
  <c r="AS30" i="21"/>
  <c r="AV30" i="21" s="1"/>
  <c r="O30" i="31" s="1"/>
  <c r="P30" i="31" s="1"/>
  <c r="AS43" i="21"/>
  <c r="AV43" i="21" s="1"/>
  <c r="O43" i="31" s="1"/>
  <c r="P43" i="31" s="1"/>
  <c r="AS49" i="21"/>
  <c r="AV49" i="21" s="1"/>
  <c r="O49" i="31" s="1"/>
  <c r="P49" i="31" s="1"/>
  <c r="AS10" i="21"/>
  <c r="AV10" i="21" s="1"/>
  <c r="O10" i="31" s="1"/>
  <c r="P10" i="31" s="1"/>
  <c r="AS3" i="21"/>
  <c r="AV3" i="21" s="1"/>
  <c r="O3" i="31" s="1"/>
  <c r="P3" i="31" s="1"/>
  <c r="AS6" i="21"/>
  <c r="AV6" i="21" s="1"/>
  <c r="O6" i="31" s="1"/>
  <c r="P6" i="31" s="1"/>
  <c r="AS15" i="21"/>
  <c r="AV15" i="21" s="1"/>
  <c r="O15" i="31" s="1"/>
  <c r="P15" i="31" s="1"/>
  <c r="AS5" i="21"/>
  <c r="AV5" i="21" s="1"/>
  <c r="AY5" i="21" s="1"/>
  <c r="G5" i="31" s="1"/>
  <c r="AS4" i="21"/>
  <c r="AV4" i="21" s="1"/>
  <c r="O4" i="31" s="1"/>
  <c r="P4" i="31" s="1"/>
  <c r="AS51" i="21"/>
  <c r="AV51" i="21" s="1"/>
  <c r="AY51" i="21" s="1"/>
  <c r="G51" i="31" s="1"/>
  <c r="AS20" i="21"/>
  <c r="AV20" i="21" s="1"/>
  <c r="O20" i="31" s="1"/>
  <c r="P20" i="31" s="1"/>
  <c r="AS52" i="21"/>
  <c r="AV52" i="21" s="1"/>
  <c r="AY52" i="21" s="1"/>
  <c r="G52" i="31" s="1"/>
  <c r="AU51" i="21"/>
  <c r="AX51" i="21" s="1"/>
  <c r="F51" i="31" s="1"/>
  <c r="AS42" i="21"/>
  <c r="AV42" i="21" s="1"/>
  <c r="O42" i="31" s="1"/>
  <c r="P42" i="31" s="1"/>
  <c r="AS59" i="21"/>
  <c r="AV59" i="21" s="1"/>
  <c r="O59" i="31" s="1"/>
  <c r="P59" i="31" s="1"/>
  <c r="AU20" i="21"/>
  <c r="AX20" i="21" s="1"/>
  <c r="F20" i="31" s="1"/>
  <c r="AU10" i="21"/>
  <c r="AX10" i="21" s="1"/>
  <c r="F10" i="31" s="1"/>
  <c r="O18" i="31"/>
  <c r="P18" i="31" s="1"/>
  <c r="AS34" i="21"/>
  <c r="AV34" i="21" s="1"/>
  <c r="AY34" i="21" s="1"/>
  <c r="G34" i="31" s="1"/>
  <c r="AS39" i="21"/>
  <c r="AV39" i="21" s="1"/>
  <c r="O39" i="31" s="1"/>
  <c r="P39" i="31" s="1"/>
  <c r="AS38" i="21"/>
  <c r="AV38" i="21" s="1"/>
  <c r="AY38" i="21" s="1"/>
  <c r="G38" i="31" s="1"/>
  <c r="AS17" i="21"/>
  <c r="AV17" i="21" s="1"/>
  <c r="O17" i="31" s="1"/>
  <c r="P17" i="31" s="1"/>
  <c r="AS27" i="21"/>
  <c r="AV27" i="21" s="1"/>
  <c r="O27" i="31" s="1"/>
  <c r="P27" i="31" s="1"/>
  <c r="AS58" i="21"/>
  <c r="AV58" i="21" s="1"/>
  <c r="O58" i="31" s="1"/>
  <c r="P58" i="31" s="1"/>
  <c r="AY18" i="21"/>
  <c r="G18" i="31" s="1"/>
  <c r="AS9" i="21"/>
  <c r="AV9" i="21" s="1"/>
  <c r="O9" i="31" s="1"/>
  <c r="P9" i="31" s="1"/>
  <c r="AS13" i="21"/>
  <c r="AV13" i="21" s="1"/>
  <c r="O13" i="31" s="1"/>
  <c r="P13" i="31" s="1"/>
  <c r="AU52" i="21"/>
  <c r="AX52" i="21" s="1"/>
  <c r="F52" i="31" s="1"/>
  <c r="AS31" i="21"/>
  <c r="AV31" i="21" s="1"/>
  <c r="O31" i="31" s="1"/>
  <c r="P31" i="31" s="1"/>
  <c r="AS44" i="21"/>
  <c r="AV44" i="21" s="1"/>
  <c r="O44" i="31" s="1"/>
  <c r="P44" i="31" s="1"/>
  <c r="AS37" i="21"/>
  <c r="AV37" i="21" s="1"/>
  <c r="AY37" i="21" s="1"/>
  <c r="G37" i="31" s="1"/>
  <c r="AS19" i="21"/>
  <c r="AV19" i="21" s="1"/>
  <c r="AY19" i="21" s="1"/>
  <c r="G19" i="31" s="1"/>
  <c r="AS57" i="21"/>
  <c r="AV57" i="21" s="1"/>
  <c r="O57" i="31" s="1"/>
  <c r="P57" i="31" s="1"/>
  <c r="AS53" i="21"/>
  <c r="AV53" i="21" s="1"/>
  <c r="O53" i="31" s="1"/>
  <c r="P53" i="31" s="1"/>
  <c r="AS26" i="21"/>
  <c r="AV26" i="21" s="1"/>
  <c r="O26" i="31" s="1"/>
  <c r="P26" i="31" s="1"/>
  <c r="AS23" i="21"/>
  <c r="AV23" i="21" s="1"/>
  <c r="O23" i="31" s="1"/>
  <c r="P23" i="31" s="1"/>
  <c r="AU29" i="21"/>
  <c r="AX29" i="21" s="1"/>
  <c r="F29" i="31" s="1"/>
  <c r="AS8" i="21"/>
  <c r="AV8" i="21" s="1"/>
  <c r="O8" i="31" s="1"/>
  <c r="P8" i="31" s="1"/>
  <c r="AS55" i="21"/>
  <c r="AV55" i="21" s="1"/>
  <c r="AY55" i="21" s="1"/>
  <c r="G55" i="31" s="1"/>
  <c r="AS50" i="21"/>
  <c r="AV50" i="21" s="1"/>
  <c r="O50" i="31" s="1"/>
  <c r="P50" i="31" s="1"/>
  <c r="AS35" i="21"/>
  <c r="AV35" i="21" s="1"/>
  <c r="AY35" i="21" s="1"/>
  <c r="G35" i="31" s="1"/>
  <c r="AS54" i="21"/>
  <c r="AV54" i="21" s="1"/>
  <c r="AY54" i="21" s="1"/>
  <c r="G54" i="31" s="1"/>
  <c r="AS22" i="21"/>
  <c r="AV22" i="21" s="1"/>
  <c r="AU22" i="21"/>
  <c r="AX22" i="21" s="1"/>
  <c r="F22" i="31" s="1"/>
  <c r="AU25" i="21"/>
  <c r="AX25" i="21" s="1"/>
  <c r="F25" i="31" s="1"/>
  <c r="AS25" i="21"/>
  <c r="AV25" i="21" s="1"/>
  <c r="AY25" i="21" s="1"/>
  <c r="G25" i="31" s="1"/>
  <c r="AS56" i="21"/>
  <c r="AV56" i="21" s="1"/>
  <c r="AY56" i="21" s="1"/>
  <c r="G56" i="31" s="1"/>
  <c r="AS14" i="21"/>
  <c r="AV14" i="21" s="1"/>
  <c r="AU14" i="21"/>
  <c r="AX14" i="21" s="1"/>
  <c r="F14" i="31" s="1"/>
  <c r="AS46" i="21"/>
  <c r="AV46" i="21" s="1"/>
  <c r="O46" i="31" s="1"/>
  <c r="P46" i="31" s="1"/>
  <c r="O28" i="31"/>
  <c r="P28" i="31" s="1"/>
  <c r="AS45" i="21"/>
  <c r="AV45" i="21" s="1"/>
  <c r="O45" i="31" s="1"/>
  <c r="P45" i="31" s="1"/>
  <c r="AU36" i="21"/>
  <c r="AX36" i="21" s="1"/>
  <c r="F36" i="31" s="1"/>
  <c r="AS36" i="21"/>
  <c r="AV36" i="21" s="1"/>
  <c r="O29" i="31"/>
  <c r="P29" i="31" s="1"/>
  <c r="AY29" i="21"/>
  <c r="G29" i="31" s="1"/>
  <c r="AS24" i="21"/>
  <c r="AV24" i="21" s="1"/>
  <c r="AU24" i="21"/>
  <c r="AX24" i="21" s="1"/>
  <c r="F24" i="31" s="1"/>
  <c r="O16" i="31"/>
  <c r="P16" i="31" s="1"/>
  <c r="AY16" i="21"/>
  <c r="G16" i="31" s="1"/>
  <c r="AY11" i="21" l="1"/>
  <c r="G11" i="31" s="1"/>
  <c r="O7" i="31"/>
  <c r="P7" i="31" s="1"/>
  <c r="O51" i="31"/>
  <c r="P51" i="31" s="1"/>
  <c r="AY39" i="21"/>
  <c r="G39" i="31" s="1"/>
  <c r="O19" i="31"/>
  <c r="P19" i="31" s="1"/>
  <c r="AY6" i="21"/>
  <c r="G6" i="31" s="1"/>
  <c r="AY43" i="21"/>
  <c r="G43" i="31" s="1"/>
  <c r="AY12" i="21"/>
  <c r="G12" i="31" s="1"/>
  <c r="AY23" i="21"/>
  <c r="G23" i="31" s="1"/>
  <c r="AY15" i="21"/>
  <c r="G15" i="31" s="1"/>
  <c r="O52" i="31"/>
  <c r="P52" i="31" s="1"/>
  <c r="AY30" i="21"/>
  <c r="G30" i="31" s="1"/>
  <c r="O35" i="31"/>
  <c r="P35" i="31" s="1"/>
  <c r="AY49" i="21"/>
  <c r="G49" i="31" s="1"/>
  <c r="AY21" i="21"/>
  <c r="G21" i="31" s="1"/>
  <c r="AY20" i="21"/>
  <c r="G20" i="31" s="1"/>
  <c r="AY4" i="21"/>
  <c r="G4" i="31" s="1"/>
  <c r="O5" i="31"/>
  <c r="P5" i="31" s="1"/>
  <c r="AY10" i="21"/>
  <c r="G10" i="31" s="1"/>
  <c r="AY3" i="21"/>
  <c r="G3" i="31" s="1"/>
  <c r="O54" i="31"/>
  <c r="P54" i="31" s="1"/>
  <c r="O34" i="31"/>
  <c r="P34" i="31" s="1"/>
  <c r="AY57" i="21"/>
  <c r="G57" i="31" s="1"/>
  <c r="O37" i="31"/>
  <c r="P37" i="31" s="1"/>
  <c r="O56" i="31"/>
  <c r="P56" i="31" s="1"/>
  <c r="O55" i="31"/>
  <c r="P55" i="31" s="1"/>
  <c r="AY59" i="21"/>
  <c r="G59" i="31" s="1"/>
  <c r="AY27" i="21"/>
  <c r="G27" i="31" s="1"/>
  <c r="AY9" i="21"/>
  <c r="G9" i="31" s="1"/>
  <c r="AY42" i="21"/>
  <c r="G42" i="31" s="1"/>
  <c r="AY31" i="21"/>
  <c r="G31" i="31" s="1"/>
  <c r="AY58" i="21"/>
  <c r="G58" i="31" s="1"/>
  <c r="O25" i="31"/>
  <c r="P25" i="31" s="1"/>
  <c r="AY50" i="21"/>
  <c r="G50" i="31" s="1"/>
  <c r="AY17" i="21"/>
  <c r="G17" i="31" s="1"/>
  <c r="AY26" i="21"/>
  <c r="G26" i="31" s="1"/>
  <c r="AY46" i="21"/>
  <c r="G46" i="31" s="1"/>
  <c r="O38" i="31"/>
  <c r="P38" i="31" s="1"/>
  <c r="AY8" i="21"/>
  <c r="G8" i="31" s="1"/>
  <c r="AY13" i="21"/>
  <c r="G13" i="31" s="1"/>
  <c r="AY53" i="21"/>
  <c r="G53" i="31" s="1"/>
  <c r="AY44" i="21"/>
  <c r="G44" i="31" s="1"/>
  <c r="AY22" i="21"/>
  <c r="G22" i="31" s="1"/>
  <c r="O22" i="31"/>
  <c r="P22" i="31" s="1"/>
  <c r="O14" i="31"/>
  <c r="P14" i="31" s="1"/>
  <c r="AY14" i="21"/>
  <c r="G14" i="31" s="1"/>
  <c r="AY45" i="21"/>
  <c r="G45" i="31" s="1"/>
  <c r="O24" i="31"/>
  <c r="P24" i="31" s="1"/>
  <c r="AY24" i="21"/>
  <c r="G24" i="31" s="1"/>
  <c r="O36" i="31"/>
  <c r="P36" i="31" s="1"/>
  <c r="AY36" i="21"/>
  <c r="G36" i="31" s="1"/>
  <c r="C32" i="29" l="1"/>
  <c r="D32" i="29"/>
  <c r="F32" i="29"/>
  <c r="L32" i="29"/>
  <c r="M32" i="29"/>
  <c r="N32" i="29" l="1"/>
  <c r="O32" i="29" s="1"/>
  <c r="P32" i="29" s="1"/>
  <c r="D41" i="31" l="1"/>
  <c r="C41" i="31"/>
  <c r="B41" i="31"/>
  <c r="M41" i="29"/>
  <c r="L41" i="29"/>
  <c r="F41" i="29"/>
  <c r="D41" i="29"/>
  <c r="C41" i="29"/>
  <c r="V41" i="22"/>
  <c r="U41" i="22"/>
  <c r="T41" i="22"/>
  <c r="S41" i="22"/>
  <c r="R41" i="22"/>
  <c r="Q41" i="22"/>
  <c r="F41" i="22"/>
  <c r="D41" i="22"/>
  <c r="C41" i="22"/>
  <c r="AO41" i="21"/>
  <c r="AN41" i="21"/>
  <c r="AL41" i="21"/>
  <c r="AM41" i="21" s="1"/>
  <c r="AJ41" i="21"/>
  <c r="AI41" i="21"/>
  <c r="AH41" i="21"/>
  <c r="AG41" i="21"/>
  <c r="AE41" i="21"/>
  <c r="AD41" i="21"/>
  <c r="AB41" i="21"/>
  <c r="AC41" i="21" s="1"/>
  <c r="Z41" i="21"/>
  <c r="Y41" i="21"/>
  <c r="X41" i="21"/>
  <c r="W41" i="21"/>
  <c r="F41" i="21"/>
  <c r="D41" i="21"/>
  <c r="C41" i="21"/>
  <c r="G41" i="24"/>
  <c r="H41" i="24" s="1"/>
  <c r="I41" i="24" s="1"/>
  <c r="J41" i="24" s="1"/>
  <c r="N41" i="31" s="1"/>
  <c r="X41" i="22" l="1"/>
  <c r="AA41" i="22" s="1"/>
  <c r="AD41" i="22" s="1"/>
  <c r="I41" i="31" s="1"/>
  <c r="N41" i="29"/>
  <c r="W41" i="22"/>
  <c r="AF41" i="21"/>
  <c r="AP41" i="21"/>
  <c r="AA41" i="21"/>
  <c r="AK41" i="21"/>
  <c r="AR41" i="21" l="1"/>
  <c r="AU41" i="21" s="1"/>
  <c r="AX41" i="21" s="1"/>
  <c r="F41" i="31" s="1"/>
  <c r="AQ41" i="21"/>
  <c r="AT41" i="21" s="1"/>
  <c r="AW41" i="21" s="1"/>
  <c r="E41" i="31" s="1"/>
  <c r="T41" i="29"/>
  <c r="U41" i="29" s="1"/>
  <c r="V41" i="29" s="1"/>
  <c r="M41" i="31" s="1"/>
  <c r="O41" i="29"/>
  <c r="P41" i="29" s="1"/>
  <c r="K41" i="31" s="1"/>
  <c r="Q41" i="29"/>
  <c r="R41" i="29" s="1"/>
  <c r="S41" i="29" s="1"/>
  <c r="L41" i="31" s="1"/>
  <c r="Y41" i="22"/>
  <c r="AB41" i="22" s="1"/>
  <c r="AE41" i="22" s="1"/>
  <c r="J41" i="31" s="1"/>
  <c r="Z41" i="22"/>
  <c r="AC41" i="22" s="1"/>
  <c r="H41" i="31" s="1"/>
  <c r="AS41" i="21" l="1"/>
  <c r="AV41" i="21" s="1"/>
  <c r="AY41" i="21" s="1"/>
  <c r="G41" i="31" s="1"/>
  <c r="O41" i="31" l="1"/>
  <c r="P41" i="31" s="1"/>
  <c r="D48" i="31" l="1"/>
  <c r="C48" i="31"/>
  <c r="B48" i="31"/>
  <c r="D47" i="31"/>
  <c r="C47" i="31"/>
  <c r="B47" i="31"/>
  <c r="M48" i="29"/>
  <c r="L48" i="29"/>
  <c r="F48" i="29"/>
  <c r="D48" i="29"/>
  <c r="C48" i="29"/>
  <c r="M47" i="29"/>
  <c r="L47" i="29"/>
  <c r="F47" i="29"/>
  <c r="D47" i="29"/>
  <c r="C47" i="29"/>
  <c r="V48" i="22"/>
  <c r="U48" i="22"/>
  <c r="T48" i="22"/>
  <c r="S48" i="22"/>
  <c r="R48" i="22"/>
  <c r="Q48" i="22"/>
  <c r="F48" i="22"/>
  <c r="D48" i="22"/>
  <c r="C48" i="22"/>
  <c r="V47" i="22"/>
  <c r="U47" i="22"/>
  <c r="T47" i="22"/>
  <c r="S47" i="22"/>
  <c r="R47" i="22"/>
  <c r="Q47" i="22"/>
  <c r="F47" i="22"/>
  <c r="D47" i="22"/>
  <c r="C47" i="22"/>
  <c r="AO48" i="21"/>
  <c r="AN48" i="21"/>
  <c r="AL48" i="21"/>
  <c r="AM48" i="21" s="1"/>
  <c r="AJ48" i="21"/>
  <c r="AI48" i="21"/>
  <c r="AH48" i="21"/>
  <c r="AG48" i="21"/>
  <c r="AE48" i="21"/>
  <c r="AD48" i="21"/>
  <c r="AB48" i="21"/>
  <c r="AC48" i="21" s="1"/>
  <c r="Z48" i="21"/>
  <c r="Y48" i="21"/>
  <c r="X48" i="21"/>
  <c r="W48" i="21"/>
  <c r="F48" i="21"/>
  <c r="D48" i="21"/>
  <c r="C48" i="21"/>
  <c r="AO47" i="21"/>
  <c r="AN47" i="21"/>
  <c r="AL47" i="21"/>
  <c r="AM47" i="21" s="1"/>
  <c r="AJ47" i="21"/>
  <c r="AI47" i="21"/>
  <c r="AH47" i="21"/>
  <c r="AG47" i="21"/>
  <c r="AE47" i="21"/>
  <c r="AD47" i="21"/>
  <c r="AB47" i="21"/>
  <c r="AC47" i="21" s="1"/>
  <c r="Z47" i="21"/>
  <c r="Y47" i="21"/>
  <c r="X47" i="21"/>
  <c r="W47" i="21"/>
  <c r="F47" i="21"/>
  <c r="D47" i="21"/>
  <c r="C47" i="21"/>
  <c r="G48" i="24"/>
  <c r="H48" i="24" s="1"/>
  <c r="I48" i="24" s="1"/>
  <c r="J48" i="24" s="1"/>
  <c r="N48" i="31" s="1"/>
  <c r="G47" i="24"/>
  <c r="H47" i="24" s="1"/>
  <c r="I47" i="24" s="1"/>
  <c r="J47" i="24" s="1"/>
  <c r="N47" i="31" s="1"/>
  <c r="AF48" i="21" l="1"/>
  <c r="N48" i="29"/>
  <c r="O48" i="29" s="1"/>
  <c r="P48" i="29" s="1"/>
  <c r="K48" i="31" s="1"/>
  <c r="X48" i="22"/>
  <c r="AA48" i="22" s="1"/>
  <c r="AD48" i="22" s="1"/>
  <c r="I48" i="31" s="1"/>
  <c r="AF47" i="21"/>
  <c r="AK48" i="21"/>
  <c r="AA48" i="21"/>
  <c r="AP48" i="21"/>
  <c r="AK47" i="21"/>
  <c r="AA47" i="21"/>
  <c r="AP47" i="21"/>
  <c r="W48" i="22"/>
  <c r="X47" i="22"/>
  <c r="AA47" i="22" s="1"/>
  <c r="AD47" i="22" s="1"/>
  <c r="I47" i="31" s="1"/>
  <c r="W47" i="22"/>
  <c r="N47" i="29"/>
  <c r="O47" i="29" s="1"/>
  <c r="P47" i="29" s="1"/>
  <c r="K47" i="31" s="1"/>
  <c r="AQ48" i="21" l="1"/>
  <c r="AT48" i="21" s="1"/>
  <c r="AW48" i="21" s="1"/>
  <c r="E48" i="31" s="1"/>
  <c r="AQ47" i="21"/>
  <c r="AT47" i="21" s="1"/>
  <c r="AW47" i="21" s="1"/>
  <c r="E47" i="31" s="1"/>
  <c r="Y48" i="22"/>
  <c r="AB48" i="22" s="1"/>
  <c r="AE48" i="22" s="1"/>
  <c r="J48" i="31" s="1"/>
  <c r="T48" i="29"/>
  <c r="U48" i="29" s="1"/>
  <c r="V48" i="29" s="1"/>
  <c r="M48" i="31" s="1"/>
  <c r="AR47" i="21"/>
  <c r="AU47" i="21" s="1"/>
  <c r="AX47" i="21" s="1"/>
  <c r="F47" i="31" s="1"/>
  <c r="AR48" i="21"/>
  <c r="Z48" i="22"/>
  <c r="AC48" i="22" s="1"/>
  <c r="H48" i="31" s="1"/>
  <c r="Q47" i="29"/>
  <c r="R47" i="29" s="1"/>
  <c r="S47" i="29" s="1"/>
  <c r="L47" i="31" s="1"/>
  <c r="Z47" i="22"/>
  <c r="AC47" i="22" s="1"/>
  <c r="H47" i="31" s="1"/>
  <c r="Q48" i="29"/>
  <c r="R48" i="29" s="1"/>
  <c r="S48" i="29" s="1"/>
  <c r="L48" i="31" s="1"/>
  <c r="Y47" i="22"/>
  <c r="AB47" i="22" s="1"/>
  <c r="AE47" i="22" s="1"/>
  <c r="J47" i="31" s="1"/>
  <c r="T47" i="29"/>
  <c r="U47" i="29" s="1"/>
  <c r="V47" i="29" s="1"/>
  <c r="M47" i="31" s="1"/>
  <c r="AS48" i="21" l="1"/>
  <c r="AV48" i="21" s="1"/>
  <c r="AY48" i="21" s="1"/>
  <c r="G48" i="31" s="1"/>
  <c r="AS47" i="21"/>
  <c r="AV47" i="21" s="1"/>
  <c r="AY47" i="21" s="1"/>
  <c r="G47" i="31" s="1"/>
  <c r="AU48" i="21"/>
  <c r="AX48" i="21" s="1"/>
  <c r="F48" i="31" s="1"/>
  <c r="O48" i="31" l="1"/>
  <c r="P48" i="31" s="1"/>
  <c r="O47" i="31"/>
  <c r="P47" i="31" s="1"/>
  <c r="F40" i="22" l="1"/>
  <c r="D40" i="31"/>
  <c r="C40" i="31"/>
  <c r="B40" i="31"/>
  <c r="M40" i="29"/>
  <c r="L40" i="29"/>
  <c r="F40" i="29"/>
  <c r="D40" i="29"/>
  <c r="C40" i="29"/>
  <c r="V40" i="22"/>
  <c r="U40" i="22"/>
  <c r="T40" i="22"/>
  <c r="S40" i="22"/>
  <c r="R40" i="22"/>
  <c r="Q40" i="22"/>
  <c r="D40" i="22"/>
  <c r="C40" i="22"/>
  <c r="AO40" i="21"/>
  <c r="AN40" i="21"/>
  <c r="AL40" i="21"/>
  <c r="AM40" i="21" s="1"/>
  <c r="AJ40" i="21"/>
  <c r="AI40" i="21"/>
  <c r="AH40" i="21"/>
  <c r="AG40" i="21"/>
  <c r="AE40" i="21"/>
  <c r="AD40" i="21"/>
  <c r="AB40" i="21"/>
  <c r="AC40" i="21" s="1"/>
  <c r="Z40" i="21"/>
  <c r="Y40" i="21"/>
  <c r="X40" i="21"/>
  <c r="W40" i="21"/>
  <c r="F40" i="21"/>
  <c r="D40" i="21"/>
  <c r="C40" i="21"/>
  <c r="G40" i="24"/>
  <c r="H40" i="24" s="1"/>
  <c r="I40" i="24" s="1"/>
  <c r="J40" i="24" s="1"/>
  <c r="N40" i="31" s="1"/>
  <c r="AP40" i="21" l="1"/>
  <c r="X40" i="22"/>
  <c r="AA40" i="22" s="1"/>
  <c r="AD40" i="22" s="1"/>
  <c r="I40" i="31" s="1"/>
  <c r="N40" i="29"/>
  <c r="O40" i="29" s="1"/>
  <c r="P40" i="29" s="1"/>
  <c r="K40" i="31" s="1"/>
  <c r="W40" i="22"/>
  <c r="AA40" i="21"/>
  <c r="AF40" i="21"/>
  <c r="AK40" i="21"/>
  <c r="AR40" i="21" l="1"/>
  <c r="AU40" i="21" s="1"/>
  <c r="AX40" i="21" s="1"/>
  <c r="F40" i="31" s="1"/>
  <c r="AQ40" i="21"/>
  <c r="AT40" i="21" s="1"/>
  <c r="AW40" i="21" s="1"/>
  <c r="E40" i="31" s="1"/>
  <c r="Q40" i="29"/>
  <c r="R40" i="29" s="1"/>
  <c r="S40" i="29" s="1"/>
  <c r="L40" i="31" s="1"/>
  <c r="Z40" i="22"/>
  <c r="AC40" i="22" s="1"/>
  <c r="H40" i="31" s="1"/>
  <c r="T40" i="29"/>
  <c r="U40" i="29" s="1"/>
  <c r="V40" i="29" s="1"/>
  <c r="M40" i="31" s="1"/>
  <c r="Y40" i="22"/>
  <c r="AB40" i="22" s="1"/>
  <c r="AE40" i="22" s="1"/>
  <c r="J40" i="31" s="1"/>
  <c r="AS40" i="21" l="1"/>
  <c r="AV40" i="21" s="1"/>
  <c r="AY40" i="21" s="1"/>
  <c r="G40" i="31" s="1"/>
  <c r="O40" i="31" l="1"/>
  <c r="P40" i="31" s="1"/>
  <c r="C32" i="21" l="1"/>
  <c r="C33" i="21"/>
  <c r="D32" i="31" l="1"/>
  <c r="C32" i="31"/>
  <c r="B32" i="31"/>
  <c r="V32" i="22"/>
  <c r="U32" i="22"/>
  <c r="T32" i="22"/>
  <c r="S32" i="22"/>
  <c r="R32" i="22"/>
  <c r="Q32" i="22"/>
  <c r="F32" i="22"/>
  <c r="D32" i="22"/>
  <c r="C32" i="22"/>
  <c r="AO32" i="21"/>
  <c r="AN32" i="21"/>
  <c r="AL32" i="21"/>
  <c r="AM32" i="21" s="1"/>
  <c r="AJ32" i="21"/>
  <c r="AI32" i="21"/>
  <c r="AH32" i="21"/>
  <c r="AG32" i="21"/>
  <c r="AE32" i="21"/>
  <c r="AD32" i="21"/>
  <c r="AB32" i="21"/>
  <c r="AC32" i="21" s="1"/>
  <c r="Z32" i="21"/>
  <c r="Y32" i="21"/>
  <c r="X32" i="21"/>
  <c r="W32" i="21"/>
  <c r="F32" i="21"/>
  <c r="D32" i="21"/>
  <c r="G32" i="24"/>
  <c r="H32" i="24" s="1"/>
  <c r="I32" i="24" s="1"/>
  <c r="J32" i="24" s="1"/>
  <c r="N32" i="31" s="1"/>
  <c r="G33" i="24"/>
  <c r="H33" i="24" s="1"/>
  <c r="I33" i="24" s="1"/>
  <c r="J33" i="24" s="1"/>
  <c r="N33" i="31" s="1"/>
  <c r="D33" i="21"/>
  <c r="C33" i="22"/>
  <c r="D33" i="22"/>
  <c r="F33" i="22"/>
  <c r="Q33" i="22"/>
  <c r="R33" i="22"/>
  <c r="S33" i="22"/>
  <c r="T33" i="22"/>
  <c r="U33" i="22"/>
  <c r="V33" i="22"/>
  <c r="F33" i="21"/>
  <c r="W33" i="21"/>
  <c r="X33" i="21"/>
  <c r="Y33" i="21"/>
  <c r="Z33" i="21"/>
  <c r="AB33" i="21"/>
  <c r="AC33" i="21" s="1"/>
  <c r="AD33" i="21"/>
  <c r="AE33" i="21"/>
  <c r="AG33" i="21"/>
  <c r="AH33" i="21"/>
  <c r="AI33" i="21"/>
  <c r="AJ33" i="21"/>
  <c r="AL33" i="21"/>
  <c r="AM33" i="21" s="1"/>
  <c r="AN33" i="21"/>
  <c r="AO33" i="21"/>
  <c r="D33" i="31"/>
  <c r="C33" i="31"/>
  <c r="B33" i="31"/>
  <c r="M33" i="29"/>
  <c r="L33" i="29"/>
  <c r="F33" i="29"/>
  <c r="D33" i="29"/>
  <c r="C33" i="29"/>
  <c r="X32" i="22" l="1"/>
  <c r="AA32" i="21"/>
  <c r="AF32" i="21"/>
  <c r="K32" i="31"/>
  <c r="AP33" i="21"/>
  <c r="AK33" i="21"/>
  <c r="AF33" i="21"/>
  <c r="X33" i="22"/>
  <c r="AA33" i="22" s="1"/>
  <c r="AD33" i="22" s="1"/>
  <c r="I33" i="31" s="1"/>
  <c r="AK32" i="21"/>
  <c r="AP32" i="21"/>
  <c r="W32" i="22"/>
  <c r="N33" i="29"/>
  <c r="O33" i="29" s="1"/>
  <c r="P33" i="29" s="1"/>
  <c r="K33" i="31" s="1"/>
  <c r="W33" i="22"/>
  <c r="AA33" i="21"/>
  <c r="Z32" i="22" l="1"/>
  <c r="AC32" i="22" s="1"/>
  <c r="H32" i="31" s="1"/>
  <c r="Q32" i="29"/>
  <c r="R32" i="29" s="1"/>
  <c r="S32" i="29" s="1"/>
  <c r="L32" i="31" s="1"/>
  <c r="T32" i="29"/>
  <c r="U32" i="29" s="1"/>
  <c r="V32" i="29" s="1"/>
  <c r="M32" i="31" s="1"/>
  <c r="T33" i="29"/>
  <c r="U33" i="29" s="1"/>
  <c r="V33" i="29" s="1"/>
  <c r="M33" i="31" s="1"/>
  <c r="Y32" i="22"/>
  <c r="AB32" i="22" s="1"/>
  <c r="AE32" i="22" s="1"/>
  <c r="J32" i="31" s="1"/>
  <c r="Z33" i="22"/>
  <c r="AC33" i="22" s="1"/>
  <c r="H33" i="31" s="1"/>
  <c r="AQ32" i="21"/>
  <c r="AT32" i="21" s="1"/>
  <c r="AW32" i="21" s="1"/>
  <c r="E32" i="31" s="1"/>
  <c r="AA32" i="22"/>
  <c r="AD32" i="22" s="1"/>
  <c r="I32" i="31" s="1"/>
  <c r="AR33" i="21"/>
  <c r="AU33" i="21" s="1"/>
  <c r="AX33" i="21" s="1"/>
  <c r="F33" i="31" s="1"/>
  <c r="AQ33" i="21"/>
  <c r="AT33" i="21" s="1"/>
  <c r="AW33" i="21" s="1"/>
  <c r="E33" i="31" s="1"/>
  <c r="AR32" i="21"/>
  <c r="Y33" i="22"/>
  <c r="AB33" i="22" s="1"/>
  <c r="AE33" i="22" s="1"/>
  <c r="J33" i="31" s="1"/>
  <c r="Q33" i="29"/>
  <c r="R33" i="29" s="1"/>
  <c r="S33" i="29" s="1"/>
  <c r="L33" i="31" s="1"/>
  <c r="AS33" i="21" l="1"/>
  <c r="AV33" i="21" s="1"/>
  <c r="O33" i="31" s="1"/>
  <c r="P33" i="31" s="1"/>
  <c r="AU32" i="21"/>
  <c r="AX32" i="21" s="1"/>
  <c r="F32" i="31" s="1"/>
  <c r="AS32" i="21"/>
  <c r="AV32" i="21" s="1"/>
  <c r="AY33" i="21" l="1"/>
  <c r="G33" i="31" s="1"/>
  <c r="AY32" i="21"/>
  <c r="G32" i="31" s="1"/>
  <c r="O32" i="31"/>
  <c r="P32" i="31" s="1"/>
</calcChain>
</file>

<file path=xl/sharedStrings.xml><?xml version="1.0" encoding="utf-8"?>
<sst xmlns="http://schemas.openxmlformats.org/spreadsheetml/2006/main" count="729" uniqueCount="243">
  <si>
    <t>Nij</t>
  </si>
  <si>
    <t>P(head)</t>
  </si>
  <si>
    <t>P(Nij)</t>
  </si>
  <si>
    <t>P(chest)</t>
  </si>
  <si>
    <t>P(femur)</t>
  </si>
  <si>
    <t>P(Ntension)</t>
  </si>
  <si>
    <t>P(Neck)</t>
  </si>
  <si>
    <t>p(AIS 3+)</t>
  </si>
  <si>
    <t>P(AIS3+)</t>
  </si>
  <si>
    <t>Average</t>
  </si>
  <si>
    <t>Lower Spine (G's)</t>
  </si>
  <si>
    <t>Abd'm Force (N)</t>
  </si>
  <si>
    <t>Pubic Force (N)</t>
  </si>
  <si>
    <t>Driver</t>
  </si>
  <si>
    <t>P(abdm)</t>
  </si>
  <si>
    <t>P(pelvs)</t>
  </si>
  <si>
    <t>Passenger</t>
  </si>
  <si>
    <t>P(AIS 3+)</t>
  </si>
  <si>
    <t>rollover</t>
  </si>
  <si>
    <t>Make</t>
  </si>
  <si>
    <t>Model</t>
  </si>
  <si>
    <t>Year</t>
  </si>
  <si>
    <t>SSF</t>
  </si>
  <si>
    <t>P(Lfemur)</t>
  </si>
  <si>
    <t>P(Rfemur)</t>
  </si>
  <si>
    <t>HIC15</t>
  </si>
  <si>
    <t>P(HIC15)</t>
  </si>
  <si>
    <t>Test No.</t>
  </si>
  <si>
    <t>Driver HIII 50M</t>
  </si>
  <si>
    <t>Front Passenger HIII 5F</t>
  </si>
  <si>
    <t>Driver AIS 3+ injury to different body regions</t>
  </si>
  <si>
    <t>Front Passenger AIS 3+ injury to different body regions</t>
  </si>
  <si>
    <t>Stars</t>
  </si>
  <si>
    <t>Rib Defl
(mm)</t>
  </si>
  <si>
    <t>Neck Tension N</t>
  </si>
  <si>
    <t>Chest Deflection mm</t>
  </si>
  <si>
    <t>3 ms clip gs</t>
  </si>
  <si>
    <t>Left Femur Force N</t>
  </si>
  <si>
    <t>Right Femur Force N</t>
  </si>
  <si>
    <t>Abd'm defl (mm)</t>
  </si>
  <si>
    <t>Iliac+acet Force (N)</t>
  </si>
  <si>
    <t>Driver ES-2re</t>
  </si>
  <si>
    <t>Rear Passenger SID-IIs</t>
  </si>
  <si>
    <t>Driver Es-2re</t>
  </si>
  <si>
    <t>Side MDB</t>
  </si>
  <si>
    <t>stars</t>
  </si>
  <si>
    <t>Side pole</t>
  </si>
  <si>
    <t>Driver SID-IIs</t>
  </si>
  <si>
    <t>P(roll)</t>
  </si>
  <si>
    <t>Combined</t>
  </si>
  <si>
    <t>Front (STARS)</t>
  </si>
  <si>
    <t>comb.</t>
  </si>
  <si>
    <t>Side MDB (STARS)</t>
  </si>
  <si>
    <t>Pass</t>
  </si>
  <si>
    <t>Comb.</t>
  </si>
  <si>
    <t>Side Pole (STARS)</t>
  </si>
  <si>
    <t>Rollover (STARS)</t>
  </si>
  <si>
    <t>VSS</t>
  </si>
  <si>
    <t>STARS</t>
  </si>
  <si>
    <t>HIC36</t>
  </si>
  <si>
    <t>Overall Side</t>
  </si>
  <si>
    <t>Overall Side Star</t>
  </si>
  <si>
    <t>Neck Comprsn N</t>
  </si>
  <si>
    <t>P(Ncomprsn)</t>
  </si>
  <si>
    <t>P(NComprsn)</t>
  </si>
  <si>
    <t>RRS (front)</t>
  </si>
  <si>
    <t>RRS (MDB)</t>
  </si>
  <si>
    <t>RRS(pole)</t>
  </si>
  <si>
    <t>RRS(roll)</t>
  </si>
  <si>
    <t>Passenger*</t>
  </si>
  <si>
    <t>Dynamic Test (Y or N)</t>
  </si>
  <si>
    <t>TIP UP? (Y or N)</t>
  </si>
  <si>
    <t>Max. Abd'm rib defl (mm)</t>
  </si>
  <si>
    <t>Max. Thor. rib defl
(mm)</t>
  </si>
  <si>
    <t>Lower Spine result. (G's)</t>
  </si>
  <si>
    <t>Date on Web</t>
  </si>
  <si>
    <t>Lab</t>
  </si>
  <si>
    <t xml:space="preserve">RRS </t>
  </si>
  <si>
    <t>RRS(Overall side)</t>
  </si>
  <si>
    <t>P(Overall side)</t>
  </si>
  <si>
    <t>P(Overall MDB+pole Driver)</t>
  </si>
  <si>
    <t>RRS(Overall MDB+pole Driver)</t>
  </si>
  <si>
    <t>overall Driver stars</t>
  </si>
  <si>
    <t>Overall Side stars</t>
  </si>
  <si>
    <t>NHTSA No.</t>
  </si>
  <si>
    <t>MGA</t>
  </si>
  <si>
    <t>Toyota</t>
  </si>
  <si>
    <t>Overall Side Driver Star</t>
  </si>
  <si>
    <t>O20205100</t>
  </si>
  <si>
    <t>Y</t>
  </si>
  <si>
    <t>N</t>
  </si>
  <si>
    <t>KARCO</t>
  </si>
  <si>
    <t>Chevrolet</t>
  </si>
  <si>
    <t>Cadillac</t>
  </si>
  <si>
    <t>XT5 SUV AWD</t>
  </si>
  <si>
    <t>XT5 SUV FWD</t>
  </si>
  <si>
    <t>M20170112</t>
  </si>
  <si>
    <t>CAL</t>
  </si>
  <si>
    <t>M20170111</t>
  </si>
  <si>
    <t>Calspan</t>
  </si>
  <si>
    <t>XT6 SUV AWD</t>
  </si>
  <si>
    <t>XT6 SUV FWD</t>
  </si>
  <si>
    <t>Malibu 4DR FWD</t>
  </si>
  <si>
    <t>M20190118</t>
  </si>
  <si>
    <t>TRC</t>
  </si>
  <si>
    <t>Ford</t>
  </si>
  <si>
    <t>Escape SUV AWD</t>
  </si>
  <si>
    <t>Escape SUV FWD</t>
  </si>
  <si>
    <t>Escape HEV SUV AWD</t>
  </si>
  <si>
    <t>Escape HEV SUV FWD</t>
  </si>
  <si>
    <t>Lincoln</t>
  </si>
  <si>
    <t>Corsair SUV AWD</t>
  </si>
  <si>
    <t>Corsair SUV FWD</t>
  </si>
  <si>
    <t>Transit Wagon High Roof (8,10,12 Pass) RWD</t>
  </si>
  <si>
    <t>Transit Wagon High Roof (15 Pass) RWD</t>
  </si>
  <si>
    <t>Transit Wagon Medium Roof (8,10,12 Pass) RWD</t>
  </si>
  <si>
    <t>Transit Wagon Medium Roof (15 Pass) RWD</t>
  </si>
  <si>
    <t>Transit Wagon Low Roof (8,10,12 Pass) RWD</t>
  </si>
  <si>
    <t>Transit Wagon Low Roof (15 Pass) RWD</t>
  </si>
  <si>
    <t>M20150204</t>
  </si>
  <si>
    <t>M20150205</t>
  </si>
  <si>
    <t xml:space="preserve">GMC </t>
  </si>
  <si>
    <t>Acadia SUV FWD</t>
  </si>
  <si>
    <t>Acadia SUV AWD</t>
  </si>
  <si>
    <t>Hyundai</t>
  </si>
  <si>
    <t>Accent 4DR FWD</t>
  </si>
  <si>
    <t>Palisade SUV FWD</t>
  </si>
  <si>
    <t>Jeep</t>
  </si>
  <si>
    <t>Gladiator PU/CC 4WD</t>
  </si>
  <si>
    <t>Renegade SUV AWD</t>
  </si>
  <si>
    <t>Renegade SUV FWD</t>
  </si>
  <si>
    <t>M20160310</t>
  </si>
  <si>
    <t>Wrangler 4WD</t>
  </si>
  <si>
    <t>Kia</t>
  </si>
  <si>
    <t>Soul SUV FWD</t>
  </si>
  <si>
    <t>Telluride SUV AWD</t>
  </si>
  <si>
    <t>Telluride SUV FWD</t>
  </si>
  <si>
    <t>Mazda</t>
  </si>
  <si>
    <t>CX-30 SUV AWD</t>
  </si>
  <si>
    <t>CX-30 SUV FWD</t>
  </si>
  <si>
    <t>Mazda3 4DR AWD</t>
  </si>
  <si>
    <t>Mazda3 4DR FWD</t>
  </si>
  <si>
    <t>Mazda3 5HB AWD</t>
  </si>
  <si>
    <t>Mazda3 5HB FWD</t>
  </si>
  <si>
    <t>Mitsubishi</t>
  </si>
  <si>
    <t>Eclipse Cross SUV AWD</t>
  </si>
  <si>
    <t>Eclipse Cross SUV FWD</t>
  </si>
  <si>
    <t>Nissan</t>
  </si>
  <si>
    <t>Maxima 4DR FWD</t>
  </si>
  <si>
    <t>Versa 4DR FWD</t>
  </si>
  <si>
    <t>Subaru</t>
  </si>
  <si>
    <t>Legacy 4DR AWD</t>
  </si>
  <si>
    <t>Outback SW AWD</t>
  </si>
  <si>
    <t>WRX 4DR AWD</t>
  </si>
  <si>
    <t>Corolla 4DR FWD</t>
  </si>
  <si>
    <t>Corolla Hybrid 4DR FWD</t>
  </si>
  <si>
    <t>O20195100</t>
  </si>
  <si>
    <t>O20195101</t>
  </si>
  <si>
    <t>Volvo</t>
  </si>
  <si>
    <t>S60 T6 4DR AWD</t>
  </si>
  <si>
    <t>S60 T5 4DR FWD</t>
  </si>
  <si>
    <t>XC40 T5 SUV AWD</t>
  </si>
  <si>
    <t>XC40 T4 4DR FWD</t>
  </si>
  <si>
    <t>XC60 T5 SUV AWD</t>
  </si>
  <si>
    <t>XC60 T5 SUV FWD</t>
  </si>
  <si>
    <t>XC60 T6 SUV AWD</t>
  </si>
  <si>
    <t>XC90 T5 SUV FWD</t>
  </si>
  <si>
    <t>O20165900</t>
  </si>
  <si>
    <t>O20165902</t>
  </si>
  <si>
    <t>O20165901</t>
  </si>
  <si>
    <t>V60 T5 SW FWD</t>
  </si>
  <si>
    <t>V60 CC T5 SW AWD</t>
  </si>
  <si>
    <t>Transit Van RWD</t>
  </si>
  <si>
    <t>M20200307</t>
  </si>
  <si>
    <t>M20204214</t>
  </si>
  <si>
    <t>M20204212</t>
  </si>
  <si>
    <t>Palisade SUV AWD</t>
  </si>
  <si>
    <t>M20205602</t>
  </si>
  <si>
    <t>M20205601</t>
  </si>
  <si>
    <t>M20204219</t>
  </si>
  <si>
    <t>M20205600</t>
  </si>
  <si>
    <t>M20190121</t>
  </si>
  <si>
    <t>M20204220</t>
  </si>
  <si>
    <t>M20204218</t>
  </si>
  <si>
    <t>M20200310</t>
  </si>
  <si>
    <t>O20205501</t>
  </si>
  <si>
    <t>O20205500</t>
  </si>
  <si>
    <t>O20205504</t>
  </si>
  <si>
    <t>O20205503</t>
  </si>
  <si>
    <t>O20205902</t>
  </si>
  <si>
    <t>M20200110</t>
  </si>
  <si>
    <t>O20205901</t>
  </si>
  <si>
    <t>M20200107</t>
  </si>
  <si>
    <t>M20200109</t>
  </si>
  <si>
    <t>M20200108</t>
  </si>
  <si>
    <t>O20205900</t>
  </si>
  <si>
    <t>M20205501</t>
  </si>
  <si>
    <t>M20205502</t>
  </si>
  <si>
    <t>M20205500</t>
  </si>
  <si>
    <t>M20205215</t>
  </si>
  <si>
    <t>Karco</t>
  </si>
  <si>
    <t>M20200106</t>
  </si>
  <si>
    <t>M20205217</t>
  </si>
  <si>
    <t>M20205216</t>
  </si>
  <si>
    <t>M20200308</t>
  </si>
  <si>
    <t>M20200309</t>
  </si>
  <si>
    <t>M20205207</t>
  </si>
  <si>
    <t>M20205208</t>
  </si>
  <si>
    <t>O20205502</t>
  </si>
  <si>
    <t>M20205206</t>
  </si>
  <si>
    <t>M20200202</t>
  </si>
  <si>
    <t>M20200201</t>
  </si>
  <si>
    <t>M20204202</t>
  </si>
  <si>
    <t>M20204201</t>
  </si>
  <si>
    <t>M20204200</t>
  </si>
  <si>
    <t>M20200200</t>
  </si>
  <si>
    <t>M20205403</t>
  </si>
  <si>
    <t>M20205405</t>
  </si>
  <si>
    <t>M20205404</t>
  </si>
  <si>
    <t>M20200206</t>
  </si>
  <si>
    <t>M20204210</t>
  </si>
  <si>
    <t>M20204209</t>
  </si>
  <si>
    <t>M20204211</t>
  </si>
  <si>
    <t>M20205905</t>
  </si>
  <si>
    <t>Venue 5HB FWD</t>
  </si>
  <si>
    <t>M20205903</t>
  </si>
  <si>
    <t>M20205400</t>
  </si>
  <si>
    <t>M20205402</t>
  </si>
  <si>
    <t>y</t>
  </si>
  <si>
    <t>n</t>
  </si>
  <si>
    <t>Q20204213</t>
  </si>
  <si>
    <t>M20205401</t>
  </si>
  <si>
    <t>M20204204</t>
  </si>
  <si>
    <t>M20200111</t>
  </si>
  <si>
    <t>M20204205</t>
  </si>
  <si>
    <t>M20205904</t>
  </si>
  <si>
    <t>M20204203</t>
  </si>
  <si>
    <t>M20200113</t>
  </si>
  <si>
    <t>M20200112</t>
  </si>
  <si>
    <t>M20205902</t>
  </si>
  <si>
    <t>M20205901</t>
  </si>
  <si>
    <t>M20205900</t>
  </si>
  <si>
    <t>XC90 (T5/T6) SUV AWD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</si>
</sst>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[$-409]d\-mmm;@"/>
    <numFmt numFmtId="167" formatCode="[$-409]mmmm\-yy;@"/>
    <numFmt numFmtId="168" formatCode="_-* #,##0_-;\-* #,##0_-;_-* &quot;-&quot;_-;_-@_-"/>
  </numFmts>
  <fonts count="1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11"/>
      <name val="ＭＳ Ｐゴシック"/>
      <family val="3"/>
      <charset val="128"/>
    </font>
    <font>
      <i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168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/>
  </cellStyleXfs>
  <cellXfs count="246">
    <xf numFmtId="0" fontId="0" fillId="0" borderId="0" xfId="0"/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/>
    <xf numFmtId="0" fontId="4" fillId="0" borderId="0" xfId="0" applyFont="1" applyFill="1" applyBorder="1"/>
    <xf numFmtId="164" fontId="5" fillId="0" borderId="0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/>
    <xf numFmtId="0" fontId="5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1" xfId="0" applyNumberFormat="1" applyFont="1" applyFill="1" applyBorder="1" applyAlignment="1" applyProtection="1">
      <alignment horizontal="center"/>
      <protection locked="0"/>
    </xf>
    <xf numFmtId="164" fontId="3" fillId="0" borderId="5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3" fillId="0" borderId="1" xfId="1" applyFont="1" applyFill="1" applyBorder="1" applyAlignment="1" applyProtection="1">
      <alignment horizontal="center"/>
      <protection locked="0"/>
    </xf>
    <xf numFmtId="164" fontId="3" fillId="0" borderId="4" xfId="1" applyNumberFormat="1" applyFont="1" applyFill="1" applyBorder="1" applyAlignment="1" applyProtection="1">
      <alignment horizontal="center"/>
      <protection locked="0"/>
    </xf>
    <xf numFmtId="164" fontId="3" fillId="0" borderId="1" xfId="1" applyNumberFormat="1" applyFont="1" applyFill="1" applyBorder="1" applyAlignment="1" applyProtection="1">
      <alignment horizontal="center"/>
      <protection locked="0"/>
    </xf>
    <xf numFmtId="164" fontId="3" fillId="0" borderId="5" xfId="1" applyNumberFormat="1" applyFont="1" applyFill="1" applyBorder="1" applyAlignment="1" applyProtection="1">
      <alignment horizontal="center"/>
      <protection locked="0"/>
    </xf>
    <xf numFmtId="1" fontId="5" fillId="0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" fontId="5" fillId="0" borderId="31" xfId="0" applyNumberFormat="1" applyFont="1" applyFill="1" applyBorder="1" applyAlignment="1">
      <alignment horizontal="center"/>
    </xf>
    <xf numFmtId="1" fontId="5" fillId="0" borderId="32" xfId="0" applyNumberFormat="1" applyFont="1" applyFill="1" applyBorder="1" applyAlignment="1">
      <alignment horizontal="center"/>
    </xf>
    <xf numFmtId="1" fontId="5" fillId="0" borderId="33" xfId="0" applyNumberFormat="1" applyFont="1" applyFill="1" applyBorder="1" applyAlignment="1">
      <alignment horizontal="center"/>
    </xf>
    <xf numFmtId="2" fontId="5" fillId="0" borderId="31" xfId="0" applyNumberFormat="1" applyFont="1" applyFill="1" applyBorder="1" applyAlignment="1">
      <alignment horizontal="center"/>
    </xf>
    <xf numFmtId="2" fontId="5" fillId="0" borderId="32" xfId="0" applyNumberFormat="1" applyFont="1" applyFill="1" applyBorder="1" applyAlignment="1">
      <alignment horizontal="center"/>
    </xf>
    <xf numFmtId="2" fontId="5" fillId="0" borderId="33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2" fontId="5" fillId="0" borderId="33" xfId="0" applyNumberFormat="1" applyFont="1" applyFill="1" applyBorder="1" applyAlignment="1">
      <alignment horizontal="center" wrapText="1"/>
    </xf>
    <xf numFmtId="1" fontId="5" fillId="0" borderId="23" xfId="0" applyNumberFormat="1" applyFont="1" applyFill="1" applyBorder="1" applyAlignment="1">
      <alignment horizontal="center"/>
    </xf>
    <xf numFmtId="1" fontId="5" fillId="0" borderId="24" xfId="0" applyNumberFormat="1" applyFont="1" applyFill="1" applyBorder="1" applyAlignment="1">
      <alignment horizontal="center"/>
    </xf>
    <xf numFmtId="1" fontId="5" fillId="0" borderId="25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64" fontId="5" fillId="0" borderId="0" xfId="0" applyNumberFormat="1" applyFont="1" applyFill="1" applyBorder="1" applyAlignment="1"/>
    <xf numFmtId="164" fontId="4" fillId="0" borderId="0" xfId="0" applyNumberFormat="1" applyFont="1" applyFill="1" applyBorder="1" applyAlignment="1"/>
    <xf numFmtId="165" fontId="6" fillId="0" borderId="1" xfId="0" applyNumberFormat="1" applyFont="1" applyFill="1" applyBorder="1" applyAlignment="1"/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 applyProtection="1">
      <alignment horizontal="center"/>
      <protection locked="0"/>
    </xf>
    <xf numFmtId="164" fontId="3" fillId="0" borderId="6" xfId="0" applyNumberFormat="1" applyFont="1" applyFill="1" applyBorder="1" applyAlignment="1" applyProtection="1">
      <alignment horizontal="center"/>
      <protection locked="0"/>
    </xf>
    <xf numFmtId="164" fontId="3" fillId="0" borderId="3" xfId="0" applyNumberFormat="1" applyFont="1" applyFill="1" applyBorder="1" applyAlignment="1" applyProtection="1">
      <alignment horizontal="center"/>
      <protection locked="0"/>
    </xf>
    <xf numFmtId="164" fontId="3" fillId="0" borderId="6" xfId="1" applyNumberFormat="1" applyFont="1" applyFill="1" applyBorder="1" applyAlignment="1" applyProtection="1">
      <alignment horizontal="center"/>
      <protection locked="0"/>
    </xf>
    <xf numFmtId="164" fontId="3" fillId="0" borderId="3" xfId="1" applyNumberFormat="1" applyFont="1" applyFill="1" applyBorder="1" applyAlignment="1" applyProtection="1">
      <alignment horizontal="center"/>
      <protection locked="0"/>
    </xf>
    <xf numFmtId="1" fontId="5" fillId="0" borderId="1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64" fontId="3" fillId="0" borderId="0" xfId="0" applyNumberFormat="1" applyFont="1" applyFill="1" applyBorder="1"/>
    <xf numFmtId="164" fontId="6" fillId="0" borderId="0" xfId="0" applyNumberFormat="1" applyFont="1" applyFill="1" applyBorder="1"/>
    <xf numFmtId="0" fontId="5" fillId="0" borderId="2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5" fillId="0" borderId="1" xfId="16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 wrapText="1"/>
    </xf>
    <xf numFmtId="164" fontId="5" fillId="0" borderId="31" xfId="0" applyNumberFormat="1" applyFont="1" applyFill="1" applyBorder="1" applyAlignment="1">
      <alignment horizontal="center"/>
    </xf>
    <xf numFmtId="164" fontId="5" fillId="0" borderId="39" xfId="0" applyNumberFormat="1" applyFont="1" applyFill="1" applyBorder="1" applyAlignment="1">
      <alignment horizontal="center"/>
    </xf>
    <xf numFmtId="164" fontId="5" fillId="0" borderId="32" xfId="0" applyNumberFormat="1" applyFont="1" applyFill="1" applyBorder="1" applyAlignment="1">
      <alignment horizontal="center"/>
    </xf>
    <xf numFmtId="164" fontId="5" fillId="0" borderId="37" xfId="0" applyNumberFormat="1" applyFont="1" applyFill="1" applyBorder="1" applyAlignment="1">
      <alignment horizontal="center" wrapText="1"/>
    </xf>
    <xf numFmtId="164" fontId="5" fillId="0" borderId="32" xfId="0" applyNumberFormat="1" applyFont="1" applyFill="1" applyBorder="1" applyAlignment="1">
      <alignment horizontal="center" wrapText="1"/>
    </xf>
    <xf numFmtId="1" fontId="5" fillId="0" borderId="32" xfId="0" applyNumberFormat="1" applyFont="1" applyFill="1" applyBorder="1" applyAlignment="1">
      <alignment horizontal="center" wrapText="1"/>
    </xf>
    <xf numFmtId="1" fontId="5" fillId="0" borderId="33" xfId="0" applyNumberFormat="1" applyFont="1" applyFill="1" applyBorder="1" applyAlignment="1">
      <alignment horizont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2" fontId="5" fillId="0" borderId="31" xfId="0" applyNumberFormat="1" applyFont="1" applyFill="1" applyBorder="1" applyAlignment="1">
      <alignment horizontal="center" wrapText="1"/>
    </xf>
    <xf numFmtId="2" fontId="5" fillId="0" borderId="32" xfId="0" applyNumberFormat="1" applyFont="1" applyFill="1" applyBorder="1" applyAlignment="1">
      <alignment horizontal="center" wrapText="1"/>
    </xf>
    <xf numFmtId="1" fontId="5" fillId="0" borderId="37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2" fontId="6" fillId="0" borderId="0" xfId="0" applyNumberFormat="1" applyFont="1" applyFill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 applyProtection="1">
      <alignment horizontal="center"/>
    </xf>
    <xf numFmtId="2" fontId="5" fillId="0" borderId="14" xfId="0" applyNumberFormat="1" applyFont="1" applyFill="1" applyBorder="1" applyAlignment="1" applyProtection="1">
      <alignment horizontal="center"/>
    </xf>
    <xf numFmtId="0" fontId="4" fillId="0" borderId="0" xfId="0" applyFont="1" applyFill="1"/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center"/>
    </xf>
    <xf numFmtId="2" fontId="5" fillId="0" borderId="24" xfId="0" applyNumberFormat="1" applyFont="1" applyFill="1" applyBorder="1" applyAlignment="1" applyProtection="1">
      <alignment horizontal="center"/>
    </xf>
    <xf numFmtId="0" fontId="5" fillId="0" borderId="25" xfId="0" applyFont="1" applyFill="1" applyBorder="1" applyAlignment="1" applyProtection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</xf>
    <xf numFmtId="164" fontId="3" fillId="0" borderId="1" xfId="0" applyNumberFormat="1" applyFont="1" applyFill="1" applyBorder="1" applyAlignment="1" applyProtection="1">
      <alignment horizontal="center"/>
    </xf>
    <xf numFmtId="2" fontId="3" fillId="0" borderId="1" xfId="0" applyNumberFormat="1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/>
    </xf>
    <xf numFmtId="0" fontId="6" fillId="0" borderId="0" xfId="0" applyFont="1" applyFill="1"/>
    <xf numFmtId="0" fontId="3" fillId="0" borderId="5" xfId="0" applyFont="1" applyFill="1" applyBorder="1" applyAlignment="1">
      <alignment horizontal="center"/>
    </xf>
    <xf numFmtId="0" fontId="5" fillId="0" borderId="4" xfId="0" applyFont="1" applyFill="1" applyBorder="1" applyAlignment="1" applyProtection="1">
      <alignment horizontal="center"/>
      <protection locked="0"/>
    </xf>
    <xf numFmtId="0" fontId="3" fillId="0" borderId="5" xfId="1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5" fillId="0" borderId="1" xfId="17" applyFont="1" applyFill="1" applyBorder="1" applyAlignment="1">
      <alignment horizontal="center"/>
    </xf>
    <xf numFmtId="0" fontId="5" fillId="0" borderId="1" xfId="17" applyFont="1" applyFill="1" applyBorder="1" applyAlignment="1">
      <alignment horizontal="center" wrapText="1"/>
    </xf>
    <xf numFmtId="0" fontId="3" fillId="0" borderId="1" xfId="17" applyFont="1" applyFill="1" applyBorder="1" applyAlignment="1">
      <alignment horizontal="center"/>
    </xf>
    <xf numFmtId="0" fontId="3" fillId="0" borderId="1" xfId="17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Protection="1"/>
    <xf numFmtId="2" fontId="6" fillId="0" borderId="0" xfId="0" applyNumberFormat="1" applyFont="1" applyFill="1" applyProtection="1"/>
    <xf numFmtId="0" fontId="4" fillId="0" borderId="26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5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1" fontId="5" fillId="0" borderId="41" xfId="0" applyNumberFormat="1" applyFont="1" applyFill="1" applyBorder="1" applyAlignment="1">
      <alignment horizontal="center" wrapText="1"/>
    </xf>
    <xf numFmtId="2" fontId="5" fillId="0" borderId="18" xfId="0" applyNumberFormat="1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4" fillId="0" borderId="3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5" fillId="0" borderId="42" xfId="0" applyFont="1" applyFill="1" applyBorder="1" applyAlignment="1">
      <alignment horizontal="center"/>
    </xf>
    <xf numFmtId="1" fontId="5" fillId="0" borderId="42" xfId="0" applyNumberFormat="1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16" fontId="6" fillId="0" borderId="1" xfId="0" applyNumberFormat="1" applyFont="1" applyFill="1" applyBorder="1" applyAlignment="1"/>
    <xf numFmtId="3" fontId="5" fillId="0" borderId="7" xfId="0" applyNumberFormat="1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6" fillId="0" borderId="0" xfId="0" applyFont="1" applyFill="1" applyAlignment="1"/>
    <xf numFmtId="0" fontId="3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/>
    <xf numFmtId="0" fontId="4" fillId="0" borderId="0" xfId="0" applyFont="1" applyFill="1" applyAlignment="1"/>
    <xf numFmtId="1" fontId="5" fillId="0" borderId="0" xfId="0" applyNumberFormat="1" applyFont="1" applyFill="1" applyAlignment="1"/>
    <xf numFmtId="2" fontId="6" fillId="0" borderId="0" xfId="0" applyNumberFormat="1" applyFont="1" applyFill="1" applyAlignment="1"/>
    <xf numFmtId="0" fontId="3" fillId="0" borderId="0" xfId="0" applyFont="1" applyFill="1" applyAlignment="1"/>
    <xf numFmtId="2" fontId="5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" fontId="10" fillId="0" borderId="0" xfId="0" applyNumberFormat="1" applyFont="1" applyFill="1" applyAlignment="1"/>
    <xf numFmtId="1" fontId="5" fillId="0" borderId="26" xfId="0" applyNumberFormat="1" applyFont="1" applyFill="1" applyBorder="1" applyAlignment="1">
      <alignment horizontal="center"/>
    </xf>
    <xf numFmtId="1" fontId="5" fillId="0" borderId="27" xfId="0" applyNumberFormat="1" applyFont="1" applyFill="1" applyBorder="1" applyAlignment="1">
      <alignment horizontal="center"/>
    </xf>
    <xf numFmtId="0" fontId="5" fillId="0" borderId="27" xfId="0" applyNumberFormat="1" applyFont="1" applyFill="1" applyBorder="1" applyAlignment="1" applyProtection="1">
      <alignment horizontal="center"/>
    </xf>
    <xf numFmtId="164" fontId="5" fillId="0" borderId="28" xfId="0" applyNumberFormat="1" applyFont="1" applyFill="1" applyBorder="1" applyAlignment="1" applyProtection="1">
      <alignment horizontal="center"/>
    </xf>
    <xf numFmtId="1" fontId="5" fillId="0" borderId="28" xfId="0" applyNumberFormat="1" applyFont="1" applyFill="1" applyBorder="1" applyAlignment="1" applyProtection="1">
      <alignment horizontal="center"/>
    </xf>
    <xf numFmtId="164" fontId="5" fillId="0" borderId="34" xfId="0" applyNumberFormat="1" applyFont="1" applyFill="1" applyBorder="1" applyAlignment="1">
      <alignment horizontal="center" vertical="center"/>
    </xf>
    <xf numFmtId="164" fontId="5" fillId="0" borderId="35" xfId="0" applyNumberFormat="1" applyFont="1" applyFill="1" applyBorder="1" applyAlignment="1">
      <alignment horizontal="center" vertical="center"/>
    </xf>
    <xf numFmtId="164" fontId="5" fillId="0" borderId="36" xfId="0" applyNumberFormat="1" applyFont="1" applyFill="1" applyBorder="1" applyAlignment="1">
      <alignment horizontal="center" vertical="center"/>
    </xf>
    <xf numFmtId="164" fontId="5" fillId="0" borderId="34" xfId="0" applyNumberFormat="1" applyFont="1" applyFill="1" applyBorder="1" applyAlignment="1">
      <alignment horizontal="center"/>
    </xf>
    <xf numFmtId="164" fontId="4" fillId="0" borderId="36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164" fontId="5" fillId="0" borderId="38" xfId="0" applyNumberFormat="1" applyFont="1" applyFill="1" applyBorder="1" applyAlignment="1">
      <alignment horizontal="center"/>
    </xf>
    <xf numFmtId="164" fontId="4" fillId="0" borderId="0" xfId="0" applyNumberFormat="1" applyFont="1" applyFill="1"/>
    <xf numFmtId="0" fontId="5" fillId="0" borderId="24" xfId="0" applyNumberFormat="1" applyFont="1" applyFill="1" applyBorder="1" applyAlignment="1" applyProtection="1">
      <alignment horizontal="center"/>
    </xf>
    <xf numFmtId="164" fontId="5" fillId="0" borderId="30" xfId="0" applyNumberFormat="1" applyFont="1" applyFill="1" applyBorder="1" applyAlignment="1" applyProtection="1">
      <alignment horizontal="center"/>
    </xf>
    <xf numFmtId="1" fontId="5" fillId="0" borderId="25" xfId="0" applyNumberFormat="1" applyFont="1" applyFill="1" applyBorder="1" applyAlignment="1" applyProtection="1">
      <alignment horizontal="center"/>
    </xf>
    <xf numFmtId="164" fontId="5" fillId="0" borderId="31" xfId="0" applyNumberFormat="1" applyFont="1" applyFill="1" applyBorder="1" applyAlignment="1">
      <alignment horizontal="center" wrapText="1"/>
    </xf>
    <xf numFmtId="164" fontId="5" fillId="0" borderId="39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Alignment="1"/>
    <xf numFmtId="1" fontId="3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 applyProtection="1">
      <alignment horizontal="center"/>
    </xf>
    <xf numFmtId="1" fontId="3" fillId="0" borderId="5" xfId="0" applyNumberFormat="1" applyFont="1" applyFill="1" applyBorder="1" applyAlignment="1" applyProtection="1">
      <alignment horizontal="center"/>
    </xf>
    <xf numFmtId="164" fontId="6" fillId="0" borderId="0" xfId="0" applyNumberFormat="1" applyFont="1" applyFill="1"/>
    <xf numFmtId="1" fontId="3" fillId="0" borderId="4" xfId="0" applyNumberFormat="1" applyFont="1" applyFill="1" applyBorder="1" applyAlignment="1" applyProtection="1">
      <alignment horizontal="center"/>
      <protection locked="0"/>
    </xf>
    <xf numFmtId="1" fontId="3" fillId="0" borderId="4" xfId="1" applyNumberFormat="1" applyFont="1" applyFill="1" applyBorder="1" applyAlignment="1" applyProtection="1">
      <alignment horizontal="center"/>
      <protection locked="0"/>
    </xf>
    <xf numFmtId="1" fontId="3" fillId="0" borderId="1" xfId="1" applyNumberFormat="1" applyFon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 applyProtection="1">
      <alignment horizontal="center"/>
    </xf>
    <xf numFmtId="1" fontId="6" fillId="0" borderId="0" xfId="0" applyNumberFormat="1" applyFont="1" applyFill="1"/>
    <xf numFmtId="0" fontId="6" fillId="0" borderId="0" xfId="0" applyNumberFormat="1" applyFont="1" applyFill="1" applyProtection="1"/>
    <xf numFmtId="164" fontId="6" fillId="0" borderId="0" xfId="0" applyNumberFormat="1" applyFont="1" applyFill="1" applyProtection="1"/>
    <xf numFmtId="1" fontId="6" fillId="0" borderId="0" xfId="0" applyNumberFormat="1" applyFont="1" applyFill="1" applyProtection="1"/>
    <xf numFmtId="164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5" fillId="0" borderId="26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164" fontId="5" fillId="0" borderId="27" xfId="0" applyNumberFormat="1" applyFont="1" applyFill="1" applyBorder="1" applyAlignment="1">
      <alignment horizontal="center"/>
    </xf>
    <xf numFmtId="164" fontId="5" fillId="0" borderId="29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 vertical="center"/>
    </xf>
    <xf numFmtId="164" fontId="5" fillId="0" borderId="27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3" xfId="0" applyFont="1" applyFill="1" applyBorder="1" applyAlignment="1" applyProtection="1">
      <alignment horizontal="center"/>
      <protection locked="0"/>
    </xf>
    <xf numFmtId="0" fontId="5" fillId="0" borderId="30" xfId="0" applyFont="1" applyFill="1" applyBorder="1" applyAlignment="1" applyProtection="1">
      <alignment horizontal="center"/>
      <protection locked="0"/>
    </xf>
    <xf numFmtId="164" fontId="5" fillId="0" borderId="23" xfId="0" applyNumberFormat="1" applyFont="1" applyFill="1" applyBorder="1" applyAlignment="1">
      <alignment horizontal="center" wrapText="1"/>
    </xf>
    <xf numFmtId="164" fontId="5" fillId="0" borderId="24" xfId="0" applyNumberFormat="1" applyFont="1" applyFill="1" applyBorder="1" applyAlignment="1">
      <alignment horizontal="center" wrapText="1"/>
    </xf>
    <xf numFmtId="164" fontId="5" fillId="0" borderId="25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0" borderId="3" xfId="1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6" fillId="0" borderId="0" xfId="0" applyFont="1" applyFill="1" applyProtection="1">
      <protection locked="0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/>
    <xf numFmtId="0" fontId="5" fillId="0" borderId="28" xfId="0" applyFont="1" applyFill="1" applyBorder="1" applyAlignment="1"/>
    <xf numFmtId="164" fontId="4" fillId="0" borderId="35" xfId="0" applyNumberFormat="1" applyFont="1" applyFill="1" applyBorder="1" applyAlignment="1">
      <alignment horizontal="center"/>
    </xf>
    <xf numFmtId="2" fontId="5" fillId="0" borderId="34" xfId="0" applyNumberFormat="1" applyFont="1" applyFill="1" applyBorder="1" applyAlignment="1">
      <alignment horizontal="center" wrapText="1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" fontId="5" fillId="0" borderId="38" xfId="0" applyNumberFormat="1" applyFont="1" applyFill="1" applyBorder="1" applyAlignment="1">
      <alignment horizontal="center"/>
    </xf>
    <xf numFmtId="1" fontId="5" fillId="0" borderId="30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164" fontId="5" fillId="0" borderId="33" xfId="0" applyNumberFormat="1" applyFont="1" applyFill="1" applyBorder="1" applyAlignment="1">
      <alignment horizontal="center" wrapText="1"/>
    </xf>
    <xf numFmtId="2" fontId="5" fillId="0" borderId="37" xfId="0" applyNumberFormat="1" applyFont="1" applyFill="1" applyBorder="1" applyAlignment="1">
      <alignment horizontal="center"/>
    </xf>
    <xf numFmtId="2" fontId="11" fillId="0" borderId="32" xfId="0" applyNumberFormat="1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164" fontId="5" fillId="0" borderId="3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" fontId="5" fillId="0" borderId="39" xfId="0" applyNumberFormat="1" applyFont="1" applyFill="1" applyBorder="1" applyAlignment="1">
      <alignment horizontal="center"/>
    </xf>
    <xf numFmtId="0" fontId="5" fillId="0" borderId="4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0" fontId="3" fillId="0" borderId="4" xfId="1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 applyProtection="1">
      <alignment horizontal="center"/>
      <protection locked="0"/>
    </xf>
    <xf numFmtId="164" fontId="3" fillId="0" borderId="43" xfId="0" applyNumberFormat="1" applyFont="1" applyFill="1" applyBorder="1" applyAlignment="1">
      <alignment horizontal="center"/>
    </xf>
    <xf numFmtId="164" fontId="3" fillId="0" borderId="22" xfId="0" applyNumberFormat="1" applyFont="1" applyFill="1" applyBorder="1" applyAlignment="1" applyProtection="1">
      <alignment horizontal="center"/>
      <protection locked="0"/>
    </xf>
    <xf numFmtId="164" fontId="3" fillId="0" borderId="14" xfId="0" applyNumberFormat="1" applyFont="1" applyFill="1" applyBorder="1" applyAlignment="1" applyProtection="1">
      <alignment horizontal="center"/>
      <protection locked="0"/>
    </xf>
    <xf numFmtId="164" fontId="3" fillId="0" borderId="40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/>
    <xf numFmtId="2" fontId="6" fillId="0" borderId="0" xfId="0" applyNumberFormat="1" applyFont="1" applyFill="1"/>
    <xf numFmtId="1" fontId="4" fillId="0" borderId="0" xfId="0" applyNumberFormat="1" applyFont="1" applyFill="1"/>
    <xf numFmtId="1" fontId="4" fillId="0" borderId="0" xfId="0" applyNumberFormat="1" applyFont="1" applyFill="1" applyAlignment="1">
      <alignment horizontal="center"/>
    </xf>
    <xf numFmtId="0" fontId="3" fillId="0" borderId="0" xfId="0" applyFont="1" applyFill="1"/>
    <xf numFmtId="2" fontId="3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64" fontId="9" fillId="0" borderId="0" xfId="0" applyNumberFormat="1" applyFont="1" applyFill="1"/>
    <xf numFmtId="164" fontId="5" fillId="0" borderId="0" xfId="0" applyNumberFormat="1" applyFont="1" applyFill="1"/>
  </cellXfs>
  <cellStyles count="18">
    <cellStyle name="Normal" xfId="0" builtinId="0"/>
    <cellStyle name="Normal 10 2" xfId="8"/>
    <cellStyle name="Normal 141" xfId="17"/>
    <cellStyle name="Normal 2" xfId="1"/>
    <cellStyle name="Normal 3" xfId="2"/>
    <cellStyle name="Normal 3 2" xfId="3"/>
    <cellStyle name="Normal 71" xfId="9"/>
    <cellStyle name="Normal 74" xfId="15"/>
    <cellStyle name="Normal 75" xfId="5"/>
    <cellStyle name="Normal 76" xfId="16"/>
    <cellStyle name="Normal 77" xfId="13"/>
    <cellStyle name="Normal 78" xfId="4"/>
    <cellStyle name="Normal 81" xfId="6"/>
    <cellStyle name="Normal 82" xfId="10"/>
    <cellStyle name="Standard 3 3" xfId="14"/>
    <cellStyle name="쉼표 [0] 2 4" xfId="12"/>
    <cellStyle name="표준 10" xfId="7"/>
    <cellStyle name="표준_Sheet1" xfId="1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800080"/>
      <color rgb="FF990099"/>
      <color rgb="FFB3B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opLeftCell="A37" workbookViewId="0">
      <selection activeCell="A55" sqref="A55:XFD57"/>
    </sheetView>
  </sheetViews>
  <sheetFormatPr defaultColWidth="9.28515625" defaultRowHeight="13.15" customHeight="1"/>
  <cols>
    <col min="1" max="1" width="13.5703125" style="103" customWidth="1"/>
    <col min="2" max="2" width="43.7109375" style="103" customWidth="1"/>
    <col min="3" max="3" width="4.5703125" style="92" bestFit="1" customWidth="1"/>
    <col min="4" max="4" width="4.42578125" style="92" bestFit="1" customWidth="1"/>
    <col min="5" max="5" width="18" style="92" bestFit="1" customWidth="1"/>
    <col min="6" max="6" width="13.28515625" style="92" bestFit="1" customWidth="1"/>
    <col min="7" max="7" width="7.7109375" style="104" customWidth="1"/>
    <col min="8" max="8" width="7.42578125" style="104" bestFit="1" customWidth="1"/>
    <col min="9" max="9" width="7.7109375" style="105" bestFit="1" customWidth="1"/>
    <col min="10" max="10" width="7.28515625" style="104" bestFit="1" customWidth="1"/>
    <col min="11" max="16384" width="9.28515625" style="92"/>
  </cols>
  <sheetData>
    <row r="1" spans="1:10" s="78" customFormat="1" ht="13.15" customHeight="1" thickBot="1">
      <c r="A1" s="75"/>
      <c r="B1" s="75"/>
      <c r="C1" s="75"/>
      <c r="D1" s="75"/>
      <c r="E1" s="75"/>
      <c r="F1" s="75"/>
      <c r="G1" s="76"/>
      <c r="H1" s="76"/>
      <c r="I1" s="77"/>
      <c r="J1" s="76" t="s">
        <v>18</v>
      </c>
    </row>
    <row r="2" spans="1:10" s="78" customFormat="1" ht="13.15" customHeight="1" thickBot="1">
      <c r="A2" s="55" t="s">
        <v>19</v>
      </c>
      <c r="B2" s="79" t="s">
        <v>20</v>
      </c>
      <c r="C2" s="79" t="s">
        <v>21</v>
      </c>
      <c r="D2" s="79" t="s">
        <v>22</v>
      </c>
      <c r="E2" s="79" t="s">
        <v>70</v>
      </c>
      <c r="F2" s="80" t="s">
        <v>71</v>
      </c>
      <c r="G2" s="81" t="s">
        <v>48</v>
      </c>
      <c r="H2" s="82" t="s">
        <v>8</v>
      </c>
      <c r="I2" s="83" t="s">
        <v>68</v>
      </c>
      <c r="J2" s="84" t="s">
        <v>45</v>
      </c>
    </row>
    <row r="3" spans="1:10" ht="13.15" customHeight="1">
      <c r="A3" s="85" t="s">
        <v>93</v>
      </c>
      <c r="B3" s="58" t="s">
        <v>94</v>
      </c>
      <c r="C3" s="86">
        <v>2020</v>
      </c>
      <c r="D3" s="87">
        <v>1.27</v>
      </c>
      <c r="E3" s="87" t="s">
        <v>89</v>
      </c>
      <c r="F3" s="87" t="s">
        <v>90</v>
      </c>
      <c r="G3" s="88">
        <f t="shared" ref="G3:G13" si="0">IF(F3="Y",((1/(1+EXP(2.6968+(1.1686*LN(D3-0.9)))))),((1/(1+EXP(2.8891+(1.1686*(LN(D3-0.9))))))))</f>
        <v>0.15094392869398887</v>
      </c>
      <c r="H3" s="89">
        <f t="shared" ref="H3:H13" si="1">ROUND(G3,3)</f>
        <v>0.151</v>
      </c>
      <c r="I3" s="90">
        <f t="shared" ref="I3:I13" si="2">ROUND(H3/0.15,2)</f>
        <v>1.01</v>
      </c>
      <c r="J3" s="91">
        <f t="shared" ref="J3:J13" si="3">IF(I3&lt;0.673,5,IF(I3&lt;1.33,4,IF(I3&lt;2,3,IF(I3&lt;2.67,2,1))))</f>
        <v>4</v>
      </c>
    </row>
    <row r="4" spans="1:10" ht="13.15" customHeight="1">
      <c r="A4" s="85" t="s">
        <v>93</v>
      </c>
      <c r="B4" s="58" t="s">
        <v>95</v>
      </c>
      <c r="C4" s="86">
        <v>2020</v>
      </c>
      <c r="D4" s="87">
        <v>1.23</v>
      </c>
      <c r="E4" s="87" t="s">
        <v>89</v>
      </c>
      <c r="F4" s="87" t="s">
        <v>90</v>
      </c>
      <c r="G4" s="88">
        <f t="shared" si="0"/>
        <v>0.16888967495700072</v>
      </c>
      <c r="H4" s="89">
        <f t="shared" si="1"/>
        <v>0.16900000000000001</v>
      </c>
      <c r="I4" s="90">
        <f t="shared" si="2"/>
        <v>1.1299999999999999</v>
      </c>
      <c r="J4" s="91">
        <f t="shared" si="3"/>
        <v>4</v>
      </c>
    </row>
    <row r="5" spans="1:10" ht="13.15" customHeight="1">
      <c r="A5" s="85" t="s">
        <v>93</v>
      </c>
      <c r="B5" s="58" t="s">
        <v>100</v>
      </c>
      <c r="C5" s="86">
        <v>2020</v>
      </c>
      <c r="D5" s="17">
        <v>1.26</v>
      </c>
      <c r="E5" s="9" t="s">
        <v>89</v>
      </c>
      <c r="F5" s="93" t="s">
        <v>90</v>
      </c>
      <c r="G5" s="88">
        <f t="shared" si="0"/>
        <v>0.15509342889208913</v>
      </c>
      <c r="H5" s="89">
        <f t="shared" si="1"/>
        <v>0.155</v>
      </c>
      <c r="I5" s="90">
        <f t="shared" si="2"/>
        <v>1.03</v>
      </c>
      <c r="J5" s="91">
        <f t="shared" si="3"/>
        <v>4</v>
      </c>
    </row>
    <row r="6" spans="1:10" ht="13.15" customHeight="1">
      <c r="A6" s="85" t="s">
        <v>93</v>
      </c>
      <c r="B6" s="58" t="s">
        <v>101</v>
      </c>
      <c r="C6" s="86">
        <v>2020</v>
      </c>
      <c r="D6" s="17">
        <v>1.24</v>
      </c>
      <c r="E6" s="9" t="s">
        <v>89</v>
      </c>
      <c r="F6" s="93" t="s">
        <v>90</v>
      </c>
      <c r="G6" s="88">
        <f t="shared" si="0"/>
        <v>0.1640492476036079</v>
      </c>
      <c r="H6" s="89">
        <f t="shared" si="1"/>
        <v>0.16400000000000001</v>
      </c>
      <c r="I6" s="90">
        <f t="shared" si="2"/>
        <v>1.0900000000000001</v>
      </c>
      <c r="J6" s="91">
        <f t="shared" si="3"/>
        <v>4</v>
      </c>
    </row>
    <row r="7" spans="1:10" ht="13.15" customHeight="1">
      <c r="A7" s="94" t="s">
        <v>92</v>
      </c>
      <c r="B7" s="8" t="s">
        <v>102</v>
      </c>
      <c r="C7" s="86">
        <v>2020</v>
      </c>
      <c r="D7" s="87">
        <v>1.44</v>
      </c>
      <c r="E7" s="87" t="s">
        <v>90</v>
      </c>
      <c r="F7" s="87" t="s">
        <v>90</v>
      </c>
      <c r="G7" s="88">
        <f t="shared" si="0"/>
        <v>0.10256675558990924</v>
      </c>
      <c r="H7" s="89">
        <f t="shared" si="1"/>
        <v>0.10299999999999999</v>
      </c>
      <c r="I7" s="90">
        <f t="shared" si="2"/>
        <v>0.69</v>
      </c>
      <c r="J7" s="91">
        <f t="shared" si="3"/>
        <v>4</v>
      </c>
    </row>
    <row r="8" spans="1:10" ht="13.15" customHeight="1">
      <c r="A8" s="94" t="s">
        <v>105</v>
      </c>
      <c r="B8" s="8" t="s">
        <v>106</v>
      </c>
      <c r="C8" s="86">
        <v>2020</v>
      </c>
      <c r="D8" s="17">
        <v>1.22</v>
      </c>
      <c r="E8" s="17" t="s">
        <v>228</v>
      </c>
      <c r="F8" s="95" t="s">
        <v>229</v>
      </c>
      <c r="G8" s="88">
        <f t="shared" si="0"/>
        <v>0.17399746725853527</v>
      </c>
      <c r="H8" s="89">
        <f t="shared" si="1"/>
        <v>0.17399999999999999</v>
      </c>
      <c r="I8" s="90">
        <f t="shared" si="2"/>
        <v>1.1599999999999999</v>
      </c>
      <c r="J8" s="91">
        <f t="shared" si="3"/>
        <v>4</v>
      </c>
    </row>
    <row r="9" spans="1:10" ht="13.15" customHeight="1">
      <c r="A9" s="94" t="s">
        <v>105</v>
      </c>
      <c r="B9" s="8" t="s">
        <v>107</v>
      </c>
      <c r="C9" s="86">
        <v>2020</v>
      </c>
      <c r="D9" s="17">
        <v>1.23</v>
      </c>
      <c r="E9" s="17" t="s">
        <v>228</v>
      </c>
      <c r="F9" s="95" t="s">
        <v>229</v>
      </c>
      <c r="G9" s="88">
        <f t="shared" si="0"/>
        <v>0.16888967495700072</v>
      </c>
      <c r="H9" s="89">
        <f t="shared" si="1"/>
        <v>0.16900000000000001</v>
      </c>
      <c r="I9" s="90">
        <f t="shared" si="2"/>
        <v>1.1299999999999999</v>
      </c>
      <c r="J9" s="91">
        <f t="shared" si="3"/>
        <v>4</v>
      </c>
    </row>
    <row r="10" spans="1:10" ht="13.15" customHeight="1">
      <c r="A10" s="96" t="s">
        <v>105</v>
      </c>
      <c r="B10" s="87" t="s">
        <v>108</v>
      </c>
      <c r="C10" s="86">
        <v>2020</v>
      </c>
      <c r="D10" s="17">
        <v>1.22</v>
      </c>
      <c r="E10" s="17" t="s">
        <v>89</v>
      </c>
      <c r="F10" s="95" t="s">
        <v>90</v>
      </c>
      <c r="G10" s="88">
        <f t="shared" si="0"/>
        <v>0.17399746725853527</v>
      </c>
      <c r="H10" s="89">
        <f t="shared" si="1"/>
        <v>0.17399999999999999</v>
      </c>
      <c r="I10" s="90">
        <f t="shared" si="2"/>
        <v>1.1599999999999999</v>
      </c>
      <c r="J10" s="91">
        <f t="shared" si="3"/>
        <v>4</v>
      </c>
    </row>
    <row r="11" spans="1:10" ht="13.15" customHeight="1">
      <c r="A11" s="96" t="s">
        <v>105</v>
      </c>
      <c r="B11" s="87" t="s">
        <v>109</v>
      </c>
      <c r="C11" s="86">
        <v>2020</v>
      </c>
      <c r="D11" s="17">
        <v>1.23</v>
      </c>
      <c r="E11" s="17" t="s">
        <v>89</v>
      </c>
      <c r="F11" s="95" t="s">
        <v>90</v>
      </c>
      <c r="G11" s="88">
        <f t="shared" si="0"/>
        <v>0.16888967495700072</v>
      </c>
      <c r="H11" s="89">
        <f t="shared" si="1"/>
        <v>0.16900000000000001</v>
      </c>
      <c r="I11" s="90">
        <f t="shared" si="2"/>
        <v>1.1299999999999999</v>
      </c>
      <c r="J11" s="91">
        <f t="shared" si="3"/>
        <v>4</v>
      </c>
    </row>
    <row r="12" spans="1:10" ht="13.15" customHeight="1">
      <c r="A12" s="96" t="s">
        <v>110</v>
      </c>
      <c r="B12" s="87" t="s">
        <v>111</v>
      </c>
      <c r="C12" s="86">
        <v>2020</v>
      </c>
      <c r="D12" s="87">
        <v>1.22</v>
      </c>
      <c r="E12" s="87" t="s">
        <v>228</v>
      </c>
      <c r="F12" s="97" t="s">
        <v>229</v>
      </c>
      <c r="G12" s="88">
        <f t="shared" si="0"/>
        <v>0.17399746725853527</v>
      </c>
      <c r="H12" s="89">
        <f t="shared" si="1"/>
        <v>0.17399999999999999</v>
      </c>
      <c r="I12" s="90">
        <f t="shared" si="2"/>
        <v>1.1599999999999999</v>
      </c>
      <c r="J12" s="91">
        <f t="shared" si="3"/>
        <v>4</v>
      </c>
    </row>
    <row r="13" spans="1:10" ht="13.15" customHeight="1">
      <c r="A13" s="96" t="s">
        <v>110</v>
      </c>
      <c r="B13" s="87" t="s">
        <v>112</v>
      </c>
      <c r="C13" s="86">
        <v>2020</v>
      </c>
      <c r="D13" s="87">
        <v>1.23</v>
      </c>
      <c r="E13" s="87" t="s">
        <v>228</v>
      </c>
      <c r="F13" s="97" t="s">
        <v>229</v>
      </c>
      <c r="G13" s="88">
        <f t="shared" si="0"/>
        <v>0.16888967495700072</v>
      </c>
      <c r="H13" s="89">
        <f t="shared" si="1"/>
        <v>0.16900000000000001</v>
      </c>
      <c r="I13" s="90">
        <f t="shared" si="2"/>
        <v>1.1299999999999999</v>
      </c>
      <c r="J13" s="91">
        <f t="shared" si="3"/>
        <v>4</v>
      </c>
    </row>
    <row r="14" spans="1:10" ht="13.15" customHeight="1">
      <c r="A14" s="94" t="s">
        <v>105</v>
      </c>
      <c r="B14" s="8" t="s">
        <v>113</v>
      </c>
      <c r="C14" s="86">
        <v>2020</v>
      </c>
      <c r="D14" s="87"/>
      <c r="E14" s="87"/>
      <c r="F14" s="87"/>
      <c r="G14" s="88" t="e">
        <f t="shared" ref="G14:G48" si="4">IF(F14="Y",((1/(1+EXP(2.6968+(1.1686*LN(D14-0.9)))))),((1/(1+EXP(2.8891+(1.1686*(LN(D14-0.9))))))))</f>
        <v>#NUM!</v>
      </c>
      <c r="H14" s="89" t="e">
        <f t="shared" ref="H14:H48" si="5">ROUND(G14,3)</f>
        <v>#NUM!</v>
      </c>
      <c r="I14" s="90" t="e">
        <f t="shared" ref="I14:I48" si="6">ROUND(H14/0.15,2)</f>
        <v>#NUM!</v>
      </c>
      <c r="J14" s="91" t="e">
        <f t="shared" ref="J14:J48" si="7">IF(I14&lt;0.673,5,IF(I14&lt;1.33,4,IF(I14&lt;2,3,IF(I14&lt;2.67,2,1))))</f>
        <v>#NUM!</v>
      </c>
    </row>
    <row r="15" spans="1:10" ht="13.15" customHeight="1">
      <c r="A15" s="94" t="s">
        <v>105</v>
      </c>
      <c r="B15" s="8" t="s">
        <v>114</v>
      </c>
      <c r="C15" s="86">
        <v>2020</v>
      </c>
      <c r="D15" s="87">
        <v>1</v>
      </c>
      <c r="E15" s="87" t="s">
        <v>89</v>
      </c>
      <c r="F15" s="87" t="s">
        <v>90</v>
      </c>
      <c r="G15" s="88">
        <f t="shared" ref="G15:G16" si="8">IF(F15="Y",((1/(1+EXP(2.6968+(1.1686*LN(D15-0.9)))))),((1/(1+EXP(2.8891+(1.1686*(LN(D15-0.9))))))))</f>
        <v>0.45058704903405433</v>
      </c>
      <c r="H15" s="89">
        <f t="shared" ref="H15:H16" si="9">ROUND(G15,3)</f>
        <v>0.45100000000000001</v>
      </c>
      <c r="I15" s="90">
        <f t="shared" ref="I15:I16" si="10">ROUND(H15/0.15,2)</f>
        <v>3.01</v>
      </c>
      <c r="J15" s="91">
        <f t="shared" ref="J15:J16" si="11">IF(I15&lt;0.673,5,IF(I15&lt;1.33,4,IF(I15&lt;2,3,IF(I15&lt;2.67,2,1))))</f>
        <v>1</v>
      </c>
    </row>
    <row r="16" spans="1:10" ht="13.15" customHeight="1">
      <c r="A16" s="94" t="s">
        <v>105</v>
      </c>
      <c r="B16" s="8" t="s">
        <v>115</v>
      </c>
      <c r="C16" s="86">
        <v>2020</v>
      </c>
      <c r="D16" s="87">
        <v>1.03</v>
      </c>
      <c r="E16" s="87" t="s">
        <v>89</v>
      </c>
      <c r="F16" s="87" t="s">
        <v>90</v>
      </c>
      <c r="G16" s="88">
        <f t="shared" si="8"/>
        <v>0.37639032703968356</v>
      </c>
      <c r="H16" s="89">
        <f t="shared" si="9"/>
        <v>0.376</v>
      </c>
      <c r="I16" s="90">
        <f t="shared" si="10"/>
        <v>2.5099999999999998</v>
      </c>
      <c r="J16" s="91">
        <f t="shared" si="11"/>
        <v>2</v>
      </c>
    </row>
    <row r="17" spans="1:10" ht="13.15" customHeight="1">
      <c r="A17" s="94" t="s">
        <v>105</v>
      </c>
      <c r="B17" s="8" t="s">
        <v>116</v>
      </c>
      <c r="C17" s="86">
        <v>2020</v>
      </c>
      <c r="D17" s="87">
        <v>1.03</v>
      </c>
      <c r="E17" s="87" t="s">
        <v>89</v>
      </c>
      <c r="F17" s="87" t="s">
        <v>90</v>
      </c>
      <c r="G17" s="88">
        <f t="shared" si="4"/>
        <v>0.37639032703968356</v>
      </c>
      <c r="H17" s="89">
        <f t="shared" si="5"/>
        <v>0.376</v>
      </c>
      <c r="I17" s="90">
        <f t="shared" si="6"/>
        <v>2.5099999999999998</v>
      </c>
      <c r="J17" s="91">
        <f t="shared" si="7"/>
        <v>2</v>
      </c>
    </row>
    <row r="18" spans="1:10" ht="13.15" customHeight="1">
      <c r="A18" s="94" t="s">
        <v>105</v>
      </c>
      <c r="B18" s="8" t="s">
        <v>117</v>
      </c>
      <c r="C18" s="86">
        <v>2020</v>
      </c>
      <c r="D18" s="87">
        <v>1.1000000000000001</v>
      </c>
      <c r="E18" s="87" t="s">
        <v>89</v>
      </c>
      <c r="F18" s="87" t="s">
        <v>90</v>
      </c>
      <c r="G18" s="88">
        <f t="shared" si="4"/>
        <v>0.26731054913942764</v>
      </c>
      <c r="H18" s="89">
        <f t="shared" si="5"/>
        <v>0.26700000000000002</v>
      </c>
      <c r="I18" s="90">
        <f t="shared" si="6"/>
        <v>1.78</v>
      </c>
      <c r="J18" s="91">
        <f t="shared" si="7"/>
        <v>3</v>
      </c>
    </row>
    <row r="19" spans="1:10" ht="13.15" customHeight="1">
      <c r="A19" s="94" t="s">
        <v>105</v>
      </c>
      <c r="B19" s="8" t="s">
        <v>118</v>
      </c>
      <c r="C19" s="86">
        <v>2020</v>
      </c>
      <c r="D19" s="87">
        <v>1.05</v>
      </c>
      <c r="E19" s="87" t="s">
        <v>89</v>
      </c>
      <c r="F19" s="87" t="s">
        <v>90</v>
      </c>
      <c r="G19" s="88">
        <f t="shared" ref="G19:G32" si="12">IF(F19="Y",((1/(1+EXP(2.6968+(1.1686*LN(D19-0.9)))))),((1/(1+EXP(2.8891+(1.1686*(LN(D19-0.9))))))))</f>
        <v>0.33802105011986672</v>
      </c>
      <c r="H19" s="89">
        <f t="shared" ref="H19:H32" si="13">ROUND(G19,3)</f>
        <v>0.33800000000000002</v>
      </c>
      <c r="I19" s="90">
        <f t="shared" ref="I19:I32" si="14">ROUND(H19/0.15,2)</f>
        <v>2.25</v>
      </c>
      <c r="J19" s="91">
        <f t="shared" ref="J19:J32" si="15">IF(I19&lt;0.673,5,IF(I19&lt;1.33,4,IF(I19&lt;2,3,IF(I19&lt;2.67,2,1))))</f>
        <v>2</v>
      </c>
    </row>
    <row r="20" spans="1:10" ht="13.15" customHeight="1">
      <c r="A20" s="85" t="s">
        <v>105</v>
      </c>
      <c r="B20" s="87" t="s">
        <v>172</v>
      </c>
      <c r="C20" s="86">
        <v>2020</v>
      </c>
      <c r="D20" s="87"/>
      <c r="E20" s="87"/>
      <c r="F20" s="87"/>
      <c r="G20" s="88" t="e">
        <f t="shared" si="12"/>
        <v>#NUM!</v>
      </c>
      <c r="H20" s="89" t="e">
        <f t="shared" si="13"/>
        <v>#NUM!</v>
      </c>
      <c r="I20" s="90" t="e">
        <f t="shared" si="14"/>
        <v>#NUM!</v>
      </c>
      <c r="J20" s="91" t="e">
        <f t="shared" si="15"/>
        <v>#NUM!</v>
      </c>
    </row>
    <row r="21" spans="1:10" ht="13.15" customHeight="1">
      <c r="A21" s="94" t="s">
        <v>121</v>
      </c>
      <c r="B21" s="8" t="s">
        <v>123</v>
      </c>
      <c r="C21" s="86">
        <v>2020</v>
      </c>
      <c r="D21" s="87">
        <v>1.27</v>
      </c>
      <c r="E21" s="87" t="s">
        <v>89</v>
      </c>
      <c r="F21" s="87" t="s">
        <v>90</v>
      </c>
      <c r="G21" s="88">
        <f t="shared" si="12"/>
        <v>0.15094392869398887</v>
      </c>
      <c r="H21" s="89">
        <f t="shared" si="13"/>
        <v>0.151</v>
      </c>
      <c r="I21" s="90">
        <f t="shared" si="14"/>
        <v>1.01</v>
      </c>
      <c r="J21" s="91">
        <f t="shared" si="15"/>
        <v>4</v>
      </c>
    </row>
    <row r="22" spans="1:10" ht="13.15" customHeight="1">
      <c r="A22" s="94" t="s">
        <v>121</v>
      </c>
      <c r="B22" s="8" t="s">
        <v>122</v>
      </c>
      <c r="C22" s="86">
        <v>2020</v>
      </c>
      <c r="D22" s="87">
        <v>1.24</v>
      </c>
      <c r="E22" s="87" t="s">
        <v>89</v>
      </c>
      <c r="F22" s="87" t="s">
        <v>90</v>
      </c>
      <c r="G22" s="88">
        <f t="shared" si="12"/>
        <v>0.1640492476036079</v>
      </c>
      <c r="H22" s="89">
        <f t="shared" si="13"/>
        <v>0.16400000000000001</v>
      </c>
      <c r="I22" s="90">
        <f t="shared" si="14"/>
        <v>1.0900000000000001</v>
      </c>
      <c r="J22" s="91">
        <f t="shared" si="15"/>
        <v>4</v>
      </c>
    </row>
    <row r="23" spans="1:10" ht="13.15" customHeight="1">
      <c r="A23" s="98" t="s">
        <v>124</v>
      </c>
      <c r="B23" s="99" t="s">
        <v>125</v>
      </c>
      <c r="C23" s="86">
        <v>2020</v>
      </c>
      <c r="D23" s="87">
        <v>1.39</v>
      </c>
      <c r="E23" s="87" t="s">
        <v>90</v>
      </c>
      <c r="F23" s="87" t="s">
        <v>90</v>
      </c>
      <c r="G23" s="88">
        <f t="shared" si="12"/>
        <v>0.11349989611889667</v>
      </c>
      <c r="H23" s="89">
        <f t="shared" si="13"/>
        <v>0.113</v>
      </c>
      <c r="I23" s="90">
        <f t="shared" si="14"/>
        <v>0.75</v>
      </c>
      <c r="J23" s="91">
        <f t="shared" si="15"/>
        <v>4</v>
      </c>
    </row>
    <row r="24" spans="1:10" ht="13.15" customHeight="1">
      <c r="A24" s="98" t="s">
        <v>124</v>
      </c>
      <c r="B24" s="99" t="s">
        <v>126</v>
      </c>
      <c r="C24" s="86">
        <v>2020</v>
      </c>
      <c r="D24" s="87">
        <v>1.25</v>
      </c>
      <c r="E24" s="87" t="s">
        <v>89</v>
      </c>
      <c r="F24" s="87" t="s">
        <v>90</v>
      </c>
      <c r="G24" s="88">
        <f t="shared" si="12"/>
        <v>0.15945645755950677</v>
      </c>
      <c r="H24" s="89">
        <f t="shared" si="13"/>
        <v>0.159</v>
      </c>
      <c r="I24" s="90">
        <f t="shared" si="14"/>
        <v>1.06</v>
      </c>
      <c r="J24" s="91">
        <f t="shared" si="15"/>
        <v>4</v>
      </c>
    </row>
    <row r="25" spans="1:10" ht="13.15" customHeight="1">
      <c r="A25" s="98" t="s">
        <v>124</v>
      </c>
      <c r="B25" s="99" t="s">
        <v>176</v>
      </c>
      <c r="C25" s="86">
        <v>2020</v>
      </c>
      <c r="D25" s="87">
        <v>1.29</v>
      </c>
      <c r="E25" s="87" t="s">
        <v>89</v>
      </c>
      <c r="F25" s="87" t="s">
        <v>90</v>
      </c>
      <c r="G25" s="88">
        <f t="shared" si="12"/>
        <v>0.14322773155168095</v>
      </c>
      <c r="H25" s="89">
        <f t="shared" si="13"/>
        <v>0.14299999999999999</v>
      </c>
      <c r="I25" s="90">
        <f t="shared" si="14"/>
        <v>0.95</v>
      </c>
      <c r="J25" s="91">
        <f t="shared" si="15"/>
        <v>4</v>
      </c>
    </row>
    <row r="26" spans="1:10" ht="13.15" customHeight="1">
      <c r="A26" s="98" t="s">
        <v>124</v>
      </c>
      <c r="B26" s="99" t="s">
        <v>224</v>
      </c>
      <c r="C26" s="86">
        <v>2020</v>
      </c>
      <c r="D26" s="87">
        <v>1.29</v>
      </c>
      <c r="E26" s="87" t="s">
        <v>90</v>
      </c>
      <c r="F26" s="87" t="s">
        <v>90</v>
      </c>
      <c r="G26" s="88">
        <f t="shared" si="12"/>
        <v>0.14322773155168095</v>
      </c>
      <c r="H26" s="89">
        <f t="shared" si="13"/>
        <v>0.14299999999999999</v>
      </c>
      <c r="I26" s="90">
        <f t="shared" si="14"/>
        <v>0.95</v>
      </c>
      <c r="J26" s="91">
        <f t="shared" si="15"/>
        <v>4</v>
      </c>
    </row>
    <row r="27" spans="1:10" ht="13.15" customHeight="1">
      <c r="A27" s="98" t="s">
        <v>127</v>
      </c>
      <c r="B27" s="99" t="s">
        <v>128</v>
      </c>
      <c r="C27" s="86">
        <v>2020</v>
      </c>
      <c r="D27" s="87">
        <v>1.1000000000000001</v>
      </c>
      <c r="E27" s="87" t="s">
        <v>89</v>
      </c>
      <c r="F27" s="87" t="s">
        <v>90</v>
      </c>
      <c r="G27" s="88">
        <f t="shared" si="12"/>
        <v>0.26731054913942764</v>
      </c>
      <c r="H27" s="89">
        <f t="shared" si="13"/>
        <v>0.26700000000000002</v>
      </c>
      <c r="I27" s="90">
        <f t="shared" si="14"/>
        <v>1.78</v>
      </c>
      <c r="J27" s="91">
        <f t="shared" si="15"/>
        <v>3</v>
      </c>
    </row>
    <row r="28" spans="1:10" ht="13.15" customHeight="1">
      <c r="A28" s="98" t="s">
        <v>127</v>
      </c>
      <c r="B28" s="99" t="s">
        <v>129</v>
      </c>
      <c r="C28" s="86">
        <v>2020</v>
      </c>
      <c r="D28" s="17">
        <v>1.1399999999999999</v>
      </c>
      <c r="E28" s="87" t="s">
        <v>89</v>
      </c>
      <c r="F28" s="87" t="s">
        <v>90</v>
      </c>
      <c r="G28" s="88">
        <f t="shared" si="12"/>
        <v>0.22769512464467864</v>
      </c>
      <c r="H28" s="89">
        <f t="shared" si="13"/>
        <v>0.22800000000000001</v>
      </c>
      <c r="I28" s="90">
        <f t="shared" si="14"/>
        <v>1.52</v>
      </c>
      <c r="J28" s="91">
        <f t="shared" si="15"/>
        <v>3</v>
      </c>
    </row>
    <row r="29" spans="1:10" ht="13.15" customHeight="1">
      <c r="A29" s="98" t="s">
        <v>127</v>
      </c>
      <c r="B29" s="99" t="s">
        <v>130</v>
      </c>
      <c r="C29" s="86">
        <v>2020</v>
      </c>
      <c r="D29" s="17">
        <v>1.21</v>
      </c>
      <c r="E29" s="87" t="s">
        <v>89</v>
      </c>
      <c r="F29" s="87" t="s">
        <v>90</v>
      </c>
      <c r="G29" s="88">
        <f t="shared" si="12"/>
        <v>0.17939444452697093</v>
      </c>
      <c r="H29" s="89">
        <f t="shared" si="13"/>
        <v>0.17899999999999999</v>
      </c>
      <c r="I29" s="90">
        <f t="shared" si="14"/>
        <v>1.19</v>
      </c>
      <c r="J29" s="91">
        <f t="shared" si="15"/>
        <v>4</v>
      </c>
    </row>
    <row r="30" spans="1:10" ht="13.15" customHeight="1">
      <c r="A30" s="98" t="s">
        <v>127</v>
      </c>
      <c r="B30" s="99" t="s">
        <v>132</v>
      </c>
      <c r="C30" s="86">
        <v>2020</v>
      </c>
      <c r="D30" s="87">
        <v>1.0900000000000001</v>
      </c>
      <c r="E30" s="87" t="s">
        <v>89</v>
      </c>
      <c r="F30" s="87" t="s">
        <v>90</v>
      </c>
      <c r="G30" s="88">
        <f t="shared" si="12"/>
        <v>0.27921284453167022</v>
      </c>
      <c r="H30" s="89">
        <f t="shared" si="13"/>
        <v>0.27900000000000003</v>
      </c>
      <c r="I30" s="90">
        <f t="shared" si="14"/>
        <v>1.86</v>
      </c>
      <c r="J30" s="91">
        <f t="shared" si="15"/>
        <v>3</v>
      </c>
    </row>
    <row r="31" spans="1:10" ht="13.15" customHeight="1">
      <c r="A31" s="98" t="s">
        <v>133</v>
      </c>
      <c r="B31" s="99" t="s">
        <v>134</v>
      </c>
      <c r="C31" s="86">
        <v>2020</v>
      </c>
      <c r="D31" s="87">
        <v>1.28</v>
      </c>
      <c r="E31" s="87" t="s">
        <v>89</v>
      </c>
      <c r="F31" s="87" t="s">
        <v>90</v>
      </c>
      <c r="G31" s="88">
        <f t="shared" si="12"/>
        <v>0.14699318560666366</v>
      </c>
      <c r="H31" s="89">
        <f t="shared" si="13"/>
        <v>0.14699999999999999</v>
      </c>
      <c r="I31" s="90">
        <f t="shared" si="14"/>
        <v>0.98</v>
      </c>
      <c r="J31" s="91">
        <f t="shared" si="15"/>
        <v>4</v>
      </c>
    </row>
    <row r="32" spans="1:10" ht="13.15" customHeight="1">
      <c r="A32" s="98" t="s">
        <v>133</v>
      </c>
      <c r="B32" s="99" t="s">
        <v>135</v>
      </c>
      <c r="C32" s="86">
        <v>2020</v>
      </c>
      <c r="D32" s="17">
        <v>1.29</v>
      </c>
      <c r="E32" s="87" t="s">
        <v>89</v>
      </c>
      <c r="F32" s="87" t="s">
        <v>90</v>
      </c>
      <c r="G32" s="88">
        <f t="shared" si="12"/>
        <v>0.14322773155168095</v>
      </c>
      <c r="H32" s="89">
        <f t="shared" si="13"/>
        <v>0.14299999999999999</v>
      </c>
      <c r="I32" s="90">
        <f t="shared" si="14"/>
        <v>0.95</v>
      </c>
      <c r="J32" s="91">
        <f t="shared" si="15"/>
        <v>4</v>
      </c>
    </row>
    <row r="33" spans="1:10" ht="13.15" customHeight="1">
      <c r="A33" s="98" t="s">
        <v>133</v>
      </c>
      <c r="B33" s="99" t="s">
        <v>136</v>
      </c>
      <c r="C33" s="86">
        <v>2020</v>
      </c>
      <c r="D33" s="87">
        <v>1.26</v>
      </c>
      <c r="E33" s="87" t="s">
        <v>89</v>
      </c>
      <c r="F33" s="87" t="s">
        <v>90</v>
      </c>
      <c r="G33" s="88">
        <f t="shared" si="4"/>
        <v>0.15509342889208913</v>
      </c>
      <c r="H33" s="89">
        <f t="shared" si="5"/>
        <v>0.155</v>
      </c>
      <c r="I33" s="90">
        <f t="shared" si="6"/>
        <v>1.03</v>
      </c>
      <c r="J33" s="91">
        <f t="shared" si="7"/>
        <v>4</v>
      </c>
    </row>
    <row r="34" spans="1:10" ht="13.15" customHeight="1">
      <c r="A34" s="98" t="s">
        <v>137</v>
      </c>
      <c r="B34" s="99" t="s">
        <v>138</v>
      </c>
      <c r="C34" s="86">
        <v>2020</v>
      </c>
      <c r="D34" s="17">
        <v>1.28</v>
      </c>
      <c r="E34" s="87" t="s">
        <v>89</v>
      </c>
      <c r="F34" s="87" t="s">
        <v>90</v>
      </c>
      <c r="G34" s="88">
        <f t="shared" si="4"/>
        <v>0.14699318560666366</v>
      </c>
      <c r="H34" s="89">
        <f t="shared" si="5"/>
        <v>0.14699999999999999</v>
      </c>
      <c r="I34" s="90">
        <f t="shared" si="6"/>
        <v>0.98</v>
      </c>
      <c r="J34" s="91">
        <f t="shared" si="7"/>
        <v>4</v>
      </c>
    </row>
    <row r="35" spans="1:10" ht="13.15" customHeight="1">
      <c r="A35" s="98" t="s">
        <v>137</v>
      </c>
      <c r="B35" s="99" t="s">
        <v>139</v>
      </c>
      <c r="C35" s="86">
        <v>2020</v>
      </c>
      <c r="D35" s="87">
        <v>1.26</v>
      </c>
      <c r="E35" s="87" t="s">
        <v>89</v>
      </c>
      <c r="F35" s="87" t="s">
        <v>90</v>
      </c>
      <c r="G35" s="88">
        <f t="shared" si="4"/>
        <v>0.15509342889208913</v>
      </c>
      <c r="H35" s="89">
        <f t="shared" si="5"/>
        <v>0.155</v>
      </c>
      <c r="I35" s="90">
        <f t="shared" si="6"/>
        <v>1.03</v>
      </c>
      <c r="J35" s="91">
        <f t="shared" si="7"/>
        <v>4</v>
      </c>
    </row>
    <row r="36" spans="1:10" ht="13.15" customHeight="1">
      <c r="A36" s="98" t="s">
        <v>137</v>
      </c>
      <c r="B36" s="99" t="s">
        <v>140</v>
      </c>
      <c r="C36" s="86">
        <v>2020</v>
      </c>
      <c r="D36" s="87">
        <v>1.45</v>
      </c>
      <c r="E36" s="87" t="s">
        <v>90</v>
      </c>
      <c r="F36" s="87" t="s">
        <v>90</v>
      </c>
      <c r="G36" s="88">
        <f t="shared" si="4"/>
        <v>0.10060976640917974</v>
      </c>
      <c r="H36" s="89">
        <f t="shared" si="5"/>
        <v>0.10100000000000001</v>
      </c>
      <c r="I36" s="90">
        <f t="shared" si="6"/>
        <v>0.67</v>
      </c>
      <c r="J36" s="91">
        <f t="shared" si="7"/>
        <v>5</v>
      </c>
    </row>
    <row r="37" spans="1:10" ht="13.15" customHeight="1">
      <c r="A37" s="98" t="s">
        <v>137</v>
      </c>
      <c r="B37" s="99" t="s">
        <v>141</v>
      </c>
      <c r="C37" s="86">
        <v>2020</v>
      </c>
      <c r="D37" s="87">
        <v>1.45</v>
      </c>
      <c r="E37" s="87" t="s">
        <v>90</v>
      </c>
      <c r="F37" s="87" t="s">
        <v>90</v>
      </c>
      <c r="G37" s="88">
        <f t="shared" si="4"/>
        <v>0.10060976640917974</v>
      </c>
      <c r="H37" s="89">
        <f t="shared" si="5"/>
        <v>0.10100000000000001</v>
      </c>
      <c r="I37" s="90">
        <f t="shared" si="6"/>
        <v>0.67</v>
      </c>
      <c r="J37" s="91">
        <f t="shared" si="7"/>
        <v>5</v>
      </c>
    </row>
    <row r="38" spans="1:10" ht="13.15" customHeight="1">
      <c r="A38" s="100" t="s">
        <v>137</v>
      </c>
      <c r="B38" s="101" t="s">
        <v>142</v>
      </c>
      <c r="C38" s="86">
        <v>2020</v>
      </c>
      <c r="D38" s="87">
        <v>1.45</v>
      </c>
      <c r="E38" s="87" t="s">
        <v>90</v>
      </c>
      <c r="F38" s="87" t="s">
        <v>90</v>
      </c>
      <c r="G38" s="88">
        <f t="shared" si="4"/>
        <v>0.10060976640917974</v>
      </c>
      <c r="H38" s="89">
        <f t="shared" si="5"/>
        <v>0.10100000000000001</v>
      </c>
      <c r="I38" s="90">
        <f t="shared" si="6"/>
        <v>0.67</v>
      </c>
      <c r="J38" s="91">
        <f t="shared" si="7"/>
        <v>5</v>
      </c>
    </row>
    <row r="39" spans="1:10" ht="13.15" customHeight="1">
      <c r="A39" s="100" t="s">
        <v>137</v>
      </c>
      <c r="B39" s="101" t="s">
        <v>143</v>
      </c>
      <c r="C39" s="86">
        <v>2020</v>
      </c>
      <c r="D39" s="87">
        <v>1.45</v>
      </c>
      <c r="E39" s="87" t="s">
        <v>90</v>
      </c>
      <c r="F39" s="87" t="s">
        <v>90</v>
      </c>
      <c r="G39" s="88">
        <f t="shared" si="4"/>
        <v>0.10060976640917974</v>
      </c>
      <c r="H39" s="89">
        <f t="shared" si="5"/>
        <v>0.10100000000000001</v>
      </c>
      <c r="I39" s="90">
        <f t="shared" si="6"/>
        <v>0.67</v>
      </c>
      <c r="J39" s="91">
        <f t="shared" si="7"/>
        <v>5</v>
      </c>
    </row>
    <row r="40" spans="1:10" ht="13.15" customHeight="1">
      <c r="A40" s="98" t="s">
        <v>144</v>
      </c>
      <c r="B40" s="99" t="s">
        <v>145</v>
      </c>
      <c r="C40" s="86">
        <v>2020</v>
      </c>
      <c r="D40" s="87">
        <v>1.2</v>
      </c>
      <c r="E40" s="87" t="s">
        <v>89</v>
      </c>
      <c r="F40" s="87" t="s">
        <v>90</v>
      </c>
      <c r="G40" s="88">
        <f t="shared" si="4"/>
        <v>0.1851047975833634</v>
      </c>
      <c r="H40" s="89">
        <f t="shared" si="5"/>
        <v>0.185</v>
      </c>
      <c r="I40" s="90">
        <f t="shared" si="6"/>
        <v>1.23</v>
      </c>
      <c r="J40" s="91">
        <f t="shared" si="7"/>
        <v>4</v>
      </c>
    </row>
    <row r="41" spans="1:10" ht="13.15" customHeight="1">
      <c r="A41" s="98" t="s">
        <v>144</v>
      </c>
      <c r="B41" s="99" t="s">
        <v>146</v>
      </c>
      <c r="C41" s="86">
        <v>2020</v>
      </c>
      <c r="D41" s="87">
        <v>1.2</v>
      </c>
      <c r="E41" s="87" t="s">
        <v>89</v>
      </c>
      <c r="F41" s="87" t="s">
        <v>90</v>
      </c>
      <c r="G41" s="88">
        <f t="shared" si="4"/>
        <v>0.1851047975833634</v>
      </c>
      <c r="H41" s="89">
        <f t="shared" si="5"/>
        <v>0.185</v>
      </c>
      <c r="I41" s="90">
        <f t="shared" si="6"/>
        <v>1.23</v>
      </c>
      <c r="J41" s="91">
        <f t="shared" si="7"/>
        <v>4</v>
      </c>
    </row>
    <row r="42" spans="1:10" ht="13.15" customHeight="1">
      <c r="A42" s="98" t="s">
        <v>147</v>
      </c>
      <c r="B42" s="99" t="s">
        <v>148</v>
      </c>
      <c r="C42" s="86">
        <v>2020</v>
      </c>
      <c r="D42" s="17">
        <v>1.48</v>
      </c>
      <c r="E42" s="87" t="s">
        <v>90</v>
      </c>
      <c r="F42" s="87" t="s">
        <v>90</v>
      </c>
      <c r="G42" s="88">
        <f t="shared" si="4"/>
        <v>9.5131298699074329E-2</v>
      </c>
      <c r="H42" s="89">
        <f t="shared" si="5"/>
        <v>9.5000000000000001E-2</v>
      </c>
      <c r="I42" s="90">
        <f t="shared" si="6"/>
        <v>0.63</v>
      </c>
      <c r="J42" s="91">
        <f t="shared" si="7"/>
        <v>5</v>
      </c>
    </row>
    <row r="43" spans="1:10" ht="13.15" customHeight="1">
      <c r="A43" s="98" t="s">
        <v>147</v>
      </c>
      <c r="B43" s="99" t="s">
        <v>149</v>
      </c>
      <c r="C43" s="86">
        <v>2020</v>
      </c>
      <c r="D43" s="87">
        <v>1.37</v>
      </c>
      <c r="E43" s="87" t="s">
        <v>90</v>
      </c>
      <c r="F43" s="87" t="s">
        <v>90</v>
      </c>
      <c r="G43" s="88">
        <f t="shared" si="4"/>
        <v>0.11849283785892685</v>
      </c>
      <c r="H43" s="89">
        <f t="shared" si="5"/>
        <v>0.11799999999999999</v>
      </c>
      <c r="I43" s="90">
        <f t="shared" si="6"/>
        <v>0.79</v>
      </c>
      <c r="J43" s="91">
        <f t="shared" si="7"/>
        <v>4</v>
      </c>
    </row>
    <row r="44" spans="1:10" ht="13.15" customHeight="1">
      <c r="A44" s="98" t="s">
        <v>150</v>
      </c>
      <c r="B44" s="99" t="s">
        <v>151</v>
      </c>
      <c r="C44" s="86">
        <v>2020</v>
      </c>
      <c r="D44" s="87">
        <v>1.45</v>
      </c>
      <c r="E44" s="87" t="s">
        <v>90</v>
      </c>
      <c r="F44" s="97" t="s">
        <v>90</v>
      </c>
      <c r="G44" s="88">
        <f t="shared" si="4"/>
        <v>0.10060976640917974</v>
      </c>
      <c r="H44" s="89">
        <f t="shared" si="5"/>
        <v>0.10100000000000001</v>
      </c>
      <c r="I44" s="90">
        <f t="shared" si="6"/>
        <v>0.67</v>
      </c>
      <c r="J44" s="91">
        <f t="shared" si="7"/>
        <v>5</v>
      </c>
    </row>
    <row r="45" spans="1:10" ht="13.15" customHeight="1">
      <c r="A45" s="98" t="s">
        <v>150</v>
      </c>
      <c r="B45" s="99" t="s">
        <v>152</v>
      </c>
      <c r="C45" s="86">
        <v>2020</v>
      </c>
      <c r="D45" s="87">
        <v>1.2</v>
      </c>
      <c r="E45" s="87" t="s">
        <v>89</v>
      </c>
      <c r="F45" s="97" t="s">
        <v>90</v>
      </c>
      <c r="G45" s="88">
        <f t="shared" si="4"/>
        <v>0.1851047975833634</v>
      </c>
      <c r="H45" s="89">
        <f t="shared" si="5"/>
        <v>0.185</v>
      </c>
      <c r="I45" s="90">
        <f t="shared" si="6"/>
        <v>1.23</v>
      </c>
      <c r="J45" s="91">
        <f t="shared" si="7"/>
        <v>4</v>
      </c>
    </row>
    <row r="46" spans="1:10" ht="13.15" customHeight="1">
      <c r="A46" s="98" t="s">
        <v>150</v>
      </c>
      <c r="B46" s="99" t="s">
        <v>153</v>
      </c>
      <c r="C46" s="86">
        <v>2020</v>
      </c>
      <c r="D46" s="87">
        <v>1.45</v>
      </c>
      <c r="E46" s="87" t="s">
        <v>90</v>
      </c>
      <c r="F46" s="87" t="s">
        <v>90</v>
      </c>
      <c r="G46" s="88">
        <f t="shared" si="4"/>
        <v>0.10060976640917974</v>
      </c>
      <c r="H46" s="89">
        <f t="shared" si="5"/>
        <v>0.10100000000000001</v>
      </c>
      <c r="I46" s="90">
        <f t="shared" si="6"/>
        <v>0.67</v>
      </c>
      <c r="J46" s="91">
        <f t="shared" si="7"/>
        <v>5</v>
      </c>
    </row>
    <row r="47" spans="1:10" ht="13.15" customHeight="1">
      <c r="A47" s="98" t="s">
        <v>86</v>
      </c>
      <c r="B47" s="99" t="s">
        <v>154</v>
      </c>
      <c r="C47" s="86">
        <v>2020</v>
      </c>
      <c r="D47" s="17">
        <v>1.43</v>
      </c>
      <c r="E47" s="87" t="s">
        <v>90</v>
      </c>
      <c r="F47" s="97" t="s">
        <v>90</v>
      </c>
      <c r="G47" s="88">
        <f t="shared" si="4"/>
        <v>0.10459491849361911</v>
      </c>
      <c r="H47" s="89">
        <f t="shared" si="5"/>
        <v>0.105</v>
      </c>
      <c r="I47" s="90">
        <f t="shared" si="6"/>
        <v>0.7</v>
      </c>
      <c r="J47" s="91">
        <f t="shared" si="7"/>
        <v>4</v>
      </c>
    </row>
    <row r="48" spans="1:10" ht="13.15" customHeight="1">
      <c r="A48" s="100" t="s">
        <v>86</v>
      </c>
      <c r="B48" s="101" t="s">
        <v>155</v>
      </c>
      <c r="C48" s="86">
        <v>2020</v>
      </c>
      <c r="D48" s="17">
        <v>1.43</v>
      </c>
      <c r="E48" s="87" t="s">
        <v>90</v>
      </c>
      <c r="F48" s="97" t="s">
        <v>90</v>
      </c>
      <c r="G48" s="88">
        <f t="shared" si="4"/>
        <v>0.10459491849361911</v>
      </c>
      <c r="H48" s="89">
        <f t="shared" si="5"/>
        <v>0.105</v>
      </c>
      <c r="I48" s="90">
        <f t="shared" si="6"/>
        <v>0.7</v>
      </c>
      <c r="J48" s="91">
        <f t="shared" si="7"/>
        <v>4</v>
      </c>
    </row>
    <row r="49" spans="1:10" ht="13.15" customHeight="1">
      <c r="A49" s="98" t="s">
        <v>158</v>
      </c>
      <c r="B49" s="99" t="s">
        <v>159</v>
      </c>
      <c r="C49" s="86">
        <v>2020</v>
      </c>
      <c r="D49" s="87">
        <v>1.46</v>
      </c>
      <c r="E49" s="87" t="s">
        <v>90</v>
      </c>
      <c r="F49" s="97" t="s">
        <v>90</v>
      </c>
      <c r="G49" s="88">
        <f t="shared" ref="G49:G59" si="16">IF(F49="Y",((1/(1+EXP(2.6968+(1.1686*LN(D49-0.9)))))),((1/(1+EXP(2.8891+(1.1686*(LN(D49-0.9))))))))</f>
        <v>9.8720383350429056E-2</v>
      </c>
      <c r="H49" s="89">
        <f t="shared" ref="H49:H59" si="17">ROUND(G49,3)</f>
        <v>9.9000000000000005E-2</v>
      </c>
      <c r="I49" s="90">
        <f t="shared" ref="I49:I59" si="18">ROUND(H49/0.15,2)</f>
        <v>0.66</v>
      </c>
      <c r="J49" s="91">
        <f t="shared" ref="J49:J59" si="19">IF(I49&lt;0.673,5,IF(I49&lt;1.33,4,IF(I49&lt;2,3,IF(I49&lt;2.67,2,1))))</f>
        <v>5</v>
      </c>
    </row>
    <row r="50" spans="1:10" ht="13.15" customHeight="1">
      <c r="A50" s="98" t="s">
        <v>158</v>
      </c>
      <c r="B50" s="99" t="s">
        <v>160</v>
      </c>
      <c r="C50" s="86">
        <v>2020</v>
      </c>
      <c r="D50" s="17">
        <v>1.46</v>
      </c>
      <c r="E50" s="87" t="s">
        <v>90</v>
      </c>
      <c r="F50" s="87" t="s">
        <v>90</v>
      </c>
      <c r="G50" s="88">
        <f t="shared" si="16"/>
        <v>9.8720383350429056E-2</v>
      </c>
      <c r="H50" s="89">
        <f t="shared" si="17"/>
        <v>9.9000000000000005E-2</v>
      </c>
      <c r="I50" s="90">
        <f t="shared" si="18"/>
        <v>0.66</v>
      </c>
      <c r="J50" s="91">
        <f t="shared" si="19"/>
        <v>5</v>
      </c>
    </row>
    <row r="51" spans="1:10" ht="13.15" customHeight="1">
      <c r="A51" s="100" t="s">
        <v>158</v>
      </c>
      <c r="B51" s="102" t="s">
        <v>170</v>
      </c>
      <c r="C51" s="86">
        <v>2020</v>
      </c>
      <c r="D51" s="87">
        <v>1.46</v>
      </c>
      <c r="E51" s="87" t="s">
        <v>90</v>
      </c>
      <c r="F51" s="87" t="s">
        <v>90</v>
      </c>
      <c r="G51" s="88">
        <f t="shared" si="16"/>
        <v>9.8720383350429056E-2</v>
      </c>
      <c r="H51" s="89">
        <f t="shared" si="17"/>
        <v>9.9000000000000005E-2</v>
      </c>
      <c r="I51" s="90">
        <f t="shared" si="18"/>
        <v>0.66</v>
      </c>
      <c r="J51" s="91">
        <f t="shared" si="19"/>
        <v>5</v>
      </c>
    </row>
    <row r="52" spans="1:10" ht="13.15" customHeight="1">
      <c r="A52" s="100" t="s">
        <v>158</v>
      </c>
      <c r="B52" s="102" t="s">
        <v>171</v>
      </c>
      <c r="C52" s="86">
        <v>2020</v>
      </c>
      <c r="D52" s="87">
        <v>1.46</v>
      </c>
      <c r="E52" s="87" t="s">
        <v>90</v>
      </c>
      <c r="F52" s="87" t="s">
        <v>90</v>
      </c>
      <c r="G52" s="88">
        <f t="shared" si="16"/>
        <v>9.8720383350429056E-2</v>
      </c>
      <c r="H52" s="89">
        <f t="shared" si="17"/>
        <v>9.9000000000000005E-2</v>
      </c>
      <c r="I52" s="90">
        <f t="shared" si="18"/>
        <v>0.66</v>
      </c>
      <c r="J52" s="91">
        <f t="shared" si="19"/>
        <v>5</v>
      </c>
    </row>
    <row r="53" spans="1:10" ht="13.15" customHeight="1">
      <c r="A53" s="98" t="s">
        <v>158</v>
      </c>
      <c r="B53" s="99" t="s">
        <v>161</v>
      </c>
      <c r="C53" s="86">
        <v>2020</v>
      </c>
      <c r="D53" s="17">
        <v>1.24</v>
      </c>
      <c r="E53" s="87" t="s">
        <v>89</v>
      </c>
      <c r="F53" s="87" t="s">
        <v>90</v>
      </c>
      <c r="G53" s="88">
        <f t="shared" si="16"/>
        <v>0.1640492476036079</v>
      </c>
      <c r="H53" s="89">
        <f t="shared" si="17"/>
        <v>0.16400000000000001</v>
      </c>
      <c r="I53" s="90">
        <f t="shared" si="18"/>
        <v>1.0900000000000001</v>
      </c>
      <c r="J53" s="91">
        <f t="shared" si="19"/>
        <v>4</v>
      </c>
    </row>
    <row r="54" spans="1:10" ht="13.15" customHeight="1">
      <c r="A54" s="98" t="s">
        <v>158</v>
      </c>
      <c r="B54" s="99" t="s">
        <v>162</v>
      </c>
      <c r="C54" s="86">
        <v>2020</v>
      </c>
      <c r="D54" s="17">
        <v>1.26</v>
      </c>
      <c r="E54" s="87" t="s">
        <v>89</v>
      </c>
      <c r="F54" s="87" t="s">
        <v>90</v>
      </c>
      <c r="G54" s="88">
        <f t="shared" si="16"/>
        <v>0.15509342889208913</v>
      </c>
      <c r="H54" s="89">
        <f t="shared" si="17"/>
        <v>0.155</v>
      </c>
      <c r="I54" s="90">
        <f t="shared" si="18"/>
        <v>1.03</v>
      </c>
      <c r="J54" s="91">
        <f t="shared" si="19"/>
        <v>4</v>
      </c>
    </row>
    <row r="55" spans="1:10" ht="12.75" customHeight="1">
      <c r="A55" s="98" t="s">
        <v>158</v>
      </c>
      <c r="B55" s="99" t="s">
        <v>163</v>
      </c>
      <c r="C55" s="86">
        <v>2020</v>
      </c>
      <c r="D55" s="17">
        <v>1.28</v>
      </c>
      <c r="E55" s="87" t="s">
        <v>89</v>
      </c>
      <c r="F55" s="87" t="s">
        <v>90</v>
      </c>
      <c r="G55" s="88">
        <f t="shared" si="16"/>
        <v>0.14699318560666366</v>
      </c>
      <c r="H55" s="89">
        <f t="shared" si="17"/>
        <v>0.14699999999999999</v>
      </c>
      <c r="I55" s="90">
        <f t="shared" si="18"/>
        <v>0.98</v>
      </c>
      <c r="J55" s="91">
        <f t="shared" si="19"/>
        <v>4</v>
      </c>
    </row>
    <row r="56" spans="1:10" ht="13.15" customHeight="1">
      <c r="A56" s="98" t="s">
        <v>158</v>
      </c>
      <c r="B56" s="99" t="s">
        <v>164</v>
      </c>
      <c r="C56" s="86">
        <v>2020</v>
      </c>
      <c r="D56" s="87">
        <v>1.26</v>
      </c>
      <c r="E56" s="87" t="s">
        <v>89</v>
      </c>
      <c r="F56" s="87" t="s">
        <v>90</v>
      </c>
      <c r="G56" s="88">
        <f t="shared" si="16"/>
        <v>0.15509342889208913</v>
      </c>
      <c r="H56" s="89">
        <f t="shared" si="17"/>
        <v>0.155</v>
      </c>
      <c r="I56" s="90">
        <f t="shared" si="18"/>
        <v>1.03</v>
      </c>
      <c r="J56" s="91">
        <f t="shared" si="19"/>
        <v>4</v>
      </c>
    </row>
    <row r="57" spans="1:10" ht="13.15" customHeight="1">
      <c r="A57" s="100" t="s">
        <v>158</v>
      </c>
      <c r="B57" s="101" t="s">
        <v>165</v>
      </c>
      <c r="C57" s="86">
        <v>2020</v>
      </c>
      <c r="D57" s="87">
        <v>1.28</v>
      </c>
      <c r="E57" s="87" t="s">
        <v>89</v>
      </c>
      <c r="F57" s="87" t="s">
        <v>90</v>
      </c>
      <c r="G57" s="88">
        <f t="shared" si="16"/>
        <v>0.14699318560666366</v>
      </c>
      <c r="H57" s="89">
        <f t="shared" si="17"/>
        <v>0.14699999999999999</v>
      </c>
      <c r="I57" s="90">
        <f t="shared" si="18"/>
        <v>0.98</v>
      </c>
      <c r="J57" s="91">
        <f t="shared" si="19"/>
        <v>4</v>
      </c>
    </row>
    <row r="58" spans="1:10" ht="13.15" customHeight="1">
      <c r="A58" s="98" t="s">
        <v>158</v>
      </c>
      <c r="B58" s="99" t="s">
        <v>166</v>
      </c>
      <c r="C58" s="86">
        <v>2020</v>
      </c>
      <c r="D58" s="87">
        <v>1.19</v>
      </c>
      <c r="E58" s="87" t="s">
        <v>89</v>
      </c>
      <c r="F58" s="87" t="s">
        <v>90</v>
      </c>
      <c r="G58" s="88">
        <f t="shared" si="16"/>
        <v>0.19115541116675627</v>
      </c>
      <c r="H58" s="89">
        <f t="shared" si="17"/>
        <v>0.191</v>
      </c>
      <c r="I58" s="90">
        <f t="shared" si="18"/>
        <v>1.27</v>
      </c>
      <c r="J58" s="91">
        <f t="shared" si="19"/>
        <v>4</v>
      </c>
    </row>
    <row r="59" spans="1:10" ht="13.15" customHeight="1">
      <c r="A59" s="8" t="s">
        <v>158</v>
      </c>
      <c r="B59" s="8" t="s">
        <v>242</v>
      </c>
      <c r="C59" s="86">
        <v>2020</v>
      </c>
      <c r="D59" s="87">
        <v>1.21</v>
      </c>
      <c r="E59" s="87" t="s">
        <v>89</v>
      </c>
      <c r="F59" s="87" t="s">
        <v>90</v>
      </c>
      <c r="G59" s="88">
        <f t="shared" si="16"/>
        <v>0.17939444452697093</v>
      </c>
      <c r="H59" s="89">
        <f t="shared" si="17"/>
        <v>0.17899999999999999</v>
      </c>
      <c r="I59" s="90">
        <f t="shared" si="18"/>
        <v>1.19</v>
      </c>
      <c r="J59" s="91">
        <f t="shared" si="19"/>
        <v>4</v>
      </c>
    </row>
  </sheetData>
  <phoneticPr fontId="3" type="noConversion"/>
  <pageMargins left="0.25" right="0.2" top="0.25" bottom="0.2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7"/>
  <sheetViews>
    <sheetView workbookViewId="0">
      <pane xSplit="6" ySplit="2" topLeftCell="G48" activePane="bottomRight" state="frozen"/>
      <selection activeCell="B62" sqref="B62"/>
      <selection pane="topRight" activeCell="B62" sqref="B62"/>
      <selection pane="bottomLeft" activeCell="B62" sqref="B62"/>
      <selection pane="bottomRight" activeCell="A55" sqref="A55:XFD57"/>
    </sheetView>
  </sheetViews>
  <sheetFormatPr defaultRowHeight="12.75"/>
  <cols>
    <col min="1" max="1" width="8.28515625" style="134" customWidth="1"/>
    <col min="2" max="2" width="9.7109375" style="134" bestFit="1" customWidth="1"/>
    <col min="3" max="3" width="13.5703125" style="240" bestFit="1" customWidth="1"/>
    <col min="4" max="4" width="36.28515625" style="240" bestFit="1" customWidth="1"/>
    <col min="5" max="5" width="7.42578125" style="240" customWidth="1"/>
    <col min="6" max="6" width="8.28515625" style="240" customWidth="1"/>
    <col min="7" max="7" width="6.5703125" style="236" bestFit="1" customWidth="1"/>
    <col min="8" max="8" width="4.7109375" style="236" bestFit="1" customWidth="1"/>
    <col min="9" max="9" width="7.42578125" style="236" bestFit="1" customWidth="1"/>
    <col min="10" max="10" width="8.42578125" style="236" bestFit="1" customWidth="1"/>
    <col min="11" max="11" width="7.7109375" style="236" bestFit="1" customWidth="1"/>
    <col min="12" max="12" width="8" style="236" bestFit="1" customWidth="1"/>
    <col min="13" max="13" width="8.7109375" style="236" customWidth="1"/>
    <col min="14" max="14" width="8.28515625" style="236" bestFit="1" customWidth="1"/>
    <col min="15" max="15" width="6.5703125" style="236" bestFit="1" customWidth="1"/>
    <col min="16" max="16" width="4.7109375" style="236" bestFit="1" customWidth="1"/>
    <col min="17" max="17" width="8.7109375" style="236" customWidth="1"/>
    <col min="18" max="18" width="8.42578125" style="236" bestFit="1" customWidth="1"/>
    <col min="19" max="19" width="7.7109375" style="236" bestFit="1" customWidth="1"/>
    <col min="20" max="20" width="8" style="236" bestFit="1" customWidth="1"/>
    <col min="21" max="21" width="7.42578125" style="236" bestFit="1" customWidth="1"/>
    <col min="22" max="22" width="8.7109375" style="236" customWidth="1"/>
    <col min="23" max="23" width="7.42578125" style="237" bestFit="1" customWidth="1"/>
    <col min="24" max="24" width="5.28515625" style="237" bestFit="1" customWidth="1"/>
    <col min="25" max="25" width="10.28515625" style="237" bestFit="1" customWidth="1"/>
    <col min="26" max="26" width="11.28515625" style="237" bestFit="1" customWidth="1"/>
    <col min="27" max="27" width="7.28515625" style="237" customWidth="1"/>
    <col min="28" max="28" width="7.5703125" style="237" bestFit="1" customWidth="1"/>
    <col min="29" max="29" width="7.5703125" style="92" bestFit="1" customWidth="1"/>
    <col min="30" max="31" width="9" style="92" bestFit="1" customWidth="1"/>
    <col min="32" max="32" width="8" style="92" bestFit="1" customWidth="1"/>
    <col min="33" max="33" width="7.42578125" style="92" bestFit="1" customWidth="1"/>
    <col min="34" max="34" width="5" style="92" bestFit="1" customWidth="1"/>
    <col min="35" max="35" width="10.28515625" style="92" bestFit="1" customWidth="1"/>
    <col min="36" max="36" width="11.5703125" style="92" bestFit="1" customWidth="1"/>
    <col min="37" max="37" width="7" style="92" bestFit="1" customWidth="1"/>
    <col min="38" max="39" width="7.5703125" style="92" bestFit="1" customWidth="1"/>
    <col min="40" max="41" width="9" style="92" bestFit="1" customWidth="1"/>
    <col min="42" max="42" width="8" style="92" bestFit="1" customWidth="1"/>
    <col min="43" max="43" width="7.5703125" style="92" customWidth="1"/>
    <col min="44" max="44" width="9.5703125" style="92" bestFit="1" customWidth="1"/>
    <col min="45" max="45" width="7.28515625" style="92" bestFit="1" customWidth="1"/>
    <col min="46" max="46" width="5.7109375" style="237" bestFit="1" customWidth="1"/>
    <col min="47" max="47" width="9.5703125" style="237" bestFit="1" customWidth="1"/>
    <col min="48" max="48" width="5.7109375" style="237" bestFit="1" customWidth="1"/>
    <col min="49" max="49" width="5.7109375" style="238" bestFit="1" customWidth="1"/>
    <col min="50" max="50" width="9.5703125" style="238" bestFit="1" customWidth="1"/>
    <col min="51" max="51" width="5.7109375" style="239" bestFit="1" customWidth="1"/>
    <col min="52" max="16384" width="9.140625" style="92"/>
  </cols>
  <sheetData>
    <row r="1" spans="1:51" s="138" customFormat="1" ht="13.5" thickBot="1">
      <c r="A1" s="201"/>
      <c r="B1" s="181"/>
      <c r="C1" s="202"/>
      <c r="D1" s="202"/>
      <c r="E1" s="203"/>
      <c r="F1" s="203"/>
      <c r="G1" s="153" t="s">
        <v>28</v>
      </c>
      <c r="H1" s="204"/>
      <c r="I1" s="204"/>
      <c r="J1" s="204"/>
      <c r="K1" s="204"/>
      <c r="L1" s="204"/>
      <c r="M1" s="204"/>
      <c r="N1" s="154"/>
      <c r="O1" s="153" t="s">
        <v>29</v>
      </c>
      <c r="P1" s="204"/>
      <c r="Q1" s="204"/>
      <c r="R1" s="204"/>
      <c r="S1" s="204"/>
      <c r="T1" s="204"/>
      <c r="U1" s="204"/>
      <c r="V1" s="154"/>
      <c r="W1" s="205" t="s">
        <v>30</v>
      </c>
      <c r="X1" s="206"/>
      <c r="Y1" s="206"/>
      <c r="Z1" s="206"/>
      <c r="AA1" s="206"/>
      <c r="AB1" s="206"/>
      <c r="AC1" s="206"/>
      <c r="AD1" s="206"/>
      <c r="AE1" s="206"/>
      <c r="AF1" s="207"/>
      <c r="AG1" s="205" t="s">
        <v>31</v>
      </c>
      <c r="AH1" s="206"/>
      <c r="AI1" s="206"/>
      <c r="AJ1" s="206"/>
      <c r="AK1" s="206"/>
      <c r="AL1" s="206"/>
      <c r="AM1" s="206"/>
      <c r="AN1" s="206"/>
      <c r="AO1" s="206"/>
      <c r="AP1" s="207"/>
      <c r="AQ1" s="208" t="s">
        <v>13</v>
      </c>
      <c r="AR1" s="209" t="s">
        <v>16</v>
      </c>
      <c r="AS1" s="210" t="s">
        <v>9</v>
      </c>
      <c r="AT1" s="34" t="s">
        <v>13</v>
      </c>
      <c r="AU1" s="35" t="s">
        <v>16</v>
      </c>
      <c r="AV1" s="36" t="s">
        <v>51</v>
      </c>
      <c r="AW1" s="211" t="s">
        <v>13</v>
      </c>
      <c r="AX1" s="39" t="s">
        <v>16</v>
      </c>
      <c r="AY1" s="212" t="s">
        <v>51</v>
      </c>
    </row>
    <row r="2" spans="1:51" s="6" customFormat="1" ht="34.5" thickBot="1">
      <c r="A2" s="55" t="s">
        <v>27</v>
      </c>
      <c r="B2" s="213" t="s">
        <v>84</v>
      </c>
      <c r="C2" s="55" t="s">
        <v>19</v>
      </c>
      <c r="D2" s="79" t="s">
        <v>20</v>
      </c>
      <c r="E2" s="213" t="s">
        <v>76</v>
      </c>
      <c r="F2" s="80" t="s">
        <v>21</v>
      </c>
      <c r="G2" s="60" t="s">
        <v>25</v>
      </c>
      <c r="H2" s="62" t="s">
        <v>0</v>
      </c>
      <c r="I2" s="64" t="s">
        <v>34</v>
      </c>
      <c r="J2" s="64" t="s">
        <v>62</v>
      </c>
      <c r="K2" s="64" t="s">
        <v>35</v>
      </c>
      <c r="L2" s="64" t="s">
        <v>36</v>
      </c>
      <c r="M2" s="64" t="s">
        <v>37</v>
      </c>
      <c r="N2" s="214" t="s">
        <v>38</v>
      </c>
      <c r="O2" s="60" t="s">
        <v>25</v>
      </c>
      <c r="P2" s="62" t="s">
        <v>0</v>
      </c>
      <c r="Q2" s="64" t="s">
        <v>34</v>
      </c>
      <c r="R2" s="64" t="s">
        <v>62</v>
      </c>
      <c r="S2" s="64" t="s">
        <v>35</v>
      </c>
      <c r="T2" s="64" t="s">
        <v>36</v>
      </c>
      <c r="U2" s="64" t="s">
        <v>37</v>
      </c>
      <c r="V2" s="214" t="s">
        <v>38</v>
      </c>
      <c r="W2" s="215" t="s">
        <v>26</v>
      </c>
      <c r="X2" s="216" t="s">
        <v>2</v>
      </c>
      <c r="Y2" s="32" t="s">
        <v>5</v>
      </c>
      <c r="Z2" s="32" t="s">
        <v>63</v>
      </c>
      <c r="AA2" s="216" t="s">
        <v>6</v>
      </c>
      <c r="AB2" s="32" t="s">
        <v>3</v>
      </c>
      <c r="AC2" s="217" t="s">
        <v>3</v>
      </c>
      <c r="AD2" s="217" t="s">
        <v>23</v>
      </c>
      <c r="AE2" s="217" t="s">
        <v>24</v>
      </c>
      <c r="AF2" s="218" t="s">
        <v>4</v>
      </c>
      <c r="AG2" s="60" t="s">
        <v>26</v>
      </c>
      <c r="AH2" s="62" t="s">
        <v>2</v>
      </c>
      <c r="AI2" s="62" t="s">
        <v>5</v>
      </c>
      <c r="AJ2" s="62" t="s">
        <v>64</v>
      </c>
      <c r="AK2" s="62" t="s">
        <v>6</v>
      </c>
      <c r="AL2" s="62" t="s">
        <v>3</v>
      </c>
      <c r="AM2" s="62" t="s">
        <v>3</v>
      </c>
      <c r="AN2" s="62" t="s">
        <v>23</v>
      </c>
      <c r="AO2" s="62" t="s">
        <v>24</v>
      </c>
      <c r="AP2" s="219" t="s">
        <v>4</v>
      </c>
      <c r="AQ2" s="41" t="s">
        <v>7</v>
      </c>
      <c r="AR2" s="120" t="s">
        <v>8</v>
      </c>
      <c r="AS2" s="220" t="s">
        <v>8</v>
      </c>
      <c r="AT2" s="69" t="s">
        <v>65</v>
      </c>
      <c r="AU2" s="70" t="s">
        <v>65</v>
      </c>
      <c r="AV2" s="37" t="s">
        <v>65</v>
      </c>
      <c r="AW2" s="71" t="s">
        <v>45</v>
      </c>
      <c r="AX2" s="65" t="s">
        <v>45</v>
      </c>
      <c r="AY2" s="221" t="s">
        <v>32</v>
      </c>
    </row>
    <row r="3" spans="1:51" ht="13.15" customHeight="1">
      <c r="A3" s="96">
        <v>10961</v>
      </c>
      <c r="B3" s="97" t="s">
        <v>201</v>
      </c>
      <c r="C3" s="222" t="str">
        <f>Rollover!A3</f>
        <v>Cadillac</v>
      </c>
      <c r="D3" s="223" t="str">
        <f>Rollover!B3</f>
        <v>XT5 SUV AWD</v>
      </c>
      <c r="E3" s="197" t="s">
        <v>104</v>
      </c>
      <c r="F3" s="224">
        <f>Rollover!C3</f>
        <v>2020</v>
      </c>
      <c r="G3" s="10">
        <v>145.36500000000001</v>
      </c>
      <c r="H3" s="11">
        <v>0.24199999999999999</v>
      </c>
      <c r="I3" s="11">
        <v>835.99400000000003</v>
      </c>
      <c r="J3" s="11">
        <v>46.823999999999998</v>
      </c>
      <c r="K3" s="11">
        <v>15.553000000000001</v>
      </c>
      <c r="L3" s="11">
        <v>39.206000000000003</v>
      </c>
      <c r="M3" s="11">
        <v>948.678</v>
      </c>
      <c r="N3" s="12">
        <v>2408.8110000000001</v>
      </c>
      <c r="O3" s="10">
        <v>286.36900000000003</v>
      </c>
      <c r="P3" s="11">
        <v>0.371</v>
      </c>
      <c r="Q3" s="11">
        <v>688.42399999999998</v>
      </c>
      <c r="R3" s="11">
        <v>235.959</v>
      </c>
      <c r="S3" s="11">
        <v>16.242000000000001</v>
      </c>
      <c r="T3" s="11">
        <v>45.473999999999997</v>
      </c>
      <c r="U3" s="11">
        <v>98.692999999999998</v>
      </c>
      <c r="V3" s="12">
        <v>77.147000000000006</v>
      </c>
      <c r="W3" s="225">
        <f t="shared" ref="W3:W13" si="0">NORMDIST(LN(G3),7.45231,0.73998,1)</f>
        <v>4.1578606102969537E-4</v>
      </c>
      <c r="X3" s="5">
        <f t="shared" ref="X3:X13" si="1">1/(1+EXP(3.2269-1.9688*H3))</f>
        <v>6.0061218312841474E-2</v>
      </c>
      <c r="Y3" s="5">
        <f t="shared" ref="Y3:Y13" si="2">1/(1+EXP(10.9745-2.375*I3/1000))</f>
        <v>1.2475746128216118E-4</v>
      </c>
      <c r="Z3" s="5">
        <f t="shared" ref="Z3:Z13" si="3">1/(1+EXP(10.9745-2.375*J3/1000))</f>
        <v>1.9148002647173625E-5</v>
      </c>
      <c r="AA3" s="5">
        <f t="shared" ref="AA3:AA13" si="4">MAX(X3,Y3,Z3)</f>
        <v>6.0061218312841474E-2</v>
      </c>
      <c r="AB3" s="5">
        <f t="shared" ref="AB3:AB13" si="5">1/(1+EXP(12.597-0.05861*35-1.568*(K3^0.4612)))</f>
        <v>6.7834037018864512E-3</v>
      </c>
      <c r="AC3" s="5">
        <f t="shared" ref="AC3:AC13" si="6">AB3</f>
        <v>6.7834037018864512E-3</v>
      </c>
      <c r="AD3" s="5">
        <f t="shared" ref="AD3:AD13" si="7">1/(1+EXP(5.7949-0.5196*M3/1000))</f>
        <v>4.9570903730976213E-3</v>
      </c>
      <c r="AE3" s="5">
        <f t="shared" ref="AE3:AE13" si="8">1/(1+EXP(5.7949-0.5196*N3/1000))</f>
        <v>1.0526450961499135E-2</v>
      </c>
      <c r="AF3" s="24">
        <f t="shared" ref="AF3:AF13" si="9">MAX(AD3,AE3)</f>
        <v>1.0526450961499135E-2</v>
      </c>
      <c r="AG3" s="23">
        <f t="shared" ref="AG3:AG13" si="10">NORMDIST(LN(O3),7.45231,0.73998,1)</f>
        <v>7.6377599702051463E-3</v>
      </c>
      <c r="AH3" s="5">
        <f t="shared" ref="AH3:AH13" si="11">1/(1+EXP(3.2269-1.9688*P3))</f>
        <v>7.6105651318424991E-2</v>
      </c>
      <c r="AI3" s="5">
        <f t="shared" ref="AI3:AI13" si="12">1/(1+EXP(10.958-3.77*Q3/1000))</f>
        <v>2.3337244138980619E-4</v>
      </c>
      <c r="AJ3" s="5">
        <f t="shared" ref="AJ3:AJ13" si="13">1/(1+EXP(10.958-3.77*R3/1000))</f>
        <v>4.2395134018250947E-5</v>
      </c>
      <c r="AK3" s="5">
        <f t="shared" ref="AK3:AK13" si="14">MAX(AH3,AI3,AJ3)</f>
        <v>7.6105651318424991E-2</v>
      </c>
      <c r="AL3" s="5">
        <f t="shared" ref="AL3:AL13" si="15">1/(1+EXP(12.597-0.05861*35-1.568*((S3/0.817)^0.4612)))</f>
        <v>1.3123737298905647E-2</v>
      </c>
      <c r="AM3" s="5">
        <f t="shared" ref="AM3:AM13" si="16">AL3</f>
        <v>1.3123737298905647E-2</v>
      </c>
      <c r="AN3" s="5">
        <f t="shared" ref="AN3:AN13" si="17">1/(1+EXP(5.7949-0.7619*U3/1000))</f>
        <v>3.2699482838054292E-3</v>
      </c>
      <c r="AO3" s="5">
        <f t="shared" ref="AO3:AO13" si="18">1/(1+EXP(5.7949-0.7619*V3/1000))</f>
        <v>3.2168786124482512E-3</v>
      </c>
      <c r="AP3" s="24">
        <f t="shared" ref="AP3:AP13" si="19">MAX(AN3,AO3)</f>
        <v>3.2699482838054292E-3</v>
      </c>
      <c r="AQ3" s="225">
        <f t="shared" ref="AQ3:AQ13" si="20">ROUND(1-(1-W3)*(1-AA3)*(1-AC3)*(1-AF3),3)</f>
        <v>7.6999999999999999E-2</v>
      </c>
      <c r="AR3" s="5">
        <f t="shared" ref="AR3:AR13" si="21">ROUND(1-(1-AG3)*(1-AK3)*(1-AM3)*(1-AP3),3)</f>
        <v>9.8000000000000004E-2</v>
      </c>
      <c r="AS3" s="5">
        <f t="shared" ref="AS3:AS13" si="22">ROUND(AVERAGE(AR3,AQ3),3)</f>
        <v>8.7999999999999995E-2</v>
      </c>
      <c r="AT3" s="196">
        <f t="shared" ref="AT3:AT13" si="23">ROUND(AQ3/0.15,2)</f>
        <v>0.51</v>
      </c>
      <c r="AU3" s="196">
        <f t="shared" ref="AU3:AU13" si="24">ROUND(AR3/0.15,2)</f>
        <v>0.65</v>
      </c>
      <c r="AV3" s="196">
        <f t="shared" ref="AV3:AV13" si="25">ROUND(AS3/0.15,2)</f>
        <v>0.59</v>
      </c>
      <c r="AW3" s="51">
        <f t="shared" ref="AW3:AW13" si="26">IF(AT3&lt;0.67,5,IF(AT3&lt;1,4,IF(AT3&lt;1.33,3,IF(AT3&lt;2.67,2,1))))</f>
        <v>5</v>
      </c>
      <c r="AX3" s="51">
        <f t="shared" ref="AX3:AX13" si="27">IF(AU3&lt;0.67,5,IF(AU3&lt;1,4,IF(AU3&lt;1.33,3,IF(AU3&lt;2.67,2,1))))</f>
        <v>5</v>
      </c>
      <c r="AY3" s="226">
        <f t="shared" ref="AY3:AY13" si="28">IF(AV3&lt;0.67,5,IF(AV3&lt;1,4,IF(AV3&lt;1.33,3,IF(AV3&lt;2.67,2,1))))</f>
        <v>5</v>
      </c>
    </row>
    <row r="4" spans="1:51" ht="13.15" customHeight="1">
      <c r="A4" s="227">
        <v>10961</v>
      </c>
      <c r="B4" s="95" t="s">
        <v>201</v>
      </c>
      <c r="C4" s="222" t="str">
        <f>Rollover!A4</f>
        <v>Cadillac</v>
      </c>
      <c r="D4" s="223" t="str">
        <f>Rollover!B4</f>
        <v>XT5 SUV FWD</v>
      </c>
      <c r="E4" s="197" t="s">
        <v>104</v>
      </c>
      <c r="F4" s="224">
        <f>Rollover!C4</f>
        <v>2020</v>
      </c>
      <c r="G4" s="18">
        <v>145.36500000000001</v>
      </c>
      <c r="H4" s="19">
        <v>0.24199999999999999</v>
      </c>
      <c r="I4" s="19">
        <v>835.99400000000003</v>
      </c>
      <c r="J4" s="19">
        <v>46.823999999999998</v>
      </c>
      <c r="K4" s="19">
        <v>15.553000000000001</v>
      </c>
      <c r="L4" s="19">
        <v>39.206000000000003</v>
      </c>
      <c r="M4" s="19">
        <v>948.678</v>
      </c>
      <c r="N4" s="20">
        <v>2408.8110000000001</v>
      </c>
      <c r="O4" s="18">
        <v>286.36900000000003</v>
      </c>
      <c r="P4" s="19">
        <v>0.371</v>
      </c>
      <c r="Q4" s="19">
        <v>688.42399999999998</v>
      </c>
      <c r="R4" s="19">
        <v>235.959</v>
      </c>
      <c r="S4" s="19">
        <v>16.242000000000001</v>
      </c>
      <c r="T4" s="19">
        <v>45.473999999999997</v>
      </c>
      <c r="U4" s="19">
        <v>98.692999999999998</v>
      </c>
      <c r="V4" s="20">
        <v>77.147000000000006</v>
      </c>
      <c r="W4" s="225">
        <f t="shared" si="0"/>
        <v>4.1578606102969537E-4</v>
      </c>
      <c r="X4" s="5">
        <f t="shared" si="1"/>
        <v>6.0061218312841474E-2</v>
      </c>
      <c r="Y4" s="5">
        <f t="shared" si="2"/>
        <v>1.2475746128216118E-4</v>
      </c>
      <c r="Z4" s="5">
        <f t="shared" si="3"/>
        <v>1.9148002647173625E-5</v>
      </c>
      <c r="AA4" s="5">
        <f t="shared" si="4"/>
        <v>6.0061218312841474E-2</v>
      </c>
      <c r="AB4" s="5">
        <f t="shared" si="5"/>
        <v>6.7834037018864512E-3</v>
      </c>
      <c r="AC4" s="5">
        <f t="shared" si="6"/>
        <v>6.7834037018864512E-3</v>
      </c>
      <c r="AD4" s="5">
        <f t="shared" si="7"/>
        <v>4.9570903730976213E-3</v>
      </c>
      <c r="AE4" s="5">
        <f t="shared" si="8"/>
        <v>1.0526450961499135E-2</v>
      </c>
      <c r="AF4" s="24">
        <f t="shared" si="9"/>
        <v>1.0526450961499135E-2</v>
      </c>
      <c r="AG4" s="23">
        <f t="shared" si="10"/>
        <v>7.6377599702051463E-3</v>
      </c>
      <c r="AH4" s="5">
        <f t="shared" si="11"/>
        <v>7.6105651318424991E-2</v>
      </c>
      <c r="AI4" s="5">
        <f t="shared" si="12"/>
        <v>2.3337244138980619E-4</v>
      </c>
      <c r="AJ4" s="5">
        <f t="shared" si="13"/>
        <v>4.2395134018250947E-5</v>
      </c>
      <c r="AK4" s="5">
        <f t="shared" si="14"/>
        <v>7.6105651318424991E-2</v>
      </c>
      <c r="AL4" s="5">
        <f t="shared" si="15"/>
        <v>1.3123737298905647E-2</v>
      </c>
      <c r="AM4" s="5">
        <f t="shared" si="16"/>
        <v>1.3123737298905647E-2</v>
      </c>
      <c r="AN4" s="5">
        <f t="shared" si="17"/>
        <v>3.2699482838054292E-3</v>
      </c>
      <c r="AO4" s="5">
        <f t="shared" si="18"/>
        <v>3.2168786124482512E-3</v>
      </c>
      <c r="AP4" s="24">
        <f t="shared" si="19"/>
        <v>3.2699482838054292E-3</v>
      </c>
      <c r="AQ4" s="225">
        <f t="shared" si="20"/>
        <v>7.6999999999999999E-2</v>
      </c>
      <c r="AR4" s="5">
        <f t="shared" si="21"/>
        <v>9.8000000000000004E-2</v>
      </c>
      <c r="AS4" s="5">
        <f t="shared" si="22"/>
        <v>8.7999999999999995E-2</v>
      </c>
      <c r="AT4" s="196">
        <f t="shared" si="23"/>
        <v>0.51</v>
      </c>
      <c r="AU4" s="196">
        <f t="shared" si="24"/>
        <v>0.65</v>
      </c>
      <c r="AV4" s="196">
        <f t="shared" si="25"/>
        <v>0.59</v>
      </c>
      <c r="AW4" s="51">
        <f t="shared" si="26"/>
        <v>5</v>
      </c>
      <c r="AX4" s="51">
        <f t="shared" si="27"/>
        <v>5</v>
      </c>
      <c r="AY4" s="226">
        <f t="shared" si="28"/>
        <v>5</v>
      </c>
    </row>
    <row r="5" spans="1:51" ht="13.15" customHeight="1">
      <c r="A5" s="227">
        <v>10918</v>
      </c>
      <c r="B5" s="95" t="s">
        <v>192</v>
      </c>
      <c r="C5" s="222" t="str">
        <f>Rollover!A5</f>
        <v>Cadillac</v>
      </c>
      <c r="D5" s="223" t="str">
        <f>Rollover!B5</f>
        <v>XT6 SUV AWD</v>
      </c>
      <c r="E5" s="197" t="s">
        <v>104</v>
      </c>
      <c r="F5" s="224">
        <f>Rollover!C5</f>
        <v>2020</v>
      </c>
      <c r="G5" s="18">
        <v>166.70500000000001</v>
      </c>
      <c r="H5" s="19">
        <v>0.25</v>
      </c>
      <c r="I5" s="19">
        <v>830.36900000000003</v>
      </c>
      <c r="J5" s="19">
        <v>125.55200000000001</v>
      </c>
      <c r="K5" s="19">
        <v>13.05</v>
      </c>
      <c r="L5" s="19">
        <v>43.848999999999997</v>
      </c>
      <c r="M5" s="19">
        <v>716.2</v>
      </c>
      <c r="N5" s="20">
        <v>1591.5889999999999</v>
      </c>
      <c r="O5" s="18">
        <v>305.12599999999998</v>
      </c>
      <c r="P5" s="19">
        <v>0.378</v>
      </c>
      <c r="Q5" s="19">
        <v>688.63900000000001</v>
      </c>
      <c r="R5" s="19">
        <v>314.57100000000003</v>
      </c>
      <c r="S5" s="19">
        <v>15.186</v>
      </c>
      <c r="T5" s="19">
        <v>43.725000000000001</v>
      </c>
      <c r="U5" s="19">
        <v>41.113</v>
      </c>
      <c r="V5" s="20">
        <v>24.457999999999998</v>
      </c>
      <c r="W5" s="225">
        <f t="shared" si="0"/>
        <v>7.9712731409580938E-4</v>
      </c>
      <c r="X5" s="5">
        <f t="shared" si="1"/>
        <v>6.0956574927221202E-2</v>
      </c>
      <c r="Y5" s="5">
        <f t="shared" si="2"/>
        <v>1.2310206688226865E-4</v>
      </c>
      <c r="Z5" s="5">
        <f t="shared" si="3"/>
        <v>2.308477877658359E-5</v>
      </c>
      <c r="AA5" s="5">
        <f t="shared" si="4"/>
        <v>6.0956574927221202E-2</v>
      </c>
      <c r="AB5" s="5">
        <f t="shared" si="5"/>
        <v>4.4136812246547193E-3</v>
      </c>
      <c r="AC5" s="5">
        <f t="shared" si="6"/>
        <v>4.4136812246547193E-3</v>
      </c>
      <c r="AD5" s="5">
        <f t="shared" si="7"/>
        <v>4.3955276578112826E-3</v>
      </c>
      <c r="AE5" s="5">
        <f t="shared" si="8"/>
        <v>6.909597204331765E-3</v>
      </c>
      <c r="AF5" s="24">
        <f t="shared" si="9"/>
        <v>6.909597204331765E-3</v>
      </c>
      <c r="AG5" s="23">
        <f t="shared" si="10"/>
        <v>9.6407537903774199E-3</v>
      </c>
      <c r="AH5" s="5">
        <f t="shared" si="11"/>
        <v>7.7080363754934419E-2</v>
      </c>
      <c r="AI5" s="5">
        <f t="shared" si="12"/>
        <v>2.3356163390628759E-4</v>
      </c>
      <c r="AJ5" s="5">
        <f t="shared" si="13"/>
        <v>5.7019094743944377E-5</v>
      </c>
      <c r="AK5" s="5">
        <f t="shared" si="14"/>
        <v>7.7080363754934419E-2</v>
      </c>
      <c r="AL5" s="5">
        <f t="shared" si="15"/>
        <v>1.0876850032178224E-2</v>
      </c>
      <c r="AM5" s="5">
        <f t="shared" si="16"/>
        <v>1.0876850032178224E-2</v>
      </c>
      <c r="AN5" s="5">
        <f t="shared" si="17"/>
        <v>3.1300354470633045E-3</v>
      </c>
      <c r="AO5" s="5">
        <f t="shared" si="18"/>
        <v>3.090689957428601E-3</v>
      </c>
      <c r="AP5" s="24">
        <f t="shared" si="19"/>
        <v>3.1300354470633045E-3</v>
      </c>
      <c r="AQ5" s="225">
        <f t="shared" si="20"/>
        <v>7.1999999999999995E-2</v>
      </c>
      <c r="AR5" s="5">
        <f t="shared" si="21"/>
        <v>9.9000000000000005E-2</v>
      </c>
      <c r="AS5" s="5">
        <f t="shared" si="22"/>
        <v>8.5999999999999993E-2</v>
      </c>
      <c r="AT5" s="196">
        <f t="shared" si="23"/>
        <v>0.48</v>
      </c>
      <c r="AU5" s="196">
        <f t="shared" si="24"/>
        <v>0.66</v>
      </c>
      <c r="AV5" s="196">
        <f t="shared" si="25"/>
        <v>0.56999999999999995</v>
      </c>
      <c r="AW5" s="51">
        <f t="shared" si="26"/>
        <v>5</v>
      </c>
      <c r="AX5" s="51">
        <f t="shared" si="27"/>
        <v>5</v>
      </c>
      <c r="AY5" s="226">
        <f t="shared" si="28"/>
        <v>5</v>
      </c>
    </row>
    <row r="6" spans="1:51" ht="13.15" customHeight="1">
      <c r="A6" s="227">
        <v>10918</v>
      </c>
      <c r="B6" s="95" t="s">
        <v>192</v>
      </c>
      <c r="C6" s="222" t="str">
        <f>Rollover!A6</f>
        <v>Cadillac</v>
      </c>
      <c r="D6" s="223" t="str">
        <f>Rollover!B6</f>
        <v>XT6 SUV FWD</v>
      </c>
      <c r="E6" s="197" t="s">
        <v>104</v>
      </c>
      <c r="F6" s="224">
        <f>Rollover!C6</f>
        <v>2020</v>
      </c>
      <c r="G6" s="10">
        <v>166.70500000000001</v>
      </c>
      <c r="H6" s="11">
        <v>0.25</v>
      </c>
      <c r="I6" s="11">
        <v>830.36900000000003</v>
      </c>
      <c r="J6" s="11">
        <v>125.55200000000001</v>
      </c>
      <c r="K6" s="11">
        <v>13.05</v>
      </c>
      <c r="L6" s="11">
        <v>43.848999999999997</v>
      </c>
      <c r="M6" s="11">
        <v>716.2</v>
      </c>
      <c r="N6" s="12">
        <v>1591.5889999999999</v>
      </c>
      <c r="O6" s="10">
        <v>305.12599999999998</v>
      </c>
      <c r="P6" s="11">
        <v>0.378</v>
      </c>
      <c r="Q6" s="11">
        <v>688.63900000000001</v>
      </c>
      <c r="R6" s="11">
        <v>314.57100000000003</v>
      </c>
      <c r="S6" s="11">
        <v>15.186</v>
      </c>
      <c r="T6" s="11">
        <v>43.725000000000001</v>
      </c>
      <c r="U6" s="11">
        <v>41.113</v>
      </c>
      <c r="V6" s="12">
        <v>24.457999999999998</v>
      </c>
      <c r="W6" s="225">
        <f t="shared" si="0"/>
        <v>7.9712731409580938E-4</v>
      </c>
      <c r="X6" s="5">
        <f t="shared" si="1"/>
        <v>6.0956574927221202E-2</v>
      </c>
      <c r="Y6" s="5">
        <f t="shared" si="2"/>
        <v>1.2310206688226865E-4</v>
      </c>
      <c r="Z6" s="5">
        <f t="shared" si="3"/>
        <v>2.308477877658359E-5</v>
      </c>
      <c r="AA6" s="5">
        <f t="shared" si="4"/>
        <v>6.0956574927221202E-2</v>
      </c>
      <c r="AB6" s="5">
        <f t="shared" si="5"/>
        <v>4.4136812246547193E-3</v>
      </c>
      <c r="AC6" s="5">
        <f t="shared" si="6"/>
        <v>4.4136812246547193E-3</v>
      </c>
      <c r="AD6" s="5">
        <f t="shared" si="7"/>
        <v>4.3955276578112826E-3</v>
      </c>
      <c r="AE6" s="5">
        <f t="shared" si="8"/>
        <v>6.909597204331765E-3</v>
      </c>
      <c r="AF6" s="24">
        <f t="shared" si="9"/>
        <v>6.909597204331765E-3</v>
      </c>
      <c r="AG6" s="23">
        <f t="shared" si="10"/>
        <v>9.6407537903774199E-3</v>
      </c>
      <c r="AH6" s="5">
        <f t="shared" si="11"/>
        <v>7.7080363754934419E-2</v>
      </c>
      <c r="AI6" s="5">
        <f t="shared" si="12"/>
        <v>2.3356163390628759E-4</v>
      </c>
      <c r="AJ6" s="5">
        <f t="shared" si="13"/>
        <v>5.7019094743944377E-5</v>
      </c>
      <c r="AK6" s="5">
        <f t="shared" si="14"/>
        <v>7.7080363754934419E-2</v>
      </c>
      <c r="AL6" s="5">
        <f t="shared" si="15"/>
        <v>1.0876850032178224E-2</v>
      </c>
      <c r="AM6" s="5">
        <f t="shared" si="16"/>
        <v>1.0876850032178224E-2</v>
      </c>
      <c r="AN6" s="5">
        <f t="shared" si="17"/>
        <v>3.1300354470633045E-3</v>
      </c>
      <c r="AO6" s="5">
        <f t="shared" si="18"/>
        <v>3.090689957428601E-3</v>
      </c>
      <c r="AP6" s="24">
        <f t="shared" si="19"/>
        <v>3.1300354470633045E-3</v>
      </c>
      <c r="AQ6" s="225">
        <f t="shared" si="20"/>
        <v>7.1999999999999995E-2</v>
      </c>
      <c r="AR6" s="5">
        <f t="shared" si="21"/>
        <v>9.9000000000000005E-2</v>
      </c>
      <c r="AS6" s="5">
        <f t="shared" si="22"/>
        <v>8.5999999999999993E-2</v>
      </c>
      <c r="AT6" s="196">
        <f t="shared" si="23"/>
        <v>0.48</v>
      </c>
      <c r="AU6" s="196">
        <f t="shared" si="24"/>
        <v>0.66</v>
      </c>
      <c r="AV6" s="196">
        <f t="shared" si="25"/>
        <v>0.56999999999999995</v>
      </c>
      <c r="AW6" s="51">
        <f t="shared" si="26"/>
        <v>5</v>
      </c>
      <c r="AX6" s="51">
        <f t="shared" si="27"/>
        <v>5</v>
      </c>
      <c r="AY6" s="226">
        <f t="shared" si="28"/>
        <v>5</v>
      </c>
    </row>
    <row r="7" spans="1:51" ht="13.15" customHeight="1">
      <c r="A7" s="227">
        <v>10914</v>
      </c>
      <c r="B7" s="95" t="s">
        <v>190</v>
      </c>
      <c r="C7" s="222" t="str">
        <f>Rollover!A7</f>
        <v>Chevrolet</v>
      </c>
      <c r="D7" s="223" t="str">
        <f>Rollover!B7</f>
        <v>Malibu 4DR FWD</v>
      </c>
      <c r="E7" s="197" t="s">
        <v>99</v>
      </c>
      <c r="F7" s="224">
        <f>Rollover!C7</f>
        <v>2020</v>
      </c>
      <c r="G7" s="10">
        <v>172.315</v>
      </c>
      <c r="H7" s="11">
        <v>0.184</v>
      </c>
      <c r="I7" s="11">
        <v>962.66600000000005</v>
      </c>
      <c r="J7" s="11">
        <v>131.17599999999999</v>
      </c>
      <c r="K7" s="11">
        <v>24.292999999999999</v>
      </c>
      <c r="L7" s="11">
        <v>40.183999999999997</v>
      </c>
      <c r="M7" s="11">
        <v>1122.665</v>
      </c>
      <c r="N7" s="12">
        <v>1362.2950000000001</v>
      </c>
      <c r="O7" s="10">
        <v>272.27499999999998</v>
      </c>
      <c r="P7" s="11">
        <v>0.35699999999999998</v>
      </c>
      <c r="Q7" s="11">
        <v>751.23500000000001</v>
      </c>
      <c r="R7" s="11">
        <v>113.578</v>
      </c>
      <c r="S7" s="11">
        <v>16.568000000000001</v>
      </c>
      <c r="T7" s="11">
        <v>37.012</v>
      </c>
      <c r="U7" s="11">
        <v>720.04200000000003</v>
      </c>
      <c r="V7" s="12">
        <v>1032.6310000000001</v>
      </c>
      <c r="W7" s="225">
        <f t="shared" si="0"/>
        <v>9.2840802460904118E-4</v>
      </c>
      <c r="X7" s="5">
        <f t="shared" si="1"/>
        <v>5.3929431252127603E-2</v>
      </c>
      <c r="Y7" s="5">
        <f t="shared" si="2"/>
        <v>1.6854010842302418E-4</v>
      </c>
      <c r="Z7" s="5">
        <f t="shared" si="3"/>
        <v>2.3395183375151424E-5</v>
      </c>
      <c r="AA7" s="5">
        <f t="shared" si="4"/>
        <v>5.3929431252127603E-2</v>
      </c>
      <c r="AB7" s="5">
        <f t="shared" si="5"/>
        <v>2.3728198772365618E-2</v>
      </c>
      <c r="AC7" s="5">
        <f t="shared" si="6"/>
        <v>2.3728198772365618E-2</v>
      </c>
      <c r="AD7" s="5">
        <f t="shared" si="7"/>
        <v>5.4235668272747482E-3</v>
      </c>
      <c r="AE7" s="5">
        <f t="shared" si="8"/>
        <v>6.1382921503910469E-3</v>
      </c>
      <c r="AF7" s="24">
        <f t="shared" si="9"/>
        <v>6.1382921503910469E-3</v>
      </c>
      <c r="AG7" s="23">
        <f t="shared" si="10"/>
        <v>6.3159327213084208E-3</v>
      </c>
      <c r="AH7" s="5">
        <f t="shared" si="11"/>
        <v>7.4190086530912136E-2</v>
      </c>
      <c r="AI7" s="5">
        <f t="shared" si="12"/>
        <v>2.9570749014203913E-4</v>
      </c>
      <c r="AJ7" s="5">
        <f t="shared" si="13"/>
        <v>2.6726962588584445E-5</v>
      </c>
      <c r="AK7" s="5">
        <f t="shared" si="14"/>
        <v>7.4190086530912136E-2</v>
      </c>
      <c r="AL7" s="5">
        <f t="shared" si="15"/>
        <v>1.3887227579987383E-2</v>
      </c>
      <c r="AM7" s="5">
        <f t="shared" si="16"/>
        <v>1.3887227579987383E-2</v>
      </c>
      <c r="AN7" s="5">
        <f t="shared" si="17"/>
        <v>5.2393745502925925E-3</v>
      </c>
      <c r="AO7" s="5">
        <f t="shared" si="18"/>
        <v>6.6389627516809987E-3</v>
      </c>
      <c r="AP7" s="24">
        <f t="shared" si="19"/>
        <v>6.6389627516809987E-3</v>
      </c>
      <c r="AQ7" s="225">
        <f t="shared" si="20"/>
        <v>8.3000000000000004E-2</v>
      </c>
      <c r="AR7" s="5">
        <f t="shared" si="21"/>
        <v>9.9000000000000005E-2</v>
      </c>
      <c r="AS7" s="5">
        <f t="shared" si="22"/>
        <v>9.0999999999999998E-2</v>
      </c>
      <c r="AT7" s="196">
        <f t="shared" si="23"/>
        <v>0.55000000000000004</v>
      </c>
      <c r="AU7" s="196">
        <f t="shared" si="24"/>
        <v>0.66</v>
      </c>
      <c r="AV7" s="196">
        <f t="shared" si="25"/>
        <v>0.61</v>
      </c>
      <c r="AW7" s="51">
        <f t="shared" si="26"/>
        <v>5</v>
      </c>
      <c r="AX7" s="51">
        <f t="shared" si="27"/>
        <v>5</v>
      </c>
      <c r="AY7" s="226">
        <f t="shared" si="28"/>
        <v>5</v>
      </c>
    </row>
    <row r="8" spans="1:51" ht="13.15" customHeight="1">
      <c r="A8" s="227">
        <v>10971</v>
      </c>
      <c r="B8" s="95" t="s">
        <v>215</v>
      </c>
      <c r="C8" s="228" t="str">
        <f>Rollover!A8</f>
        <v>Ford</v>
      </c>
      <c r="D8" s="229" t="str">
        <f>Rollover!B8</f>
        <v>Escape SUV AWD</v>
      </c>
      <c r="E8" s="197" t="s">
        <v>99</v>
      </c>
      <c r="F8" s="224">
        <f>Rollover!C8</f>
        <v>2020</v>
      </c>
      <c r="G8" s="230">
        <v>142.626</v>
      </c>
      <c r="H8" s="11">
        <v>0.22500000000000001</v>
      </c>
      <c r="I8" s="11">
        <v>824.51400000000001</v>
      </c>
      <c r="J8" s="11">
        <v>102.68</v>
      </c>
      <c r="K8" s="230">
        <v>21.114000000000001</v>
      </c>
      <c r="L8" s="11">
        <v>34.384999999999998</v>
      </c>
      <c r="M8" s="5">
        <v>835.82399999999996</v>
      </c>
      <c r="N8" s="24">
        <v>1398.9690000000001</v>
      </c>
      <c r="O8" s="10">
        <v>102.179</v>
      </c>
      <c r="P8" s="11">
        <v>0.36299999999999999</v>
      </c>
      <c r="Q8" s="11">
        <v>804.23699999999997</v>
      </c>
      <c r="R8" s="11">
        <v>259.32900000000001</v>
      </c>
      <c r="S8" s="11">
        <v>11.621</v>
      </c>
      <c r="T8" s="11">
        <v>33.296999999999997</v>
      </c>
      <c r="U8" s="11">
        <v>977.46299999999997</v>
      </c>
      <c r="V8" s="12">
        <v>750.53399999999999</v>
      </c>
      <c r="W8" s="225">
        <f t="shared" si="0"/>
        <v>3.78890702996513E-4</v>
      </c>
      <c r="X8" s="5">
        <f t="shared" si="1"/>
        <v>5.8199319397642647E-2</v>
      </c>
      <c r="Y8" s="5">
        <f t="shared" si="2"/>
        <v>1.214023090086835E-4</v>
      </c>
      <c r="Z8" s="5">
        <f t="shared" si="3"/>
        <v>2.1864267722640633E-5</v>
      </c>
      <c r="AA8" s="5">
        <f t="shared" si="4"/>
        <v>5.8199319397642647E-2</v>
      </c>
      <c r="AB8" s="5">
        <f t="shared" si="5"/>
        <v>1.5599482224117738E-2</v>
      </c>
      <c r="AC8" s="5">
        <f t="shared" si="6"/>
        <v>1.5599482224117738E-2</v>
      </c>
      <c r="AD8" s="5">
        <f t="shared" si="7"/>
        <v>4.6760903799089541E-3</v>
      </c>
      <c r="AE8" s="5">
        <f t="shared" si="8"/>
        <v>6.255645135150931E-3</v>
      </c>
      <c r="AF8" s="24">
        <f t="shared" si="9"/>
        <v>6.255645135150931E-3</v>
      </c>
      <c r="AG8" s="23">
        <f t="shared" si="10"/>
        <v>6.7143752812761867E-5</v>
      </c>
      <c r="AH8" s="5">
        <f t="shared" si="11"/>
        <v>7.5005551852159555E-2</v>
      </c>
      <c r="AI8" s="5">
        <f t="shared" si="12"/>
        <v>3.610884327223229E-4</v>
      </c>
      <c r="AJ8" s="5">
        <f t="shared" si="13"/>
        <v>4.629965859161632E-5</v>
      </c>
      <c r="AK8" s="5">
        <f t="shared" si="14"/>
        <v>7.5005551852159555E-2</v>
      </c>
      <c r="AL8" s="5">
        <f t="shared" si="15"/>
        <v>5.4275088874786463E-3</v>
      </c>
      <c r="AM8" s="5">
        <f t="shared" si="16"/>
        <v>5.4275088874786463E-3</v>
      </c>
      <c r="AN8" s="5">
        <f t="shared" si="17"/>
        <v>6.3674338951298587E-3</v>
      </c>
      <c r="AO8" s="5">
        <f t="shared" si="18"/>
        <v>5.3618595595239116E-3</v>
      </c>
      <c r="AP8" s="24">
        <f t="shared" si="19"/>
        <v>6.3674338951298587E-3</v>
      </c>
      <c r="AQ8" s="225">
        <f t="shared" si="20"/>
        <v>7.9000000000000001E-2</v>
      </c>
      <c r="AR8" s="5">
        <f t="shared" si="21"/>
        <v>8.5999999999999993E-2</v>
      </c>
      <c r="AS8" s="5">
        <f t="shared" si="22"/>
        <v>8.3000000000000004E-2</v>
      </c>
      <c r="AT8" s="196">
        <f t="shared" si="23"/>
        <v>0.53</v>
      </c>
      <c r="AU8" s="196">
        <f t="shared" si="24"/>
        <v>0.56999999999999995</v>
      </c>
      <c r="AV8" s="196">
        <f t="shared" si="25"/>
        <v>0.55000000000000004</v>
      </c>
      <c r="AW8" s="51">
        <f t="shared" si="26"/>
        <v>5</v>
      </c>
      <c r="AX8" s="51">
        <f t="shared" si="27"/>
        <v>5</v>
      </c>
      <c r="AY8" s="226">
        <f t="shared" si="28"/>
        <v>5</v>
      </c>
    </row>
    <row r="9" spans="1:51" ht="13.15" customHeight="1">
      <c r="A9" s="96">
        <v>10971</v>
      </c>
      <c r="B9" s="95" t="s">
        <v>215</v>
      </c>
      <c r="C9" s="228" t="str">
        <f>Rollover!A9</f>
        <v>Ford</v>
      </c>
      <c r="D9" s="229" t="str">
        <f>Rollover!B9</f>
        <v>Escape SUV FWD</v>
      </c>
      <c r="E9" s="197" t="s">
        <v>99</v>
      </c>
      <c r="F9" s="224">
        <f>Rollover!C9</f>
        <v>2020</v>
      </c>
      <c r="G9" s="230">
        <v>142.626</v>
      </c>
      <c r="H9" s="11">
        <v>0.22500000000000001</v>
      </c>
      <c r="I9" s="11">
        <v>824.51400000000001</v>
      </c>
      <c r="J9" s="11">
        <v>102.68</v>
      </c>
      <c r="K9" s="230">
        <v>21.114000000000001</v>
      </c>
      <c r="L9" s="11">
        <v>34.384999999999998</v>
      </c>
      <c r="M9" s="5">
        <v>835.82399999999996</v>
      </c>
      <c r="N9" s="231">
        <v>1398.9690000000001</v>
      </c>
      <c r="O9" s="10">
        <v>102.179</v>
      </c>
      <c r="P9" s="11">
        <v>0.36299999999999999</v>
      </c>
      <c r="Q9" s="11">
        <v>804.23699999999997</v>
      </c>
      <c r="R9" s="11">
        <v>259.32900000000001</v>
      </c>
      <c r="S9" s="11">
        <v>11.621</v>
      </c>
      <c r="T9" s="11">
        <v>33.296999999999997</v>
      </c>
      <c r="U9" s="11">
        <v>977.46299999999997</v>
      </c>
      <c r="V9" s="12">
        <v>750.53399999999999</v>
      </c>
      <c r="W9" s="225">
        <f t="shared" si="0"/>
        <v>3.78890702996513E-4</v>
      </c>
      <c r="X9" s="5">
        <f t="shared" si="1"/>
        <v>5.8199319397642647E-2</v>
      </c>
      <c r="Y9" s="5">
        <f t="shared" si="2"/>
        <v>1.214023090086835E-4</v>
      </c>
      <c r="Z9" s="5">
        <f t="shared" si="3"/>
        <v>2.1864267722640633E-5</v>
      </c>
      <c r="AA9" s="5">
        <f t="shared" si="4"/>
        <v>5.8199319397642647E-2</v>
      </c>
      <c r="AB9" s="5">
        <f t="shared" si="5"/>
        <v>1.5599482224117738E-2</v>
      </c>
      <c r="AC9" s="5">
        <f t="shared" si="6"/>
        <v>1.5599482224117738E-2</v>
      </c>
      <c r="AD9" s="5">
        <f t="shared" si="7"/>
        <v>4.6760903799089541E-3</v>
      </c>
      <c r="AE9" s="5">
        <f t="shared" si="8"/>
        <v>6.255645135150931E-3</v>
      </c>
      <c r="AF9" s="24">
        <f t="shared" si="9"/>
        <v>6.255645135150931E-3</v>
      </c>
      <c r="AG9" s="23">
        <f t="shared" si="10"/>
        <v>6.7143752812761867E-5</v>
      </c>
      <c r="AH9" s="5">
        <f t="shared" si="11"/>
        <v>7.5005551852159555E-2</v>
      </c>
      <c r="AI9" s="5">
        <f t="shared" si="12"/>
        <v>3.610884327223229E-4</v>
      </c>
      <c r="AJ9" s="5">
        <f t="shared" si="13"/>
        <v>4.629965859161632E-5</v>
      </c>
      <c r="AK9" s="5">
        <f t="shared" si="14"/>
        <v>7.5005551852159555E-2</v>
      </c>
      <c r="AL9" s="5">
        <f t="shared" si="15"/>
        <v>5.4275088874786463E-3</v>
      </c>
      <c r="AM9" s="5">
        <f t="shared" si="16"/>
        <v>5.4275088874786463E-3</v>
      </c>
      <c r="AN9" s="5">
        <f t="shared" si="17"/>
        <v>6.3674338951298587E-3</v>
      </c>
      <c r="AO9" s="5">
        <f t="shared" si="18"/>
        <v>5.3618595595239116E-3</v>
      </c>
      <c r="AP9" s="24">
        <f t="shared" si="19"/>
        <v>6.3674338951298587E-3</v>
      </c>
      <c r="AQ9" s="225">
        <f t="shared" si="20"/>
        <v>7.9000000000000001E-2</v>
      </c>
      <c r="AR9" s="5">
        <f t="shared" si="21"/>
        <v>8.5999999999999993E-2</v>
      </c>
      <c r="AS9" s="5">
        <f t="shared" si="22"/>
        <v>8.3000000000000004E-2</v>
      </c>
      <c r="AT9" s="196">
        <f t="shared" si="23"/>
        <v>0.53</v>
      </c>
      <c r="AU9" s="196">
        <f t="shared" si="24"/>
        <v>0.56999999999999995</v>
      </c>
      <c r="AV9" s="196">
        <f t="shared" si="25"/>
        <v>0.55000000000000004</v>
      </c>
      <c r="AW9" s="51">
        <f t="shared" si="26"/>
        <v>5</v>
      </c>
      <c r="AX9" s="51">
        <f t="shared" si="27"/>
        <v>5</v>
      </c>
      <c r="AY9" s="226">
        <f t="shared" si="28"/>
        <v>5</v>
      </c>
    </row>
    <row r="10" spans="1:51" ht="13.15" customHeight="1">
      <c r="A10" s="227">
        <v>10971</v>
      </c>
      <c r="B10" s="95" t="s">
        <v>215</v>
      </c>
      <c r="C10" s="222" t="str">
        <f>Rollover!A10</f>
        <v>Ford</v>
      </c>
      <c r="D10" s="223" t="str">
        <f>Rollover!B10</f>
        <v>Escape HEV SUV AWD</v>
      </c>
      <c r="E10" s="197" t="s">
        <v>99</v>
      </c>
      <c r="F10" s="224">
        <f>Rollover!C10</f>
        <v>2020</v>
      </c>
      <c r="G10" s="230">
        <v>142.626</v>
      </c>
      <c r="H10" s="11">
        <v>0.22500000000000001</v>
      </c>
      <c r="I10" s="11">
        <v>824.51400000000001</v>
      </c>
      <c r="J10" s="11">
        <v>102.68</v>
      </c>
      <c r="K10" s="11">
        <v>21.114000000000001</v>
      </c>
      <c r="L10" s="11">
        <v>34.384999999999998</v>
      </c>
      <c r="M10" s="11">
        <v>835.82399999999996</v>
      </c>
      <c r="N10" s="12">
        <v>1398.9690000000001</v>
      </c>
      <c r="O10" s="10">
        <v>102.179</v>
      </c>
      <c r="P10" s="11">
        <v>0.36299999999999999</v>
      </c>
      <c r="Q10" s="11">
        <v>804.23699999999997</v>
      </c>
      <c r="R10" s="11">
        <v>259.32900000000001</v>
      </c>
      <c r="S10" s="11">
        <v>11.621</v>
      </c>
      <c r="T10" s="11">
        <v>33.296999999999997</v>
      </c>
      <c r="U10" s="11">
        <v>977.46299999999997</v>
      </c>
      <c r="V10" s="12">
        <v>750.53399999999999</v>
      </c>
      <c r="W10" s="225">
        <f t="shared" si="0"/>
        <v>3.78890702996513E-4</v>
      </c>
      <c r="X10" s="5">
        <f t="shared" si="1"/>
        <v>5.8199319397642647E-2</v>
      </c>
      <c r="Y10" s="5">
        <f t="shared" si="2"/>
        <v>1.214023090086835E-4</v>
      </c>
      <c r="Z10" s="5">
        <f t="shared" si="3"/>
        <v>2.1864267722640633E-5</v>
      </c>
      <c r="AA10" s="5">
        <f t="shared" si="4"/>
        <v>5.8199319397642647E-2</v>
      </c>
      <c r="AB10" s="5">
        <f t="shared" si="5"/>
        <v>1.5599482224117738E-2</v>
      </c>
      <c r="AC10" s="5">
        <f t="shared" si="6"/>
        <v>1.5599482224117738E-2</v>
      </c>
      <c r="AD10" s="5">
        <f t="shared" si="7"/>
        <v>4.6760903799089541E-3</v>
      </c>
      <c r="AE10" s="5">
        <f t="shared" si="8"/>
        <v>6.255645135150931E-3</v>
      </c>
      <c r="AF10" s="24">
        <f t="shared" si="9"/>
        <v>6.255645135150931E-3</v>
      </c>
      <c r="AG10" s="23">
        <f t="shared" si="10"/>
        <v>6.7143752812761867E-5</v>
      </c>
      <c r="AH10" s="5">
        <f t="shared" si="11"/>
        <v>7.5005551852159555E-2</v>
      </c>
      <c r="AI10" s="5">
        <f t="shared" si="12"/>
        <v>3.610884327223229E-4</v>
      </c>
      <c r="AJ10" s="5">
        <f t="shared" si="13"/>
        <v>4.629965859161632E-5</v>
      </c>
      <c r="AK10" s="5">
        <f t="shared" si="14"/>
        <v>7.5005551852159555E-2</v>
      </c>
      <c r="AL10" s="5">
        <f t="shared" si="15"/>
        <v>5.4275088874786463E-3</v>
      </c>
      <c r="AM10" s="5">
        <f t="shared" si="16"/>
        <v>5.4275088874786463E-3</v>
      </c>
      <c r="AN10" s="5">
        <f t="shared" si="17"/>
        <v>6.3674338951298587E-3</v>
      </c>
      <c r="AO10" s="5">
        <f t="shared" si="18"/>
        <v>5.3618595595239116E-3</v>
      </c>
      <c r="AP10" s="24">
        <f t="shared" si="19"/>
        <v>6.3674338951298587E-3</v>
      </c>
      <c r="AQ10" s="225">
        <f t="shared" si="20"/>
        <v>7.9000000000000001E-2</v>
      </c>
      <c r="AR10" s="5">
        <f t="shared" si="21"/>
        <v>8.5999999999999993E-2</v>
      </c>
      <c r="AS10" s="5">
        <f t="shared" si="22"/>
        <v>8.3000000000000004E-2</v>
      </c>
      <c r="AT10" s="196">
        <f t="shared" si="23"/>
        <v>0.53</v>
      </c>
      <c r="AU10" s="196">
        <f t="shared" si="24"/>
        <v>0.56999999999999995</v>
      </c>
      <c r="AV10" s="196">
        <f t="shared" si="25"/>
        <v>0.55000000000000004</v>
      </c>
      <c r="AW10" s="51">
        <f t="shared" si="26"/>
        <v>5</v>
      </c>
      <c r="AX10" s="51">
        <f t="shared" si="27"/>
        <v>5</v>
      </c>
      <c r="AY10" s="226">
        <f t="shared" si="28"/>
        <v>5</v>
      </c>
    </row>
    <row r="11" spans="1:51" ht="13.15" customHeight="1">
      <c r="A11" s="227">
        <v>10971</v>
      </c>
      <c r="B11" s="95" t="s">
        <v>215</v>
      </c>
      <c r="C11" s="222" t="str">
        <f>Rollover!A11</f>
        <v>Ford</v>
      </c>
      <c r="D11" s="223" t="str">
        <f>Rollover!B11</f>
        <v>Escape HEV SUV FWD</v>
      </c>
      <c r="E11" s="197" t="s">
        <v>99</v>
      </c>
      <c r="F11" s="224">
        <f>Rollover!C11</f>
        <v>2020</v>
      </c>
      <c r="G11" s="230">
        <v>142.626</v>
      </c>
      <c r="H11" s="11">
        <v>0.22500000000000001</v>
      </c>
      <c r="I11" s="11">
        <v>824.51400000000001</v>
      </c>
      <c r="J11" s="11">
        <v>102.68</v>
      </c>
      <c r="K11" s="11">
        <v>21.114000000000001</v>
      </c>
      <c r="L11" s="11">
        <v>34.384999999999998</v>
      </c>
      <c r="M11" s="11">
        <v>835.82399999999996</v>
      </c>
      <c r="N11" s="12">
        <v>1398.9690000000001</v>
      </c>
      <c r="O11" s="10">
        <v>102.179</v>
      </c>
      <c r="P11" s="11">
        <v>0.36299999999999999</v>
      </c>
      <c r="Q11" s="11">
        <v>804.23699999999997</v>
      </c>
      <c r="R11" s="11">
        <v>259.32900000000001</v>
      </c>
      <c r="S11" s="11">
        <v>11.621</v>
      </c>
      <c r="T11" s="11">
        <v>33.296999999999997</v>
      </c>
      <c r="U11" s="11">
        <v>977.46299999999997</v>
      </c>
      <c r="V11" s="12">
        <v>750.53399999999999</v>
      </c>
      <c r="W11" s="225">
        <f t="shared" si="0"/>
        <v>3.78890702996513E-4</v>
      </c>
      <c r="X11" s="5">
        <f t="shared" si="1"/>
        <v>5.8199319397642647E-2</v>
      </c>
      <c r="Y11" s="5">
        <f t="shared" si="2"/>
        <v>1.214023090086835E-4</v>
      </c>
      <c r="Z11" s="5">
        <f t="shared" si="3"/>
        <v>2.1864267722640633E-5</v>
      </c>
      <c r="AA11" s="5">
        <f t="shared" si="4"/>
        <v>5.8199319397642647E-2</v>
      </c>
      <c r="AB11" s="5">
        <f t="shared" si="5"/>
        <v>1.5599482224117738E-2</v>
      </c>
      <c r="AC11" s="5">
        <f t="shared" si="6"/>
        <v>1.5599482224117738E-2</v>
      </c>
      <c r="AD11" s="5">
        <f t="shared" si="7"/>
        <v>4.6760903799089541E-3</v>
      </c>
      <c r="AE11" s="5">
        <f t="shared" si="8"/>
        <v>6.255645135150931E-3</v>
      </c>
      <c r="AF11" s="24">
        <f t="shared" si="9"/>
        <v>6.255645135150931E-3</v>
      </c>
      <c r="AG11" s="23">
        <f t="shared" si="10"/>
        <v>6.7143752812761867E-5</v>
      </c>
      <c r="AH11" s="5">
        <f t="shared" si="11"/>
        <v>7.5005551852159555E-2</v>
      </c>
      <c r="AI11" s="5">
        <f t="shared" si="12"/>
        <v>3.610884327223229E-4</v>
      </c>
      <c r="AJ11" s="5">
        <f t="shared" si="13"/>
        <v>4.629965859161632E-5</v>
      </c>
      <c r="AK11" s="5">
        <f t="shared" si="14"/>
        <v>7.5005551852159555E-2</v>
      </c>
      <c r="AL11" s="5">
        <f t="shared" si="15"/>
        <v>5.4275088874786463E-3</v>
      </c>
      <c r="AM11" s="5">
        <f t="shared" si="16"/>
        <v>5.4275088874786463E-3</v>
      </c>
      <c r="AN11" s="5">
        <f t="shared" si="17"/>
        <v>6.3674338951298587E-3</v>
      </c>
      <c r="AO11" s="5">
        <f t="shared" si="18"/>
        <v>5.3618595595239116E-3</v>
      </c>
      <c r="AP11" s="24">
        <f t="shared" si="19"/>
        <v>6.3674338951298587E-3</v>
      </c>
      <c r="AQ11" s="225">
        <f t="shared" si="20"/>
        <v>7.9000000000000001E-2</v>
      </c>
      <c r="AR11" s="5">
        <f t="shared" si="21"/>
        <v>8.5999999999999993E-2</v>
      </c>
      <c r="AS11" s="5">
        <f t="shared" si="22"/>
        <v>8.3000000000000004E-2</v>
      </c>
      <c r="AT11" s="196">
        <f t="shared" si="23"/>
        <v>0.53</v>
      </c>
      <c r="AU11" s="196">
        <f t="shared" si="24"/>
        <v>0.56999999999999995</v>
      </c>
      <c r="AV11" s="196">
        <f t="shared" si="25"/>
        <v>0.55000000000000004</v>
      </c>
      <c r="AW11" s="51">
        <f t="shared" si="26"/>
        <v>5</v>
      </c>
      <c r="AX11" s="51">
        <f t="shared" si="27"/>
        <v>5</v>
      </c>
      <c r="AY11" s="226">
        <f t="shared" si="28"/>
        <v>5</v>
      </c>
    </row>
    <row r="12" spans="1:51" ht="13.15" customHeight="1">
      <c r="A12" s="227">
        <v>10971</v>
      </c>
      <c r="B12" s="95" t="s">
        <v>215</v>
      </c>
      <c r="C12" s="228" t="str">
        <f>Rollover!A12</f>
        <v>Lincoln</v>
      </c>
      <c r="D12" s="229" t="str">
        <f>Rollover!B12</f>
        <v>Corsair SUV AWD</v>
      </c>
      <c r="E12" s="197" t="s">
        <v>99</v>
      </c>
      <c r="F12" s="224">
        <f>Rollover!C12</f>
        <v>2020</v>
      </c>
      <c r="G12" s="230">
        <v>142.626</v>
      </c>
      <c r="H12" s="11">
        <v>0.22500000000000001</v>
      </c>
      <c r="I12" s="11">
        <v>824.51400000000001</v>
      </c>
      <c r="J12" s="11">
        <v>102.68</v>
      </c>
      <c r="K12" s="11">
        <v>21.114000000000001</v>
      </c>
      <c r="L12" s="11">
        <v>34.384999999999998</v>
      </c>
      <c r="M12" s="11">
        <v>835.82399999999996</v>
      </c>
      <c r="N12" s="12">
        <v>1398.9690000000001</v>
      </c>
      <c r="O12" s="10">
        <v>102.179</v>
      </c>
      <c r="P12" s="11">
        <v>0.36299999999999999</v>
      </c>
      <c r="Q12" s="11">
        <v>804.23699999999997</v>
      </c>
      <c r="R12" s="11">
        <v>259.32900000000001</v>
      </c>
      <c r="S12" s="11">
        <v>11.621</v>
      </c>
      <c r="T12" s="11">
        <v>33.296999999999997</v>
      </c>
      <c r="U12" s="11">
        <v>977.46299999999997</v>
      </c>
      <c r="V12" s="12">
        <v>750.53399999999999</v>
      </c>
      <c r="W12" s="225">
        <f t="shared" si="0"/>
        <v>3.78890702996513E-4</v>
      </c>
      <c r="X12" s="5">
        <f t="shared" si="1"/>
        <v>5.8199319397642647E-2</v>
      </c>
      <c r="Y12" s="5">
        <f t="shared" si="2"/>
        <v>1.214023090086835E-4</v>
      </c>
      <c r="Z12" s="5">
        <f t="shared" si="3"/>
        <v>2.1864267722640633E-5</v>
      </c>
      <c r="AA12" s="5">
        <f t="shared" si="4"/>
        <v>5.8199319397642647E-2</v>
      </c>
      <c r="AB12" s="5">
        <f t="shared" si="5"/>
        <v>1.5599482224117738E-2</v>
      </c>
      <c r="AC12" s="5">
        <f t="shared" si="6"/>
        <v>1.5599482224117738E-2</v>
      </c>
      <c r="AD12" s="5">
        <f t="shared" si="7"/>
        <v>4.6760903799089541E-3</v>
      </c>
      <c r="AE12" s="5">
        <f t="shared" si="8"/>
        <v>6.255645135150931E-3</v>
      </c>
      <c r="AF12" s="24">
        <f t="shared" si="9"/>
        <v>6.255645135150931E-3</v>
      </c>
      <c r="AG12" s="23">
        <f t="shared" si="10"/>
        <v>6.7143752812761867E-5</v>
      </c>
      <c r="AH12" s="5">
        <f t="shared" si="11"/>
        <v>7.5005551852159555E-2</v>
      </c>
      <c r="AI12" s="5">
        <f t="shared" si="12"/>
        <v>3.610884327223229E-4</v>
      </c>
      <c r="AJ12" s="5">
        <f t="shared" si="13"/>
        <v>4.629965859161632E-5</v>
      </c>
      <c r="AK12" s="5">
        <f t="shared" si="14"/>
        <v>7.5005551852159555E-2</v>
      </c>
      <c r="AL12" s="5">
        <f t="shared" si="15"/>
        <v>5.4275088874786463E-3</v>
      </c>
      <c r="AM12" s="5">
        <f t="shared" si="16"/>
        <v>5.4275088874786463E-3</v>
      </c>
      <c r="AN12" s="5">
        <f t="shared" si="17"/>
        <v>6.3674338951298587E-3</v>
      </c>
      <c r="AO12" s="5">
        <f t="shared" si="18"/>
        <v>5.3618595595239116E-3</v>
      </c>
      <c r="AP12" s="24">
        <f t="shared" si="19"/>
        <v>6.3674338951298587E-3</v>
      </c>
      <c r="AQ12" s="225">
        <f t="shared" si="20"/>
        <v>7.9000000000000001E-2</v>
      </c>
      <c r="AR12" s="5">
        <f t="shared" si="21"/>
        <v>8.5999999999999993E-2</v>
      </c>
      <c r="AS12" s="5">
        <f t="shared" si="22"/>
        <v>8.3000000000000004E-2</v>
      </c>
      <c r="AT12" s="196">
        <f t="shared" si="23"/>
        <v>0.53</v>
      </c>
      <c r="AU12" s="196">
        <f t="shared" si="24"/>
        <v>0.56999999999999995</v>
      </c>
      <c r="AV12" s="196">
        <f t="shared" si="25"/>
        <v>0.55000000000000004</v>
      </c>
      <c r="AW12" s="51">
        <f t="shared" si="26"/>
        <v>5</v>
      </c>
      <c r="AX12" s="51">
        <f t="shared" si="27"/>
        <v>5</v>
      </c>
      <c r="AY12" s="226">
        <f t="shared" si="28"/>
        <v>5</v>
      </c>
    </row>
    <row r="13" spans="1:51" ht="13.15" customHeight="1">
      <c r="A13" s="227">
        <v>10971</v>
      </c>
      <c r="B13" s="95" t="s">
        <v>215</v>
      </c>
      <c r="C13" s="228" t="str">
        <f>Rollover!A13</f>
        <v>Lincoln</v>
      </c>
      <c r="D13" s="229" t="str">
        <f>Rollover!B13</f>
        <v>Corsair SUV FWD</v>
      </c>
      <c r="E13" s="197" t="s">
        <v>99</v>
      </c>
      <c r="F13" s="224">
        <f>Rollover!C13</f>
        <v>2020</v>
      </c>
      <c r="G13" s="230">
        <v>142.626</v>
      </c>
      <c r="H13" s="11">
        <v>0.22500000000000001</v>
      </c>
      <c r="I13" s="11">
        <v>824.51400000000001</v>
      </c>
      <c r="J13" s="11">
        <v>102.68</v>
      </c>
      <c r="K13" s="11">
        <v>21.114000000000001</v>
      </c>
      <c r="L13" s="11">
        <v>34.384999999999998</v>
      </c>
      <c r="M13" s="11">
        <v>835.82399999999996</v>
      </c>
      <c r="N13" s="12">
        <v>1398.9690000000001</v>
      </c>
      <c r="O13" s="10">
        <v>102.179</v>
      </c>
      <c r="P13" s="11">
        <v>0.36299999999999999</v>
      </c>
      <c r="Q13" s="11">
        <v>804.23699999999997</v>
      </c>
      <c r="R13" s="11">
        <v>259.32900000000001</v>
      </c>
      <c r="S13" s="11">
        <v>11.621</v>
      </c>
      <c r="T13" s="11">
        <v>33.296999999999997</v>
      </c>
      <c r="U13" s="11">
        <v>977.46299999999997</v>
      </c>
      <c r="V13" s="12">
        <v>750.53399999999999</v>
      </c>
      <c r="W13" s="225">
        <f t="shared" si="0"/>
        <v>3.78890702996513E-4</v>
      </c>
      <c r="X13" s="5">
        <f t="shared" si="1"/>
        <v>5.8199319397642647E-2</v>
      </c>
      <c r="Y13" s="5">
        <f t="shared" si="2"/>
        <v>1.214023090086835E-4</v>
      </c>
      <c r="Z13" s="5">
        <f t="shared" si="3"/>
        <v>2.1864267722640633E-5</v>
      </c>
      <c r="AA13" s="5">
        <f t="shared" si="4"/>
        <v>5.8199319397642647E-2</v>
      </c>
      <c r="AB13" s="5">
        <f t="shared" si="5"/>
        <v>1.5599482224117738E-2</v>
      </c>
      <c r="AC13" s="5">
        <f t="shared" si="6"/>
        <v>1.5599482224117738E-2</v>
      </c>
      <c r="AD13" s="5">
        <f t="shared" si="7"/>
        <v>4.6760903799089541E-3</v>
      </c>
      <c r="AE13" s="5">
        <f t="shared" si="8"/>
        <v>6.255645135150931E-3</v>
      </c>
      <c r="AF13" s="24">
        <f t="shared" si="9"/>
        <v>6.255645135150931E-3</v>
      </c>
      <c r="AG13" s="23">
        <f t="shared" si="10"/>
        <v>6.7143752812761867E-5</v>
      </c>
      <c r="AH13" s="5">
        <f t="shared" si="11"/>
        <v>7.5005551852159555E-2</v>
      </c>
      <c r="AI13" s="5">
        <f t="shared" si="12"/>
        <v>3.610884327223229E-4</v>
      </c>
      <c r="AJ13" s="5">
        <f t="shared" si="13"/>
        <v>4.629965859161632E-5</v>
      </c>
      <c r="AK13" s="5">
        <f t="shared" si="14"/>
        <v>7.5005551852159555E-2</v>
      </c>
      <c r="AL13" s="5">
        <f t="shared" si="15"/>
        <v>5.4275088874786463E-3</v>
      </c>
      <c r="AM13" s="5">
        <f t="shared" si="16"/>
        <v>5.4275088874786463E-3</v>
      </c>
      <c r="AN13" s="5">
        <f t="shared" si="17"/>
        <v>6.3674338951298587E-3</v>
      </c>
      <c r="AO13" s="5">
        <f t="shared" si="18"/>
        <v>5.3618595595239116E-3</v>
      </c>
      <c r="AP13" s="24">
        <f t="shared" si="19"/>
        <v>6.3674338951298587E-3</v>
      </c>
      <c r="AQ13" s="225">
        <f t="shared" si="20"/>
        <v>7.9000000000000001E-2</v>
      </c>
      <c r="AR13" s="5">
        <f t="shared" si="21"/>
        <v>8.5999999999999993E-2</v>
      </c>
      <c r="AS13" s="5">
        <f t="shared" si="22"/>
        <v>8.3000000000000004E-2</v>
      </c>
      <c r="AT13" s="196">
        <f t="shared" si="23"/>
        <v>0.53</v>
      </c>
      <c r="AU13" s="196">
        <f t="shared" si="24"/>
        <v>0.56999999999999995</v>
      </c>
      <c r="AV13" s="196">
        <f t="shared" si="25"/>
        <v>0.55000000000000004</v>
      </c>
      <c r="AW13" s="51">
        <f t="shared" si="26"/>
        <v>5</v>
      </c>
      <c r="AX13" s="51">
        <f t="shared" si="27"/>
        <v>5</v>
      </c>
      <c r="AY13" s="226">
        <f t="shared" si="28"/>
        <v>5</v>
      </c>
    </row>
    <row r="14" spans="1:51" ht="13.15" customHeight="1">
      <c r="A14" s="96">
        <v>10974</v>
      </c>
      <c r="B14" s="87" t="s">
        <v>219</v>
      </c>
      <c r="C14" s="222" t="str">
        <f>Rollover!A14</f>
        <v>Ford</v>
      </c>
      <c r="D14" s="223" t="str">
        <f>Rollover!B14</f>
        <v>Transit Wagon High Roof (8,10,12 Pass) RWD</v>
      </c>
      <c r="E14" s="197" t="s">
        <v>99</v>
      </c>
      <c r="F14" s="224">
        <f>Rollover!C14</f>
        <v>2020</v>
      </c>
      <c r="G14" s="10">
        <v>215.096</v>
      </c>
      <c r="H14" s="11">
        <v>0.32700000000000001</v>
      </c>
      <c r="I14" s="11">
        <v>2049.835</v>
      </c>
      <c r="J14" s="11">
        <v>134.85900000000001</v>
      </c>
      <c r="K14" s="11">
        <v>30.646000000000001</v>
      </c>
      <c r="L14" s="11">
        <v>43.448</v>
      </c>
      <c r="M14" s="11">
        <v>1698.146</v>
      </c>
      <c r="N14" s="12">
        <v>1682.2049999999999</v>
      </c>
      <c r="O14" s="10">
        <v>417.45100000000002</v>
      </c>
      <c r="P14" s="11">
        <v>0.76100000000000001</v>
      </c>
      <c r="Q14" s="11">
        <v>1579.903</v>
      </c>
      <c r="R14" s="11">
        <v>248.35599999999999</v>
      </c>
      <c r="S14" s="11">
        <v>23.126999999999999</v>
      </c>
      <c r="T14" s="11">
        <v>43.095999999999997</v>
      </c>
      <c r="U14" s="11">
        <v>1614.998</v>
      </c>
      <c r="V14" s="12">
        <v>1458.096</v>
      </c>
      <c r="W14" s="225">
        <f t="shared" ref="W14:W48" si="29">NORMDIST(LN(G14),7.45231,0.73998,1)</f>
        <v>2.4575726584269019E-3</v>
      </c>
      <c r="X14" s="5">
        <f t="shared" ref="X14:X48" si="30">1/(1+EXP(3.2269-1.9688*H14))</f>
        <v>7.0233870528644993E-2</v>
      </c>
      <c r="Y14" s="5">
        <f t="shared" ref="Y14:Y48" si="31">1/(1+EXP(10.9745-2.375*I14/1000))</f>
        <v>2.2241765345703763E-3</v>
      </c>
      <c r="Z14" s="5">
        <f t="shared" ref="Z14:Z48" si="32">1/(1+EXP(10.9745-2.375*J14/1000))</f>
        <v>2.3600716741407833E-5</v>
      </c>
      <c r="AA14" s="5">
        <f t="shared" ref="AA14:AA48" si="33">MAX(X14,Y14,Z14)</f>
        <v>7.0233870528644993E-2</v>
      </c>
      <c r="AB14" s="5">
        <f t="shared" ref="AB14:AB48" si="34">1/(1+EXP(12.597-0.05861*35-1.568*(K14^0.4612)))</f>
        <v>4.9982431842620509E-2</v>
      </c>
      <c r="AC14" s="5">
        <f t="shared" ref="AC14:AC48" si="35">AB14</f>
        <v>4.9982431842620509E-2</v>
      </c>
      <c r="AD14" s="5">
        <f t="shared" ref="AD14:AD48" si="36">1/(1+EXP(5.7949-0.5196*M14/1000))</f>
        <v>7.3000783883793571E-3</v>
      </c>
      <c r="AE14" s="5">
        <f t="shared" ref="AE14:AE48" si="37">1/(1+EXP(5.7949-0.5196*N14/1000))</f>
        <v>7.2402979643857376E-3</v>
      </c>
      <c r="AF14" s="24">
        <f t="shared" ref="AF14:AF48" si="38">MAX(AD14,AE14)</f>
        <v>7.3000783883793571E-3</v>
      </c>
      <c r="AG14" s="23">
        <f t="shared" ref="AG14:AG48" si="39">NORMDIST(LN(O14),7.45231,0.73998,1)</f>
        <v>2.7653219925881736E-2</v>
      </c>
      <c r="AH14" s="5">
        <f t="shared" ref="AH14:AH48" si="40">1/(1+EXP(3.2269-1.9688*P14))</f>
        <v>0.15076121162639475</v>
      </c>
      <c r="AI14" s="5">
        <f t="shared" ref="AI14:AI48" si="41">1/(1+EXP(10.958-3.77*Q14/1000))</f>
        <v>6.6811227357236134E-3</v>
      </c>
      <c r="AJ14" s="5">
        <f t="shared" ref="AJ14:AJ48" si="42">1/(1+EXP(10.958-3.77*R14/1000))</f>
        <v>4.442348422054092E-5</v>
      </c>
      <c r="AK14" s="5">
        <f t="shared" ref="AK14:AK48" si="43">MAX(AH14,AI14,AJ14)</f>
        <v>0.15076121162639475</v>
      </c>
      <c r="AL14" s="5">
        <f t="shared" ref="AL14:AL48" si="44">1/(1+EXP(12.597-0.05861*35-1.568*((S14/0.817)^0.4612)))</f>
        <v>3.8491662112784111E-2</v>
      </c>
      <c r="AM14" s="5">
        <f t="shared" ref="AM14:AM48" si="45">AL14</f>
        <v>3.8491662112784111E-2</v>
      </c>
      <c r="AN14" s="5">
        <f t="shared" ref="AN14:AN48" si="46">1/(1+EXP(5.7949-0.7619*U14/1000))</f>
        <v>1.0308412842428942E-2</v>
      </c>
      <c r="AO14" s="5">
        <f t="shared" ref="AO14:AO48" si="47">1/(1+EXP(5.7949-0.7619*V14/1000))</f>
        <v>9.1575518837195297E-3</v>
      </c>
      <c r="AP14" s="24">
        <f t="shared" ref="AP14:AP48" si="48">MAX(AN14,AO14)</f>
        <v>1.0308412842428942E-2</v>
      </c>
      <c r="AQ14" s="225">
        <f t="shared" ref="AQ14:AQ48" si="49">ROUND(1-(1-W14)*(1-AA14)*(1-AC14)*(1-AF14),3)</f>
        <v>0.125</v>
      </c>
      <c r="AR14" s="5">
        <f t="shared" ref="AR14:AR48" si="50">ROUND(1-(1-AG14)*(1-AK14)*(1-AM14)*(1-AP14),3)</f>
        <v>0.214</v>
      </c>
      <c r="AS14" s="5">
        <f t="shared" ref="AS14:AS48" si="51">ROUND(AVERAGE(AR14,AQ14),3)</f>
        <v>0.17</v>
      </c>
      <c r="AT14" s="196">
        <f t="shared" ref="AT14:AT48" si="52">ROUND(AQ14/0.15,2)</f>
        <v>0.83</v>
      </c>
      <c r="AU14" s="196">
        <f t="shared" ref="AU14:AU48" si="53">ROUND(AR14/0.15,2)</f>
        <v>1.43</v>
      </c>
      <c r="AV14" s="196">
        <f t="shared" ref="AV14:AV48" si="54">ROUND(AS14/0.15,2)</f>
        <v>1.1299999999999999</v>
      </c>
      <c r="AW14" s="51">
        <f t="shared" ref="AW14:AW48" si="55">IF(AT14&lt;0.67,5,IF(AT14&lt;1,4,IF(AT14&lt;1.33,3,IF(AT14&lt;2.67,2,1))))</f>
        <v>4</v>
      </c>
      <c r="AX14" s="51">
        <f t="shared" ref="AX14:AX48" si="56">IF(AU14&lt;0.67,5,IF(AU14&lt;1,4,IF(AU14&lt;1.33,3,IF(AU14&lt;2.67,2,1))))</f>
        <v>2</v>
      </c>
      <c r="AY14" s="226">
        <f t="shared" ref="AY14:AY48" si="57">IF(AV14&lt;0.67,5,IF(AV14&lt;1,4,IF(AV14&lt;1.33,3,IF(AV14&lt;2.67,2,1))))</f>
        <v>3</v>
      </c>
    </row>
    <row r="15" spans="1:51" ht="13.15" customHeight="1">
      <c r="A15" s="96">
        <v>10974</v>
      </c>
      <c r="B15" s="87" t="s">
        <v>219</v>
      </c>
      <c r="C15" s="222" t="str">
        <f>Rollover!A15</f>
        <v>Ford</v>
      </c>
      <c r="D15" s="223" t="str">
        <f>Rollover!B15</f>
        <v>Transit Wagon High Roof (15 Pass) RWD</v>
      </c>
      <c r="E15" s="197" t="s">
        <v>99</v>
      </c>
      <c r="F15" s="224">
        <f>Rollover!C16</f>
        <v>2020</v>
      </c>
      <c r="G15" s="10">
        <v>215.096</v>
      </c>
      <c r="H15" s="11">
        <v>0.32700000000000001</v>
      </c>
      <c r="I15" s="11">
        <v>2049.835</v>
      </c>
      <c r="J15" s="11">
        <v>134.85900000000001</v>
      </c>
      <c r="K15" s="11">
        <v>30.646000000000001</v>
      </c>
      <c r="L15" s="11">
        <v>43.448</v>
      </c>
      <c r="M15" s="11">
        <v>1698.146</v>
      </c>
      <c r="N15" s="12">
        <v>1682.2049999999999</v>
      </c>
      <c r="O15" s="10">
        <v>417.45100000000002</v>
      </c>
      <c r="P15" s="11">
        <v>0.76100000000000001</v>
      </c>
      <c r="Q15" s="11">
        <v>1579.903</v>
      </c>
      <c r="R15" s="11">
        <v>248.35599999999999</v>
      </c>
      <c r="S15" s="11">
        <v>23.126999999999999</v>
      </c>
      <c r="T15" s="11">
        <v>43.095999999999997</v>
      </c>
      <c r="U15" s="11">
        <v>1614.998</v>
      </c>
      <c r="V15" s="12">
        <v>1458.096</v>
      </c>
      <c r="W15" s="225">
        <f t="shared" si="29"/>
        <v>2.4575726584269019E-3</v>
      </c>
      <c r="X15" s="5">
        <f t="shared" si="30"/>
        <v>7.0233870528644993E-2</v>
      </c>
      <c r="Y15" s="5">
        <f t="shared" si="31"/>
        <v>2.2241765345703763E-3</v>
      </c>
      <c r="Z15" s="5">
        <f t="shared" si="32"/>
        <v>2.3600716741407833E-5</v>
      </c>
      <c r="AA15" s="5">
        <f t="shared" si="33"/>
        <v>7.0233870528644993E-2</v>
      </c>
      <c r="AB15" s="5">
        <f t="shared" si="34"/>
        <v>4.9982431842620509E-2</v>
      </c>
      <c r="AC15" s="5">
        <f t="shared" si="35"/>
        <v>4.9982431842620509E-2</v>
      </c>
      <c r="AD15" s="5">
        <f t="shared" si="36"/>
        <v>7.3000783883793571E-3</v>
      </c>
      <c r="AE15" s="5">
        <f t="shared" si="37"/>
        <v>7.2402979643857376E-3</v>
      </c>
      <c r="AF15" s="24">
        <f t="shared" si="38"/>
        <v>7.3000783883793571E-3</v>
      </c>
      <c r="AG15" s="23">
        <f t="shared" si="39"/>
        <v>2.7653219925881736E-2</v>
      </c>
      <c r="AH15" s="5">
        <f t="shared" si="40"/>
        <v>0.15076121162639475</v>
      </c>
      <c r="AI15" s="5">
        <f t="shared" si="41"/>
        <v>6.6811227357236134E-3</v>
      </c>
      <c r="AJ15" s="5">
        <f t="shared" si="42"/>
        <v>4.442348422054092E-5</v>
      </c>
      <c r="AK15" s="5">
        <f t="shared" si="43"/>
        <v>0.15076121162639475</v>
      </c>
      <c r="AL15" s="5">
        <f t="shared" si="44"/>
        <v>3.8491662112784111E-2</v>
      </c>
      <c r="AM15" s="5">
        <f t="shared" si="45"/>
        <v>3.8491662112784111E-2</v>
      </c>
      <c r="AN15" s="5">
        <f t="shared" si="46"/>
        <v>1.0308412842428942E-2</v>
      </c>
      <c r="AO15" s="5">
        <f t="shared" si="47"/>
        <v>9.1575518837195297E-3</v>
      </c>
      <c r="AP15" s="24">
        <f t="shared" si="48"/>
        <v>1.0308412842428942E-2</v>
      </c>
      <c r="AQ15" s="225">
        <f t="shared" si="49"/>
        <v>0.125</v>
      </c>
      <c r="AR15" s="5">
        <f t="shared" si="50"/>
        <v>0.214</v>
      </c>
      <c r="AS15" s="5">
        <f t="shared" si="51"/>
        <v>0.17</v>
      </c>
      <c r="AT15" s="196">
        <f t="shared" si="52"/>
        <v>0.83</v>
      </c>
      <c r="AU15" s="196">
        <f t="shared" si="53"/>
        <v>1.43</v>
      </c>
      <c r="AV15" s="196">
        <f t="shared" si="54"/>
        <v>1.1299999999999999</v>
      </c>
      <c r="AW15" s="51">
        <f t="shared" si="55"/>
        <v>4</v>
      </c>
      <c r="AX15" s="51">
        <f t="shared" si="56"/>
        <v>2</v>
      </c>
      <c r="AY15" s="226">
        <f t="shared" si="57"/>
        <v>3</v>
      </c>
    </row>
    <row r="16" spans="1:51" ht="13.15" customHeight="1">
      <c r="A16" s="96">
        <v>10974</v>
      </c>
      <c r="B16" s="87" t="s">
        <v>219</v>
      </c>
      <c r="C16" s="228" t="str">
        <f>Rollover!A16</f>
        <v>Ford</v>
      </c>
      <c r="D16" s="229" t="str">
        <f>Rollover!B16</f>
        <v>Transit Wagon Medium Roof (8,10,12 Pass) RWD</v>
      </c>
      <c r="E16" s="197" t="s">
        <v>99</v>
      </c>
      <c r="F16" s="224">
        <f>Rollover!C17</f>
        <v>2020</v>
      </c>
      <c r="G16" s="10">
        <v>215.096</v>
      </c>
      <c r="H16" s="11">
        <v>0.32700000000000001</v>
      </c>
      <c r="I16" s="11">
        <v>2049.835</v>
      </c>
      <c r="J16" s="11">
        <v>134.85900000000001</v>
      </c>
      <c r="K16" s="11">
        <v>30.646000000000001</v>
      </c>
      <c r="L16" s="11">
        <v>43.448</v>
      </c>
      <c r="M16" s="11">
        <v>1698.146</v>
      </c>
      <c r="N16" s="12">
        <v>1682.2049999999999</v>
      </c>
      <c r="O16" s="10">
        <v>417.45100000000002</v>
      </c>
      <c r="P16" s="11">
        <v>0.76100000000000001</v>
      </c>
      <c r="Q16" s="11">
        <v>1579.903</v>
      </c>
      <c r="R16" s="11">
        <v>248.35599999999999</v>
      </c>
      <c r="S16" s="11">
        <v>23.126999999999999</v>
      </c>
      <c r="T16" s="11">
        <v>43.095999999999997</v>
      </c>
      <c r="U16" s="11">
        <v>1614.998</v>
      </c>
      <c r="V16" s="12">
        <v>1458.096</v>
      </c>
      <c r="W16" s="225">
        <f t="shared" si="29"/>
        <v>2.4575726584269019E-3</v>
      </c>
      <c r="X16" s="5">
        <f t="shared" si="30"/>
        <v>7.0233870528644993E-2</v>
      </c>
      <c r="Y16" s="5">
        <f t="shared" si="31"/>
        <v>2.2241765345703763E-3</v>
      </c>
      <c r="Z16" s="5">
        <f t="shared" si="32"/>
        <v>2.3600716741407833E-5</v>
      </c>
      <c r="AA16" s="5">
        <f t="shared" si="33"/>
        <v>7.0233870528644993E-2</v>
      </c>
      <c r="AB16" s="5">
        <f t="shared" si="34"/>
        <v>4.9982431842620509E-2</v>
      </c>
      <c r="AC16" s="5">
        <f t="shared" si="35"/>
        <v>4.9982431842620509E-2</v>
      </c>
      <c r="AD16" s="5">
        <f t="shared" si="36"/>
        <v>7.3000783883793571E-3</v>
      </c>
      <c r="AE16" s="5">
        <f t="shared" si="37"/>
        <v>7.2402979643857376E-3</v>
      </c>
      <c r="AF16" s="24">
        <f t="shared" si="38"/>
        <v>7.3000783883793571E-3</v>
      </c>
      <c r="AG16" s="23">
        <f t="shared" si="39"/>
        <v>2.7653219925881736E-2</v>
      </c>
      <c r="AH16" s="5">
        <f t="shared" si="40"/>
        <v>0.15076121162639475</v>
      </c>
      <c r="AI16" s="5">
        <f t="shared" si="41"/>
        <v>6.6811227357236134E-3</v>
      </c>
      <c r="AJ16" s="5">
        <f t="shared" si="42"/>
        <v>4.442348422054092E-5</v>
      </c>
      <c r="AK16" s="5">
        <f t="shared" si="43"/>
        <v>0.15076121162639475</v>
      </c>
      <c r="AL16" s="5">
        <f t="shared" si="44"/>
        <v>3.8491662112784111E-2</v>
      </c>
      <c r="AM16" s="5">
        <f t="shared" si="45"/>
        <v>3.8491662112784111E-2</v>
      </c>
      <c r="AN16" s="5">
        <f t="shared" si="46"/>
        <v>1.0308412842428942E-2</v>
      </c>
      <c r="AO16" s="5">
        <f t="shared" si="47"/>
        <v>9.1575518837195297E-3</v>
      </c>
      <c r="AP16" s="24">
        <f t="shared" si="48"/>
        <v>1.0308412842428942E-2</v>
      </c>
      <c r="AQ16" s="225">
        <f t="shared" si="49"/>
        <v>0.125</v>
      </c>
      <c r="AR16" s="5">
        <f t="shared" si="50"/>
        <v>0.214</v>
      </c>
      <c r="AS16" s="5">
        <f t="shared" si="51"/>
        <v>0.17</v>
      </c>
      <c r="AT16" s="196">
        <f t="shared" si="52"/>
        <v>0.83</v>
      </c>
      <c r="AU16" s="196">
        <f t="shared" si="53"/>
        <v>1.43</v>
      </c>
      <c r="AV16" s="196">
        <f t="shared" si="54"/>
        <v>1.1299999999999999</v>
      </c>
      <c r="AW16" s="51">
        <f t="shared" si="55"/>
        <v>4</v>
      </c>
      <c r="AX16" s="51">
        <f t="shared" si="56"/>
        <v>2</v>
      </c>
      <c r="AY16" s="226">
        <f t="shared" si="57"/>
        <v>3</v>
      </c>
    </row>
    <row r="17" spans="1:51" ht="13.15" customHeight="1">
      <c r="A17" s="96">
        <v>10974</v>
      </c>
      <c r="B17" s="87" t="s">
        <v>219</v>
      </c>
      <c r="C17" s="228" t="str">
        <f>Rollover!A17</f>
        <v>Ford</v>
      </c>
      <c r="D17" s="229" t="str">
        <f>Rollover!B17</f>
        <v>Transit Wagon Medium Roof (15 Pass) RWD</v>
      </c>
      <c r="E17" s="197" t="s">
        <v>99</v>
      </c>
      <c r="F17" s="224">
        <f>Rollover!C17</f>
        <v>2020</v>
      </c>
      <c r="G17" s="10">
        <v>215.096</v>
      </c>
      <c r="H17" s="11">
        <v>0.32700000000000001</v>
      </c>
      <c r="I17" s="11">
        <v>2049.835</v>
      </c>
      <c r="J17" s="11">
        <v>134.85900000000001</v>
      </c>
      <c r="K17" s="11">
        <v>30.646000000000001</v>
      </c>
      <c r="L17" s="11">
        <v>43.448</v>
      </c>
      <c r="M17" s="11">
        <v>1698.146</v>
      </c>
      <c r="N17" s="12">
        <v>1682.2049999999999</v>
      </c>
      <c r="O17" s="10">
        <v>417.45100000000002</v>
      </c>
      <c r="P17" s="11">
        <v>0.76100000000000001</v>
      </c>
      <c r="Q17" s="11">
        <v>1579.903</v>
      </c>
      <c r="R17" s="11">
        <v>248.35599999999999</v>
      </c>
      <c r="S17" s="11">
        <v>23.126999999999999</v>
      </c>
      <c r="T17" s="11">
        <v>43.095999999999997</v>
      </c>
      <c r="U17" s="11">
        <v>1614.998</v>
      </c>
      <c r="V17" s="12">
        <v>1458.096</v>
      </c>
      <c r="W17" s="225">
        <f t="shared" si="29"/>
        <v>2.4575726584269019E-3</v>
      </c>
      <c r="X17" s="5">
        <f t="shared" si="30"/>
        <v>7.0233870528644993E-2</v>
      </c>
      <c r="Y17" s="5">
        <f t="shared" si="31"/>
        <v>2.2241765345703763E-3</v>
      </c>
      <c r="Z17" s="5">
        <f t="shared" si="32"/>
        <v>2.3600716741407833E-5</v>
      </c>
      <c r="AA17" s="5">
        <f t="shared" si="33"/>
        <v>7.0233870528644993E-2</v>
      </c>
      <c r="AB17" s="5">
        <f t="shared" si="34"/>
        <v>4.9982431842620509E-2</v>
      </c>
      <c r="AC17" s="5">
        <f t="shared" si="35"/>
        <v>4.9982431842620509E-2</v>
      </c>
      <c r="AD17" s="5">
        <f t="shared" si="36"/>
        <v>7.3000783883793571E-3</v>
      </c>
      <c r="AE17" s="5">
        <f t="shared" si="37"/>
        <v>7.2402979643857376E-3</v>
      </c>
      <c r="AF17" s="24">
        <f t="shared" si="38"/>
        <v>7.3000783883793571E-3</v>
      </c>
      <c r="AG17" s="23">
        <f t="shared" si="39"/>
        <v>2.7653219925881736E-2</v>
      </c>
      <c r="AH17" s="5">
        <f t="shared" si="40"/>
        <v>0.15076121162639475</v>
      </c>
      <c r="AI17" s="5">
        <f t="shared" si="41"/>
        <v>6.6811227357236134E-3</v>
      </c>
      <c r="AJ17" s="5">
        <f t="shared" si="42"/>
        <v>4.442348422054092E-5</v>
      </c>
      <c r="AK17" s="5">
        <f t="shared" si="43"/>
        <v>0.15076121162639475</v>
      </c>
      <c r="AL17" s="5">
        <f t="shared" si="44"/>
        <v>3.8491662112784111E-2</v>
      </c>
      <c r="AM17" s="5">
        <f t="shared" si="45"/>
        <v>3.8491662112784111E-2</v>
      </c>
      <c r="AN17" s="5">
        <f t="shared" si="46"/>
        <v>1.0308412842428942E-2</v>
      </c>
      <c r="AO17" s="5">
        <f t="shared" si="47"/>
        <v>9.1575518837195297E-3</v>
      </c>
      <c r="AP17" s="24">
        <f t="shared" si="48"/>
        <v>1.0308412842428942E-2</v>
      </c>
      <c r="AQ17" s="225">
        <f t="shared" si="49"/>
        <v>0.125</v>
      </c>
      <c r="AR17" s="5">
        <f t="shared" si="50"/>
        <v>0.214</v>
      </c>
      <c r="AS17" s="5">
        <f t="shared" si="51"/>
        <v>0.17</v>
      </c>
      <c r="AT17" s="196">
        <f t="shared" si="52"/>
        <v>0.83</v>
      </c>
      <c r="AU17" s="196">
        <f t="shared" si="53"/>
        <v>1.43</v>
      </c>
      <c r="AV17" s="196">
        <f t="shared" si="54"/>
        <v>1.1299999999999999</v>
      </c>
      <c r="AW17" s="51">
        <f t="shared" si="55"/>
        <v>4</v>
      </c>
      <c r="AX17" s="51">
        <f t="shared" si="56"/>
        <v>2</v>
      </c>
      <c r="AY17" s="226">
        <f t="shared" si="57"/>
        <v>3</v>
      </c>
    </row>
    <row r="18" spans="1:51" ht="13.15" customHeight="1">
      <c r="A18" s="96">
        <v>10974</v>
      </c>
      <c r="B18" s="87" t="s">
        <v>219</v>
      </c>
      <c r="C18" s="222" t="str">
        <f>Rollover!A18</f>
        <v>Ford</v>
      </c>
      <c r="D18" s="223" t="str">
        <f>Rollover!B18</f>
        <v>Transit Wagon Low Roof (8,10,12 Pass) RWD</v>
      </c>
      <c r="E18" s="197" t="s">
        <v>99</v>
      </c>
      <c r="F18" s="224">
        <f>Rollover!C18</f>
        <v>2020</v>
      </c>
      <c r="G18" s="10">
        <v>215.096</v>
      </c>
      <c r="H18" s="11">
        <v>0.32700000000000001</v>
      </c>
      <c r="I18" s="11">
        <v>2049.835</v>
      </c>
      <c r="J18" s="11">
        <v>134.85900000000001</v>
      </c>
      <c r="K18" s="11">
        <v>30.646000000000001</v>
      </c>
      <c r="L18" s="11">
        <v>43.448</v>
      </c>
      <c r="M18" s="11">
        <v>1698.146</v>
      </c>
      <c r="N18" s="12">
        <v>1682.2049999999999</v>
      </c>
      <c r="O18" s="10">
        <v>417.45100000000002</v>
      </c>
      <c r="P18" s="11">
        <v>0.76100000000000001</v>
      </c>
      <c r="Q18" s="11">
        <v>1579.903</v>
      </c>
      <c r="R18" s="11">
        <v>248.35599999999999</v>
      </c>
      <c r="S18" s="11">
        <v>23.126999999999999</v>
      </c>
      <c r="T18" s="11">
        <v>43.095999999999997</v>
      </c>
      <c r="U18" s="11">
        <v>1614.998</v>
      </c>
      <c r="V18" s="12">
        <v>1458.096</v>
      </c>
      <c r="W18" s="225">
        <f t="shared" si="29"/>
        <v>2.4575726584269019E-3</v>
      </c>
      <c r="X18" s="5">
        <f t="shared" si="30"/>
        <v>7.0233870528644993E-2</v>
      </c>
      <c r="Y18" s="5">
        <f t="shared" si="31"/>
        <v>2.2241765345703763E-3</v>
      </c>
      <c r="Z18" s="5">
        <f t="shared" si="32"/>
        <v>2.3600716741407833E-5</v>
      </c>
      <c r="AA18" s="5">
        <f t="shared" si="33"/>
        <v>7.0233870528644993E-2</v>
      </c>
      <c r="AB18" s="5">
        <f t="shared" si="34"/>
        <v>4.9982431842620509E-2</v>
      </c>
      <c r="AC18" s="5">
        <f t="shared" si="35"/>
        <v>4.9982431842620509E-2</v>
      </c>
      <c r="AD18" s="5">
        <f t="shared" si="36"/>
        <v>7.3000783883793571E-3</v>
      </c>
      <c r="AE18" s="5">
        <f t="shared" si="37"/>
        <v>7.2402979643857376E-3</v>
      </c>
      <c r="AF18" s="24">
        <f t="shared" si="38"/>
        <v>7.3000783883793571E-3</v>
      </c>
      <c r="AG18" s="23">
        <f t="shared" si="39"/>
        <v>2.7653219925881736E-2</v>
      </c>
      <c r="AH18" s="5">
        <f t="shared" si="40"/>
        <v>0.15076121162639475</v>
      </c>
      <c r="AI18" s="5">
        <f t="shared" si="41"/>
        <v>6.6811227357236134E-3</v>
      </c>
      <c r="AJ18" s="5">
        <f t="shared" si="42"/>
        <v>4.442348422054092E-5</v>
      </c>
      <c r="AK18" s="5">
        <f t="shared" si="43"/>
        <v>0.15076121162639475</v>
      </c>
      <c r="AL18" s="5">
        <f t="shared" si="44"/>
        <v>3.8491662112784111E-2</v>
      </c>
      <c r="AM18" s="5">
        <f t="shared" si="45"/>
        <v>3.8491662112784111E-2</v>
      </c>
      <c r="AN18" s="5">
        <f t="shared" si="46"/>
        <v>1.0308412842428942E-2</v>
      </c>
      <c r="AO18" s="5">
        <f t="shared" si="47"/>
        <v>9.1575518837195297E-3</v>
      </c>
      <c r="AP18" s="24">
        <f t="shared" si="48"/>
        <v>1.0308412842428942E-2</v>
      </c>
      <c r="AQ18" s="225">
        <f t="shared" si="49"/>
        <v>0.125</v>
      </c>
      <c r="AR18" s="5">
        <f t="shared" si="50"/>
        <v>0.214</v>
      </c>
      <c r="AS18" s="5">
        <f t="shared" si="51"/>
        <v>0.17</v>
      </c>
      <c r="AT18" s="196">
        <f t="shared" si="52"/>
        <v>0.83</v>
      </c>
      <c r="AU18" s="196">
        <f t="shared" si="53"/>
        <v>1.43</v>
      </c>
      <c r="AV18" s="196">
        <f t="shared" si="54"/>
        <v>1.1299999999999999</v>
      </c>
      <c r="AW18" s="51">
        <f t="shared" si="55"/>
        <v>4</v>
      </c>
      <c r="AX18" s="51">
        <f t="shared" si="56"/>
        <v>2</v>
      </c>
      <c r="AY18" s="226">
        <f t="shared" si="57"/>
        <v>3</v>
      </c>
    </row>
    <row r="19" spans="1:51" ht="13.15" customHeight="1">
      <c r="A19" s="96">
        <v>10974</v>
      </c>
      <c r="B19" s="87" t="s">
        <v>219</v>
      </c>
      <c r="C19" s="222" t="str">
        <f>Rollover!A19</f>
        <v>Ford</v>
      </c>
      <c r="D19" s="223" t="str">
        <f>Rollover!B19</f>
        <v>Transit Wagon Low Roof (15 Pass) RWD</v>
      </c>
      <c r="E19" s="197" t="s">
        <v>99</v>
      </c>
      <c r="F19" s="224">
        <f>Rollover!C19</f>
        <v>2020</v>
      </c>
      <c r="G19" s="10">
        <v>215.096</v>
      </c>
      <c r="H19" s="11">
        <v>0.32700000000000001</v>
      </c>
      <c r="I19" s="11">
        <v>2049.835</v>
      </c>
      <c r="J19" s="11">
        <v>134.85900000000001</v>
      </c>
      <c r="K19" s="11">
        <v>30.646000000000001</v>
      </c>
      <c r="L19" s="11">
        <v>43.448</v>
      </c>
      <c r="M19" s="11">
        <v>1698.146</v>
      </c>
      <c r="N19" s="12">
        <v>1682.2049999999999</v>
      </c>
      <c r="O19" s="10">
        <v>417.45100000000002</v>
      </c>
      <c r="P19" s="11">
        <v>0.76100000000000001</v>
      </c>
      <c r="Q19" s="11">
        <v>1579.903</v>
      </c>
      <c r="R19" s="11">
        <v>248.35599999999999</v>
      </c>
      <c r="S19" s="11">
        <v>23.126999999999999</v>
      </c>
      <c r="T19" s="11">
        <v>43.095999999999997</v>
      </c>
      <c r="U19" s="11">
        <v>1614.998</v>
      </c>
      <c r="V19" s="12">
        <v>1458.096</v>
      </c>
      <c r="W19" s="225">
        <f t="shared" ref="W19:W32" si="58">NORMDIST(LN(G19),7.45231,0.73998,1)</f>
        <v>2.4575726584269019E-3</v>
      </c>
      <c r="X19" s="5">
        <f t="shared" ref="X19:X32" si="59">1/(1+EXP(3.2269-1.9688*H19))</f>
        <v>7.0233870528644993E-2</v>
      </c>
      <c r="Y19" s="5">
        <f t="shared" ref="Y19:Y32" si="60">1/(1+EXP(10.9745-2.375*I19/1000))</f>
        <v>2.2241765345703763E-3</v>
      </c>
      <c r="Z19" s="5">
        <f t="shared" ref="Z19:Z32" si="61">1/(1+EXP(10.9745-2.375*J19/1000))</f>
        <v>2.3600716741407833E-5</v>
      </c>
      <c r="AA19" s="5">
        <f t="shared" ref="AA19:AA32" si="62">MAX(X19,Y19,Z19)</f>
        <v>7.0233870528644993E-2</v>
      </c>
      <c r="AB19" s="5">
        <f t="shared" ref="AB19:AB32" si="63">1/(1+EXP(12.597-0.05861*35-1.568*(K19^0.4612)))</f>
        <v>4.9982431842620509E-2</v>
      </c>
      <c r="AC19" s="5">
        <f t="shared" ref="AC19:AC32" si="64">AB19</f>
        <v>4.9982431842620509E-2</v>
      </c>
      <c r="AD19" s="5">
        <f t="shared" ref="AD19:AD32" si="65">1/(1+EXP(5.7949-0.5196*M19/1000))</f>
        <v>7.3000783883793571E-3</v>
      </c>
      <c r="AE19" s="5">
        <f t="shared" ref="AE19:AE32" si="66">1/(1+EXP(5.7949-0.5196*N19/1000))</f>
        <v>7.2402979643857376E-3</v>
      </c>
      <c r="AF19" s="24">
        <f t="shared" ref="AF19:AF32" si="67">MAX(AD19,AE19)</f>
        <v>7.3000783883793571E-3</v>
      </c>
      <c r="AG19" s="23">
        <f t="shared" ref="AG19:AG32" si="68">NORMDIST(LN(O19),7.45231,0.73998,1)</f>
        <v>2.7653219925881736E-2</v>
      </c>
      <c r="AH19" s="5">
        <f t="shared" ref="AH19:AH32" si="69">1/(1+EXP(3.2269-1.9688*P19))</f>
        <v>0.15076121162639475</v>
      </c>
      <c r="AI19" s="5">
        <f t="shared" ref="AI19:AI32" si="70">1/(1+EXP(10.958-3.77*Q19/1000))</f>
        <v>6.6811227357236134E-3</v>
      </c>
      <c r="AJ19" s="5">
        <f t="shared" ref="AJ19:AJ32" si="71">1/(1+EXP(10.958-3.77*R19/1000))</f>
        <v>4.442348422054092E-5</v>
      </c>
      <c r="AK19" s="5">
        <f t="shared" ref="AK19:AK32" si="72">MAX(AH19,AI19,AJ19)</f>
        <v>0.15076121162639475</v>
      </c>
      <c r="AL19" s="5">
        <f t="shared" ref="AL19:AL32" si="73">1/(1+EXP(12.597-0.05861*35-1.568*((S19/0.817)^0.4612)))</f>
        <v>3.8491662112784111E-2</v>
      </c>
      <c r="AM19" s="5">
        <f t="shared" ref="AM19:AM32" si="74">AL19</f>
        <v>3.8491662112784111E-2</v>
      </c>
      <c r="AN19" s="5">
        <f t="shared" ref="AN19:AN32" si="75">1/(1+EXP(5.7949-0.7619*U19/1000))</f>
        <v>1.0308412842428942E-2</v>
      </c>
      <c r="AO19" s="5">
        <f t="shared" ref="AO19:AO32" si="76">1/(1+EXP(5.7949-0.7619*V19/1000))</f>
        <v>9.1575518837195297E-3</v>
      </c>
      <c r="AP19" s="24">
        <f t="shared" ref="AP19:AP32" si="77">MAX(AN19,AO19)</f>
        <v>1.0308412842428942E-2</v>
      </c>
      <c r="AQ19" s="225">
        <f t="shared" ref="AQ19:AQ32" si="78">ROUND(1-(1-W19)*(1-AA19)*(1-AC19)*(1-AF19),3)</f>
        <v>0.125</v>
      </c>
      <c r="AR19" s="5">
        <f t="shared" ref="AR19:AR32" si="79">ROUND(1-(1-AG19)*(1-AK19)*(1-AM19)*(1-AP19),3)</f>
        <v>0.214</v>
      </c>
      <c r="AS19" s="5">
        <f t="shared" ref="AS19:AS32" si="80">ROUND(AVERAGE(AR19,AQ19),3)</f>
        <v>0.17</v>
      </c>
      <c r="AT19" s="196">
        <f t="shared" ref="AT19:AT32" si="81">ROUND(AQ19/0.15,2)</f>
        <v>0.83</v>
      </c>
      <c r="AU19" s="196">
        <f t="shared" ref="AU19:AU32" si="82">ROUND(AR19/0.15,2)</f>
        <v>1.43</v>
      </c>
      <c r="AV19" s="196">
        <f t="shared" ref="AV19:AV32" si="83">ROUND(AS19/0.15,2)</f>
        <v>1.1299999999999999</v>
      </c>
      <c r="AW19" s="51">
        <f t="shared" ref="AW19:AW32" si="84">IF(AT19&lt;0.67,5,IF(AT19&lt;1,4,IF(AT19&lt;1.33,3,IF(AT19&lt;2.67,2,1))))</f>
        <v>4</v>
      </c>
      <c r="AX19" s="51">
        <f t="shared" ref="AX19:AX32" si="85">IF(AU19&lt;0.67,5,IF(AU19&lt;1,4,IF(AU19&lt;1.33,3,IF(AU19&lt;2.67,2,1))))</f>
        <v>2</v>
      </c>
      <c r="AY19" s="226">
        <f t="shared" ref="AY19:AY32" si="86">IF(AV19&lt;0.67,5,IF(AV19&lt;1,4,IF(AV19&lt;1.33,3,IF(AV19&lt;2.67,2,1))))</f>
        <v>3</v>
      </c>
    </row>
    <row r="20" spans="1:51" ht="13.15" customHeight="1">
      <c r="A20" s="96">
        <v>10974</v>
      </c>
      <c r="B20" s="87" t="s">
        <v>219</v>
      </c>
      <c r="C20" s="222" t="str">
        <f>Rollover!A20</f>
        <v>Ford</v>
      </c>
      <c r="D20" s="223" t="str">
        <f>Rollover!B20</f>
        <v>Transit Van RWD</v>
      </c>
      <c r="E20" s="197" t="s">
        <v>99</v>
      </c>
      <c r="F20" s="224">
        <f>Rollover!C20</f>
        <v>2020</v>
      </c>
      <c r="G20" s="18">
        <v>215.096</v>
      </c>
      <c r="H20" s="19">
        <v>0.32700000000000001</v>
      </c>
      <c r="I20" s="19">
        <v>2049.835</v>
      </c>
      <c r="J20" s="19">
        <v>134.85900000000001</v>
      </c>
      <c r="K20" s="19">
        <v>30.646000000000001</v>
      </c>
      <c r="L20" s="19">
        <v>43.448</v>
      </c>
      <c r="M20" s="19">
        <v>1698.146</v>
      </c>
      <c r="N20" s="20">
        <v>1682.2049999999999</v>
      </c>
      <c r="O20" s="18">
        <v>417.45100000000002</v>
      </c>
      <c r="P20" s="19">
        <v>0.76100000000000001</v>
      </c>
      <c r="Q20" s="19">
        <v>1579.903</v>
      </c>
      <c r="R20" s="19">
        <v>248.35599999999999</v>
      </c>
      <c r="S20" s="19">
        <v>23.126999999999999</v>
      </c>
      <c r="T20" s="19">
        <v>43.095999999999997</v>
      </c>
      <c r="U20" s="19">
        <v>1614.998</v>
      </c>
      <c r="V20" s="20">
        <v>1458.096</v>
      </c>
      <c r="W20" s="225">
        <f t="shared" si="58"/>
        <v>2.4575726584269019E-3</v>
      </c>
      <c r="X20" s="5">
        <f t="shared" si="59"/>
        <v>7.0233870528644993E-2</v>
      </c>
      <c r="Y20" s="5">
        <f t="shared" si="60"/>
        <v>2.2241765345703763E-3</v>
      </c>
      <c r="Z20" s="5">
        <f t="shared" si="61"/>
        <v>2.3600716741407833E-5</v>
      </c>
      <c r="AA20" s="5">
        <f t="shared" si="62"/>
        <v>7.0233870528644993E-2</v>
      </c>
      <c r="AB20" s="5">
        <f t="shared" si="63"/>
        <v>4.9982431842620509E-2</v>
      </c>
      <c r="AC20" s="5">
        <f t="shared" si="64"/>
        <v>4.9982431842620509E-2</v>
      </c>
      <c r="AD20" s="5">
        <f t="shared" si="65"/>
        <v>7.3000783883793571E-3</v>
      </c>
      <c r="AE20" s="5">
        <f t="shared" si="66"/>
        <v>7.2402979643857376E-3</v>
      </c>
      <c r="AF20" s="24">
        <f t="shared" si="67"/>
        <v>7.3000783883793571E-3</v>
      </c>
      <c r="AG20" s="23">
        <f t="shared" si="68"/>
        <v>2.7653219925881736E-2</v>
      </c>
      <c r="AH20" s="5">
        <f t="shared" si="69"/>
        <v>0.15076121162639475</v>
      </c>
      <c r="AI20" s="5">
        <f t="shared" si="70"/>
        <v>6.6811227357236134E-3</v>
      </c>
      <c r="AJ20" s="5">
        <f t="shared" si="71"/>
        <v>4.442348422054092E-5</v>
      </c>
      <c r="AK20" s="5">
        <f t="shared" si="72"/>
        <v>0.15076121162639475</v>
      </c>
      <c r="AL20" s="5">
        <f t="shared" si="73"/>
        <v>3.8491662112784111E-2</v>
      </c>
      <c r="AM20" s="5">
        <f t="shared" si="74"/>
        <v>3.8491662112784111E-2</v>
      </c>
      <c r="AN20" s="5">
        <f t="shared" si="75"/>
        <v>1.0308412842428942E-2</v>
      </c>
      <c r="AO20" s="5">
        <f t="shared" si="76"/>
        <v>9.1575518837195297E-3</v>
      </c>
      <c r="AP20" s="24">
        <f t="shared" si="77"/>
        <v>1.0308412842428942E-2</v>
      </c>
      <c r="AQ20" s="225">
        <f t="shared" si="78"/>
        <v>0.125</v>
      </c>
      <c r="AR20" s="5">
        <f t="shared" si="79"/>
        <v>0.214</v>
      </c>
      <c r="AS20" s="5">
        <f t="shared" si="80"/>
        <v>0.17</v>
      </c>
      <c r="AT20" s="196">
        <f t="shared" si="81"/>
        <v>0.83</v>
      </c>
      <c r="AU20" s="196">
        <f t="shared" si="82"/>
        <v>1.43</v>
      </c>
      <c r="AV20" s="196">
        <f t="shared" si="83"/>
        <v>1.1299999999999999</v>
      </c>
      <c r="AW20" s="51">
        <f t="shared" si="84"/>
        <v>4</v>
      </c>
      <c r="AX20" s="51">
        <f t="shared" si="85"/>
        <v>2</v>
      </c>
      <c r="AY20" s="226">
        <f t="shared" si="86"/>
        <v>3</v>
      </c>
    </row>
    <row r="21" spans="1:51" ht="13.15" customHeight="1">
      <c r="A21" s="96">
        <v>10988</v>
      </c>
      <c r="B21" s="97" t="s">
        <v>233</v>
      </c>
      <c r="C21" s="222" t="str">
        <f>Rollover!A21</f>
        <v xml:space="preserve">GMC </v>
      </c>
      <c r="D21" s="223" t="str">
        <f>Rollover!B21</f>
        <v>Acadia SUV AWD</v>
      </c>
      <c r="E21" s="197" t="s">
        <v>85</v>
      </c>
      <c r="F21" s="224">
        <f>Rollover!C21</f>
        <v>2020</v>
      </c>
      <c r="G21" s="10">
        <v>285.108</v>
      </c>
      <c r="H21" s="11">
        <v>0.20499999999999999</v>
      </c>
      <c r="I21" s="11">
        <v>849.76800000000003</v>
      </c>
      <c r="J21" s="11">
        <v>124.224</v>
      </c>
      <c r="K21" s="11">
        <v>17.919</v>
      </c>
      <c r="L21" s="11">
        <v>44.893999999999998</v>
      </c>
      <c r="M21" s="11">
        <v>574.05399999999997</v>
      </c>
      <c r="N21" s="12">
        <v>1705.4159999999999</v>
      </c>
      <c r="O21" s="10">
        <v>318.61599999999999</v>
      </c>
      <c r="P21" s="11">
        <v>0.433</v>
      </c>
      <c r="Q21" s="11">
        <v>902.27700000000004</v>
      </c>
      <c r="R21" s="11">
        <v>442.01299999999998</v>
      </c>
      <c r="S21" s="11">
        <v>15.54</v>
      </c>
      <c r="T21" s="11">
        <v>42.862000000000002</v>
      </c>
      <c r="U21" s="11">
        <v>932.65200000000004</v>
      </c>
      <c r="V21" s="12">
        <v>268.68599999999998</v>
      </c>
      <c r="W21" s="225">
        <f t="shared" si="58"/>
        <v>7.5131612465536525E-3</v>
      </c>
      <c r="X21" s="5">
        <f t="shared" si="59"/>
        <v>5.6078209449898733E-2</v>
      </c>
      <c r="Y21" s="5">
        <f t="shared" si="60"/>
        <v>1.2890563744523683E-4</v>
      </c>
      <c r="Z21" s="5">
        <f t="shared" si="61"/>
        <v>2.3012085756970968E-5</v>
      </c>
      <c r="AA21" s="5">
        <f t="shared" si="62"/>
        <v>5.6078209449898733E-2</v>
      </c>
      <c r="AB21" s="5">
        <f t="shared" si="63"/>
        <v>9.8412413205755944E-3</v>
      </c>
      <c r="AC21" s="5">
        <f t="shared" si="64"/>
        <v>9.8412413205755944E-3</v>
      </c>
      <c r="AD21" s="5">
        <f t="shared" si="65"/>
        <v>4.0838555100587183E-3</v>
      </c>
      <c r="AE21" s="5">
        <f t="shared" si="66"/>
        <v>7.3275040804821603E-3</v>
      </c>
      <c r="AF21" s="24">
        <f t="shared" si="67"/>
        <v>7.3275040804821603E-3</v>
      </c>
      <c r="AG21" s="23">
        <f t="shared" si="68"/>
        <v>1.1257081666826598E-2</v>
      </c>
      <c r="AH21" s="5">
        <f t="shared" si="69"/>
        <v>8.5145023157809765E-2</v>
      </c>
      <c r="AI21" s="5">
        <f t="shared" si="70"/>
        <v>5.2247244154134879E-4</v>
      </c>
      <c r="AJ21" s="5">
        <f t="shared" si="71"/>
        <v>9.2185917270688929E-5</v>
      </c>
      <c r="AK21" s="5">
        <f t="shared" si="72"/>
        <v>8.5145023157809765E-2</v>
      </c>
      <c r="AL21" s="5">
        <f t="shared" si="73"/>
        <v>1.1592949539715226E-2</v>
      </c>
      <c r="AM21" s="5">
        <f t="shared" si="74"/>
        <v>1.1592949539715226E-2</v>
      </c>
      <c r="AN21" s="5">
        <f t="shared" si="75"/>
        <v>6.1550248235954291E-3</v>
      </c>
      <c r="AO21" s="5">
        <f t="shared" si="76"/>
        <v>3.7204319324900502E-3</v>
      </c>
      <c r="AP21" s="24">
        <f t="shared" si="77"/>
        <v>6.1550248235954291E-3</v>
      </c>
      <c r="AQ21" s="225">
        <f t="shared" si="78"/>
        <v>7.9000000000000001E-2</v>
      </c>
      <c r="AR21" s="5">
        <f t="shared" si="79"/>
        <v>0.111</v>
      </c>
      <c r="AS21" s="5">
        <f t="shared" si="80"/>
        <v>9.5000000000000001E-2</v>
      </c>
      <c r="AT21" s="196">
        <f t="shared" si="81"/>
        <v>0.53</v>
      </c>
      <c r="AU21" s="196">
        <f t="shared" si="82"/>
        <v>0.74</v>
      </c>
      <c r="AV21" s="196">
        <f t="shared" si="83"/>
        <v>0.63</v>
      </c>
      <c r="AW21" s="51">
        <f t="shared" si="84"/>
        <v>5</v>
      </c>
      <c r="AX21" s="51">
        <f t="shared" si="85"/>
        <v>4</v>
      </c>
      <c r="AY21" s="226">
        <f t="shared" si="86"/>
        <v>5</v>
      </c>
    </row>
    <row r="22" spans="1:51" ht="13.15" customHeight="1">
      <c r="A22" s="96">
        <v>10988</v>
      </c>
      <c r="B22" s="97" t="s">
        <v>233</v>
      </c>
      <c r="C22" s="228" t="str">
        <f>Rollover!A22</f>
        <v xml:space="preserve">GMC </v>
      </c>
      <c r="D22" s="229" t="str">
        <f>Rollover!B22</f>
        <v>Acadia SUV FWD</v>
      </c>
      <c r="E22" s="197" t="s">
        <v>85</v>
      </c>
      <c r="F22" s="224">
        <f>Rollover!C22</f>
        <v>2020</v>
      </c>
      <c r="G22" s="10">
        <v>285.108</v>
      </c>
      <c r="H22" s="11">
        <v>0.20499999999999999</v>
      </c>
      <c r="I22" s="11">
        <v>849.76800000000003</v>
      </c>
      <c r="J22" s="11">
        <v>124.224</v>
      </c>
      <c r="K22" s="11">
        <v>17.919</v>
      </c>
      <c r="L22" s="11">
        <v>44.893999999999998</v>
      </c>
      <c r="M22" s="11">
        <v>574.05399999999997</v>
      </c>
      <c r="N22" s="12">
        <v>1705.4159999999999</v>
      </c>
      <c r="O22" s="10">
        <v>318.61599999999999</v>
      </c>
      <c r="P22" s="11">
        <v>0.433</v>
      </c>
      <c r="Q22" s="11">
        <v>902.27700000000004</v>
      </c>
      <c r="R22" s="11">
        <v>442.01299999999998</v>
      </c>
      <c r="S22" s="11">
        <v>15.54</v>
      </c>
      <c r="T22" s="11">
        <v>42.862000000000002</v>
      </c>
      <c r="U22" s="11">
        <v>932.65200000000004</v>
      </c>
      <c r="V22" s="12">
        <v>268.68599999999998</v>
      </c>
      <c r="W22" s="225">
        <f t="shared" si="58"/>
        <v>7.5131612465536525E-3</v>
      </c>
      <c r="X22" s="5">
        <f t="shared" si="59"/>
        <v>5.6078209449898733E-2</v>
      </c>
      <c r="Y22" s="5">
        <f t="shared" si="60"/>
        <v>1.2890563744523683E-4</v>
      </c>
      <c r="Z22" s="5">
        <f t="shared" si="61"/>
        <v>2.3012085756970968E-5</v>
      </c>
      <c r="AA22" s="5">
        <f t="shared" si="62"/>
        <v>5.6078209449898733E-2</v>
      </c>
      <c r="AB22" s="5">
        <f t="shared" si="63"/>
        <v>9.8412413205755944E-3</v>
      </c>
      <c r="AC22" s="5">
        <f t="shared" si="64"/>
        <v>9.8412413205755944E-3</v>
      </c>
      <c r="AD22" s="5">
        <f t="shared" si="65"/>
        <v>4.0838555100587183E-3</v>
      </c>
      <c r="AE22" s="5">
        <f t="shared" si="66"/>
        <v>7.3275040804821603E-3</v>
      </c>
      <c r="AF22" s="24">
        <f t="shared" si="67"/>
        <v>7.3275040804821603E-3</v>
      </c>
      <c r="AG22" s="23">
        <f t="shared" si="68"/>
        <v>1.1257081666826598E-2</v>
      </c>
      <c r="AH22" s="5">
        <f t="shared" si="69"/>
        <v>8.5145023157809765E-2</v>
      </c>
      <c r="AI22" s="5">
        <f t="shared" si="70"/>
        <v>5.2247244154134879E-4</v>
      </c>
      <c r="AJ22" s="5">
        <f t="shared" si="71"/>
        <v>9.2185917270688929E-5</v>
      </c>
      <c r="AK22" s="5">
        <f t="shared" si="72"/>
        <v>8.5145023157809765E-2</v>
      </c>
      <c r="AL22" s="5">
        <f t="shared" si="73"/>
        <v>1.1592949539715226E-2</v>
      </c>
      <c r="AM22" s="5">
        <f t="shared" si="74"/>
        <v>1.1592949539715226E-2</v>
      </c>
      <c r="AN22" s="5">
        <f t="shared" si="75"/>
        <v>6.1550248235954291E-3</v>
      </c>
      <c r="AO22" s="5">
        <f t="shared" si="76"/>
        <v>3.7204319324900502E-3</v>
      </c>
      <c r="AP22" s="24">
        <f t="shared" si="77"/>
        <v>6.1550248235954291E-3</v>
      </c>
      <c r="AQ22" s="225">
        <f t="shared" si="78"/>
        <v>7.9000000000000001E-2</v>
      </c>
      <c r="AR22" s="5">
        <f t="shared" si="79"/>
        <v>0.111</v>
      </c>
      <c r="AS22" s="5">
        <f t="shared" si="80"/>
        <v>9.5000000000000001E-2</v>
      </c>
      <c r="AT22" s="196">
        <f t="shared" si="81"/>
        <v>0.53</v>
      </c>
      <c r="AU22" s="196">
        <f t="shared" si="82"/>
        <v>0.74</v>
      </c>
      <c r="AV22" s="196">
        <f t="shared" si="83"/>
        <v>0.63</v>
      </c>
      <c r="AW22" s="51">
        <f t="shared" si="84"/>
        <v>5</v>
      </c>
      <c r="AX22" s="51">
        <f t="shared" si="85"/>
        <v>4</v>
      </c>
      <c r="AY22" s="226">
        <f t="shared" si="86"/>
        <v>5</v>
      </c>
    </row>
    <row r="23" spans="1:51" ht="13.15" customHeight="1">
      <c r="A23" s="96">
        <v>10966</v>
      </c>
      <c r="B23" s="97" t="s">
        <v>214</v>
      </c>
      <c r="C23" s="228" t="str">
        <f>Rollover!A23</f>
        <v>Hyundai</v>
      </c>
      <c r="D23" s="229" t="str">
        <f>Rollover!B23</f>
        <v>Accent 4DR FWD</v>
      </c>
      <c r="E23" s="197" t="s">
        <v>85</v>
      </c>
      <c r="F23" s="224">
        <f>Rollover!C23</f>
        <v>2020</v>
      </c>
      <c r="G23" s="10">
        <v>290.23899999999998</v>
      </c>
      <c r="H23" s="11">
        <v>0.26400000000000001</v>
      </c>
      <c r="I23" s="11">
        <v>1114.3699999999999</v>
      </c>
      <c r="J23" s="11">
        <v>175.85499999999999</v>
      </c>
      <c r="K23" s="11">
        <v>22.876000000000001</v>
      </c>
      <c r="L23" s="11">
        <v>46.04</v>
      </c>
      <c r="M23" s="11">
        <v>267.16800000000001</v>
      </c>
      <c r="N23" s="12">
        <v>284.74</v>
      </c>
      <c r="O23" s="10">
        <v>339.80700000000002</v>
      </c>
      <c r="P23" s="11">
        <v>0.56299999999999994</v>
      </c>
      <c r="Q23" s="11">
        <v>881.69600000000003</v>
      </c>
      <c r="R23" s="11">
        <v>414.90899999999999</v>
      </c>
      <c r="S23" s="11">
        <v>9.6210000000000004</v>
      </c>
      <c r="T23" s="11">
        <v>44.914999999999999</v>
      </c>
      <c r="U23" s="11">
        <v>146.24700000000001</v>
      </c>
      <c r="V23" s="12">
        <v>139.69999999999999</v>
      </c>
      <c r="W23" s="225">
        <f t="shared" si="58"/>
        <v>8.0280074156133616E-3</v>
      </c>
      <c r="X23" s="5">
        <f t="shared" si="59"/>
        <v>6.2553540987783984E-2</v>
      </c>
      <c r="Y23" s="5">
        <f t="shared" si="60"/>
        <v>2.4162758869965216E-4</v>
      </c>
      <c r="Z23" s="5">
        <f t="shared" si="61"/>
        <v>2.6014138234760138E-5</v>
      </c>
      <c r="AA23" s="5">
        <f t="shared" si="62"/>
        <v>6.2553540987783984E-2</v>
      </c>
      <c r="AB23" s="5">
        <f t="shared" si="63"/>
        <v>1.9767459219533993E-2</v>
      </c>
      <c r="AC23" s="5">
        <f t="shared" si="64"/>
        <v>1.9767459219533993E-2</v>
      </c>
      <c r="AD23" s="5">
        <f t="shared" si="65"/>
        <v>3.4840160731263716E-3</v>
      </c>
      <c r="AE23" s="5">
        <f t="shared" si="66"/>
        <v>3.5158598835648069E-3</v>
      </c>
      <c r="AF23" s="24">
        <f t="shared" si="67"/>
        <v>3.5158598835648069E-3</v>
      </c>
      <c r="AG23" s="23">
        <f t="shared" si="68"/>
        <v>1.4097506166155203E-2</v>
      </c>
      <c r="AH23" s="5">
        <f t="shared" si="69"/>
        <v>0.10731497511665075</v>
      </c>
      <c r="AI23" s="5">
        <f t="shared" si="70"/>
        <v>4.8348528290527367E-4</v>
      </c>
      <c r="AJ23" s="5">
        <f t="shared" si="71"/>
        <v>8.323219668055794E-5</v>
      </c>
      <c r="AK23" s="5">
        <f t="shared" si="72"/>
        <v>0.10731497511665075</v>
      </c>
      <c r="AL23" s="5">
        <f t="shared" si="73"/>
        <v>3.4847861106566593E-3</v>
      </c>
      <c r="AM23" s="5">
        <f t="shared" si="74"/>
        <v>3.4847861106566593E-3</v>
      </c>
      <c r="AN23" s="5">
        <f t="shared" si="75"/>
        <v>3.3901864575980362E-3</v>
      </c>
      <c r="AO23" s="5">
        <f t="shared" si="76"/>
        <v>3.3733746786964534E-3</v>
      </c>
      <c r="AP23" s="24">
        <f t="shared" si="77"/>
        <v>3.3901864575980362E-3</v>
      </c>
      <c r="AQ23" s="225">
        <f t="shared" si="78"/>
        <v>9.1999999999999998E-2</v>
      </c>
      <c r="AR23" s="5">
        <f t="shared" si="79"/>
        <v>0.126</v>
      </c>
      <c r="AS23" s="5">
        <f t="shared" si="80"/>
        <v>0.109</v>
      </c>
      <c r="AT23" s="196">
        <f t="shared" si="81"/>
        <v>0.61</v>
      </c>
      <c r="AU23" s="196">
        <f t="shared" si="82"/>
        <v>0.84</v>
      </c>
      <c r="AV23" s="196">
        <f t="shared" si="83"/>
        <v>0.73</v>
      </c>
      <c r="AW23" s="51">
        <f t="shared" si="84"/>
        <v>5</v>
      </c>
      <c r="AX23" s="51">
        <f t="shared" si="85"/>
        <v>4</v>
      </c>
      <c r="AY23" s="226">
        <f t="shared" si="86"/>
        <v>4</v>
      </c>
    </row>
    <row r="24" spans="1:51" ht="13.15" customHeight="1">
      <c r="A24" s="96">
        <v>10993</v>
      </c>
      <c r="B24" s="97" t="s">
        <v>236</v>
      </c>
      <c r="C24" s="222" t="str">
        <f>Rollover!A24</f>
        <v>Hyundai</v>
      </c>
      <c r="D24" s="223" t="str">
        <f>Rollover!B24</f>
        <v>Palisade SUV FWD</v>
      </c>
      <c r="E24" s="197" t="s">
        <v>91</v>
      </c>
      <c r="F24" s="224">
        <f>Rollover!C24</f>
        <v>2020</v>
      </c>
      <c r="G24" s="10">
        <v>159.87299999999999</v>
      </c>
      <c r="H24" s="11">
        <v>0.185</v>
      </c>
      <c r="I24" s="11">
        <v>714.81299999999999</v>
      </c>
      <c r="J24" s="11">
        <v>186.28899999999999</v>
      </c>
      <c r="K24" s="11">
        <v>19.233000000000001</v>
      </c>
      <c r="L24" s="11">
        <v>38.232999999999997</v>
      </c>
      <c r="M24" s="11">
        <v>417.66699999999997</v>
      </c>
      <c r="N24" s="12">
        <v>672.4</v>
      </c>
      <c r="O24" s="10">
        <v>332.50099999999998</v>
      </c>
      <c r="P24" s="11">
        <v>0.34499999999999997</v>
      </c>
      <c r="Q24" s="11">
        <v>589.08199999999999</v>
      </c>
      <c r="R24" s="11">
        <v>190.58</v>
      </c>
      <c r="S24" s="11">
        <v>11.976000000000001</v>
      </c>
      <c r="T24" s="11">
        <v>43.378</v>
      </c>
      <c r="U24" s="11">
        <v>1561.011</v>
      </c>
      <c r="V24" s="12">
        <v>1359.24</v>
      </c>
      <c r="W24" s="225">
        <f t="shared" si="58"/>
        <v>6.5562504469322369E-4</v>
      </c>
      <c r="X24" s="5">
        <f t="shared" si="59"/>
        <v>5.4029969753656384E-2</v>
      </c>
      <c r="Y24" s="5">
        <f t="shared" si="60"/>
        <v>9.3559525403688523E-5</v>
      </c>
      <c r="Z24" s="5">
        <f t="shared" si="61"/>
        <v>2.6666824527891444E-5</v>
      </c>
      <c r="AA24" s="5">
        <f t="shared" si="62"/>
        <v>5.4029969753656384E-2</v>
      </c>
      <c r="AB24" s="5">
        <f t="shared" si="63"/>
        <v>1.1957031030371709E-2</v>
      </c>
      <c r="AC24" s="5">
        <f t="shared" si="64"/>
        <v>1.1957031030371709E-2</v>
      </c>
      <c r="AD24" s="5">
        <f t="shared" si="65"/>
        <v>3.7663320981156717E-3</v>
      </c>
      <c r="AE24" s="5">
        <f t="shared" si="66"/>
        <v>4.2970468739774005E-3</v>
      </c>
      <c r="AF24" s="24">
        <f t="shared" si="67"/>
        <v>4.2970468739774005E-3</v>
      </c>
      <c r="AG24" s="23">
        <f t="shared" si="68"/>
        <v>1.3076422044229624E-2</v>
      </c>
      <c r="AH24" s="5">
        <f t="shared" si="69"/>
        <v>7.2583576752864323E-2</v>
      </c>
      <c r="AI24" s="5">
        <f t="shared" si="70"/>
        <v>1.6048319000208685E-4</v>
      </c>
      <c r="AJ24" s="5">
        <f t="shared" si="71"/>
        <v>3.5728955139146073E-5</v>
      </c>
      <c r="AK24" s="5">
        <f t="shared" si="72"/>
        <v>7.2583576752864323E-2</v>
      </c>
      <c r="AL24" s="5">
        <f t="shared" si="73"/>
        <v>5.8451508690640103E-3</v>
      </c>
      <c r="AM24" s="5">
        <f t="shared" si="74"/>
        <v>5.8451508690640103E-3</v>
      </c>
      <c r="AN24" s="5">
        <f t="shared" si="75"/>
        <v>9.8971134550792268E-3</v>
      </c>
      <c r="AO24" s="5">
        <f t="shared" si="76"/>
        <v>8.4988011560178031E-3</v>
      </c>
      <c r="AP24" s="24">
        <f t="shared" si="77"/>
        <v>9.8971134550792268E-3</v>
      </c>
      <c r="AQ24" s="225">
        <f t="shared" si="78"/>
        <v>7.0000000000000007E-2</v>
      </c>
      <c r="AR24" s="5">
        <f t="shared" si="79"/>
        <v>9.9000000000000005E-2</v>
      </c>
      <c r="AS24" s="5">
        <f t="shared" si="80"/>
        <v>8.5000000000000006E-2</v>
      </c>
      <c r="AT24" s="196">
        <f t="shared" si="81"/>
        <v>0.47</v>
      </c>
      <c r="AU24" s="196">
        <f t="shared" si="82"/>
        <v>0.66</v>
      </c>
      <c r="AV24" s="196">
        <f t="shared" si="83"/>
        <v>0.56999999999999995</v>
      </c>
      <c r="AW24" s="51">
        <f t="shared" si="84"/>
        <v>5</v>
      </c>
      <c r="AX24" s="51">
        <f t="shared" si="85"/>
        <v>5</v>
      </c>
      <c r="AY24" s="226">
        <f t="shared" si="86"/>
        <v>5</v>
      </c>
    </row>
    <row r="25" spans="1:51" ht="13.15" customHeight="1">
      <c r="A25" s="87">
        <v>10993</v>
      </c>
      <c r="B25" s="97" t="s">
        <v>236</v>
      </c>
      <c r="C25" s="222" t="str">
        <f>Rollover!A25</f>
        <v>Hyundai</v>
      </c>
      <c r="D25" s="223" t="str">
        <f>Rollover!B25</f>
        <v>Palisade SUV AWD</v>
      </c>
      <c r="E25" s="197" t="s">
        <v>91</v>
      </c>
      <c r="F25" s="224">
        <f>Rollover!C25</f>
        <v>2020</v>
      </c>
      <c r="G25" s="10">
        <v>159.87299999999999</v>
      </c>
      <c r="H25" s="11">
        <v>0.185</v>
      </c>
      <c r="I25" s="11">
        <v>714.81299999999999</v>
      </c>
      <c r="J25" s="11">
        <v>186.28899999999999</v>
      </c>
      <c r="K25" s="11">
        <v>19.233000000000001</v>
      </c>
      <c r="L25" s="11">
        <v>38.232999999999997</v>
      </c>
      <c r="M25" s="11">
        <v>417.66699999999997</v>
      </c>
      <c r="N25" s="12">
        <v>672.4</v>
      </c>
      <c r="O25" s="10">
        <v>332.50099999999998</v>
      </c>
      <c r="P25" s="11">
        <v>0.34499999999999997</v>
      </c>
      <c r="Q25" s="11">
        <v>589.08199999999999</v>
      </c>
      <c r="R25" s="11">
        <v>190.58</v>
      </c>
      <c r="S25" s="11">
        <v>11.976000000000001</v>
      </c>
      <c r="T25" s="11">
        <v>43.378</v>
      </c>
      <c r="U25" s="11">
        <v>1561.011</v>
      </c>
      <c r="V25" s="12">
        <v>1359.24</v>
      </c>
      <c r="W25" s="225">
        <f t="shared" si="58"/>
        <v>6.5562504469322369E-4</v>
      </c>
      <c r="X25" s="5">
        <f t="shared" si="59"/>
        <v>5.4029969753656384E-2</v>
      </c>
      <c r="Y25" s="5">
        <f t="shared" si="60"/>
        <v>9.3559525403688523E-5</v>
      </c>
      <c r="Z25" s="5">
        <f t="shared" si="61"/>
        <v>2.6666824527891444E-5</v>
      </c>
      <c r="AA25" s="5">
        <f t="shared" si="62"/>
        <v>5.4029969753656384E-2</v>
      </c>
      <c r="AB25" s="5">
        <f t="shared" si="63"/>
        <v>1.1957031030371709E-2</v>
      </c>
      <c r="AC25" s="5">
        <f t="shared" si="64"/>
        <v>1.1957031030371709E-2</v>
      </c>
      <c r="AD25" s="5">
        <f t="shared" si="65"/>
        <v>3.7663320981156717E-3</v>
      </c>
      <c r="AE25" s="5">
        <f t="shared" si="66"/>
        <v>4.2970468739774005E-3</v>
      </c>
      <c r="AF25" s="24">
        <f t="shared" si="67"/>
        <v>4.2970468739774005E-3</v>
      </c>
      <c r="AG25" s="23">
        <f t="shared" si="68"/>
        <v>1.3076422044229624E-2</v>
      </c>
      <c r="AH25" s="5">
        <f t="shared" si="69"/>
        <v>7.2583576752864323E-2</v>
      </c>
      <c r="AI25" s="5">
        <f t="shared" si="70"/>
        <v>1.6048319000208685E-4</v>
      </c>
      <c r="AJ25" s="5">
        <f t="shared" si="71"/>
        <v>3.5728955139146073E-5</v>
      </c>
      <c r="AK25" s="5">
        <f t="shared" si="72"/>
        <v>7.2583576752864323E-2</v>
      </c>
      <c r="AL25" s="5">
        <f t="shared" si="73"/>
        <v>5.8451508690640103E-3</v>
      </c>
      <c r="AM25" s="5">
        <f t="shared" si="74"/>
        <v>5.8451508690640103E-3</v>
      </c>
      <c r="AN25" s="5">
        <f t="shared" si="75"/>
        <v>9.8971134550792268E-3</v>
      </c>
      <c r="AO25" s="5">
        <f t="shared" si="76"/>
        <v>8.4988011560178031E-3</v>
      </c>
      <c r="AP25" s="24">
        <f t="shared" si="77"/>
        <v>9.8971134550792268E-3</v>
      </c>
      <c r="AQ25" s="225">
        <f t="shared" si="78"/>
        <v>7.0000000000000007E-2</v>
      </c>
      <c r="AR25" s="5">
        <f t="shared" si="79"/>
        <v>9.9000000000000005E-2</v>
      </c>
      <c r="AS25" s="5">
        <f t="shared" si="80"/>
        <v>8.5000000000000006E-2</v>
      </c>
      <c r="AT25" s="196">
        <f t="shared" si="81"/>
        <v>0.47</v>
      </c>
      <c r="AU25" s="196">
        <f t="shared" si="82"/>
        <v>0.66</v>
      </c>
      <c r="AV25" s="196">
        <f t="shared" si="83"/>
        <v>0.56999999999999995</v>
      </c>
      <c r="AW25" s="51">
        <f t="shared" si="84"/>
        <v>5</v>
      </c>
      <c r="AX25" s="51">
        <f t="shared" si="85"/>
        <v>5</v>
      </c>
      <c r="AY25" s="226">
        <f t="shared" si="86"/>
        <v>5</v>
      </c>
    </row>
    <row r="26" spans="1:51" ht="13.15" customHeight="1">
      <c r="A26" s="96">
        <v>10976</v>
      </c>
      <c r="B26" s="97" t="s">
        <v>221</v>
      </c>
      <c r="C26" s="228" t="str">
        <f>Rollover!A26</f>
        <v>Hyundai</v>
      </c>
      <c r="D26" s="229" t="str">
        <f>Rollover!B26</f>
        <v>Venue 5HB FWD</v>
      </c>
      <c r="E26" s="197" t="s">
        <v>104</v>
      </c>
      <c r="F26" s="224">
        <f>Rollover!C26</f>
        <v>2020</v>
      </c>
      <c r="G26" s="230">
        <v>335.41500000000002</v>
      </c>
      <c r="H26" s="11">
        <v>0.32400000000000001</v>
      </c>
      <c r="I26" s="11">
        <v>1190.162</v>
      </c>
      <c r="J26" s="11">
        <v>810.89499999999998</v>
      </c>
      <c r="K26" s="11">
        <v>27.792999999999999</v>
      </c>
      <c r="L26" s="11">
        <v>45.908999999999999</v>
      </c>
      <c r="M26" s="11">
        <v>3421.2080000000001</v>
      </c>
      <c r="N26" s="12">
        <v>1557.509</v>
      </c>
      <c r="O26" s="10">
        <v>280.24099999999999</v>
      </c>
      <c r="P26" s="11">
        <v>0.47499999999999998</v>
      </c>
      <c r="Q26" s="11">
        <v>915.30200000000002</v>
      </c>
      <c r="R26" s="11">
        <v>307.32799999999997</v>
      </c>
      <c r="S26" s="11">
        <v>21.385000000000002</v>
      </c>
      <c r="T26" s="11">
        <v>56.125</v>
      </c>
      <c r="U26" s="11">
        <v>676.93100000000004</v>
      </c>
      <c r="V26" s="12">
        <v>922.69500000000005</v>
      </c>
      <c r="W26" s="225">
        <f t="shared" si="58"/>
        <v>1.3478399827777121E-2</v>
      </c>
      <c r="X26" s="5">
        <f t="shared" si="59"/>
        <v>6.9849153937143846E-2</v>
      </c>
      <c r="Y26" s="5">
        <f t="shared" si="60"/>
        <v>2.8926869522184236E-4</v>
      </c>
      <c r="Z26" s="5">
        <f t="shared" si="61"/>
        <v>1.1753881708979253E-4</v>
      </c>
      <c r="AA26" s="5">
        <f t="shared" si="62"/>
        <v>6.9849153937143846E-2</v>
      </c>
      <c r="AB26" s="5">
        <f t="shared" si="63"/>
        <v>3.627225633241582E-2</v>
      </c>
      <c r="AC26" s="5">
        <f t="shared" si="64"/>
        <v>3.627225633241582E-2</v>
      </c>
      <c r="AD26" s="5">
        <f t="shared" si="65"/>
        <v>1.7684216268251771E-2</v>
      </c>
      <c r="AE26" s="5">
        <f t="shared" si="66"/>
        <v>6.7891426137891061E-3</v>
      </c>
      <c r="AF26" s="24">
        <f t="shared" si="67"/>
        <v>1.7684216268251771E-2</v>
      </c>
      <c r="AG26" s="23">
        <f t="shared" si="68"/>
        <v>7.0439870462970485E-3</v>
      </c>
      <c r="AH26" s="5">
        <f t="shared" si="69"/>
        <v>9.1811032565985398E-2</v>
      </c>
      <c r="AI26" s="5">
        <f t="shared" si="70"/>
        <v>5.4875396692117878E-4</v>
      </c>
      <c r="AJ26" s="5">
        <f t="shared" si="71"/>
        <v>5.5483275508444127E-5</v>
      </c>
      <c r="AK26" s="5">
        <f t="shared" si="72"/>
        <v>9.1811032565985398E-2</v>
      </c>
      <c r="AL26" s="5">
        <f t="shared" si="73"/>
        <v>2.9945004736501021E-2</v>
      </c>
      <c r="AM26" s="5">
        <f t="shared" si="74"/>
        <v>2.9945004736501021E-2</v>
      </c>
      <c r="AN26" s="5">
        <f t="shared" si="75"/>
        <v>5.0709347644580134E-3</v>
      </c>
      <c r="AO26" s="5">
        <f t="shared" si="76"/>
        <v>6.1087921670397059E-3</v>
      </c>
      <c r="AP26" s="24">
        <f t="shared" si="77"/>
        <v>6.1087921670397059E-3</v>
      </c>
      <c r="AQ26" s="225">
        <f t="shared" si="78"/>
        <v>0.13100000000000001</v>
      </c>
      <c r="AR26" s="5">
        <f t="shared" si="79"/>
        <v>0.13100000000000001</v>
      </c>
      <c r="AS26" s="5">
        <f t="shared" si="80"/>
        <v>0.13100000000000001</v>
      </c>
      <c r="AT26" s="196">
        <f t="shared" si="81"/>
        <v>0.87</v>
      </c>
      <c r="AU26" s="196">
        <f t="shared" si="82"/>
        <v>0.87</v>
      </c>
      <c r="AV26" s="196">
        <f t="shared" si="83"/>
        <v>0.87</v>
      </c>
      <c r="AW26" s="51">
        <f t="shared" si="84"/>
        <v>4</v>
      </c>
      <c r="AX26" s="51">
        <f t="shared" si="85"/>
        <v>4</v>
      </c>
      <c r="AY26" s="226">
        <f t="shared" si="86"/>
        <v>4</v>
      </c>
    </row>
    <row r="27" spans="1:51" ht="13.15" customHeight="1">
      <c r="A27" s="96">
        <v>10831</v>
      </c>
      <c r="B27" s="97" t="s">
        <v>173</v>
      </c>
      <c r="C27" s="222" t="str">
        <f>Rollover!A27</f>
        <v>Jeep</v>
      </c>
      <c r="D27" s="223" t="str">
        <f>Rollover!B27</f>
        <v>Gladiator PU/CC 4WD</v>
      </c>
      <c r="E27" s="197" t="s">
        <v>99</v>
      </c>
      <c r="F27" s="224">
        <f>Rollover!C27</f>
        <v>2020</v>
      </c>
      <c r="G27" s="10">
        <v>219.53299999999999</v>
      </c>
      <c r="H27" s="11">
        <v>0.34899999999999998</v>
      </c>
      <c r="I27" s="11">
        <v>1298.864</v>
      </c>
      <c r="J27" s="11">
        <v>403.39600000000002</v>
      </c>
      <c r="K27" s="11">
        <v>27.29</v>
      </c>
      <c r="L27" s="11">
        <v>50.99</v>
      </c>
      <c r="M27" s="11">
        <v>2563.8000000000002</v>
      </c>
      <c r="N27" s="12">
        <v>3145.9349999999999</v>
      </c>
      <c r="O27" s="10">
        <v>179.84700000000001</v>
      </c>
      <c r="P27" s="11">
        <v>0.30099999999999999</v>
      </c>
      <c r="Q27" s="11">
        <v>1081.3920000000001</v>
      </c>
      <c r="R27" s="11">
        <v>373.596</v>
      </c>
      <c r="S27" s="11">
        <v>17.792000000000002</v>
      </c>
      <c r="T27" s="11">
        <v>42.445</v>
      </c>
      <c r="U27" s="11">
        <v>1227.1369999999999</v>
      </c>
      <c r="V27" s="12">
        <v>1515.0450000000001</v>
      </c>
      <c r="W27" s="225">
        <f t="shared" si="58"/>
        <v>2.6767973662873944E-3</v>
      </c>
      <c r="X27" s="5">
        <f t="shared" si="59"/>
        <v>7.3115485073840497E-2</v>
      </c>
      <c r="Y27" s="5">
        <f t="shared" si="60"/>
        <v>3.7444242222927759E-4</v>
      </c>
      <c r="Z27" s="5">
        <f t="shared" si="61"/>
        <v>4.4657907846231211E-5</v>
      </c>
      <c r="AA27" s="5">
        <f t="shared" si="62"/>
        <v>7.3115485073840497E-2</v>
      </c>
      <c r="AB27" s="5">
        <f t="shared" si="63"/>
        <v>3.4200983130128253E-2</v>
      </c>
      <c r="AC27" s="5">
        <f t="shared" si="64"/>
        <v>3.4200983130128253E-2</v>
      </c>
      <c r="AD27" s="5">
        <f t="shared" si="65"/>
        <v>1.1399176476554694E-2</v>
      </c>
      <c r="AE27" s="5">
        <f t="shared" si="66"/>
        <v>1.5363587696917803E-2</v>
      </c>
      <c r="AF27" s="24">
        <f t="shared" si="67"/>
        <v>1.5363587696917803E-2</v>
      </c>
      <c r="AG27" s="23">
        <f t="shared" si="68"/>
        <v>1.1275122311838423E-3</v>
      </c>
      <c r="AH27" s="5">
        <f t="shared" si="69"/>
        <v>6.6963839037062337E-2</v>
      </c>
      <c r="AI27" s="5">
        <f t="shared" si="70"/>
        <v>1.0259065757246481E-3</v>
      </c>
      <c r="AJ27" s="5">
        <f t="shared" si="71"/>
        <v>7.1228729888340417E-5</v>
      </c>
      <c r="AK27" s="5">
        <f t="shared" si="72"/>
        <v>6.6963839037062337E-2</v>
      </c>
      <c r="AL27" s="5">
        <f t="shared" si="73"/>
        <v>1.7076353414938451E-2</v>
      </c>
      <c r="AM27" s="5">
        <f t="shared" si="74"/>
        <v>1.7076353414938451E-2</v>
      </c>
      <c r="AN27" s="5">
        <f t="shared" si="75"/>
        <v>7.6913008299673144E-3</v>
      </c>
      <c r="AO27" s="5">
        <f t="shared" si="76"/>
        <v>9.5597571074864298E-3</v>
      </c>
      <c r="AP27" s="24">
        <f t="shared" si="77"/>
        <v>9.5597571074864298E-3</v>
      </c>
      <c r="AQ27" s="225">
        <f t="shared" si="78"/>
        <v>0.121</v>
      </c>
      <c r="AR27" s="5">
        <f t="shared" si="79"/>
        <v>9.2999999999999999E-2</v>
      </c>
      <c r="AS27" s="5">
        <f t="shared" si="80"/>
        <v>0.107</v>
      </c>
      <c r="AT27" s="196">
        <f t="shared" si="81"/>
        <v>0.81</v>
      </c>
      <c r="AU27" s="196">
        <f t="shared" si="82"/>
        <v>0.62</v>
      </c>
      <c r="AV27" s="196">
        <f t="shared" si="83"/>
        <v>0.71</v>
      </c>
      <c r="AW27" s="51">
        <f t="shared" si="84"/>
        <v>4</v>
      </c>
      <c r="AX27" s="51">
        <f t="shared" si="85"/>
        <v>5</v>
      </c>
      <c r="AY27" s="226">
        <f t="shared" si="86"/>
        <v>4</v>
      </c>
    </row>
    <row r="28" spans="1:51" ht="13.15" customHeight="1">
      <c r="A28" s="17">
        <v>9512</v>
      </c>
      <c r="B28" s="17" t="s">
        <v>131</v>
      </c>
      <c r="C28" s="222" t="str">
        <f>Rollover!A28</f>
        <v>Jeep</v>
      </c>
      <c r="D28" s="223" t="str">
        <f>Rollover!B28</f>
        <v>Renegade SUV AWD</v>
      </c>
      <c r="E28" s="197" t="s">
        <v>85</v>
      </c>
      <c r="F28" s="224">
        <f>Rollover!C28</f>
        <v>2020</v>
      </c>
      <c r="G28" s="18">
        <v>206.65600000000001</v>
      </c>
      <c r="H28" s="19">
        <v>0.26100000000000001</v>
      </c>
      <c r="I28" s="19">
        <v>1474.963</v>
      </c>
      <c r="J28" s="19">
        <v>80.257000000000005</v>
      </c>
      <c r="K28" s="19">
        <v>27.577000000000002</v>
      </c>
      <c r="L28" s="19">
        <v>34.258000000000003</v>
      </c>
      <c r="M28" s="19">
        <v>1524.2170000000001</v>
      </c>
      <c r="N28" s="20">
        <v>1629.174</v>
      </c>
      <c r="O28" s="18">
        <v>363.29199999999997</v>
      </c>
      <c r="P28" s="19">
        <v>0.35</v>
      </c>
      <c r="Q28" s="19">
        <v>982.01199999999994</v>
      </c>
      <c r="R28" s="19">
        <v>208.26599999999999</v>
      </c>
      <c r="S28" s="19">
        <v>18.779</v>
      </c>
      <c r="T28" s="19">
        <v>39.655000000000001</v>
      </c>
      <c r="U28" s="19">
        <v>1291.8699999999999</v>
      </c>
      <c r="V28" s="20">
        <v>1431.1759999999999</v>
      </c>
      <c r="W28" s="225">
        <f t="shared" si="58"/>
        <v>2.0742894342526555E-3</v>
      </c>
      <c r="X28" s="5">
        <f t="shared" si="59"/>
        <v>6.220807975867898E-2</v>
      </c>
      <c r="Y28" s="5">
        <f t="shared" si="60"/>
        <v>5.6877148743953181E-4</v>
      </c>
      <c r="Z28" s="5">
        <f t="shared" si="61"/>
        <v>2.0730378863342601E-5</v>
      </c>
      <c r="AA28" s="5">
        <f t="shared" si="62"/>
        <v>6.220807975867898E-2</v>
      </c>
      <c r="AB28" s="5">
        <f t="shared" si="63"/>
        <v>3.5370916028617826E-2</v>
      </c>
      <c r="AC28" s="5">
        <f t="shared" si="64"/>
        <v>3.5370916028617826E-2</v>
      </c>
      <c r="AD28" s="5">
        <f t="shared" si="65"/>
        <v>6.6734874373352241E-3</v>
      </c>
      <c r="AE28" s="5">
        <f t="shared" si="66"/>
        <v>7.0449021414028448E-3</v>
      </c>
      <c r="AF28" s="24">
        <f t="shared" si="67"/>
        <v>7.0449021414028448E-3</v>
      </c>
      <c r="AG28" s="23">
        <f t="shared" si="68"/>
        <v>1.7678312737396812E-2</v>
      </c>
      <c r="AH28" s="5">
        <f t="shared" si="69"/>
        <v>7.324902207187918E-2</v>
      </c>
      <c r="AI28" s="5">
        <f t="shared" si="70"/>
        <v>7.0555871340115847E-4</v>
      </c>
      <c r="AJ28" s="5">
        <f t="shared" si="71"/>
        <v>3.8192348132754588E-5</v>
      </c>
      <c r="AK28" s="5">
        <f t="shared" si="72"/>
        <v>7.324902207187918E-2</v>
      </c>
      <c r="AL28" s="5">
        <f t="shared" si="73"/>
        <v>2.0052720920044734E-2</v>
      </c>
      <c r="AM28" s="5">
        <f t="shared" si="74"/>
        <v>2.0052720920044734E-2</v>
      </c>
      <c r="AN28" s="5">
        <f t="shared" si="75"/>
        <v>8.0770057672233716E-3</v>
      </c>
      <c r="AO28" s="5">
        <f t="shared" si="76"/>
        <v>8.9733086211817824E-3</v>
      </c>
      <c r="AP28" s="24">
        <f t="shared" si="77"/>
        <v>8.9733086211817824E-3</v>
      </c>
      <c r="AQ28" s="225">
        <f t="shared" si="78"/>
        <v>0.104</v>
      </c>
      <c r="AR28" s="5">
        <f t="shared" si="79"/>
        <v>0.11600000000000001</v>
      </c>
      <c r="AS28" s="5">
        <f t="shared" si="80"/>
        <v>0.11</v>
      </c>
      <c r="AT28" s="196">
        <f t="shared" si="81"/>
        <v>0.69</v>
      </c>
      <c r="AU28" s="196">
        <f t="shared" si="82"/>
        <v>0.77</v>
      </c>
      <c r="AV28" s="196">
        <f t="shared" si="83"/>
        <v>0.73</v>
      </c>
      <c r="AW28" s="51">
        <f t="shared" si="84"/>
        <v>4</v>
      </c>
      <c r="AX28" s="51">
        <f t="shared" si="85"/>
        <v>4</v>
      </c>
      <c r="AY28" s="226">
        <f t="shared" si="86"/>
        <v>4</v>
      </c>
    </row>
    <row r="29" spans="1:51" ht="13.15" customHeight="1">
      <c r="A29" s="17">
        <v>9512</v>
      </c>
      <c r="B29" s="17" t="s">
        <v>131</v>
      </c>
      <c r="C29" s="228" t="str">
        <f>Rollover!A29</f>
        <v>Jeep</v>
      </c>
      <c r="D29" s="229" t="str">
        <f>Rollover!B29</f>
        <v>Renegade SUV FWD</v>
      </c>
      <c r="E29" s="197" t="s">
        <v>85</v>
      </c>
      <c r="F29" s="224">
        <f>Rollover!C29</f>
        <v>2020</v>
      </c>
      <c r="G29" s="18">
        <v>206.65600000000001</v>
      </c>
      <c r="H29" s="19">
        <v>0.26100000000000001</v>
      </c>
      <c r="I29" s="19">
        <v>1474.963</v>
      </c>
      <c r="J29" s="19">
        <v>80.257000000000005</v>
      </c>
      <c r="K29" s="19">
        <v>27.577000000000002</v>
      </c>
      <c r="L29" s="19">
        <v>34.258000000000003</v>
      </c>
      <c r="M29" s="19">
        <v>1524.2170000000001</v>
      </c>
      <c r="N29" s="20">
        <v>1629.174</v>
      </c>
      <c r="O29" s="18">
        <v>363.29199999999997</v>
      </c>
      <c r="P29" s="19">
        <v>0.35</v>
      </c>
      <c r="Q29" s="19">
        <v>982.01199999999994</v>
      </c>
      <c r="R29" s="19">
        <v>208.26599999999999</v>
      </c>
      <c r="S29" s="19">
        <v>18.779</v>
      </c>
      <c r="T29" s="19">
        <v>39.655000000000001</v>
      </c>
      <c r="U29" s="19">
        <v>1291.8699999999999</v>
      </c>
      <c r="V29" s="20">
        <v>1431.1759999999999</v>
      </c>
      <c r="W29" s="225">
        <f t="shared" si="58"/>
        <v>2.0742894342526555E-3</v>
      </c>
      <c r="X29" s="5">
        <f t="shared" si="59"/>
        <v>6.220807975867898E-2</v>
      </c>
      <c r="Y29" s="5">
        <f t="shared" si="60"/>
        <v>5.6877148743953181E-4</v>
      </c>
      <c r="Z29" s="5">
        <f t="shared" si="61"/>
        <v>2.0730378863342601E-5</v>
      </c>
      <c r="AA29" s="5">
        <f t="shared" si="62"/>
        <v>6.220807975867898E-2</v>
      </c>
      <c r="AB29" s="5">
        <f t="shared" si="63"/>
        <v>3.5370916028617826E-2</v>
      </c>
      <c r="AC29" s="5">
        <f t="shared" si="64"/>
        <v>3.5370916028617826E-2</v>
      </c>
      <c r="AD29" s="5">
        <f t="shared" si="65"/>
        <v>6.6734874373352241E-3</v>
      </c>
      <c r="AE29" s="5">
        <f t="shared" si="66"/>
        <v>7.0449021414028448E-3</v>
      </c>
      <c r="AF29" s="24">
        <f t="shared" si="67"/>
        <v>7.0449021414028448E-3</v>
      </c>
      <c r="AG29" s="23">
        <f t="shared" si="68"/>
        <v>1.7678312737396812E-2</v>
      </c>
      <c r="AH29" s="5">
        <f t="shared" si="69"/>
        <v>7.324902207187918E-2</v>
      </c>
      <c r="AI29" s="5">
        <f t="shared" si="70"/>
        <v>7.0555871340115847E-4</v>
      </c>
      <c r="AJ29" s="5">
        <f t="shared" si="71"/>
        <v>3.8192348132754588E-5</v>
      </c>
      <c r="AK29" s="5">
        <f t="shared" si="72"/>
        <v>7.324902207187918E-2</v>
      </c>
      <c r="AL29" s="5">
        <f t="shared" si="73"/>
        <v>2.0052720920044734E-2</v>
      </c>
      <c r="AM29" s="5">
        <f t="shared" si="74"/>
        <v>2.0052720920044734E-2</v>
      </c>
      <c r="AN29" s="5">
        <f t="shared" si="75"/>
        <v>8.0770057672233716E-3</v>
      </c>
      <c r="AO29" s="5">
        <f t="shared" si="76"/>
        <v>8.9733086211817824E-3</v>
      </c>
      <c r="AP29" s="24">
        <f t="shared" si="77"/>
        <v>8.9733086211817824E-3</v>
      </c>
      <c r="AQ29" s="225">
        <f t="shared" si="78"/>
        <v>0.104</v>
      </c>
      <c r="AR29" s="5">
        <f t="shared" si="79"/>
        <v>0.11600000000000001</v>
      </c>
      <c r="AS29" s="5">
        <f t="shared" si="80"/>
        <v>0.11</v>
      </c>
      <c r="AT29" s="196">
        <f t="shared" si="81"/>
        <v>0.69</v>
      </c>
      <c r="AU29" s="196">
        <f t="shared" si="82"/>
        <v>0.77</v>
      </c>
      <c r="AV29" s="196">
        <f t="shared" si="83"/>
        <v>0.73</v>
      </c>
      <c r="AW29" s="51">
        <f t="shared" si="84"/>
        <v>4</v>
      </c>
      <c r="AX29" s="51">
        <f t="shared" si="85"/>
        <v>4</v>
      </c>
      <c r="AY29" s="226">
        <f t="shared" si="86"/>
        <v>4</v>
      </c>
    </row>
    <row r="30" spans="1:51" ht="13.15" customHeight="1">
      <c r="A30" s="96">
        <v>10865</v>
      </c>
      <c r="B30" s="97" t="s">
        <v>184</v>
      </c>
      <c r="C30" s="228" t="str">
        <f>Rollover!A30</f>
        <v>Jeep</v>
      </c>
      <c r="D30" s="229" t="str">
        <f>Rollover!B30</f>
        <v>Wrangler 4WD</v>
      </c>
      <c r="E30" s="197" t="s">
        <v>99</v>
      </c>
      <c r="F30" s="224">
        <f>Rollover!C30</f>
        <v>2020</v>
      </c>
      <c r="G30" s="10">
        <v>187.00299999999999</v>
      </c>
      <c r="H30" s="11">
        <v>0.31</v>
      </c>
      <c r="I30" s="11">
        <v>1331.4169999999999</v>
      </c>
      <c r="J30" s="11">
        <v>318.87700000000001</v>
      </c>
      <c r="K30" s="11">
        <v>25.997</v>
      </c>
      <c r="L30" s="11">
        <v>41.121000000000002</v>
      </c>
      <c r="M30" s="11">
        <v>4119.027</v>
      </c>
      <c r="N30" s="12">
        <v>3250.422</v>
      </c>
      <c r="O30" s="10">
        <v>202.30799999999999</v>
      </c>
      <c r="P30" s="11">
        <v>0.311</v>
      </c>
      <c r="Q30" s="11">
        <v>835.03</v>
      </c>
      <c r="R30" s="11">
        <v>360.83100000000002</v>
      </c>
      <c r="S30" s="11">
        <v>14.83</v>
      </c>
      <c r="T30" s="11">
        <v>37.841000000000001</v>
      </c>
      <c r="U30" s="11">
        <v>1692.4190000000001</v>
      </c>
      <c r="V30" s="12">
        <v>3300.0329999999999</v>
      </c>
      <c r="W30" s="225">
        <f t="shared" si="58"/>
        <v>1.3424583055520395E-3</v>
      </c>
      <c r="X30" s="5">
        <f t="shared" si="59"/>
        <v>6.8079460073053988E-2</v>
      </c>
      <c r="Y30" s="5">
        <f t="shared" si="60"/>
        <v>4.0452814870787764E-4</v>
      </c>
      <c r="Z30" s="5">
        <f t="shared" si="61"/>
        <v>3.6536322252297157E-5</v>
      </c>
      <c r="AA30" s="5">
        <f t="shared" si="62"/>
        <v>6.8079460073053988E-2</v>
      </c>
      <c r="AB30" s="5">
        <f t="shared" si="63"/>
        <v>2.9306502282404914E-2</v>
      </c>
      <c r="AC30" s="5">
        <f t="shared" si="64"/>
        <v>2.9306502282404914E-2</v>
      </c>
      <c r="AD30" s="5">
        <f t="shared" si="65"/>
        <v>2.5218055560495976E-2</v>
      </c>
      <c r="AE30" s="5">
        <f t="shared" si="66"/>
        <v>1.6206864993388734E-2</v>
      </c>
      <c r="AF30" s="24">
        <f t="shared" si="67"/>
        <v>2.5218055560495976E-2</v>
      </c>
      <c r="AG30" s="23">
        <f t="shared" si="68"/>
        <v>1.8935363015998164E-3</v>
      </c>
      <c r="AH30" s="5">
        <f t="shared" si="69"/>
        <v>6.8204476163385666E-2</v>
      </c>
      <c r="AI30" s="5">
        <f t="shared" si="70"/>
        <v>4.0551913317025154E-4</v>
      </c>
      <c r="AJ30" s="5">
        <f t="shared" si="71"/>
        <v>6.7882314949700568E-5</v>
      </c>
      <c r="AK30" s="5">
        <f t="shared" si="72"/>
        <v>6.8204476163385666E-2</v>
      </c>
      <c r="AL30" s="5">
        <f t="shared" si="73"/>
        <v>1.019255112192758E-2</v>
      </c>
      <c r="AM30" s="5">
        <f t="shared" si="74"/>
        <v>1.019255112192758E-2</v>
      </c>
      <c r="AN30" s="5">
        <f t="shared" si="75"/>
        <v>1.0927922860018622E-2</v>
      </c>
      <c r="AO30" s="5">
        <f t="shared" si="76"/>
        <v>3.6242583351312536E-2</v>
      </c>
      <c r="AP30" s="24">
        <f t="shared" si="77"/>
        <v>3.6242583351312536E-2</v>
      </c>
      <c r="AQ30" s="225">
        <f t="shared" si="78"/>
        <v>0.11899999999999999</v>
      </c>
      <c r="AR30" s="5">
        <f t="shared" si="79"/>
        <v>0.113</v>
      </c>
      <c r="AS30" s="5">
        <f t="shared" si="80"/>
        <v>0.11600000000000001</v>
      </c>
      <c r="AT30" s="196">
        <f t="shared" si="81"/>
        <v>0.79</v>
      </c>
      <c r="AU30" s="196">
        <f t="shared" si="82"/>
        <v>0.75</v>
      </c>
      <c r="AV30" s="196">
        <f t="shared" si="83"/>
        <v>0.77</v>
      </c>
      <c r="AW30" s="51">
        <f t="shared" si="84"/>
        <v>4</v>
      </c>
      <c r="AX30" s="51">
        <f t="shared" si="85"/>
        <v>4</v>
      </c>
      <c r="AY30" s="226">
        <f t="shared" si="86"/>
        <v>4</v>
      </c>
    </row>
    <row r="31" spans="1:51" ht="13.15" customHeight="1">
      <c r="A31" s="96">
        <v>10830</v>
      </c>
      <c r="B31" s="97" t="s">
        <v>175</v>
      </c>
      <c r="C31" s="222" t="str">
        <f>Rollover!A31</f>
        <v>Kia</v>
      </c>
      <c r="D31" s="223" t="str">
        <f>Rollover!B31</f>
        <v>Soul SUV FWD</v>
      </c>
      <c r="E31" s="197" t="s">
        <v>104</v>
      </c>
      <c r="F31" s="224">
        <f>Rollover!C31</f>
        <v>2020</v>
      </c>
      <c r="G31" s="232">
        <v>252.15700000000001</v>
      </c>
      <c r="H31" s="233">
        <v>0.255</v>
      </c>
      <c r="I31" s="233">
        <v>748.178</v>
      </c>
      <c r="J31" s="233">
        <v>163.40700000000001</v>
      </c>
      <c r="K31" s="233">
        <v>25.094999999999999</v>
      </c>
      <c r="L31" s="233">
        <v>43.624000000000002</v>
      </c>
      <c r="M31" s="233">
        <v>217.239</v>
      </c>
      <c r="N31" s="234">
        <v>1270.2360000000001</v>
      </c>
      <c r="O31" s="10">
        <v>322.959</v>
      </c>
      <c r="P31" s="11">
        <v>0.38900000000000001</v>
      </c>
      <c r="Q31" s="11">
        <v>712.83900000000006</v>
      </c>
      <c r="R31" s="11">
        <v>380.17700000000002</v>
      </c>
      <c r="S31" s="11">
        <v>16.821999999999999</v>
      </c>
      <c r="T31" s="11">
        <v>52.192</v>
      </c>
      <c r="U31" s="11">
        <v>1052.886</v>
      </c>
      <c r="V31" s="12">
        <v>684.12400000000002</v>
      </c>
      <c r="W31" s="225">
        <f t="shared" si="58"/>
        <v>4.6923000118973875E-3</v>
      </c>
      <c r="X31" s="5">
        <f t="shared" si="59"/>
        <v>6.1522495366510478E-2</v>
      </c>
      <c r="Y31" s="5">
        <f t="shared" si="60"/>
        <v>1.0127423431453543E-4</v>
      </c>
      <c r="Z31" s="5">
        <f t="shared" si="61"/>
        <v>2.5256332751428672E-5</v>
      </c>
      <c r="AA31" s="5">
        <f t="shared" si="62"/>
        <v>6.1522495366510478E-2</v>
      </c>
      <c r="AB31" s="5">
        <f t="shared" si="63"/>
        <v>2.6236543821994422E-2</v>
      </c>
      <c r="AC31" s="5">
        <f t="shared" si="64"/>
        <v>2.6236543821994422E-2</v>
      </c>
      <c r="AD31" s="5">
        <f t="shared" si="65"/>
        <v>3.3950951658725886E-3</v>
      </c>
      <c r="AE31" s="5">
        <f t="shared" si="66"/>
        <v>5.8532639343950388E-3</v>
      </c>
      <c r="AF31" s="24">
        <f t="shared" si="67"/>
        <v>5.8532639343950388E-3</v>
      </c>
      <c r="AG31" s="23">
        <f t="shared" si="68"/>
        <v>1.1809105403459207E-2</v>
      </c>
      <c r="AH31" s="5">
        <f t="shared" si="69"/>
        <v>7.8635186429865084E-2</v>
      </c>
      <c r="AI31" s="5">
        <f t="shared" si="70"/>
        <v>2.5586697697742501E-4</v>
      </c>
      <c r="AJ31" s="5">
        <f t="shared" si="71"/>
        <v>7.3017915393127817E-5</v>
      </c>
      <c r="AK31" s="5">
        <f t="shared" si="72"/>
        <v>7.8635186429865084E-2</v>
      </c>
      <c r="AL31" s="5">
        <f t="shared" si="73"/>
        <v>1.450629483383707E-2</v>
      </c>
      <c r="AM31" s="5">
        <f t="shared" si="74"/>
        <v>1.450629483383707E-2</v>
      </c>
      <c r="AN31" s="5">
        <f t="shared" si="75"/>
        <v>6.7415156937632847E-3</v>
      </c>
      <c r="AO31" s="5">
        <f t="shared" si="76"/>
        <v>5.0986594519227572E-3</v>
      </c>
      <c r="AP31" s="24">
        <f t="shared" si="77"/>
        <v>6.7415156937632847E-3</v>
      </c>
      <c r="AQ31" s="225">
        <f t="shared" si="78"/>
        <v>9.6000000000000002E-2</v>
      </c>
      <c r="AR31" s="5">
        <f t="shared" si="79"/>
        <v>0.109</v>
      </c>
      <c r="AS31" s="5">
        <f t="shared" si="80"/>
        <v>0.10299999999999999</v>
      </c>
      <c r="AT31" s="196">
        <f t="shared" si="81"/>
        <v>0.64</v>
      </c>
      <c r="AU31" s="196">
        <f t="shared" si="82"/>
        <v>0.73</v>
      </c>
      <c r="AV31" s="196">
        <f t="shared" si="83"/>
        <v>0.69</v>
      </c>
      <c r="AW31" s="51">
        <f t="shared" si="84"/>
        <v>5</v>
      </c>
      <c r="AX31" s="51">
        <f t="shared" si="85"/>
        <v>4</v>
      </c>
      <c r="AY31" s="226">
        <f t="shared" si="86"/>
        <v>4</v>
      </c>
    </row>
    <row r="32" spans="1:51" ht="13.15" customHeight="1">
      <c r="A32" s="96">
        <v>10837</v>
      </c>
      <c r="B32" s="97" t="s">
        <v>183</v>
      </c>
      <c r="C32" s="222" t="str">
        <f>Rollover!A32</f>
        <v>Kia</v>
      </c>
      <c r="D32" s="223" t="str">
        <f>Rollover!B32</f>
        <v>Telluride SUV AWD</v>
      </c>
      <c r="E32" s="197" t="s">
        <v>85</v>
      </c>
      <c r="F32" s="224">
        <f>Rollover!C32</f>
        <v>2020</v>
      </c>
      <c r="G32" s="230">
        <v>281.31299999999999</v>
      </c>
      <c r="H32" s="11">
        <v>0.26600000000000001</v>
      </c>
      <c r="I32" s="11">
        <v>1224.4970000000001</v>
      </c>
      <c r="J32" s="11">
        <v>142.03299999999999</v>
      </c>
      <c r="K32" s="11">
        <v>23.268999999999998</v>
      </c>
      <c r="L32" s="11">
        <v>41.252000000000002</v>
      </c>
      <c r="M32" s="11">
        <v>727.70299999999997</v>
      </c>
      <c r="N32" s="12">
        <v>4438.2209999999995</v>
      </c>
      <c r="O32" s="10">
        <v>377.92200000000003</v>
      </c>
      <c r="P32" s="11">
        <v>0.36399999999999999</v>
      </c>
      <c r="Q32" s="11">
        <v>583.77</v>
      </c>
      <c r="R32" s="11">
        <v>404.86900000000003</v>
      </c>
      <c r="S32" s="11">
        <v>9.2579999999999991</v>
      </c>
      <c r="T32" s="11">
        <v>45.195999999999998</v>
      </c>
      <c r="U32" s="11">
        <v>1561.1189999999999</v>
      </c>
      <c r="V32" s="12">
        <v>1639.8420000000001</v>
      </c>
      <c r="W32" s="225">
        <f t="shared" si="58"/>
        <v>7.1457314110356272E-3</v>
      </c>
      <c r="X32" s="5">
        <f t="shared" si="59"/>
        <v>6.2784842311788214E-2</v>
      </c>
      <c r="Y32" s="5">
        <f t="shared" si="60"/>
        <v>3.1383803655059338E-4</v>
      </c>
      <c r="Z32" s="5">
        <f t="shared" si="61"/>
        <v>2.4006267123590222E-5</v>
      </c>
      <c r="AA32" s="5">
        <f t="shared" si="62"/>
        <v>6.2784842311788214E-2</v>
      </c>
      <c r="AB32" s="5">
        <f t="shared" si="63"/>
        <v>2.0808433560233069E-2</v>
      </c>
      <c r="AC32" s="5">
        <f t="shared" si="64"/>
        <v>2.0808433560233069E-2</v>
      </c>
      <c r="AD32" s="5">
        <f t="shared" si="65"/>
        <v>4.4217616992931865E-3</v>
      </c>
      <c r="AE32" s="5">
        <f t="shared" si="66"/>
        <v>2.9632579516231126E-2</v>
      </c>
      <c r="AF32" s="24">
        <f t="shared" si="67"/>
        <v>2.9632579516231126E-2</v>
      </c>
      <c r="AG32" s="23">
        <f t="shared" si="68"/>
        <v>2.0138527831967033E-2</v>
      </c>
      <c r="AH32" s="5">
        <f t="shared" si="69"/>
        <v>7.5142260987360876E-2</v>
      </c>
      <c r="AI32" s="5">
        <f t="shared" si="70"/>
        <v>1.5730178280803594E-4</v>
      </c>
      <c r="AJ32" s="5">
        <f t="shared" si="71"/>
        <v>8.0140916696900695E-5</v>
      </c>
      <c r="AK32" s="5">
        <f t="shared" si="72"/>
        <v>7.5142260987360876E-2</v>
      </c>
      <c r="AL32" s="5">
        <f t="shared" si="73"/>
        <v>3.1986351106765092E-3</v>
      </c>
      <c r="AM32" s="5">
        <f t="shared" si="74"/>
        <v>3.1986351106765092E-3</v>
      </c>
      <c r="AN32" s="5">
        <f t="shared" si="75"/>
        <v>9.8979198134876017E-3</v>
      </c>
      <c r="AO32" s="5">
        <f t="shared" si="76"/>
        <v>1.0503326567807447E-2</v>
      </c>
      <c r="AP32" s="24">
        <f t="shared" si="77"/>
        <v>1.0503326567807447E-2</v>
      </c>
      <c r="AQ32" s="225">
        <f t="shared" si="78"/>
        <v>0.11600000000000001</v>
      </c>
      <c r="AR32" s="5">
        <f t="shared" si="79"/>
        <v>0.106</v>
      </c>
      <c r="AS32" s="5">
        <f t="shared" si="80"/>
        <v>0.111</v>
      </c>
      <c r="AT32" s="196">
        <f t="shared" si="81"/>
        <v>0.77</v>
      </c>
      <c r="AU32" s="196">
        <f t="shared" si="82"/>
        <v>0.71</v>
      </c>
      <c r="AV32" s="196">
        <f t="shared" si="83"/>
        <v>0.74</v>
      </c>
      <c r="AW32" s="51">
        <f t="shared" si="84"/>
        <v>4</v>
      </c>
      <c r="AX32" s="51">
        <f t="shared" si="85"/>
        <v>4</v>
      </c>
      <c r="AY32" s="226">
        <f t="shared" si="86"/>
        <v>4</v>
      </c>
    </row>
    <row r="33" spans="1:51" ht="13.15" customHeight="1">
      <c r="A33" s="96">
        <v>10837</v>
      </c>
      <c r="B33" s="97" t="s">
        <v>183</v>
      </c>
      <c r="C33" s="222" t="str">
        <f>Rollover!A33</f>
        <v>Kia</v>
      </c>
      <c r="D33" s="223" t="str">
        <f>Rollover!B33</f>
        <v>Telluride SUV FWD</v>
      </c>
      <c r="E33" s="197" t="s">
        <v>85</v>
      </c>
      <c r="F33" s="224">
        <f>Rollover!C33</f>
        <v>2020</v>
      </c>
      <c r="G33" s="230">
        <v>281.31299999999999</v>
      </c>
      <c r="H33" s="11">
        <v>0.26600000000000001</v>
      </c>
      <c r="I33" s="11">
        <v>1224.4970000000001</v>
      </c>
      <c r="J33" s="11">
        <v>142.03299999999999</v>
      </c>
      <c r="K33" s="11">
        <v>23.268999999999998</v>
      </c>
      <c r="L33" s="11">
        <v>41.252000000000002</v>
      </c>
      <c r="M33" s="11">
        <v>727.70299999999997</v>
      </c>
      <c r="N33" s="12">
        <v>4438.2209999999995</v>
      </c>
      <c r="O33" s="10">
        <v>377.92200000000003</v>
      </c>
      <c r="P33" s="11">
        <v>0.36399999999999999</v>
      </c>
      <c r="Q33" s="11">
        <v>583.77</v>
      </c>
      <c r="R33" s="11">
        <v>404.86900000000003</v>
      </c>
      <c r="S33" s="11">
        <v>9.2579999999999991</v>
      </c>
      <c r="T33" s="11">
        <v>45.195999999999998</v>
      </c>
      <c r="U33" s="11">
        <v>1561.1189999999999</v>
      </c>
      <c r="V33" s="12">
        <v>1639.8420000000001</v>
      </c>
      <c r="W33" s="225">
        <f t="shared" si="29"/>
        <v>7.1457314110356272E-3</v>
      </c>
      <c r="X33" s="5">
        <f t="shared" si="30"/>
        <v>6.2784842311788214E-2</v>
      </c>
      <c r="Y33" s="5">
        <f t="shared" si="31"/>
        <v>3.1383803655059338E-4</v>
      </c>
      <c r="Z33" s="5">
        <f t="shared" si="32"/>
        <v>2.4006267123590222E-5</v>
      </c>
      <c r="AA33" s="5">
        <f t="shared" si="33"/>
        <v>6.2784842311788214E-2</v>
      </c>
      <c r="AB33" s="5">
        <f t="shared" si="34"/>
        <v>2.0808433560233069E-2</v>
      </c>
      <c r="AC33" s="5">
        <f t="shared" si="35"/>
        <v>2.0808433560233069E-2</v>
      </c>
      <c r="AD33" s="5">
        <f t="shared" si="36"/>
        <v>4.4217616992931865E-3</v>
      </c>
      <c r="AE33" s="5">
        <f t="shared" si="37"/>
        <v>2.9632579516231126E-2</v>
      </c>
      <c r="AF33" s="24">
        <f t="shared" si="38"/>
        <v>2.9632579516231126E-2</v>
      </c>
      <c r="AG33" s="23">
        <f t="shared" si="39"/>
        <v>2.0138527831967033E-2</v>
      </c>
      <c r="AH33" s="5">
        <f t="shared" si="40"/>
        <v>7.5142260987360876E-2</v>
      </c>
      <c r="AI33" s="5">
        <f t="shared" si="41"/>
        <v>1.5730178280803594E-4</v>
      </c>
      <c r="AJ33" s="5">
        <f t="shared" si="42"/>
        <v>8.0140916696900695E-5</v>
      </c>
      <c r="AK33" s="5">
        <f t="shared" si="43"/>
        <v>7.5142260987360876E-2</v>
      </c>
      <c r="AL33" s="5">
        <f t="shared" si="44"/>
        <v>3.1986351106765092E-3</v>
      </c>
      <c r="AM33" s="5">
        <f t="shared" si="45"/>
        <v>3.1986351106765092E-3</v>
      </c>
      <c r="AN33" s="5">
        <f t="shared" si="46"/>
        <v>9.8979198134876017E-3</v>
      </c>
      <c r="AO33" s="5">
        <f t="shared" si="47"/>
        <v>1.0503326567807447E-2</v>
      </c>
      <c r="AP33" s="24">
        <f t="shared" si="48"/>
        <v>1.0503326567807447E-2</v>
      </c>
      <c r="AQ33" s="225">
        <f t="shared" si="49"/>
        <v>0.11600000000000001</v>
      </c>
      <c r="AR33" s="5">
        <f t="shared" si="50"/>
        <v>0.106</v>
      </c>
      <c r="AS33" s="5">
        <f t="shared" si="51"/>
        <v>0.111</v>
      </c>
      <c r="AT33" s="196">
        <f t="shared" si="52"/>
        <v>0.77</v>
      </c>
      <c r="AU33" s="196">
        <f t="shared" si="53"/>
        <v>0.71</v>
      </c>
      <c r="AV33" s="196">
        <f t="shared" si="54"/>
        <v>0.74</v>
      </c>
      <c r="AW33" s="51">
        <f t="shared" si="55"/>
        <v>4</v>
      </c>
      <c r="AX33" s="51">
        <f t="shared" si="56"/>
        <v>4</v>
      </c>
      <c r="AY33" s="226">
        <f t="shared" si="57"/>
        <v>4</v>
      </c>
    </row>
    <row r="34" spans="1:51" ht="13.15" customHeight="1">
      <c r="A34" s="96">
        <v>10986</v>
      </c>
      <c r="B34" s="97" t="s">
        <v>226</v>
      </c>
      <c r="C34" s="222" t="str">
        <f>Rollover!A34</f>
        <v>Mazda</v>
      </c>
      <c r="D34" s="223" t="str">
        <f>Rollover!B34</f>
        <v>CX-30 SUV AWD</v>
      </c>
      <c r="E34" s="197" t="s">
        <v>99</v>
      </c>
      <c r="F34" s="224">
        <f>Rollover!C34</f>
        <v>2020</v>
      </c>
      <c r="G34" s="230">
        <v>148.12899999999999</v>
      </c>
      <c r="H34" s="11">
        <v>0.26700000000000002</v>
      </c>
      <c r="I34" s="11">
        <v>961.678</v>
      </c>
      <c r="J34" s="11">
        <v>82.411000000000001</v>
      </c>
      <c r="K34" s="11">
        <v>19.47</v>
      </c>
      <c r="L34" s="11">
        <v>41.686</v>
      </c>
      <c r="M34" s="11">
        <v>895.45399999999995</v>
      </c>
      <c r="N34" s="12">
        <v>766.77800000000002</v>
      </c>
      <c r="O34" s="10">
        <v>179.328</v>
      </c>
      <c r="P34" s="11">
        <v>0.33500000000000002</v>
      </c>
      <c r="Q34" s="11">
        <v>766.07500000000005</v>
      </c>
      <c r="R34" s="11">
        <v>378.63600000000002</v>
      </c>
      <c r="S34" s="11">
        <v>12.388</v>
      </c>
      <c r="T34" s="11">
        <v>47.935000000000002</v>
      </c>
      <c r="U34" s="11">
        <v>1688.941</v>
      </c>
      <c r="V34" s="12">
        <v>1717.0650000000001</v>
      </c>
      <c r="W34" s="225">
        <f t="shared" si="29"/>
        <v>4.555804321582098E-4</v>
      </c>
      <c r="X34" s="5">
        <f t="shared" si="30"/>
        <v>6.2900791995682381E-2</v>
      </c>
      <c r="Y34" s="5">
        <f t="shared" si="31"/>
        <v>1.6814515911204729E-4</v>
      </c>
      <c r="Z34" s="5">
        <f t="shared" si="32"/>
        <v>2.0836699813073981E-5</v>
      </c>
      <c r="AA34" s="5">
        <f t="shared" si="33"/>
        <v>6.2900791995682381E-2</v>
      </c>
      <c r="AB34" s="5">
        <f t="shared" si="34"/>
        <v>1.2374364443408109E-2</v>
      </c>
      <c r="AC34" s="5">
        <f t="shared" si="35"/>
        <v>1.2374364443408109E-2</v>
      </c>
      <c r="AD34" s="5">
        <f t="shared" si="36"/>
        <v>4.8225314150411973E-3</v>
      </c>
      <c r="AE34" s="5">
        <f t="shared" si="37"/>
        <v>4.5120467303473412E-3</v>
      </c>
      <c r="AF34" s="24">
        <f t="shared" si="38"/>
        <v>4.8225314150411973E-3</v>
      </c>
      <c r="AG34" s="23">
        <f t="shared" si="39"/>
        <v>1.1129196292933082E-3</v>
      </c>
      <c r="AH34" s="5">
        <f t="shared" si="40"/>
        <v>7.1269376484937183E-2</v>
      </c>
      <c r="AI34" s="5">
        <f t="shared" si="41"/>
        <v>3.1271759831177898E-4</v>
      </c>
      <c r="AJ34" s="5">
        <f t="shared" si="42"/>
        <v>7.2594973242957027E-5</v>
      </c>
      <c r="AK34" s="5">
        <f t="shared" si="43"/>
        <v>7.1269376484937183E-2</v>
      </c>
      <c r="AL34" s="5">
        <f t="shared" si="44"/>
        <v>6.3607003370204866E-3</v>
      </c>
      <c r="AM34" s="5">
        <f t="shared" si="45"/>
        <v>6.3607003370204866E-3</v>
      </c>
      <c r="AN34" s="5">
        <f t="shared" si="46"/>
        <v>1.0899318621939479E-2</v>
      </c>
      <c r="AO34" s="5">
        <f t="shared" si="47"/>
        <v>1.1132757760002289E-2</v>
      </c>
      <c r="AP34" s="24">
        <f t="shared" si="48"/>
        <v>1.1132757760002289E-2</v>
      </c>
      <c r="AQ34" s="225">
        <f t="shared" si="49"/>
        <v>7.9000000000000001E-2</v>
      </c>
      <c r="AR34" s="5">
        <f t="shared" si="50"/>
        <v>8.7999999999999995E-2</v>
      </c>
      <c r="AS34" s="5">
        <f t="shared" si="51"/>
        <v>8.4000000000000005E-2</v>
      </c>
      <c r="AT34" s="196">
        <f t="shared" si="52"/>
        <v>0.53</v>
      </c>
      <c r="AU34" s="196">
        <f t="shared" si="53"/>
        <v>0.59</v>
      </c>
      <c r="AV34" s="196">
        <f t="shared" si="54"/>
        <v>0.56000000000000005</v>
      </c>
      <c r="AW34" s="51">
        <f t="shared" si="55"/>
        <v>5</v>
      </c>
      <c r="AX34" s="51">
        <f t="shared" si="56"/>
        <v>5</v>
      </c>
      <c r="AY34" s="226">
        <f t="shared" si="57"/>
        <v>5</v>
      </c>
    </row>
    <row r="35" spans="1:51" ht="13.15" customHeight="1">
      <c r="A35" s="96">
        <v>10986</v>
      </c>
      <c r="B35" s="97" t="s">
        <v>226</v>
      </c>
      <c r="C35" s="228" t="str">
        <f>Rollover!A35</f>
        <v>Mazda</v>
      </c>
      <c r="D35" s="229" t="str">
        <f>Rollover!B35</f>
        <v>CX-30 SUV FWD</v>
      </c>
      <c r="E35" s="197" t="s">
        <v>99</v>
      </c>
      <c r="F35" s="224">
        <f>Rollover!C35</f>
        <v>2020</v>
      </c>
      <c r="G35" s="230">
        <v>148.12899999999999</v>
      </c>
      <c r="H35" s="11">
        <v>0.26700000000000002</v>
      </c>
      <c r="I35" s="11">
        <v>961.678</v>
      </c>
      <c r="J35" s="11">
        <v>82.411000000000001</v>
      </c>
      <c r="K35" s="11">
        <v>19.47</v>
      </c>
      <c r="L35" s="11">
        <v>41.686</v>
      </c>
      <c r="M35" s="11">
        <v>895.45399999999995</v>
      </c>
      <c r="N35" s="12">
        <v>766.77800000000002</v>
      </c>
      <c r="O35" s="10">
        <v>179.328</v>
      </c>
      <c r="P35" s="11">
        <v>0.33500000000000002</v>
      </c>
      <c r="Q35" s="11">
        <v>766.07500000000005</v>
      </c>
      <c r="R35" s="11">
        <v>378.63600000000002</v>
      </c>
      <c r="S35" s="11">
        <v>12.388</v>
      </c>
      <c r="T35" s="11">
        <v>47.935000000000002</v>
      </c>
      <c r="U35" s="11">
        <v>1688.941</v>
      </c>
      <c r="V35" s="12">
        <v>1717.0650000000001</v>
      </c>
      <c r="W35" s="225">
        <f t="shared" si="29"/>
        <v>4.555804321582098E-4</v>
      </c>
      <c r="X35" s="5">
        <f t="shared" si="30"/>
        <v>6.2900791995682381E-2</v>
      </c>
      <c r="Y35" s="5">
        <f t="shared" si="31"/>
        <v>1.6814515911204729E-4</v>
      </c>
      <c r="Z35" s="5">
        <f t="shared" si="32"/>
        <v>2.0836699813073981E-5</v>
      </c>
      <c r="AA35" s="5">
        <f t="shared" si="33"/>
        <v>6.2900791995682381E-2</v>
      </c>
      <c r="AB35" s="5">
        <f t="shared" si="34"/>
        <v>1.2374364443408109E-2</v>
      </c>
      <c r="AC35" s="5">
        <f t="shared" si="35"/>
        <v>1.2374364443408109E-2</v>
      </c>
      <c r="AD35" s="5">
        <f t="shared" si="36"/>
        <v>4.8225314150411973E-3</v>
      </c>
      <c r="AE35" s="5">
        <f t="shared" si="37"/>
        <v>4.5120467303473412E-3</v>
      </c>
      <c r="AF35" s="24">
        <f t="shared" si="38"/>
        <v>4.8225314150411973E-3</v>
      </c>
      <c r="AG35" s="23">
        <f t="shared" si="39"/>
        <v>1.1129196292933082E-3</v>
      </c>
      <c r="AH35" s="5">
        <f t="shared" si="40"/>
        <v>7.1269376484937183E-2</v>
      </c>
      <c r="AI35" s="5">
        <f t="shared" si="41"/>
        <v>3.1271759831177898E-4</v>
      </c>
      <c r="AJ35" s="5">
        <f t="shared" si="42"/>
        <v>7.2594973242957027E-5</v>
      </c>
      <c r="AK35" s="5">
        <f t="shared" si="43"/>
        <v>7.1269376484937183E-2</v>
      </c>
      <c r="AL35" s="5">
        <f t="shared" si="44"/>
        <v>6.3607003370204866E-3</v>
      </c>
      <c r="AM35" s="5">
        <f t="shared" si="45"/>
        <v>6.3607003370204866E-3</v>
      </c>
      <c r="AN35" s="5">
        <f t="shared" si="46"/>
        <v>1.0899318621939479E-2</v>
      </c>
      <c r="AO35" s="5">
        <f t="shared" si="47"/>
        <v>1.1132757760002289E-2</v>
      </c>
      <c r="AP35" s="24">
        <f t="shared" si="48"/>
        <v>1.1132757760002289E-2</v>
      </c>
      <c r="AQ35" s="225">
        <f t="shared" si="49"/>
        <v>7.9000000000000001E-2</v>
      </c>
      <c r="AR35" s="5">
        <f t="shared" si="50"/>
        <v>8.7999999999999995E-2</v>
      </c>
      <c r="AS35" s="5">
        <f t="shared" si="51"/>
        <v>8.4000000000000005E-2</v>
      </c>
      <c r="AT35" s="196">
        <f t="shared" si="52"/>
        <v>0.53</v>
      </c>
      <c r="AU35" s="196">
        <f t="shared" si="53"/>
        <v>0.59</v>
      </c>
      <c r="AV35" s="196">
        <f t="shared" si="54"/>
        <v>0.56000000000000005</v>
      </c>
      <c r="AW35" s="51">
        <f t="shared" si="55"/>
        <v>5</v>
      </c>
      <c r="AX35" s="51">
        <f t="shared" si="56"/>
        <v>5</v>
      </c>
      <c r="AY35" s="226">
        <f t="shared" si="57"/>
        <v>5</v>
      </c>
    </row>
    <row r="36" spans="1:51" ht="13.15" customHeight="1">
      <c r="A36" s="87">
        <v>10970</v>
      </c>
      <c r="B36" s="87" t="s">
        <v>216</v>
      </c>
      <c r="C36" s="222" t="str">
        <f>Rollover!A36</f>
        <v>Mazda</v>
      </c>
      <c r="D36" s="223" t="str">
        <f>Rollover!B36</f>
        <v>Mazda3 4DR AWD</v>
      </c>
      <c r="E36" s="197" t="s">
        <v>91</v>
      </c>
      <c r="F36" s="224">
        <f>Rollover!C36</f>
        <v>2020</v>
      </c>
      <c r="G36" s="10">
        <v>89.287999999999997</v>
      </c>
      <c r="H36" s="11">
        <v>0.16800000000000001</v>
      </c>
      <c r="I36" s="11">
        <v>953.29200000000003</v>
      </c>
      <c r="J36" s="11">
        <v>121.503</v>
      </c>
      <c r="K36" s="11">
        <v>19.047000000000001</v>
      </c>
      <c r="L36" s="11">
        <v>35.947000000000003</v>
      </c>
      <c r="M36" s="11">
        <v>911.31</v>
      </c>
      <c r="N36" s="12">
        <v>941.85900000000004</v>
      </c>
      <c r="O36" s="10">
        <v>153.27199999999999</v>
      </c>
      <c r="P36" s="11">
        <v>0.29599999999999999</v>
      </c>
      <c r="Q36" s="11">
        <v>849.76900000000001</v>
      </c>
      <c r="R36" s="11">
        <v>89.236000000000004</v>
      </c>
      <c r="S36" s="11">
        <v>9.8840000000000003</v>
      </c>
      <c r="T36" s="11">
        <v>38.423999999999999</v>
      </c>
      <c r="U36" s="11">
        <v>792.36400000000003</v>
      </c>
      <c r="V36" s="12">
        <v>894.048</v>
      </c>
      <c r="W36" s="225">
        <f t="shared" si="29"/>
        <v>3.157680554564375E-5</v>
      </c>
      <c r="X36" s="5">
        <f t="shared" si="30"/>
        <v>5.2344627477449487E-2</v>
      </c>
      <c r="Y36" s="5">
        <f t="shared" si="31"/>
        <v>1.648299298986672E-4</v>
      </c>
      <c r="Z36" s="5">
        <f t="shared" si="32"/>
        <v>2.2863855903740312E-5</v>
      </c>
      <c r="AA36" s="5">
        <f t="shared" si="33"/>
        <v>5.2344627477449487E-2</v>
      </c>
      <c r="AB36" s="5">
        <f t="shared" si="34"/>
        <v>1.1637407406530839E-2</v>
      </c>
      <c r="AC36" s="5">
        <f t="shared" si="35"/>
        <v>1.1637407406530839E-2</v>
      </c>
      <c r="AD36" s="5">
        <f t="shared" si="36"/>
        <v>4.8622333167304688E-3</v>
      </c>
      <c r="AE36" s="5">
        <f t="shared" si="37"/>
        <v>4.9396443302535892E-3</v>
      </c>
      <c r="AF36" s="24">
        <f t="shared" si="38"/>
        <v>4.9396443302535892E-3</v>
      </c>
      <c r="AG36" s="23">
        <f t="shared" si="39"/>
        <v>5.3681005262700321E-4</v>
      </c>
      <c r="AH36" s="5">
        <f t="shared" si="40"/>
        <v>6.6351404670391328E-2</v>
      </c>
      <c r="AI36" s="5">
        <f t="shared" si="41"/>
        <v>4.2868008407522825E-4</v>
      </c>
      <c r="AJ36" s="5">
        <f t="shared" si="42"/>
        <v>2.4383480984324062E-5</v>
      </c>
      <c r="AK36" s="5">
        <f t="shared" si="43"/>
        <v>6.6351404670391328E-2</v>
      </c>
      <c r="AL36" s="5">
        <f t="shared" si="44"/>
        <v>3.7039006567484607E-3</v>
      </c>
      <c r="AM36" s="5">
        <f t="shared" si="45"/>
        <v>3.7039006567484607E-3</v>
      </c>
      <c r="AN36" s="5">
        <f t="shared" si="46"/>
        <v>5.5345347330976588E-3</v>
      </c>
      <c r="AO36" s="5">
        <f t="shared" si="47"/>
        <v>5.9776936635972285E-3</v>
      </c>
      <c r="AP36" s="24">
        <f t="shared" si="48"/>
        <v>5.9776936635972285E-3</v>
      </c>
      <c r="AQ36" s="225">
        <f t="shared" si="49"/>
        <v>6.8000000000000005E-2</v>
      </c>
      <c r="AR36" s="5">
        <f t="shared" si="50"/>
        <v>7.5999999999999998E-2</v>
      </c>
      <c r="AS36" s="5">
        <f t="shared" si="51"/>
        <v>7.1999999999999995E-2</v>
      </c>
      <c r="AT36" s="196">
        <f t="shared" si="52"/>
        <v>0.45</v>
      </c>
      <c r="AU36" s="196">
        <f t="shared" si="53"/>
        <v>0.51</v>
      </c>
      <c r="AV36" s="196">
        <f t="shared" si="54"/>
        <v>0.48</v>
      </c>
      <c r="AW36" s="51">
        <f t="shared" si="55"/>
        <v>5</v>
      </c>
      <c r="AX36" s="51">
        <f t="shared" si="56"/>
        <v>5</v>
      </c>
      <c r="AY36" s="226">
        <f t="shared" si="57"/>
        <v>5</v>
      </c>
    </row>
    <row r="37" spans="1:51" ht="13.15" customHeight="1">
      <c r="A37" s="87">
        <v>10970</v>
      </c>
      <c r="B37" s="87" t="s">
        <v>216</v>
      </c>
      <c r="C37" s="222" t="str">
        <f>Rollover!A37</f>
        <v>Mazda</v>
      </c>
      <c r="D37" s="223" t="str">
        <f>Rollover!B37</f>
        <v>Mazda3 4DR FWD</v>
      </c>
      <c r="E37" s="197" t="s">
        <v>91</v>
      </c>
      <c r="F37" s="224">
        <f>Rollover!C37</f>
        <v>2020</v>
      </c>
      <c r="G37" s="10">
        <v>89.287999999999997</v>
      </c>
      <c r="H37" s="11">
        <v>0.16800000000000001</v>
      </c>
      <c r="I37" s="11">
        <v>953.29200000000003</v>
      </c>
      <c r="J37" s="11">
        <v>121.503</v>
      </c>
      <c r="K37" s="11">
        <v>19.047000000000001</v>
      </c>
      <c r="L37" s="11">
        <v>35.947000000000003</v>
      </c>
      <c r="M37" s="11">
        <v>911.31</v>
      </c>
      <c r="N37" s="12">
        <v>941.85900000000004</v>
      </c>
      <c r="O37" s="10">
        <v>153.27199999999999</v>
      </c>
      <c r="P37" s="11">
        <v>0.29599999999999999</v>
      </c>
      <c r="Q37" s="11">
        <v>849.76900000000001</v>
      </c>
      <c r="R37" s="11">
        <v>89.236000000000004</v>
      </c>
      <c r="S37" s="11">
        <v>9.8840000000000003</v>
      </c>
      <c r="T37" s="11">
        <v>38.423999999999999</v>
      </c>
      <c r="U37" s="11">
        <v>792.36400000000003</v>
      </c>
      <c r="V37" s="12">
        <v>894.048</v>
      </c>
      <c r="W37" s="225">
        <f t="shared" si="29"/>
        <v>3.157680554564375E-5</v>
      </c>
      <c r="X37" s="5">
        <f t="shared" si="30"/>
        <v>5.2344627477449487E-2</v>
      </c>
      <c r="Y37" s="5">
        <f t="shared" si="31"/>
        <v>1.648299298986672E-4</v>
      </c>
      <c r="Z37" s="5">
        <f t="shared" si="32"/>
        <v>2.2863855903740312E-5</v>
      </c>
      <c r="AA37" s="5">
        <f t="shared" si="33"/>
        <v>5.2344627477449487E-2</v>
      </c>
      <c r="AB37" s="5">
        <f t="shared" si="34"/>
        <v>1.1637407406530839E-2</v>
      </c>
      <c r="AC37" s="5">
        <f t="shared" si="35"/>
        <v>1.1637407406530839E-2</v>
      </c>
      <c r="AD37" s="5">
        <f t="shared" si="36"/>
        <v>4.8622333167304688E-3</v>
      </c>
      <c r="AE37" s="5">
        <f t="shared" si="37"/>
        <v>4.9396443302535892E-3</v>
      </c>
      <c r="AF37" s="24">
        <f t="shared" si="38"/>
        <v>4.9396443302535892E-3</v>
      </c>
      <c r="AG37" s="23">
        <f t="shared" si="39"/>
        <v>5.3681005262700321E-4</v>
      </c>
      <c r="AH37" s="5">
        <f t="shared" si="40"/>
        <v>6.6351404670391328E-2</v>
      </c>
      <c r="AI37" s="5">
        <f t="shared" si="41"/>
        <v>4.2868008407522825E-4</v>
      </c>
      <c r="AJ37" s="5">
        <f t="shared" si="42"/>
        <v>2.4383480984324062E-5</v>
      </c>
      <c r="AK37" s="5">
        <f t="shared" si="43"/>
        <v>6.6351404670391328E-2</v>
      </c>
      <c r="AL37" s="5">
        <f t="shared" si="44"/>
        <v>3.7039006567484607E-3</v>
      </c>
      <c r="AM37" s="5">
        <f t="shared" si="45"/>
        <v>3.7039006567484607E-3</v>
      </c>
      <c r="AN37" s="5">
        <f t="shared" si="46"/>
        <v>5.5345347330976588E-3</v>
      </c>
      <c r="AO37" s="5">
        <f t="shared" si="47"/>
        <v>5.9776936635972285E-3</v>
      </c>
      <c r="AP37" s="24">
        <f t="shared" si="48"/>
        <v>5.9776936635972285E-3</v>
      </c>
      <c r="AQ37" s="225">
        <f t="shared" si="49"/>
        <v>6.8000000000000005E-2</v>
      </c>
      <c r="AR37" s="5">
        <f t="shared" si="50"/>
        <v>7.5999999999999998E-2</v>
      </c>
      <c r="AS37" s="5">
        <f t="shared" si="51"/>
        <v>7.1999999999999995E-2</v>
      </c>
      <c r="AT37" s="196">
        <f t="shared" si="52"/>
        <v>0.45</v>
      </c>
      <c r="AU37" s="196">
        <f t="shared" si="53"/>
        <v>0.51</v>
      </c>
      <c r="AV37" s="196">
        <f t="shared" si="54"/>
        <v>0.48</v>
      </c>
      <c r="AW37" s="51">
        <f t="shared" si="55"/>
        <v>5</v>
      </c>
      <c r="AX37" s="51">
        <f t="shared" si="56"/>
        <v>5</v>
      </c>
      <c r="AY37" s="226">
        <f t="shared" si="57"/>
        <v>5</v>
      </c>
    </row>
    <row r="38" spans="1:51" ht="13.15" customHeight="1">
      <c r="A38" s="87">
        <v>10970</v>
      </c>
      <c r="B38" s="87" t="s">
        <v>216</v>
      </c>
      <c r="C38" s="228" t="str">
        <f>Rollover!A38</f>
        <v>Mazda</v>
      </c>
      <c r="D38" s="229" t="str">
        <f>Rollover!B38</f>
        <v>Mazda3 5HB AWD</v>
      </c>
      <c r="E38" s="197" t="s">
        <v>91</v>
      </c>
      <c r="F38" s="224">
        <f>Rollover!C38</f>
        <v>2020</v>
      </c>
      <c r="G38" s="10">
        <v>89.287999999999997</v>
      </c>
      <c r="H38" s="11">
        <v>0.16800000000000001</v>
      </c>
      <c r="I38" s="11">
        <v>953.29200000000003</v>
      </c>
      <c r="J38" s="11">
        <v>121.503</v>
      </c>
      <c r="K38" s="11">
        <v>19.047000000000001</v>
      </c>
      <c r="L38" s="11">
        <v>35.947000000000003</v>
      </c>
      <c r="M38" s="11">
        <v>911.31</v>
      </c>
      <c r="N38" s="12">
        <v>941.85900000000004</v>
      </c>
      <c r="O38" s="10">
        <v>153.27199999999999</v>
      </c>
      <c r="P38" s="11">
        <v>0.29599999999999999</v>
      </c>
      <c r="Q38" s="11">
        <v>849.76900000000001</v>
      </c>
      <c r="R38" s="11">
        <v>89.236000000000004</v>
      </c>
      <c r="S38" s="11">
        <v>9.8840000000000003</v>
      </c>
      <c r="T38" s="11">
        <v>38.423999999999999</v>
      </c>
      <c r="U38" s="11">
        <v>792.36400000000003</v>
      </c>
      <c r="V38" s="12">
        <v>894.048</v>
      </c>
      <c r="W38" s="225">
        <f t="shared" si="29"/>
        <v>3.157680554564375E-5</v>
      </c>
      <c r="X38" s="5">
        <f t="shared" si="30"/>
        <v>5.2344627477449487E-2</v>
      </c>
      <c r="Y38" s="5">
        <f t="shared" si="31"/>
        <v>1.648299298986672E-4</v>
      </c>
      <c r="Z38" s="5">
        <f t="shared" si="32"/>
        <v>2.2863855903740312E-5</v>
      </c>
      <c r="AA38" s="5">
        <f t="shared" si="33"/>
        <v>5.2344627477449487E-2</v>
      </c>
      <c r="AB38" s="5">
        <f t="shared" si="34"/>
        <v>1.1637407406530839E-2</v>
      </c>
      <c r="AC38" s="5">
        <f t="shared" si="35"/>
        <v>1.1637407406530839E-2</v>
      </c>
      <c r="AD38" s="5">
        <f t="shared" si="36"/>
        <v>4.8622333167304688E-3</v>
      </c>
      <c r="AE38" s="5">
        <f t="shared" si="37"/>
        <v>4.9396443302535892E-3</v>
      </c>
      <c r="AF38" s="24">
        <f t="shared" si="38"/>
        <v>4.9396443302535892E-3</v>
      </c>
      <c r="AG38" s="23">
        <f t="shared" si="39"/>
        <v>5.3681005262700321E-4</v>
      </c>
      <c r="AH38" s="5">
        <f t="shared" si="40"/>
        <v>6.6351404670391328E-2</v>
      </c>
      <c r="AI38" s="5">
        <f t="shared" si="41"/>
        <v>4.2868008407522825E-4</v>
      </c>
      <c r="AJ38" s="5">
        <f t="shared" si="42"/>
        <v>2.4383480984324062E-5</v>
      </c>
      <c r="AK38" s="5">
        <f t="shared" si="43"/>
        <v>6.6351404670391328E-2</v>
      </c>
      <c r="AL38" s="5">
        <f t="shared" si="44"/>
        <v>3.7039006567484607E-3</v>
      </c>
      <c r="AM38" s="5">
        <f t="shared" si="45"/>
        <v>3.7039006567484607E-3</v>
      </c>
      <c r="AN38" s="5">
        <f t="shared" si="46"/>
        <v>5.5345347330976588E-3</v>
      </c>
      <c r="AO38" s="5">
        <f t="shared" si="47"/>
        <v>5.9776936635972285E-3</v>
      </c>
      <c r="AP38" s="24">
        <f t="shared" si="48"/>
        <v>5.9776936635972285E-3</v>
      </c>
      <c r="AQ38" s="225">
        <f t="shared" si="49"/>
        <v>6.8000000000000005E-2</v>
      </c>
      <c r="AR38" s="5">
        <f t="shared" si="50"/>
        <v>7.5999999999999998E-2</v>
      </c>
      <c r="AS38" s="5">
        <f t="shared" si="51"/>
        <v>7.1999999999999995E-2</v>
      </c>
      <c r="AT38" s="196">
        <f t="shared" si="52"/>
        <v>0.45</v>
      </c>
      <c r="AU38" s="196">
        <f t="shared" si="53"/>
        <v>0.51</v>
      </c>
      <c r="AV38" s="196">
        <f t="shared" si="54"/>
        <v>0.48</v>
      </c>
      <c r="AW38" s="51">
        <f t="shared" si="55"/>
        <v>5</v>
      </c>
      <c r="AX38" s="51">
        <f t="shared" si="56"/>
        <v>5</v>
      </c>
      <c r="AY38" s="226">
        <f t="shared" si="57"/>
        <v>5</v>
      </c>
    </row>
    <row r="39" spans="1:51" ht="13.15" customHeight="1">
      <c r="A39" s="87">
        <v>10970</v>
      </c>
      <c r="B39" s="87" t="s">
        <v>216</v>
      </c>
      <c r="C39" s="228" t="str">
        <f>Rollover!A39</f>
        <v>Mazda</v>
      </c>
      <c r="D39" s="229" t="str">
        <f>Rollover!B39</f>
        <v>Mazda3 5HB FWD</v>
      </c>
      <c r="E39" s="197" t="s">
        <v>91</v>
      </c>
      <c r="F39" s="224">
        <f>Rollover!C39</f>
        <v>2020</v>
      </c>
      <c r="G39" s="23">
        <v>89.287999999999997</v>
      </c>
      <c r="H39" s="5">
        <v>0.16800000000000001</v>
      </c>
      <c r="I39" s="5">
        <v>953.29200000000003</v>
      </c>
      <c r="J39" s="5">
        <v>121.503</v>
      </c>
      <c r="K39" s="5">
        <v>19.047000000000001</v>
      </c>
      <c r="L39" s="5">
        <v>35.947000000000003</v>
      </c>
      <c r="M39" s="5">
        <v>911.31</v>
      </c>
      <c r="N39" s="24">
        <v>941.85900000000004</v>
      </c>
      <c r="O39" s="23">
        <v>153.27199999999999</v>
      </c>
      <c r="P39" s="5">
        <v>0.29599999999999999</v>
      </c>
      <c r="Q39" s="5">
        <v>849.76900000000001</v>
      </c>
      <c r="R39" s="5">
        <v>89.236000000000004</v>
      </c>
      <c r="S39" s="5">
        <v>9.8840000000000003</v>
      </c>
      <c r="T39" s="5">
        <v>38.423999999999999</v>
      </c>
      <c r="U39" s="5">
        <v>792.36400000000003</v>
      </c>
      <c r="V39" s="24">
        <v>894.048</v>
      </c>
      <c r="W39" s="225">
        <f t="shared" si="29"/>
        <v>3.157680554564375E-5</v>
      </c>
      <c r="X39" s="5">
        <f t="shared" si="30"/>
        <v>5.2344627477449487E-2</v>
      </c>
      <c r="Y39" s="5">
        <f t="shared" si="31"/>
        <v>1.648299298986672E-4</v>
      </c>
      <c r="Z39" s="5">
        <f t="shared" si="32"/>
        <v>2.2863855903740312E-5</v>
      </c>
      <c r="AA39" s="5">
        <f t="shared" si="33"/>
        <v>5.2344627477449487E-2</v>
      </c>
      <c r="AB39" s="5">
        <f t="shared" si="34"/>
        <v>1.1637407406530839E-2</v>
      </c>
      <c r="AC39" s="5">
        <f t="shared" si="35"/>
        <v>1.1637407406530839E-2</v>
      </c>
      <c r="AD39" s="5">
        <f t="shared" si="36"/>
        <v>4.8622333167304688E-3</v>
      </c>
      <c r="AE39" s="5">
        <f t="shared" si="37"/>
        <v>4.9396443302535892E-3</v>
      </c>
      <c r="AF39" s="24">
        <f t="shared" si="38"/>
        <v>4.9396443302535892E-3</v>
      </c>
      <c r="AG39" s="23">
        <f t="shared" si="39"/>
        <v>5.3681005262700321E-4</v>
      </c>
      <c r="AH39" s="5">
        <f t="shared" si="40"/>
        <v>6.6351404670391328E-2</v>
      </c>
      <c r="AI39" s="5">
        <f t="shared" si="41"/>
        <v>4.2868008407522825E-4</v>
      </c>
      <c r="AJ39" s="5">
        <f t="shared" si="42"/>
        <v>2.4383480984324062E-5</v>
      </c>
      <c r="AK39" s="5">
        <f t="shared" si="43"/>
        <v>6.6351404670391328E-2</v>
      </c>
      <c r="AL39" s="5">
        <f t="shared" si="44"/>
        <v>3.7039006567484607E-3</v>
      </c>
      <c r="AM39" s="5">
        <f t="shared" si="45"/>
        <v>3.7039006567484607E-3</v>
      </c>
      <c r="AN39" s="5">
        <f t="shared" si="46"/>
        <v>5.5345347330976588E-3</v>
      </c>
      <c r="AO39" s="5">
        <f t="shared" si="47"/>
        <v>5.9776936635972285E-3</v>
      </c>
      <c r="AP39" s="24">
        <f t="shared" si="48"/>
        <v>5.9776936635972285E-3</v>
      </c>
      <c r="AQ39" s="225">
        <f t="shared" si="49"/>
        <v>6.8000000000000005E-2</v>
      </c>
      <c r="AR39" s="5">
        <f t="shared" si="50"/>
        <v>7.5999999999999998E-2</v>
      </c>
      <c r="AS39" s="5">
        <f t="shared" si="51"/>
        <v>7.1999999999999995E-2</v>
      </c>
      <c r="AT39" s="196">
        <f t="shared" si="52"/>
        <v>0.45</v>
      </c>
      <c r="AU39" s="196">
        <f t="shared" si="53"/>
        <v>0.51</v>
      </c>
      <c r="AV39" s="196">
        <f t="shared" si="54"/>
        <v>0.48</v>
      </c>
      <c r="AW39" s="51">
        <f t="shared" si="55"/>
        <v>5</v>
      </c>
      <c r="AX39" s="51">
        <f t="shared" si="56"/>
        <v>5</v>
      </c>
      <c r="AY39" s="226">
        <f t="shared" si="57"/>
        <v>5</v>
      </c>
    </row>
    <row r="40" spans="1:51" ht="13.15" customHeight="1">
      <c r="A40" s="96">
        <v>10836</v>
      </c>
      <c r="B40" s="87" t="s">
        <v>180</v>
      </c>
      <c r="C40" s="228" t="str">
        <f>Rollover!A40</f>
        <v>Mitsubishi</v>
      </c>
      <c r="D40" s="229" t="str">
        <f>Rollover!B40</f>
        <v>Eclipse Cross SUV AWD</v>
      </c>
      <c r="E40" s="197" t="s">
        <v>99</v>
      </c>
      <c r="F40" s="224">
        <f>Rollover!C40</f>
        <v>2020</v>
      </c>
      <c r="G40" s="18">
        <v>289.98099999999999</v>
      </c>
      <c r="H40" s="19">
        <v>0.35099999999999998</v>
      </c>
      <c r="I40" s="19">
        <v>2076.4569999999999</v>
      </c>
      <c r="J40" s="19">
        <v>290.44</v>
      </c>
      <c r="K40" s="19">
        <v>21.638000000000002</v>
      </c>
      <c r="L40" s="19">
        <v>42.337000000000003</v>
      </c>
      <c r="M40" s="19">
        <v>1061.777</v>
      </c>
      <c r="N40" s="20">
        <v>1215.3889999999999</v>
      </c>
      <c r="O40" s="18">
        <v>244.035</v>
      </c>
      <c r="P40" s="19">
        <v>0.30299999999999999</v>
      </c>
      <c r="Q40" s="19">
        <v>722.55899999999997</v>
      </c>
      <c r="R40" s="19">
        <v>637.49900000000002</v>
      </c>
      <c r="S40" s="19">
        <v>13.968</v>
      </c>
      <c r="T40" s="19">
        <v>43.274999999999999</v>
      </c>
      <c r="U40" s="19">
        <v>1396.232</v>
      </c>
      <c r="V40" s="20">
        <v>755.31899999999996</v>
      </c>
      <c r="W40" s="225">
        <f t="shared" si="29"/>
        <v>8.001621323410207E-3</v>
      </c>
      <c r="X40" s="5">
        <f t="shared" si="30"/>
        <v>7.3382783650721664E-2</v>
      </c>
      <c r="Y40" s="5">
        <f t="shared" si="31"/>
        <v>2.36900217026545E-3</v>
      </c>
      <c r="Z40" s="5">
        <f t="shared" si="32"/>
        <v>3.4150301240633461E-5</v>
      </c>
      <c r="AA40" s="5">
        <f t="shared" si="33"/>
        <v>7.3382783650721664E-2</v>
      </c>
      <c r="AB40" s="5">
        <f t="shared" si="34"/>
        <v>1.6757411285885034E-2</v>
      </c>
      <c r="AC40" s="5">
        <f t="shared" si="35"/>
        <v>1.6757411285885034E-2</v>
      </c>
      <c r="AD40" s="5">
        <f t="shared" si="36"/>
        <v>5.2555528132620447E-3</v>
      </c>
      <c r="AE40" s="5">
        <f t="shared" si="37"/>
        <v>5.6897448781015663E-3</v>
      </c>
      <c r="AF40" s="24">
        <f t="shared" si="38"/>
        <v>5.6897448781015663E-3</v>
      </c>
      <c r="AG40" s="23">
        <f t="shared" si="39"/>
        <v>4.1213766505447677E-3</v>
      </c>
      <c r="AH40" s="5">
        <f t="shared" si="40"/>
        <v>6.7210278929979619E-2</v>
      </c>
      <c r="AI40" s="5">
        <f t="shared" si="41"/>
        <v>2.654144425041883E-4</v>
      </c>
      <c r="AJ40" s="5">
        <f t="shared" si="42"/>
        <v>1.9261418664130839E-4</v>
      </c>
      <c r="AK40" s="5">
        <f t="shared" si="43"/>
        <v>6.7210278929979619E-2</v>
      </c>
      <c r="AL40" s="5">
        <f t="shared" si="44"/>
        <v>8.6760774391208707E-3</v>
      </c>
      <c r="AM40" s="5">
        <f t="shared" si="45"/>
        <v>8.6760774391208707E-3</v>
      </c>
      <c r="AN40" s="5">
        <f t="shared" si="46"/>
        <v>8.7396173564961415E-3</v>
      </c>
      <c r="AO40" s="5">
        <f t="shared" si="47"/>
        <v>5.3813375364226293E-3</v>
      </c>
      <c r="AP40" s="24">
        <f t="shared" si="48"/>
        <v>8.7396173564961415E-3</v>
      </c>
      <c r="AQ40" s="225">
        <f t="shared" si="49"/>
        <v>0.10100000000000001</v>
      </c>
      <c r="AR40" s="5">
        <f t="shared" si="50"/>
        <v>8.6999999999999994E-2</v>
      </c>
      <c r="AS40" s="5">
        <f t="shared" si="51"/>
        <v>9.4E-2</v>
      </c>
      <c r="AT40" s="196">
        <f t="shared" si="52"/>
        <v>0.67</v>
      </c>
      <c r="AU40" s="196">
        <f t="shared" si="53"/>
        <v>0.57999999999999996</v>
      </c>
      <c r="AV40" s="196">
        <f t="shared" si="54"/>
        <v>0.63</v>
      </c>
      <c r="AW40" s="51">
        <f t="shared" si="55"/>
        <v>4</v>
      </c>
      <c r="AX40" s="51">
        <f t="shared" si="56"/>
        <v>5</v>
      </c>
      <c r="AY40" s="226">
        <f t="shared" si="57"/>
        <v>5</v>
      </c>
    </row>
    <row r="41" spans="1:51" ht="13.15" customHeight="1">
      <c r="A41" s="96">
        <v>10836</v>
      </c>
      <c r="B41" s="97" t="s">
        <v>180</v>
      </c>
      <c r="C41" s="222" t="str">
        <f>Rollover!A41</f>
        <v>Mitsubishi</v>
      </c>
      <c r="D41" s="223" t="str">
        <f>Rollover!B41</f>
        <v>Eclipse Cross SUV FWD</v>
      </c>
      <c r="E41" s="197" t="s">
        <v>99</v>
      </c>
      <c r="F41" s="224">
        <f>Rollover!C41</f>
        <v>2020</v>
      </c>
      <c r="G41" s="10">
        <v>289.98099999999999</v>
      </c>
      <c r="H41" s="11">
        <v>0.35099999999999998</v>
      </c>
      <c r="I41" s="11">
        <v>2076.4569999999999</v>
      </c>
      <c r="J41" s="11">
        <v>290.44</v>
      </c>
      <c r="K41" s="11">
        <v>21.638000000000002</v>
      </c>
      <c r="L41" s="11">
        <v>42.337000000000003</v>
      </c>
      <c r="M41" s="11">
        <v>1061.777</v>
      </c>
      <c r="N41" s="12">
        <v>1215.3889999999999</v>
      </c>
      <c r="O41" s="10">
        <v>244.035</v>
      </c>
      <c r="P41" s="11">
        <v>0.30299999999999999</v>
      </c>
      <c r="Q41" s="11">
        <v>722.55899999999997</v>
      </c>
      <c r="R41" s="11">
        <v>637.49900000000002</v>
      </c>
      <c r="S41" s="11">
        <v>13.968</v>
      </c>
      <c r="T41" s="11">
        <v>43.274999999999999</v>
      </c>
      <c r="U41" s="11">
        <v>1396.232</v>
      </c>
      <c r="V41" s="12">
        <v>755.31899999999996</v>
      </c>
      <c r="W41" s="225">
        <f t="shared" si="29"/>
        <v>8.001621323410207E-3</v>
      </c>
      <c r="X41" s="5">
        <f t="shared" si="30"/>
        <v>7.3382783650721664E-2</v>
      </c>
      <c r="Y41" s="5">
        <f t="shared" si="31"/>
        <v>2.36900217026545E-3</v>
      </c>
      <c r="Z41" s="5">
        <f t="shared" si="32"/>
        <v>3.4150301240633461E-5</v>
      </c>
      <c r="AA41" s="5">
        <f t="shared" si="33"/>
        <v>7.3382783650721664E-2</v>
      </c>
      <c r="AB41" s="5">
        <f t="shared" si="34"/>
        <v>1.6757411285885034E-2</v>
      </c>
      <c r="AC41" s="5">
        <f t="shared" si="35"/>
        <v>1.6757411285885034E-2</v>
      </c>
      <c r="AD41" s="5">
        <f t="shared" si="36"/>
        <v>5.2555528132620447E-3</v>
      </c>
      <c r="AE41" s="5">
        <f t="shared" si="37"/>
        <v>5.6897448781015663E-3</v>
      </c>
      <c r="AF41" s="24">
        <f t="shared" si="38"/>
        <v>5.6897448781015663E-3</v>
      </c>
      <c r="AG41" s="23">
        <f t="shared" si="39"/>
        <v>4.1213766505447677E-3</v>
      </c>
      <c r="AH41" s="5">
        <f t="shared" si="40"/>
        <v>6.7210278929979619E-2</v>
      </c>
      <c r="AI41" s="5">
        <f t="shared" si="41"/>
        <v>2.654144425041883E-4</v>
      </c>
      <c r="AJ41" s="5">
        <f t="shared" si="42"/>
        <v>1.9261418664130839E-4</v>
      </c>
      <c r="AK41" s="5">
        <f t="shared" si="43"/>
        <v>6.7210278929979619E-2</v>
      </c>
      <c r="AL41" s="5">
        <f t="shared" si="44"/>
        <v>8.6760774391208707E-3</v>
      </c>
      <c r="AM41" s="5">
        <f t="shared" si="45"/>
        <v>8.6760774391208707E-3</v>
      </c>
      <c r="AN41" s="5">
        <f t="shared" si="46"/>
        <v>8.7396173564961415E-3</v>
      </c>
      <c r="AO41" s="5">
        <f t="shared" si="47"/>
        <v>5.3813375364226293E-3</v>
      </c>
      <c r="AP41" s="24">
        <f t="shared" si="48"/>
        <v>8.7396173564961415E-3</v>
      </c>
      <c r="AQ41" s="225">
        <f t="shared" si="49"/>
        <v>0.10100000000000001</v>
      </c>
      <c r="AR41" s="5">
        <f t="shared" si="50"/>
        <v>8.6999999999999994E-2</v>
      </c>
      <c r="AS41" s="5">
        <f t="shared" si="51"/>
        <v>9.4E-2</v>
      </c>
      <c r="AT41" s="196">
        <f t="shared" si="52"/>
        <v>0.67</v>
      </c>
      <c r="AU41" s="196">
        <f t="shared" si="53"/>
        <v>0.57999999999999996</v>
      </c>
      <c r="AV41" s="196">
        <f t="shared" si="54"/>
        <v>0.63</v>
      </c>
      <c r="AW41" s="51">
        <f t="shared" si="55"/>
        <v>4</v>
      </c>
      <c r="AX41" s="51">
        <f t="shared" si="56"/>
        <v>5</v>
      </c>
      <c r="AY41" s="226">
        <f t="shared" si="57"/>
        <v>5</v>
      </c>
    </row>
    <row r="42" spans="1:51" ht="13.15" customHeight="1">
      <c r="A42" s="96">
        <v>10963</v>
      </c>
      <c r="B42" s="97" t="s">
        <v>209</v>
      </c>
      <c r="C42" s="228" t="str">
        <f>Rollover!A42</f>
        <v>Nissan</v>
      </c>
      <c r="D42" s="223" t="str">
        <f>Rollover!B42</f>
        <v>Maxima 4DR FWD</v>
      </c>
      <c r="E42" s="197" t="s">
        <v>85</v>
      </c>
      <c r="F42" s="224">
        <f>Rollover!C42</f>
        <v>2020</v>
      </c>
      <c r="G42" s="10">
        <v>251.82400000000001</v>
      </c>
      <c r="H42" s="11">
        <v>0.25</v>
      </c>
      <c r="I42" s="11">
        <v>1285.509</v>
      </c>
      <c r="J42" s="11">
        <v>104.209</v>
      </c>
      <c r="K42" s="11">
        <v>15.782999999999999</v>
      </c>
      <c r="L42" s="11">
        <v>45.03</v>
      </c>
      <c r="M42" s="11">
        <v>1597.0740000000001</v>
      </c>
      <c r="N42" s="12">
        <v>1058.086</v>
      </c>
      <c r="O42" s="10">
        <v>290.15499999999997</v>
      </c>
      <c r="P42" s="11">
        <v>0.307</v>
      </c>
      <c r="Q42" s="11">
        <v>551.27200000000005</v>
      </c>
      <c r="R42" s="11">
        <v>406.803</v>
      </c>
      <c r="S42" s="11">
        <v>14.493</v>
      </c>
      <c r="T42" s="11">
        <v>46.73</v>
      </c>
      <c r="U42" s="11">
        <v>1992.5219999999999</v>
      </c>
      <c r="V42" s="12">
        <v>1384.8579999999999</v>
      </c>
      <c r="W42" s="225">
        <f t="shared" si="29"/>
        <v>4.6679552669952945E-3</v>
      </c>
      <c r="X42" s="5">
        <f t="shared" si="30"/>
        <v>6.0956574927221202E-2</v>
      </c>
      <c r="Y42" s="5">
        <f t="shared" si="31"/>
        <v>3.6275642760980758E-4</v>
      </c>
      <c r="Z42" s="5">
        <f t="shared" si="32"/>
        <v>2.1943807667838937E-5</v>
      </c>
      <c r="AA42" s="5">
        <f t="shared" si="33"/>
        <v>6.0956574927221202E-2</v>
      </c>
      <c r="AB42" s="5">
        <f t="shared" si="34"/>
        <v>7.042641201093886E-3</v>
      </c>
      <c r="AC42" s="5">
        <f t="shared" si="35"/>
        <v>7.042641201093886E-3</v>
      </c>
      <c r="AD42" s="5">
        <f t="shared" si="36"/>
        <v>6.9291810394300057E-3</v>
      </c>
      <c r="AE42" s="5">
        <f t="shared" si="37"/>
        <v>5.2455359648584787E-3</v>
      </c>
      <c r="AF42" s="24">
        <f t="shared" si="38"/>
        <v>6.9291810394300057E-3</v>
      </c>
      <c r="AG42" s="23">
        <f t="shared" si="39"/>
        <v>8.0194107866494151E-3</v>
      </c>
      <c r="AH42" s="5">
        <f t="shared" si="40"/>
        <v>6.7705685230816506E-2</v>
      </c>
      <c r="AI42" s="5">
        <f t="shared" si="41"/>
        <v>1.3916591054093623E-4</v>
      </c>
      <c r="AJ42" s="5">
        <f t="shared" si="42"/>
        <v>8.0727326587337308E-5</v>
      </c>
      <c r="AK42" s="5">
        <f t="shared" si="43"/>
        <v>6.7705685230816506E-2</v>
      </c>
      <c r="AL42" s="5">
        <f t="shared" si="44"/>
        <v>9.5766304602146121E-3</v>
      </c>
      <c r="AM42" s="5">
        <f t="shared" si="45"/>
        <v>9.5766304602146121E-3</v>
      </c>
      <c r="AN42" s="5">
        <f t="shared" si="46"/>
        <v>1.3696855324262075E-2</v>
      </c>
      <c r="AO42" s="5">
        <f t="shared" si="47"/>
        <v>8.6648617602855995E-3</v>
      </c>
      <c r="AP42" s="24">
        <f t="shared" si="48"/>
        <v>1.3696855324262075E-2</v>
      </c>
      <c r="AQ42" s="225">
        <f t="shared" si="49"/>
        <v>7.8E-2</v>
      </c>
      <c r="AR42" s="5">
        <f t="shared" si="50"/>
        <v>9.7000000000000003E-2</v>
      </c>
      <c r="AS42" s="5">
        <f t="shared" si="51"/>
        <v>8.7999999999999995E-2</v>
      </c>
      <c r="AT42" s="196">
        <f t="shared" si="52"/>
        <v>0.52</v>
      </c>
      <c r="AU42" s="196">
        <f t="shared" si="53"/>
        <v>0.65</v>
      </c>
      <c r="AV42" s="196">
        <f t="shared" si="54"/>
        <v>0.59</v>
      </c>
      <c r="AW42" s="51">
        <f t="shared" si="55"/>
        <v>5</v>
      </c>
      <c r="AX42" s="51">
        <f t="shared" si="56"/>
        <v>5</v>
      </c>
      <c r="AY42" s="226">
        <f t="shared" si="57"/>
        <v>5</v>
      </c>
    </row>
    <row r="43" spans="1:51" ht="13.15" customHeight="1">
      <c r="A43" s="87">
        <v>10921</v>
      </c>
      <c r="B43" s="87" t="s">
        <v>199</v>
      </c>
      <c r="C43" s="222" t="str">
        <f>Rollover!A43</f>
        <v>Nissan</v>
      </c>
      <c r="D43" s="223" t="str">
        <f>Rollover!B43</f>
        <v>Versa 4DR FWD</v>
      </c>
      <c r="E43" s="197" t="s">
        <v>200</v>
      </c>
      <c r="F43" s="224">
        <f>Rollover!C43</f>
        <v>2020</v>
      </c>
      <c r="G43" s="10">
        <v>187.559</v>
      </c>
      <c r="H43" s="11">
        <v>0.23799999999999999</v>
      </c>
      <c r="I43" s="11">
        <v>1460.1479999999999</v>
      </c>
      <c r="J43" s="11">
        <v>376.68099999999998</v>
      </c>
      <c r="K43" s="11">
        <v>18.530999999999999</v>
      </c>
      <c r="L43" s="11">
        <v>38.180999999999997</v>
      </c>
      <c r="M43" s="11">
        <v>1135.982</v>
      </c>
      <c r="N43" s="12">
        <v>1067.069</v>
      </c>
      <c r="O43" s="10">
        <v>198.477</v>
      </c>
      <c r="P43" s="11">
        <v>0.57599999999999996</v>
      </c>
      <c r="Q43" s="11">
        <v>1032.921</v>
      </c>
      <c r="R43" s="11">
        <v>537.00900000000001</v>
      </c>
      <c r="S43" s="11">
        <v>12.064</v>
      </c>
      <c r="T43" s="11">
        <v>37.357999999999997</v>
      </c>
      <c r="U43" s="11">
        <v>905.77800000000002</v>
      </c>
      <c r="V43" s="12">
        <v>818.03399999999999</v>
      </c>
      <c r="W43" s="225">
        <f t="shared" si="29"/>
        <v>1.3602562369403291E-3</v>
      </c>
      <c r="X43" s="5">
        <f t="shared" si="30"/>
        <v>5.961817008594416E-2</v>
      </c>
      <c r="Y43" s="5">
        <f t="shared" si="31"/>
        <v>5.4911768963449654E-4</v>
      </c>
      <c r="Z43" s="5">
        <f t="shared" si="32"/>
        <v>4.1912579957123024E-5</v>
      </c>
      <c r="AA43" s="5">
        <f t="shared" si="33"/>
        <v>5.961817008594416E-2</v>
      </c>
      <c r="AB43" s="5">
        <f t="shared" si="34"/>
        <v>1.0786097987475837E-2</v>
      </c>
      <c r="AC43" s="5">
        <f t="shared" si="35"/>
        <v>1.0786097987475837E-2</v>
      </c>
      <c r="AD43" s="5">
        <f t="shared" si="36"/>
        <v>5.4610197545389471E-3</v>
      </c>
      <c r="AE43" s="5">
        <f t="shared" si="37"/>
        <v>5.2699477530638349E-3</v>
      </c>
      <c r="AF43" s="24">
        <f t="shared" si="38"/>
        <v>5.4610197545389471E-3</v>
      </c>
      <c r="AG43" s="23">
        <f t="shared" si="39"/>
        <v>1.7433750947056647E-3</v>
      </c>
      <c r="AH43" s="5">
        <f t="shared" si="40"/>
        <v>0.10979163608488043</v>
      </c>
      <c r="AI43" s="5">
        <f t="shared" si="41"/>
        <v>8.5471463061048312E-4</v>
      </c>
      <c r="AJ43" s="5">
        <f t="shared" si="42"/>
        <v>1.3188134250845517E-4</v>
      </c>
      <c r="AK43" s="5">
        <f t="shared" si="43"/>
        <v>0.10979163608488043</v>
      </c>
      <c r="AL43" s="5">
        <f t="shared" si="44"/>
        <v>5.9524339673616596E-3</v>
      </c>
      <c r="AM43" s="5">
        <f t="shared" si="45"/>
        <v>5.9524339673616596E-3</v>
      </c>
      <c r="AN43" s="5">
        <f t="shared" si="46"/>
        <v>6.03103262751584E-3</v>
      </c>
      <c r="AO43" s="5">
        <f t="shared" si="47"/>
        <v>5.6432276083274628E-3</v>
      </c>
      <c r="AP43" s="24">
        <f t="shared" si="48"/>
        <v>6.03103262751584E-3</v>
      </c>
      <c r="AQ43" s="225">
        <f t="shared" si="49"/>
        <v>7.5999999999999998E-2</v>
      </c>
      <c r="AR43" s="5">
        <f t="shared" si="50"/>
        <v>0.122</v>
      </c>
      <c r="AS43" s="5">
        <f t="shared" si="51"/>
        <v>9.9000000000000005E-2</v>
      </c>
      <c r="AT43" s="196">
        <f t="shared" si="52"/>
        <v>0.51</v>
      </c>
      <c r="AU43" s="196">
        <f t="shared" si="53"/>
        <v>0.81</v>
      </c>
      <c r="AV43" s="196">
        <f t="shared" si="54"/>
        <v>0.66</v>
      </c>
      <c r="AW43" s="51">
        <f t="shared" si="55"/>
        <v>5</v>
      </c>
      <c r="AX43" s="51">
        <f t="shared" si="56"/>
        <v>4</v>
      </c>
      <c r="AY43" s="226">
        <f t="shared" si="57"/>
        <v>5</v>
      </c>
    </row>
    <row r="44" spans="1:51" ht="13.15" customHeight="1">
      <c r="A44" s="96">
        <v>10962</v>
      </c>
      <c r="B44" s="97" t="s">
        <v>208</v>
      </c>
      <c r="C44" s="222" t="str">
        <f>Rollover!A44</f>
        <v>Subaru</v>
      </c>
      <c r="D44" s="223" t="str">
        <f>Rollover!B44</f>
        <v>Legacy 4DR AWD</v>
      </c>
      <c r="E44" s="197" t="s">
        <v>200</v>
      </c>
      <c r="F44" s="224">
        <f>Rollover!C44</f>
        <v>2020</v>
      </c>
      <c r="G44" s="232">
        <v>101.179</v>
      </c>
      <c r="H44" s="233">
        <v>0.249</v>
      </c>
      <c r="I44" s="233">
        <v>1107.491</v>
      </c>
      <c r="J44" s="233">
        <v>254.07300000000001</v>
      </c>
      <c r="K44" s="233">
        <v>18.829999999999998</v>
      </c>
      <c r="L44" s="233">
        <v>39.628</v>
      </c>
      <c r="M44" s="233">
        <v>896.50900000000001</v>
      </c>
      <c r="N44" s="234">
        <v>1304.6289999999999</v>
      </c>
      <c r="O44" s="10">
        <v>166.499</v>
      </c>
      <c r="P44" s="11">
        <v>0.38300000000000001</v>
      </c>
      <c r="Q44" s="11">
        <v>902.24300000000005</v>
      </c>
      <c r="R44" s="11">
        <v>394.23500000000001</v>
      </c>
      <c r="S44" s="11">
        <v>10.302</v>
      </c>
      <c r="T44" s="11">
        <v>43.052999999999997</v>
      </c>
      <c r="U44" s="11">
        <v>849.649</v>
      </c>
      <c r="V44" s="12">
        <v>288.48700000000002</v>
      </c>
      <c r="W44" s="225">
        <f t="shared" si="29"/>
        <v>6.3617354331515908E-5</v>
      </c>
      <c r="X44" s="5">
        <f t="shared" si="30"/>
        <v>6.0843976465800663E-2</v>
      </c>
      <c r="Y44" s="5">
        <f t="shared" si="31"/>
        <v>2.3771297101748157E-4</v>
      </c>
      <c r="Z44" s="5">
        <f t="shared" si="32"/>
        <v>3.1324564808767173E-5</v>
      </c>
      <c r="AA44" s="5">
        <f t="shared" si="33"/>
        <v>6.0843976465800663E-2</v>
      </c>
      <c r="AB44" s="5">
        <f t="shared" si="34"/>
        <v>1.1273132930408693E-2</v>
      </c>
      <c r="AC44" s="5">
        <f t="shared" si="35"/>
        <v>1.1273132930408693E-2</v>
      </c>
      <c r="AD44" s="5">
        <f t="shared" si="36"/>
        <v>4.8251629860579836E-3</v>
      </c>
      <c r="AE44" s="5">
        <f t="shared" si="37"/>
        <v>5.958176690946634E-3</v>
      </c>
      <c r="AF44" s="24">
        <f t="shared" si="38"/>
        <v>5.958176690946634E-3</v>
      </c>
      <c r="AG44" s="23">
        <f t="shared" si="39"/>
        <v>7.9257154069067122E-4</v>
      </c>
      <c r="AH44" s="5">
        <f t="shared" si="40"/>
        <v>7.7783577843529988E-2</v>
      </c>
      <c r="AI44" s="5">
        <f t="shared" si="41"/>
        <v>5.2240551029927396E-4</v>
      </c>
      <c r="AJ44" s="5">
        <f t="shared" si="42"/>
        <v>7.6991845462010875E-5</v>
      </c>
      <c r="AK44" s="5">
        <f t="shared" si="43"/>
        <v>7.7783577843529988E-2</v>
      </c>
      <c r="AL44" s="5">
        <f t="shared" si="44"/>
        <v>4.0735085751660146E-3</v>
      </c>
      <c r="AM44" s="5">
        <f t="shared" si="45"/>
        <v>4.0735085751660146E-3</v>
      </c>
      <c r="AN44" s="5">
        <f t="shared" si="46"/>
        <v>5.7800137950007021E-3</v>
      </c>
      <c r="AO44" s="5">
        <f t="shared" si="47"/>
        <v>3.7767717205642974E-3</v>
      </c>
      <c r="AP44" s="24">
        <f t="shared" si="48"/>
        <v>5.7800137950007021E-3</v>
      </c>
      <c r="AQ44" s="225">
        <f t="shared" si="49"/>
        <v>7.6999999999999999E-2</v>
      </c>
      <c r="AR44" s="5">
        <f t="shared" si="50"/>
        <v>8.7999999999999995E-2</v>
      </c>
      <c r="AS44" s="5">
        <f t="shared" si="51"/>
        <v>8.3000000000000004E-2</v>
      </c>
      <c r="AT44" s="196">
        <f t="shared" si="52"/>
        <v>0.51</v>
      </c>
      <c r="AU44" s="196">
        <f t="shared" si="53"/>
        <v>0.59</v>
      </c>
      <c r="AV44" s="196">
        <f t="shared" si="54"/>
        <v>0.55000000000000004</v>
      </c>
      <c r="AW44" s="51">
        <f t="shared" si="55"/>
        <v>5</v>
      </c>
      <c r="AX44" s="51">
        <f t="shared" si="56"/>
        <v>5</v>
      </c>
      <c r="AY44" s="226">
        <f t="shared" si="57"/>
        <v>5</v>
      </c>
    </row>
    <row r="45" spans="1:51" ht="13.15" customHeight="1">
      <c r="A45" s="96">
        <v>10962</v>
      </c>
      <c r="B45" s="97" t="s">
        <v>208</v>
      </c>
      <c r="C45" s="222" t="str">
        <f>Rollover!A45</f>
        <v>Subaru</v>
      </c>
      <c r="D45" s="223" t="str">
        <f>Rollover!B45</f>
        <v>Outback SW AWD</v>
      </c>
      <c r="E45" s="197" t="s">
        <v>200</v>
      </c>
      <c r="F45" s="224">
        <f>Rollover!C45</f>
        <v>2020</v>
      </c>
      <c r="G45" s="232">
        <v>101.179</v>
      </c>
      <c r="H45" s="233">
        <v>0.249</v>
      </c>
      <c r="I45" s="233">
        <v>1107.491</v>
      </c>
      <c r="J45" s="233">
        <v>254.07300000000001</v>
      </c>
      <c r="K45" s="233">
        <v>18.829999999999998</v>
      </c>
      <c r="L45" s="233">
        <v>39.628</v>
      </c>
      <c r="M45" s="233">
        <v>896.50900000000001</v>
      </c>
      <c r="N45" s="234">
        <v>1304.6289999999999</v>
      </c>
      <c r="O45" s="10">
        <v>166.499</v>
      </c>
      <c r="P45" s="11">
        <v>0.38300000000000001</v>
      </c>
      <c r="Q45" s="11">
        <v>902.24300000000005</v>
      </c>
      <c r="R45" s="11">
        <v>394.23500000000001</v>
      </c>
      <c r="S45" s="11">
        <v>10.302</v>
      </c>
      <c r="T45" s="11">
        <v>43.052999999999997</v>
      </c>
      <c r="U45" s="11">
        <v>849.649</v>
      </c>
      <c r="V45" s="12">
        <v>288.48700000000002</v>
      </c>
      <c r="W45" s="225">
        <f t="shared" si="29"/>
        <v>6.3617354331515908E-5</v>
      </c>
      <c r="X45" s="5">
        <f t="shared" si="30"/>
        <v>6.0843976465800663E-2</v>
      </c>
      <c r="Y45" s="5">
        <f t="shared" si="31"/>
        <v>2.3771297101748157E-4</v>
      </c>
      <c r="Z45" s="5">
        <f t="shared" si="32"/>
        <v>3.1324564808767173E-5</v>
      </c>
      <c r="AA45" s="5">
        <f t="shared" si="33"/>
        <v>6.0843976465800663E-2</v>
      </c>
      <c r="AB45" s="5">
        <f t="shared" si="34"/>
        <v>1.1273132930408693E-2</v>
      </c>
      <c r="AC45" s="5">
        <f t="shared" si="35"/>
        <v>1.1273132930408693E-2</v>
      </c>
      <c r="AD45" s="5">
        <f t="shared" si="36"/>
        <v>4.8251629860579836E-3</v>
      </c>
      <c r="AE45" s="5">
        <f t="shared" si="37"/>
        <v>5.958176690946634E-3</v>
      </c>
      <c r="AF45" s="24">
        <f t="shared" si="38"/>
        <v>5.958176690946634E-3</v>
      </c>
      <c r="AG45" s="23">
        <f t="shared" si="39"/>
        <v>7.9257154069067122E-4</v>
      </c>
      <c r="AH45" s="5">
        <f t="shared" si="40"/>
        <v>7.7783577843529988E-2</v>
      </c>
      <c r="AI45" s="5">
        <f t="shared" si="41"/>
        <v>5.2240551029927396E-4</v>
      </c>
      <c r="AJ45" s="5">
        <f t="shared" si="42"/>
        <v>7.6991845462010875E-5</v>
      </c>
      <c r="AK45" s="5">
        <f t="shared" si="43"/>
        <v>7.7783577843529988E-2</v>
      </c>
      <c r="AL45" s="5">
        <f t="shared" si="44"/>
        <v>4.0735085751660146E-3</v>
      </c>
      <c r="AM45" s="5">
        <f t="shared" si="45"/>
        <v>4.0735085751660146E-3</v>
      </c>
      <c r="AN45" s="5">
        <f t="shared" si="46"/>
        <v>5.7800137950007021E-3</v>
      </c>
      <c r="AO45" s="5">
        <f t="shared" si="47"/>
        <v>3.7767717205642974E-3</v>
      </c>
      <c r="AP45" s="24">
        <f t="shared" si="48"/>
        <v>5.7800137950007021E-3</v>
      </c>
      <c r="AQ45" s="225">
        <f t="shared" si="49"/>
        <v>7.6999999999999999E-2</v>
      </c>
      <c r="AR45" s="5">
        <f t="shared" si="50"/>
        <v>8.7999999999999995E-2</v>
      </c>
      <c r="AS45" s="5">
        <f t="shared" si="51"/>
        <v>8.3000000000000004E-2</v>
      </c>
      <c r="AT45" s="196">
        <f t="shared" si="52"/>
        <v>0.51</v>
      </c>
      <c r="AU45" s="196">
        <f t="shared" si="53"/>
        <v>0.59</v>
      </c>
      <c r="AV45" s="196">
        <f t="shared" si="54"/>
        <v>0.55000000000000004</v>
      </c>
      <c r="AW45" s="51">
        <f t="shared" si="55"/>
        <v>5</v>
      </c>
      <c r="AX45" s="51">
        <f t="shared" si="56"/>
        <v>5</v>
      </c>
      <c r="AY45" s="226">
        <f t="shared" si="57"/>
        <v>5</v>
      </c>
    </row>
    <row r="46" spans="1:51" ht="13.15" customHeight="1">
      <c r="A46" s="96">
        <v>10924</v>
      </c>
      <c r="B46" s="97" t="s">
        <v>198</v>
      </c>
      <c r="C46" s="222" t="str">
        <f>Rollover!A46</f>
        <v>Subaru</v>
      </c>
      <c r="D46" s="223" t="str">
        <f>Rollover!B46</f>
        <v>WRX 4DR AWD</v>
      </c>
      <c r="E46" s="197" t="s">
        <v>99</v>
      </c>
      <c r="F46" s="224">
        <f>Rollover!C46</f>
        <v>2020</v>
      </c>
      <c r="G46" s="10">
        <v>308.125</v>
      </c>
      <c r="H46" s="11">
        <v>0.27600000000000002</v>
      </c>
      <c r="I46" s="11">
        <v>1393.077</v>
      </c>
      <c r="J46" s="11">
        <v>90.724999999999994</v>
      </c>
      <c r="K46" s="11">
        <v>22.155999999999999</v>
      </c>
      <c r="L46" s="11">
        <v>49.927</v>
      </c>
      <c r="M46" s="11">
        <v>1191.77</v>
      </c>
      <c r="N46" s="12">
        <v>2621.433</v>
      </c>
      <c r="O46" s="10">
        <v>208.02099999999999</v>
      </c>
      <c r="P46" s="11">
        <v>0.32</v>
      </c>
      <c r="Q46" s="11">
        <v>732.64200000000005</v>
      </c>
      <c r="R46" s="11">
        <v>553.23800000000006</v>
      </c>
      <c r="S46" s="11">
        <v>14.951000000000001</v>
      </c>
      <c r="T46" s="11">
        <v>46.508000000000003</v>
      </c>
      <c r="U46" s="11">
        <v>1783.0550000000001</v>
      </c>
      <c r="V46" s="12">
        <v>510.82299999999998</v>
      </c>
      <c r="W46" s="225">
        <f t="shared" si="29"/>
        <v>9.9872729361347203E-3</v>
      </c>
      <c r="X46" s="5">
        <f t="shared" si="30"/>
        <v>6.3953362191218263E-2</v>
      </c>
      <c r="Y46" s="5">
        <f t="shared" si="31"/>
        <v>4.6829574380280361E-4</v>
      </c>
      <c r="Z46" s="5">
        <f t="shared" si="32"/>
        <v>2.1252216175031695E-5</v>
      </c>
      <c r="AA46" s="5">
        <f t="shared" si="33"/>
        <v>6.3953362191218263E-2</v>
      </c>
      <c r="AB46" s="5">
        <f t="shared" si="34"/>
        <v>1.7968621179845223E-2</v>
      </c>
      <c r="AC46" s="5">
        <f t="shared" si="35"/>
        <v>1.7968621179845223E-2</v>
      </c>
      <c r="AD46" s="5">
        <f t="shared" si="36"/>
        <v>5.6207346754764027E-3</v>
      </c>
      <c r="AE46" s="5">
        <f t="shared" si="37"/>
        <v>1.1741631301108186E-2</v>
      </c>
      <c r="AF46" s="24">
        <f t="shared" si="38"/>
        <v>1.1741631301108186E-2</v>
      </c>
      <c r="AG46" s="23">
        <f t="shared" si="39"/>
        <v>2.1333444774005094E-3</v>
      </c>
      <c r="AH46" s="5">
        <f t="shared" si="40"/>
        <v>6.9339230241375907E-2</v>
      </c>
      <c r="AI46" s="5">
        <f t="shared" si="41"/>
        <v>2.7569499524359337E-4</v>
      </c>
      <c r="AJ46" s="5">
        <f t="shared" si="42"/>
        <v>1.4020107007562329E-4</v>
      </c>
      <c r="AK46" s="5">
        <f t="shared" si="43"/>
        <v>6.9339230241375907E-2</v>
      </c>
      <c r="AL46" s="5">
        <f t="shared" si="44"/>
        <v>1.0421190561579577E-2</v>
      </c>
      <c r="AM46" s="5">
        <f t="shared" si="45"/>
        <v>1.0421190561579577E-2</v>
      </c>
      <c r="AN46" s="5">
        <f t="shared" si="46"/>
        <v>1.1700081613618525E-2</v>
      </c>
      <c r="AO46" s="5">
        <f t="shared" si="47"/>
        <v>4.4708139543796765E-3</v>
      </c>
      <c r="AP46" s="24">
        <f t="shared" si="48"/>
        <v>1.1700081613618525E-2</v>
      </c>
      <c r="AQ46" s="225">
        <f t="shared" si="49"/>
        <v>0.10100000000000001</v>
      </c>
      <c r="AR46" s="5">
        <f t="shared" si="50"/>
        <v>9.1999999999999998E-2</v>
      </c>
      <c r="AS46" s="5">
        <f t="shared" si="51"/>
        <v>9.7000000000000003E-2</v>
      </c>
      <c r="AT46" s="196">
        <f t="shared" si="52"/>
        <v>0.67</v>
      </c>
      <c r="AU46" s="196">
        <f t="shared" si="53"/>
        <v>0.61</v>
      </c>
      <c r="AV46" s="196">
        <f t="shared" si="54"/>
        <v>0.65</v>
      </c>
      <c r="AW46" s="51">
        <f t="shared" si="55"/>
        <v>4</v>
      </c>
      <c r="AX46" s="51">
        <f t="shared" si="56"/>
        <v>5</v>
      </c>
      <c r="AY46" s="226">
        <f t="shared" si="57"/>
        <v>5</v>
      </c>
    </row>
    <row r="47" spans="1:51" ht="13.15" customHeight="1">
      <c r="A47" s="227">
        <v>10651</v>
      </c>
      <c r="B47" s="95" t="s">
        <v>156</v>
      </c>
      <c r="C47" s="222" t="str">
        <f>Rollover!A47</f>
        <v>Toyota</v>
      </c>
      <c r="D47" s="223" t="str">
        <f>Rollover!B47</f>
        <v>Corolla 4DR FWD</v>
      </c>
      <c r="E47" s="197" t="s">
        <v>85</v>
      </c>
      <c r="F47" s="224">
        <f>Rollover!C47</f>
        <v>2020</v>
      </c>
      <c r="G47" s="10">
        <v>186.548</v>
      </c>
      <c r="H47" s="11">
        <v>0.27300000000000002</v>
      </c>
      <c r="I47" s="11">
        <v>1080.8340000000001</v>
      </c>
      <c r="J47" s="11">
        <v>221.012</v>
      </c>
      <c r="K47" s="11">
        <v>24.053999999999998</v>
      </c>
      <c r="L47" s="11">
        <v>45.079000000000001</v>
      </c>
      <c r="M47" s="11">
        <v>1468.2719999999999</v>
      </c>
      <c r="N47" s="12">
        <v>1380.788</v>
      </c>
      <c r="O47" s="10">
        <v>356.32299999999998</v>
      </c>
      <c r="P47" s="11">
        <v>0.27100000000000002</v>
      </c>
      <c r="Q47" s="11">
        <v>733.971</v>
      </c>
      <c r="R47" s="11">
        <v>381.9</v>
      </c>
      <c r="S47" s="11">
        <v>13.587999999999999</v>
      </c>
      <c r="T47" s="11">
        <v>48.542000000000002</v>
      </c>
      <c r="U47" s="11">
        <v>1337.059</v>
      </c>
      <c r="V47" s="12">
        <v>693.72799999999995</v>
      </c>
      <c r="W47" s="225">
        <f t="shared" si="29"/>
        <v>1.3280132735441646E-3</v>
      </c>
      <c r="X47" s="5">
        <f t="shared" si="30"/>
        <v>6.3600694729198576E-2</v>
      </c>
      <c r="Y47" s="5">
        <f t="shared" si="31"/>
        <v>2.231330320868445E-4</v>
      </c>
      <c r="Z47" s="5">
        <f t="shared" si="32"/>
        <v>2.8959117628590589E-5</v>
      </c>
      <c r="AA47" s="5">
        <f t="shared" si="33"/>
        <v>6.3600694729198576E-2</v>
      </c>
      <c r="AB47" s="5">
        <f t="shared" si="34"/>
        <v>2.3019088613042766E-2</v>
      </c>
      <c r="AC47" s="5">
        <f t="shared" si="35"/>
        <v>2.3019088613042766E-2</v>
      </c>
      <c r="AD47" s="5">
        <f t="shared" si="36"/>
        <v>6.4835277820869067E-3</v>
      </c>
      <c r="AE47" s="5">
        <f t="shared" si="37"/>
        <v>6.1971917736574752E-3</v>
      </c>
      <c r="AF47" s="24">
        <f t="shared" si="38"/>
        <v>6.4835277820869067E-3</v>
      </c>
      <c r="AG47" s="23">
        <f t="shared" si="39"/>
        <v>1.6568243756006254E-2</v>
      </c>
      <c r="AH47" s="5">
        <f t="shared" si="40"/>
        <v>6.3366590994446123E-2</v>
      </c>
      <c r="AI47" s="5">
        <f t="shared" si="41"/>
        <v>2.7707940068093061E-4</v>
      </c>
      <c r="AJ47" s="5">
        <f t="shared" si="42"/>
        <v>7.3493727433486964E-5</v>
      </c>
      <c r="AK47" s="5">
        <f t="shared" si="43"/>
        <v>6.3366590994446123E-2</v>
      </c>
      <c r="AL47" s="5">
        <f t="shared" si="44"/>
        <v>8.066984148380035E-3</v>
      </c>
      <c r="AM47" s="5">
        <f t="shared" si="45"/>
        <v>8.066984148380035E-3</v>
      </c>
      <c r="AN47" s="5">
        <f t="shared" si="46"/>
        <v>8.3575710425069869E-3</v>
      </c>
      <c r="AO47" s="5">
        <f t="shared" si="47"/>
        <v>5.1359123258313873E-3</v>
      </c>
      <c r="AP47" s="24">
        <f t="shared" si="48"/>
        <v>8.3575710425069869E-3</v>
      </c>
      <c r="AQ47" s="225">
        <f t="shared" si="49"/>
        <v>9.1999999999999998E-2</v>
      </c>
      <c r="AR47" s="5">
        <f t="shared" si="50"/>
        <v>9.4E-2</v>
      </c>
      <c r="AS47" s="5">
        <f t="shared" si="51"/>
        <v>9.2999999999999999E-2</v>
      </c>
      <c r="AT47" s="196">
        <f t="shared" si="52"/>
        <v>0.61</v>
      </c>
      <c r="AU47" s="196">
        <f t="shared" si="53"/>
        <v>0.63</v>
      </c>
      <c r="AV47" s="196">
        <f t="shared" si="54"/>
        <v>0.62</v>
      </c>
      <c r="AW47" s="51">
        <f t="shared" si="55"/>
        <v>5</v>
      </c>
      <c r="AX47" s="51">
        <f t="shared" si="56"/>
        <v>5</v>
      </c>
      <c r="AY47" s="226">
        <f t="shared" si="57"/>
        <v>5</v>
      </c>
    </row>
    <row r="48" spans="1:51" ht="13.15" customHeight="1">
      <c r="A48" s="227">
        <v>10651</v>
      </c>
      <c r="B48" s="95" t="s">
        <v>156</v>
      </c>
      <c r="C48" s="222" t="str">
        <f>Rollover!A48</f>
        <v>Toyota</v>
      </c>
      <c r="D48" s="223" t="str">
        <f>Rollover!B48</f>
        <v>Corolla Hybrid 4DR FWD</v>
      </c>
      <c r="E48" s="197" t="s">
        <v>85</v>
      </c>
      <c r="F48" s="224">
        <f>Rollover!C48</f>
        <v>2020</v>
      </c>
      <c r="G48" s="10">
        <v>186.548</v>
      </c>
      <c r="H48" s="11">
        <v>0.27300000000000002</v>
      </c>
      <c r="I48" s="11">
        <v>1080.8340000000001</v>
      </c>
      <c r="J48" s="11">
        <v>221.012</v>
      </c>
      <c r="K48" s="11">
        <v>24.053999999999998</v>
      </c>
      <c r="L48" s="11">
        <v>45.079000000000001</v>
      </c>
      <c r="M48" s="11">
        <v>1468.2719999999999</v>
      </c>
      <c r="N48" s="12">
        <v>1380.788</v>
      </c>
      <c r="O48" s="10">
        <v>356.32299999999998</v>
      </c>
      <c r="P48" s="11">
        <v>0.27100000000000002</v>
      </c>
      <c r="Q48" s="11">
        <v>733.971</v>
      </c>
      <c r="R48" s="11">
        <v>381.9</v>
      </c>
      <c r="S48" s="11">
        <v>13.587999999999999</v>
      </c>
      <c r="T48" s="11">
        <v>48.542000000000002</v>
      </c>
      <c r="U48" s="11">
        <v>1337.059</v>
      </c>
      <c r="V48" s="12">
        <v>693.72799999999995</v>
      </c>
      <c r="W48" s="225">
        <f t="shared" si="29"/>
        <v>1.3280132735441646E-3</v>
      </c>
      <c r="X48" s="5">
        <f t="shared" si="30"/>
        <v>6.3600694729198576E-2</v>
      </c>
      <c r="Y48" s="5">
        <f t="shared" si="31"/>
        <v>2.231330320868445E-4</v>
      </c>
      <c r="Z48" s="5">
        <f t="shared" si="32"/>
        <v>2.8959117628590589E-5</v>
      </c>
      <c r="AA48" s="5">
        <f t="shared" si="33"/>
        <v>6.3600694729198576E-2</v>
      </c>
      <c r="AB48" s="5">
        <f t="shared" si="34"/>
        <v>2.3019088613042766E-2</v>
      </c>
      <c r="AC48" s="5">
        <f t="shared" si="35"/>
        <v>2.3019088613042766E-2</v>
      </c>
      <c r="AD48" s="5">
        <f t="shared" si="36"/>
        <v>6.4835277820869067E-3</v>
      </c>
      <c r="AE48" s="5">
        <f t="shared" si="37"/>
        <v>6.1971917736574752E-3</v>
      </c>
      <c r="AF48" s="24">
        <f t="shared" si="38"/>
        <v>6.4835277820869067E-3</v>
      </c>
      <c r="AG48" s="23">
        <f t="shared" si="39"/>
        <v>1.6568243756006254E-2</v>
      </c>
      <c r="AH48" s="5">
        <f t="shared" si="40"/>
        <v>6.3366590994446123E-2</v>
      </c>
      <c r="AI48" s="5">
        <f t="shared" si="41"/>
        <v>2.7707940068093061E-4</v>
      </c>
      <c r="AJ48" s="5">
        <f t="shared" si="42"/>
        <v>7.3493727433486964E-5</v>
      </c>
      <c r="AK48" s="5">
        <f t="shared" si="43"/>
        <v>6.3366590994446123E-2</v>
      </c>
      <c r="AL48" s="5">
        <f t="shared" si="44"/>
        <v>8.066984148380035E-3</v>
      </c>
      <c r="AM48" s="5">
        <f t="shared" si="45"/>
        <v>8.066984148380035E-3</v>
      </c>
      <c r="AN48" s="5">
        <f t="shared" si="46"/>
        <v>8.3575710425069869E-3</v>
      </c>
      <c r="AO48" s="5">
        <f t="shared" si="47"/>
        <v>5.1359123258313873E-3</v>
      </c>
      <c r="AP48" s="24">
        <f t="shared" si="48"/>
        <v>8.3575710425069869E-3</v>
      </c>
      <c r="AQ48" s="225">
        <f t="shared" si="49"/>
        <v>9.1999999999999998E-2</v>
      </c>
      <c r="AR48" s="5">
        <f t="shared" si="50"/>
        <v>9.4E-2</v>
      </c>
      <c r="AS48" s="5">
        <f t="shared" si="51"/>
        <v>9.2999999999999999E-2</v>
      </c>
      <c r="AT48" s="196">
        <f t="shared" si="52"/>
        <v>0.61</v>
      </c>
      <c r="AU48" s="196">
        <f t="shared" si="53"/>
        <v>0.63</v>
      </c>
      <c r="AV48" s="196">
        <f t="shared" si="54"/>
        <v>0.62</v>
      </c>
      <c r="AW48" s="51">
        <f t="shared" si="55"/>
        <v>5</v>
      </c>
      <c r="AX48" s="51">
        <f t="shared" si="56"/>
        <v>5</v>
      </c>
      <c r="AY48" s="226">
        <f t="shared" si="57"/>
        <v>5</v>
      </c>
    </row>
    <row r="49" spans="1:51" ht="12" customHeight="1">
      <c r="A49" s="96">
        <v>11047</v>
      </c>
      <c r="B49" s="87" t="s">
        <v>241</v>
      </c>
      <c r="C49" s="228" t="str">
        <f>Rollover!A49</f>
        <v>Volvo</v>
      </c>
      <c r="D49" s="229" t="str">
        <f>Rollover!B49</f>
        <v>S60 T6 4DR AWD</v>
      </c>
      <c r="E49" s="197" t="s">
        <v>99</v>
      </c>
      <c r="F49" s="224">
        <f>Rollover!C49</f>
        <v>2020</v>
      </c>
      <c r="G49" s="10">
        <v>192.18899999999999</v>
      </c>
      <c r="H49" s="11">
        <v>0.25700000000000001</v>
      </c>
      <c r="I49" s="11">
        <v>838.76</v>
      </c>
      <c r="J49" s="11">
        <v>280.53399999999999</v>
      </c>
      <c r="K49" s="11">
        <v>23.760999999999999</v>
      </c>
      <c r="L49" s="11">
        <v>36.959000000000003</v>
      </c>
      <c r="M49" s="11">
        <v>1755.81</v>
      </c>
      <c r="N49" s="12">
        <v>2304.6280000000002</v>
      </c>
      <c r="O49" s="10">
        <v>313.916</v>
      </c>
      <c r="P49" s="11">
        <v>0.3</v>
      </c>
      <c r="Q49" s="11">
        <v>649.59500000000003</v>
      </c>
      <c r="R49" s="11">
        <v>508.42599999999999</v>
      </c>
      <c r="S49" s="11">
        <v>16.805</v>
      </c>
      <c r="T49" s="11">
        <v>40.255000000000003</v>
      </c>
      <c r="U49" s="11">
        <v>1603.194</v>
      </c>
      <c r="V49" s="12">
        <v>2370.8670000000002</v>
      </c>
      <c r="W49" s="225">
        <f t="shared" ref="W49:W59" si="87">NORMDIST(LN(G49),7.45231,0.73998,1)</f>
        <v>1.5148110964768073E-3</v>
      </c>
      <c r="X49" s="5">
        <f t="shared" ref="X49:X59" si="88">1/(1+EXP(3.2269-1.9688*H49))</f>
        <v>6.1750235369635725E-2</v>
      </c>
      <c r="Y49" s="5">
        <f t="shared" ref="Y49:Y59" si="89">1/(1+EXP(10.9745-2.375*I49/1000))</f>
        <v>1.2557961883685883E-4</v>
      </c>
      <c r="Z49" s="5">
        <f t="shared" ref="Z49:Z59" si="90">1/(1+EXP(10.9745-2.375*J49/1000))</f>
        <v>3.3356259674919937E-5</v>
      </c>
      <c r="AA49" s="5">
        <f t="shared" ref="AA49:AA59" si="91">MAX(X49,Y49,Z49)</f>
        <v>6.1750235369635725E-2</v>
      </c>
      <c r="AB49" s="5">
        <f t="shared" ref="AB49:AB59" si="92">1/(1+EXP(12.597-0.05861*35-1.568*(K49^0.4612)))</f>
        <v>2.2173015151094135E-2</v>
      </c>
      <c r="AC49" s="5">
        <f t="shared" ref="AC49:AC59" si="93">AB49</f>
        <v>2.2173015151094135E-2</v>
      </c>
      <c r="AD49" s="5">
        <f t="shared" ref="AD49:AD59" si="94">1/(1+EXP(5.7949-0.5196*M49/1000))</f>
        <v>7.5204448291522801E-3</v>
      </c>
      <c r="AE49" s="5">
        <f t="shared" ref="AE49:AE59" si="95">1/(1+EXP(5.7949-0.5196*N49/1000))</f>
        <v>9.9773006748513412E-3</v>
      </c>
      <c r="AF49" s="24">
        <f t="shared" ref="AF49:AF59" si="96">MAX(AD49,AE49)</f>
        <v>9.9773006748513412E-3</v>
      </c>
      <c r="AG49" s="23">
        <f t="shared" ref="AG49:AG59" si="97">NORMDIST(LN(O49),7.45231,0.73998,1)</f>
        <v>1.0677092954626273E-2</v>
      </c>
      <c r="AH49" s="5">
        <f t="shared" ref="AH49:AH59" si="98">1/(1+EXP(3.2269-1.9688*P49))</f>
        <v>6.6840933860517607E-2</v>
      </c>
      <c r="AI49" s="5">
        <f t="shared" ref="AI49:AI59" si="99">1/(1+EXP(10.958-3.77*Q49/1000))</f>
        <v>2.0159930491227496E-4</v>
      </c>
      <c r="AJ49" s="5">
        <f t="shared" ref="AJ49:AJ59" si="100">1/(1+EXP(10.958-3.77*R49/1000))</f>
        <v>1.18410589922505E-4</v>
      </c>
      <c r="AK49" s="5">
        <f t="shared" ref="AK49:AK59" si="101">MAX(AH49,AI49,AJ49)</f>
        <v>6.6840933860517607E-2</v>
      </c>
      <c r="AL49" s="5">
        <f t="shared" ref="AL49:AL59" si="102">1/(1+EXP(12.597-0.05861*35-1.568*((S49/0.817)^0.4612)))</f>
        <v>1.4464186173625621E-2</v>
      </c>
      <c r="AM49" s="5">
        <f t="shared" ref="AM49:AM59" si="103">AL49</f>
        <v>1.4464186173625621E-2</v>
      </c>
      <c r="AN49" s="5">
        <f t="shared" ref="AN49:AN59" si="104">1/(1+EXP(5.7949-0.7619*U49/1000))</f>
        <v>1.0217063064207312E-2</v>
      </c>
      <c r="AO49" s="5">
        <f t="shared" ref="AO49:AO59" si="105">1/(1+EXP(5.7949-0.7619*V49/1000))</f>
        <v>1.8189810367717985E-2</v>
      </c>
      <c r="AP49" s="24">
        <f t="shared" ref="AP49:AP59" si="106">MAX(AN49,AO49)</f>
        <v>1.8189810367717985E-2</v>
      </c>
      <c r="AQ49" s="225">
        <f t="shared" ref="AQ49:AQ59" si="107">ROUND(1-(1-W49)*(1-AA49)*(1-AC49)*(1-AF49),3)</f>
        <v>9.2999999999999999E-2</v>
      </c>
      <c r="AR49" s="5">
        <f t="shared" ref="AR49:AR59" si="108">ROUND(1-(1-AG49)*(1-AK49)*(1-AM49)*(1-AP49),3)</f>
        <v>0.107</v>
      </c>
      <c r="AS49" s="5">
        <f t="shared" ref="AS49:AS59" si="109">ROUND(AVERAGE(AR49,AQ49),3)</f>
        <v>0.1</v>
      </c>
      <c r="AT49" s="196">
        <f t="shared" ref="AT49:AT59" si="110">ROUND(AQ49/0.15,2)</f>
        <v>0.62</v>
      </c>
      <c r="AU49" s="196">
        <f t="shared" ref="AU49:AU59" si="111">ROUND(AR49/0.15,2)</f>
        <v>0.71</v>
      </c>
      <c r="AV49" s="196">
        <f t="shared" ref="AV49:AV59" si="112">ROUND(AS49/0.15,2)</f>
        <v>0.67</v>
      </c>
      <c r="AW49" s="51">
        <f t="shared" ref="AW49:AW59" si="113">IF(AT49&lt;0.67,5,IF(AT49&lt;1,4,IF(AT49&lt;1.33,3,IF(AT49&lt;2.67,2,1))))</f>
        <v>5</v>
      </c>
      <c r="AX49" s="51">
        <f t="shared" ref="AX49:AX59" si="114">IF(AU49&lt;0.67,5,IF(AU49&lt;1,4,IF(AU49&lt;1.33,3,IF(AU49&lt;2.67,2,1))))</f>
        <v>4</v>
      </c>
      <c r="AY49" s="226">
        <f t="shared" ref="AY49:AY59" si="115">IF(AV49&lt;0.67,5,IF(AV49&lt;1,4,IF(AV49&lt;1.33,3,IF(AV49&lt;2.67,2,1))))</f>
        <v>4</v>
      </c>
    </row>
    <row r="50" spans="1:51" ht="13.15" customHeight="1">
      <c r="A50" s="96">
        <v>11047</v>
      </c>
      <c r="B50" s="87" t="s">
        <v>241</v>
      </c>
      <c r="C50" s="222" t="str">
        <f>Rollover!A50</f>
        <v>Volvo</v>
      </c>
      <c r="D50" s="223" t="str">
        <f>Rollover!B50</f>
        <v>S60 T5 4DR FWD</v>
      </c>
      <c r="E50" s="197" t="s">
        <v>99</v>
      </c>
      <c r="F50" s="224">
        <f>Rollover!C50</f>
        <v>2020</v>
      </c>
      <c r="G50" s="10">
        <v>192.18899999999999</v>
      </c>
      <c r="H50" s="11">
        <v>0.25700000000000001</v>
      </c>
      <c r="I50" s="11">
        <v>838.76</v>
      </c>
      <c r="J50" s="11">
        <v>280.53399999999999</v>
      </c>
      <c r="K50" s="11">
        <v>23.760999999999999</v>
      </c>
      <c r="L50" s="11">
        <v>36.959000000000003</v>
      </c>
      <c r="M50" s="11">
        <v>1755.81</v>
      </c>
      <c r="N50" s="12">
        <v>2304.6280000000002</v>
      </c>
      <c r="O50" s="10">
        <v>313.916</v>
      </c>
      <c r="P50" s="11">
        <v>0.3</v>
      </c>
      <c r="Q50" s="11">
        <v>649.59500000000003</v>
      </c>
      <c r="R50" s="11">
        <v>508.42599999999999</v>
      </c>
      <c r="S50" s="11">
        <v>16.805</v>
      </c>
      <c r="T50" s="11">
        <v>40.255000000000003</v>
      </c>
      <c r="U50" s="11">
        <v>1603.194</v>
      </c>
      <c r="V50" s="12">
        <v>2370.8670000000002</v>
      </c>
      <c r="W50" s="225">
        <f t="shared" si="87"/>
        <v>1.5148110964768073E-3</v>
      </c>
      <c r="X50" s="5">
        <f t="shared" si="88"/>
        <v>6.1750235369635725E-2</v>
      </c>
      <c r="Y50" s="5">
        <f t="shared" si="89"/>
        <v>1.2557961883685883E-4</v>
      </c>
      <c r="Z50" s="5">
        <f t="shared" si="90"/>
        <v>3.3356259674919937E-5</v>
      </c>
      <c r="AA50" s="5">
        <f t="shared" si="91"/>
        <v>6.1750235369635725E-2</v>
      </c>
      <c r="AB50" s="5">
        <f t="shared" si="92"/>
        <v>2.2173015151094135E-2</v>
      </c>
      <c r="AC50" s="5">
        <f t="shared" si="93"/>
        <v>2.2173015151094135E-2</v>
      </c>
      <c r="AD50" s="5">
        <f t="shared" si="94"/>
        <v>7.5204448291522801E-3</v>
      </c>
      <c r="AE50" s="5">
        <f t="shared" si="95"/>
        <v>9.9773006748513412E-3</v>
      </c>
      <c r="AF50" s="24">
        <f t="shared" si="96"/>
        <v>9.9773006748513412E-3</v>
      </c>
      <c r="AG50" s="23">
        <f t="shared" si="97"/>
        <v>1.0677092954626273E-2</v>
      </c>
      <c r="AH50" s="5">
        <f t="shared" si="98"/>
        <v>6.6840933860517607E-2</v>
      </c>
      <c r="AI50" s="5">
        <f t="shared" si="99"/>
        <v>2.0159930491227496E-4</v>
      </c>
      <c r="AJ50" s="5">
        <f t="shared" si="100"/>
        <v>1.18410589922505E-4</v>
      </c>
      <c r="AK50" s="5">
        <f t="shared" si="101"/>
        <v>6.6840933860517607E-2</v>
      </c>
      <c r="AL50" s="5">
        <f t="shared" si="102"/>
        <v>1.4464186173625621E-2</v>
      </c>
      <c r="AM50" s="5">
        <f t="shared" si="103"/>
        <v>1.4464186173625621E-2</v>
      </c>
      <c r="AN50" s="5">
        <f t="shared" si="104"/>
        <v>1.0217063064207312E-2</v>
      </c>
      <c r="AO50" s="5">
        <f t="shared" si="105"/>
        <v>1.8189810367717985E-2</v>
      </c>
      <c r="AP50" s="24">
        <f t="shared" si="106"/>
        <v>1.8189810367717985E-2</v>
      </c>
      <c r="AQ50" s="225">
        <f t="shared" si="107"/>
        <v>9.2999999999999999E-2</v>
      </c>
      <c r="AR50" s="5">
        <f t="shared" si="108"/>
        <v>0.107</v>
      </c>
      <c r="AS50" s="5">
        <f t="shared" si="109"/>
        <v>0.1</v>
      </c>
      <c r="AT50" s="196">
        <f t="shared" si="110"/>
        <v>0.62</v>
      </c>
      <c r="AU50" s="196">
        <f t="shared" si="111"/>
        <v>0.71</v>
      </c>
      <c r="AV50" s="196">
        <f t="shared" si="112"/>
        <v>0.67</v>
      </c>
      <c r="AW50" s="51">
        <f t="shared" si="113"/>
        <v>5</v>
      </c>
      <c r="AX50" s="51">
        <f t="shared" si="114"/>
        <v>4</v>
      </c>
      <c r="AY50" s="226">
        <f t="shared" si="115"/>
        <v>4</v>
      </c>
    </row>
    <row r="51" spans="1:51" ht="13.15" customHeight="1">
      <c r="A51" s="227">
        <v>11047</v>
      </c>
      <c r="B51" s="87" t="s">
        <v>241</v>
      </c>
      <c r="C51" s="222" t="str">
        <f>Rollover!A51</f>
        <v>Volvo</v>
      </c>
      <c r="D51" s="223" t="str">
        <f>Rollover!B51</f>
        <v>V60 T5 SW FWD</v>
      </c>
      <c r="E51" s="197" t="s">
        <v>99</v>
      </c>
      <c r="F51" s="224">
        <f>Rollover!C51</f>
        <v>2020</v>
      </c>
      <c r="G51" s="10">
        <v>192.18899999999999</v>
      </c>
      <c r="H51" s="11">
        <v>0.25700000000000001</v>
      </c>
      <c r="I51" s="11">
        <v>838.76</v>
      </c>
      <c r="J51" s="11">
        <v>280.53399999999999</v>
      </c>
      <c r="K51" s="11">
        <v>23.760999999999999</v>
      </c>
      <c r="L51" s="11">
        <v>36.959000000000003</v>
      </c>
      <c r="M51" s="11">
        <v>1755.81</v>
      </c>
      <c r="N51" s="12">
        <v>2304.6280000000002</v>
      </c>
      <c r="O51" s="10">
        <v>313.916</v>
      </c>
      <c r="P51" s="11">
        <v>0.3</v>
      </c>
      <c r="Q51" s="11">
        <v>649.59500000000003</v>
      </c>
      <c r="R51" s="11">
        <v>508.42599999999999</v>
      </c>
      <c r="S51" s="11">
        <v>16.805</v>
      </c>
      <c r="T51" s="11">
        <v>40.255000000000003</v>
      </c>
      <c r="U51" s="11">
        <v>1603.194</v>
      </c>
      <c r="V51" s="12">
        <v>2370.8670000000002</v>
      </c>
      <c r="W51" s="225">
        <f t="shared" si="87"/>
        <v>1.5148110964768073E-3</v>
      </c>
      <c r="X51" s="5">
        <f t="shared" si="88"/>
        <v>6.1750235369635725E-2</v>
      </c>
      <c r="Y51" s="5">
        <f t="shared" si="89"/>
        <v>1.2557961883685883E-4</v>
      </c>
      <c r="Z51" s="5">
        <f t="shared" si="90"/>
        <v>3.3356259674919937E-5</v>
      </c>
      <c r="AA51" s="5">
        <f t="shared" si="91"/>
        <v>6.1750235369635725E-2</v>
      </c>
      <c r="AB51" s="5">
        <f t="shared" si="92"/>
        <v>2.2173015151094135E-2</v>
      </c>
      <c r="AC51" s="5">
        <f t="shared" si="93"/>
        <v>2.2173015151094135E-2</v>
      </c>
      <c r="AD51" s="5">
        <f t="shared" si="94"/>
        <v>7.5204448291522801E-3</v>
      </c>
      <c r="AE51" s="5">
        <f t="shared" si="95"/>
        <v>9.9773006748513412E-3</v>
      </c>
      <c r="AF51" s="24">
        <f t="shared" si="96"/>
        <v>9.9773006748513412E-3</v>
      </c>
      <c r="AG51" s="23">
        <f t="shared" si="97"/>
        <v>1.0677092954626273E-2</v>
      </c>
      <c r="AH51" s="5">
        <f t="shared" si="98"/>
        <v>6.6840933860517607E-2</v>
      </c>
      <c r="AI51" s="5">
        <f t="shared" si="99"/>
        <v>2.0159930491227496E-4</v>
      </c>
      <c r="AJ51" s="5">
        <f t="shared" si="100"/>
        <v>1.18410589922505E-4</v>
      </c>
      <c r="AK51" s="5">
        <f t="shared" si="101"/>
        <v>6.6840933860517607E-2</v>
      </c>
      <c r="AL51" s="5">
        <f t="shared" si="102"/>
        <v>1.4464186173625621E-2</v>
      </c>
      <c r="AM51" s="5">
        <f t="shared" si="103"/>
        <v>1.4464186173625621E-2</v>
      </c>
      <c r="AN51" s="5">
        <f t="shared" si="104"/>
        <v>1.0217063064207312E-2</v>
      </c>
      <c r="AO51" s="5">
        <f t="shared" si="105"/>
        <v>1.8189810367717985E-2</v>
      </c>
      <c r="AP51" s="24">
        <f t="shared" si="106"/>
        <v>1.8189810367717985E-2</v>
      </c>
      <c r="AQ51" s="225">
        <f t="shared" si="107"/>
        <v>9.2999999999999999E-2</v>
      </c>
      <c r="AR51" s="5">
        <f t="shared" si="108"/>
        <v>0.107</v>
      </c>
      <c r="AS51" s="5">
        <f t="shared" si="109"/>
        <v>0.1</v>
      </c>
      <c r="AT51" s="196">
        <f t="shared" si="110"/>
        <v>0.62</v>
      </c>
      <c r="AU51" s="196">
        <f t="shared" si="111"/>
        <v>0.71</v>
      </c>
      <c r="AV51" s="196">
        <f t="shared" si="112"/>
        <v>0.67</v>
      </c>
      <c r="AW51" s="51">
        <f t="shared" si="113"/>
        <v>5</v>
      </c>
      <c r="AX51" s="51">
        <f t="shared" si="114"/>
        <v>4</v>
      </c>
      <c r="AY51" s="226">
        <f t="shared" si="115"/>
        <v>4</v>
      </c>
    </row>
    <row r="52" spans="1:51" ht="13.15" customHeight="1">
      <c r="A52" s="227">
        <v>11047</v>
      </c>
      <c r="B52" s="87" t="s">
        <v>241</v>
      </c>
      <c r="C52" s="222" t="str">
        <f>Rollover!A52</f>
        <v>Volvo</v>
      </c>
      <c r="D52" s="223" t="str">
        <f>Rollover!B52</f>
        <v>V60 CC T5 SW AWD</v>
      </c>
      <c r="E52" s="197" t="s">
        <v>99</v>
      </c>
      <c r="F52" s="224">
        <f>Rollover!C52</f>
        <v>2020</v>
      </c>
      <c r="G52" s="18">
        <v>192.18899999999999</v>
      </c>
      <c r="H52" s="19">
        <v>0.25700000000000001</v>
      </c>
      <c r="I52" s="19">
        <v>838.76</v>
      </c>
      <c r="J52" s="19">
        <v>280.53399999999999</v>
      </c>
      <c r="K52" s="19">
        <v>23.760999999999999</v>
      </c>
      <c r="L52" s="19">
        <v>36.959000000000003</v>
      </c>
      <c r="M52" s="19">
        <v>1755.81</v>
      </c>
      <c r="N52" s="20">
        <v>2304.6280000000002</v>
      </c>
      <c r="O52" s="18">
        <v>313.916</v>
      </c>
      <c r="P52" s="19">
        <v>0.3</v>
      </c>
      <c r="Q52" s="19">
        <v>649.59500000000003</v>
      </c>
      <c r="R52" s="19">
        <v>508.42599999999999</v>
      </c>
      <c r="S52" s="19">
        <v>16.805</v>
      </c>
      <c r="T52" s="19">
        <v>40.255000000000003</v>
      </c>
      <c r="U52" s="19">
        <v>1603.194</v>
      </c>
      <c r="V52" s="20">
        <v>2370.8670000000002</v>
      </c>
      <c r="W52" s="225">
        <f t="shared" si="87"/>
        <v>1.5148110964768073E-3</v>
      </c>
      <c r="X52" s="5">
        <f t="shared" si="88"/>
        <v>6.1750235369635725E-2</v>
      </c>
      <c r="Y52" s="5">
        <f t="shared" si="89"/>
        <v>1.2557961883685883E-4</v>
      </c>
      <c r="Z52" s="5">
        <f t="shared" si="90"/>
        <v>3.3356259674919937E-5</v>
      </c>
      <c r="AA52" s="5">
        <f t="shared" si="91"/>
        <v>6.1750235369635725E-2</v>
      </c>
      <c r="AB52" s="5">
        <f t="shared" si="92"/>
        <v>2.2173015151094135E-2</v>
      </c>
      <c r="AC52" s="5">
        <f t="shared" si="93"/>
        <v>2.2173015151094135E-2</v>
      </c>
      <c r="AD52" s="5">
        <f t="shared" si="94"/>
        <v>7.5204448291522801E-3</v>
      </c>
      <c r="AE52" s="5">
        <f t="shared" si="95"/>
        <v>9.9773006748513412E-3</v>
      </c>
      <c r="AF52" s="24">
        <f t="shared" si="96"/>
        <v>9.9773006748513412E-3</v>
      </c>
      <c r="AG52" s="23">
        <f t="shared" si="97"/>
        <v>1.0677092954626273E-2</v>
      </c>
      <c r="AH52" s="5">
        <f t="shared" si="98"/>
        <v>6.6840933860517607E-2</v>
      </c>
      <c r="AI52" s="5">
        <f t="shared" si="99"/>
        <v>2.0159930491227496E-4</v>
      </c>
      <c r="AJ52" s="5">
        <f t="shared" si="100"/>
        <v>1.18410589922505E-4</v>
      </c>
      <c r="AK52" s="5">
        <f t="shared" si="101"/>
        <v>6.6840933860517607E-2</v>
      </c>
      <c r="AL52" s="5">
        <f t="shared" si="102"/>
        <v>1.4464186173625621E-2</v>
      </c>
      <c r="AM52" s="5">
        <f t="shared" si="103"/>
        <v>1.4464186173625621E-2</v>
      </c>
      <c r="AN52" s="5">
        <f t="shared" si="104"/>
        <v>1.0217063064207312E-2</v>
      </c>
      <c r="AO52" s="5">
        <f t="shared" si="105"/>
        <v>1.8189810367717985E-2</v>
      </c>
      <c r="AP52" s="24">
        <f t="shared" si="106"/>
        <v>1.8189810367717985E-2</v>
      </c>
      <c r="AQ52" s="225">
        <f t="shared" si="107"/>
        <v>9.2999999999999999E-2</v>
      </c>
      <c r="AR52" s="5">
        <f t="shared" si="108"/>
        <v>0.107</v>
      </c>
      <c r="AS52" s="5">
        <f t="shared" si="109"/>
        <v>0.1</v>
      </c>
      <c r="AT52" s="196">
        <f t="shared" si="110"/>
        <v>0.62</v>
      </c>
      <c r="AU52" s="196">
        <f t="shared" si="111"/>
        <v>0.71</v>
      </c>
      <c r="AV52" s="196">
        <f t="shared" si="112"/>
        <v>0.67</v>
      </c>
      <c r="AW52" s="51">
        <f t="shared" si="113"/>
        <v>5</v>
      </c>
      <c r="AX52" s="51">
        <f t="shared" si="114"/>
        <v>4</v>
      </c>
      <c r="AY52" s="226">
        <f t="shared" si="115"/>
        <v>4</v>
      </c>
    </row>
    <row r="53" spans="1:51" ht="13.15" customHeight="1">
      <c r="A53" s="227">
        <v>10917</v>
      </c>
      <c r="B53" s="95" t="s">
        <v>195</v>
      </c>
      <c r="C53" s="222" t="str">
        <f>Rollover!A53</f>
        <v>Volvo</v>
      </c>
      <c r="D53" s="223" t="str">
        <f>Rollover!B53</f>
        <v>XC40 T5 SUV AWD</v>
      </c>
      <c r="E53" s="197" t="s">
        <v>85</v>
      </c>
      <c r="F53" s="224">
        <f>Rollover!C53</f>
        <v>2020</v>
      </c>
      <c r="G53" s="18">
        <v>200.053</v>
      </c>
      <c r="H53" s="19">
        <v>0.29899999999999999</v>
      </c>
      <c r="I53" s="19">
        <v>928.255</v>
      </c>
      <c r="J53" s="19">
        <v>110.486</v>
      </c>
      <c r="K53" s="19">
        <v>22.052</v>
      </c>
      <c r="L53" s="19">
        <v>41.51</v>
      </c>
      <c r="M53" s="19">
        <v>1604.6210000000001</v>
      </c>
      <c r="N53" s="20">
        <v>1689.473</v>
      </c>
      <c r="O53" s="18">
        <v>343.44400000000002</v>
      </c>
      <c r="P53" s="19">
        <v>0.313</v>
      </c>
      <c r="Q53" s="19">
        <v>694.18</v>
      </c>
      <c r="R53" s="19">
        <v>295.48899999999998</v>
      </c>
      <c r="S53" s="19">
        <v>12.709</v>
      </c>
      <c r="T53" s="19">
        <v>42.926000000000002</v>
      </c>
      <c r="U53" s="19">
        <v>1766.52</v>
      </c>
      <c r="V53" s="20">
        <v>1829.538</v>
      </c>
      <c r="W53" s="225">
        <f t="shared" si="87"/>
        <v>1.8041309451768328E-3</v>
      </c>
      <c r="X53" s="5">
        <f t="shared" si="88"/>
        <v>6.671823813323266E-2</v>
      </c>
      <c r="Y53" s="5">
        <f t="shared" si="89"/>
        <v>1.5531586080468445E-4</v>
      </c>
      <c r="Z53" s="5">
        <f t="shared" si="90"/>
        <v>2.2273386479112217E-5</v>
      </c>
      <c r="AA53" s="5">
        <f t="shared" si="91"/>
        <v>6.671823813323266E-2</v>
      </c>
      <c r="AB53" s="5">
        <f t="shared" si="92"/>
        <v>1.7719998175078036E-2</v>
      </c>
      <c r="AC53" s="5">
        <f t="shared" si="93"/>
        <v>1.7719998175078036E-2</v>
      </c>
      <c r="AD53" s="5">
        <f t="shared" si="94"/>
        <v>6.9562172363824204E-3</v>
      </c>
      <c r="AE53" s="5">
        <f t="shared" si="95"/>
        <v>7.2674932138973971E-3</v>
      </c>
      <c r="AF53" s="24">
        <f t="shared" si="96"/>
        <v>7.2674932138973971E-3</v>
      </c>
      <c r="AG53" s="23">
        <f t="shared" si="97"/>
        <v>1.4622244362346533E-2</v>
      </c>
      <c r="AH53" s="5">
        <f t="shared" si="98"/>
        <v>6.8455146857900259E-2</v>
      </c>
      <c r="AI53" s="5">
        <f t="shared" si="99"/>
        <v>2.3849077700541387E-4</v>
      </c>
      <c r="AJ53" s="5">
        <f t="shared" si="100"/>
        <v>5.306146852895651E-5</v>
      </c>
      <c r="AK53" s="5">
        <f t="shared" si="101"/>
        <v>6.8455146857900259E-2</v>
      </c>
      <c r="AL53" s="5">
        <f t="shared" si="102"/>
        <v>6.7863935937378028E-3</v>
      </c>
      <c r="AM53" s="5">
        <f t="shared" si="103"/>
        <v>6.7863935937378028E-3</v>
      </c>
      <c r="AN53" s="5">
        <f t="shared" si="104"/>
        <v>1.1555300908274285E-2</v>
      </c>
      <c r="AO53" s="5">
        <f t="shared" si="105"/>
        <v>1.211675876298168E-2</v>
      </c>
      <c r="AP53" s="24">
        <f t="shared" si="106"/>
        <v>1.211675876298168E-2</v>
      </c>
      <c r="AQ53" s="225">
        <f t="shared" si="107"/>
        <v>9.1999999999999998E-2</v>
      </c>
      <c r="AR53" s="5">
        <f t="shared" si="108"/>
        <v>9.9000000000000005E-2</v>
      </c>
      <c r="AS53" s="5">
        <f t="shared" si="109"/>
        <v>9.6000000000000002E-2</v>
      </c>
      <c r="AT53" s="196">
        <f t="shared" si="110"/>
        <v>0.61</v>
      </c>
      <c r="AU53" s="196">
        <f t="shared" si="111"/>
        <v>0.66</v>
      </c>
      <c r="AV53" s="196">
        <f t="shared" si="112"/>
        <v>0.64</v>
      </c>
      <c r="AW53" s="51">
        <f t="shared" si="113"/>
        <v>5</v>
      </c>
      <c r="AX53" s="51">
        <f t="shared" si="114"/>
        <v>5</v>
      </c>
      <c r="AY53" s="226">
        <f t="shared" si="115"/>
        <v>5</v>
      </c>
    </row>
    <row r="54" spans="1:51" ht="13.15" customHeight="1">
      <c r="A54" s="96">
        <v>10917</v>
      </c>
      <c r="B54" s="97" t="s">
        <v>195</v>
      </c>
      <c r="C54" s="228" t="str">
        <f>Rollover!A54</f>
        <v>Volvo</v>
      </c>
      <c r="D54" s="229" t="str">
        <f>Rollover!B54</f>
        <v>XC40 T4 4DR FWD</v>
      </c>
      <c r="E54" s="197" t="s">
        <v>85</v>
      </c>
      <c r="F54" s="224">
        <f>Rollover!C54</f>
        <v>2020</v>
      </c>
      <c r="G54" s="10">
        <v>200.053</v>
      </c>
      <c r="H54" s="11">
        <v>0.29899999999999999</v>
      </c>
      <c r="I54" s="11">
        <v>928.255</v>
      </c>
      <c r="J54" s="11">
        <v>110.486</v>
      </c>
      <c r="K54" s="11">
        <v>22.052</v>
      </c>
      <c r="L54" s="11">
        <v>41.51</v>
      </c>
      <c r="M54" s="11">
        <v>1604.6210000000001</v>
      </c>
      <c r="N54" s="12">
        <v>1689.473</v>
      </c>
      <c r="O54" s="10">
        <v>343.44400000000002</v>
      </c>
      <c r="P54" s="11">
        <v>0.313</v>
      </c>
      <c r="Q54" s="11">
        <v>694.18</v>
      </c>
      <c r="R54" s="11">
        <v>295.48899999999998</v>
      </c>
      <c r="S54" s="11">
        <v>12.709</v>
      </c>
      <c r="T54" s="11">
        <v>42.926000000000002</v>
      </c>
      <c r="U54" s="11">
        <v>1766.52</v>
      </c>
      <c r="V54" s="12">
        <v>1829.538</v>
      </c>
      <c r="W54" s="225">
        <f t="shared" si="87"/>
        <v>1.8041309451768328E-3</v>
      </c>
      <c r="X54" s="5">
        <f t="shared" si="88"/>
        <v>6.671823813323266E-2</v>
      </c>
      <c r="Y54" s="5">
        <f t="shared" si="89"/>
        <v>1.5531586080468445E-4</v>
      </c>
      <c r="Z54" s="5">
        <f t="shared" si="90"/>
        <v>2.2273386479112217E-5</v>
      </c>
      <c r="AA54" s="5">
        <f t="shared" si="91"/>
        <v>6.671823813323266E-2</v>
      </c>
      <c r="AB54" s="5">
        <f t="shared" si="92"/>
        <v>1.7719998175078036E-2</v>
      </c>
      <c r="AC54" s="5">
        <f t="shared" si="93"/>
        <v>1.7719998175078036E-2</v>
      </c>
      <c r="AD54" s="5">
        <f t="shared" si="94"/>
        <v>6.9562172363824204E-3</v>
      </c>
      <c r="AE54" s="5">
        <f t="shared" si="95"/>
        <v>7.2674932138973971E-3</v>
      </c>
      <c r="AF54" s="24">
        <f t="shared" si="96"/>
        <v>7.2674932138973971E-3</v>
      </c>
      <c r="AG54" s="23">
        <f t="shared" si="97"/>
        <v>1.4622244362346533E-2</v>
      </c>
      <c r="AH54" s="5">
        <f t="shared" si="98"/>
        <v>6.8455146857900259E-2</v>
      </c>
      <c r="AI54" s="5">
        <f t="shared" si="99"/>
        <v>2.3849077700541387E-4</v>
      </c>
      <c r="AJ54" s="5">
        <f t="shared" si="100"/>
        <v>5.306146852895651E-5</v>
      </c>
      <c r="AK54" s="5">
        <f t="shared" si="101"/>
        <v>6.8455146857900259E-2</v>
      </c>
      <c r="AL54" s="5">
        <f t="shared" si="102"/>
        <v>6.7863935937378028E-3</v>
      </c>
      <c r="AM54" s="5">
        <f t="shared" si="103"/>
        <v>6.7863935937378028E-3</v>
      </c>
      <c r="AN54" s="5">
        <f t="shared" si="104"/>
        <v>1.1555300908274285E-2</v>
      </c>
      <c r="AO54" s="5">
        <f t="shared" si="105"/>
        <v>1.211675876298168E-2</v>
      </c>
      <c r="AP54" s="24">
        <f t="shared" si="106"/>
        <v>1.211675876298168E-2</v>
      </c>
      <c r="AQ54" s="225">
        <f t="shared" si="107"/>
        <v>9.1999999999999998E-2</v>
      </c>
      <c r="AR54" s="5">
        <f t="shared" si="108"/>
        <v>9.9000000000000005E-2</v>
      </c>
      <c r="AS54" s="5">
        <f t="shared" si="109"/>
        <v>9.6000000000000002E-2</v>
      </c>
      <c r="AT54" s="196">
        <f t="shared" si="110"/>
        <v>0.61</v>
      </c>
      <c r="AU54" s="196">
        <f t="shared" si="111"/>
        <v>0.66</v>
      </c>
      <c r="AV54" s="196">
        <f t="shared" si="112"/>
        <v>0.64</v>
      </c>
      <c r="AW54" s="51">
        <f t="shared" si="113"/>
        <v>5</v>
      </c>
      <c r="AX54" s="51">
        <f t="shared" si="114"/>
        <v>5</v>
      </c>
      <c r="AY54" s="226">
        <f t="shared" si="115"/>
        <v>5</v>
      </c>
    </row>
    <row r="55" spans="1:51">
      <c r="A55" s="227">
        <v>10977</v>
      </c>
      <c r="B55" s="95" t="s">
        <v>225</v>
      </c>
      <c r="C55" s="228" t="str">
        <f>Rollover!A55</f>
        <v>Volvo</v>
      </c>
      <c r="D55" s="229" t="str">
        <f>Rollover!B55</f>
        <v>XC60 T5 SUV AWD</v>
      </c>
      <c r="E55" s="197" t="s">
        <v>91</v>
      </c>
      <c r="F55" s="224">
        <f>Rollover!C55</f>
        <v>2020</v>
      </c>
      <c r="G55" s="18">
        <v>125.29</v>
      </c>
      <c r="H55" s="19">
        <v>0.218</v>
      </c>
      <c r="I55" s="19">
        <v>879.298</v>
      </c>
      <c r="J55" s="19">
        <v>68.245999999999995</v>
      </c>
      <c r="K55" s="19">
        <v>18.32</v>
      </c>
      <c r="L55" s="19">
        <v>30.63</v>
      </c>
      <c r="M55" s="19">
        <v>2175.7040000000002</v>
      </c>
      <c r="N55" s="20">
        <v>2092.5140000000001</v>
      </c>
      <c r="O55" s="18">
        <v>177.56700000000001</v>
      </c>
      <c r="P55" s="19">
        <v>0.28199999999999997</v>
      </c>
      <c r="Q55" s="19">
        <v>795.52800000000002</v>
      </c>
      <c r="R55" s="19">
        <v>242.929</v>
      </c>
      <c r="S55" s="19">
        <v>12.294</v>
      </c>
      <c r="T55" s="19">
        <v>30.35</v>
      </c>
      <c r="U55" s="19">
        <v>1461.4059999999999</v>
      </c>
      <c r="V55" s="20">
        <v>1562.1759999999999</v>
      </c>
      <c r="W55" s="225">
        <f t="shared" si="87"/>
        <v>1.9787250913244007E-4</v>
      </c>
      <c r="X55" s="5">
        <f t="shared" si="88"/>
        <v>5.7448503543772476E-2</v>
      </c>
      <c r="Y55" s="5">
        <f t="shared" si="89"/>
        <v>1.3826954833560162E-4</v>
      </c>
      <c r="Z55" s="5">
        <f t="shared" si="90"/>
        <v>2.0147388164693339E-5</v>
      </c>
      <c r="AA55" s="5">
        <f t="shared" si="91"/>
        <v>5.7448503543772476E-2</v>
      </c>
      <c r="AB55" s="5">
        <f t="shared" si="92"/>
        <v>1.0452566248007366E-2</v>
      </c>
      <c r="AC55" s="5">
        <f t="shared" si="93"/>
        <v>1.0452566248007366E-2</v>
      </c>
      <c r="AD55" s="5">
        <f t="shared" si="94"/>
        <v>9.3368632225064724E-3</v>
      </c>
      <c r="AE55" s="5">
        <f t="shared" si="95"/>
        <v>8.9454041613637909E-3</v>
      </c>
      <c r="AF55" s="24">
        <f t="shared" si="96"/>
        <v>9.3368632225064724E-3</v>
      </c>
      <c r="AG55" s="23">
        <f t="shared" si="97"/>
        <v>1.0643841637641475E-3</v>
      </c>
      <c r="AH55" s="5">
        <f t="shared" si="98"/>
        <v>6.4664168782384332E-2</v>
      </c>
      <c r="AI55" s="5">
        <f t="shared" si="99"/>
        <v>3.4942943112058769E-4</v>
      </c>
      <c r="AJ55" s="5">
        <f t="shared" si="100"/>
        <v>4.3523863033028963E-5</v>
      </c>
      <c r="AK55" s="5">
        <f t="shared" si="101"/>
        <v>6.4664168782384332E-2</v>
      </c>
      <c r="AL55" s="5">
        <f t="shared" si="102"/>
        <v>6.2400754487016733E-3</v>
      </c>
      <c r="AM55" s="5">
        <f t="shared" si="103"/>
        <v>6.2400754487016733E-3</v>
      </c>
      <c r="AN55" s="5">
        <f t="shared" si="104"/>
        <v>9.1804630740407161E-3</v>
      </c>
      <c r="AO55" s="5">
        <f t="shared" si="105"/>
        <v>9.9058151071549985E-3</v>
      </c>
      <c r="AP55" s="24">
        <f t="shared" si="106"/>
        <v>9.9058151071549985E-3</v>
      </c>
      <c r="AQ55" s="225">
        <f t="shared" si="107"/>
        <v>7.5999999999999998E-2</v>
      </c>
      <c r="AR55" s="5">
        <f t="shared" si="108"/>
        <v>8.1000000000000003E-2</v>
      </c>
      <c r="AS55" s="5">
        <f t="shared" si="109"/>
        <v>7.9000000000000001E-2</v>
      </c>
      <c r="AT55" s="196">
        <f t="shared" si="110"/>
        <v>0.51</v>
      </c>
      <c r="AU55" s="196">
        <f t="shared" si="111"/>
        <v>0.54</v>
      </c>
      <c r="AV55" s="196">
        <f t="shared" si="112"/>
        <v>0.53</v>
      </c>
      <c r="AW55" s="51">
        <f t="shared" si="113"/>
        <v>5</v>
      </c>
      <c r="AX55" s="51">
        <f t="shared" si="114"/>
        <v>5</v>
      </c>
      <c r="AY55" s="226">
        <f t="shared" si="115"/>
        <v>5</v>
      </c>
    </row>
    <row r="56" spans="1:51" ht="13.15" customHeight="1">
      <c r="A56" s="87">
        <v>10977</v>
      </c>
      <c r="B56" s="87" t="s">
        <v>225</v>
      </c>
      <c r="C56" s="222" t="str">
        <f>Rollover!A56</f>
        <v>Volvo</v>
      </c>
      <c r="D56" s="223" t="str">
        <f>Rollover!B56</f>
        <v>XC60 T5 SUV FWD</v>
      </c>
      <c r="E56" s="197" t="s">
        <v>91</v>
      </c>
      <c r="F56" s="224">
        <f>Rollover!C56</f>
        <v>2020</v>
      </c>
      <c r="G56" s="18">
        <v>125.29</v>
      </c>
      <c r="H56" s="19">
        <v>0.218</v>
      </c>
      <c r="I56" s="19">
        <v>879.298</v>
      </c>
      <c r="J56" s="19">
        <v>68.245999999999995</v>
      </c>
      <c r="K56" s="19">
        <v>18.32</v>
      </c>
      <c r="L56" s="19">
        <v>30.63</v>
      </c>
      <c r="M56" s="19">
        <v>2175.7040000000002</v>
      </c>
      <c r="N56" s="20">
        <v>2092.5140000000001</v>
      </c>
      <c r="O56" s="18">
        <v>177.56700000000001</v>
      </c>
      <c r="P56" s="19">
        <v>0.28199999999999997</v>
      </c>
      <c r="Q56" s="19">
        <v>795.52800000000002</v>
      </c>
      <c r="R56" s="19">
        <v>242.929</v>
      </c>
      <c r="S56" s="19">
        <v>12.294</v>
      </c>
      <c r="T56" s="19">
        <v>30.35</v>
      </c>
      <c r="U56" s="19">
        <v>1461.4059999999999</v>
      </c>
      <c r="V56" s="20">
        <v>1562.1759999999999</v>
      </c>
      <c r="W56" s="225">
        <f t="shared" si="87"/>
        <v>1.9787250913244007E-4</v>
      </c>
      <c r="X56" s="5">
        <f t="shared" si="88"/>
        <v>5.7448503543772476E-2</v>
      </c>
      <c r="Y56" s="5">
        <f t="shared" si="89"/>
        <v>1.3826954833560162E-4</v>
      </c>
      <c r="Z56" s="5">
        <f t="shared" si="90"/>
        <v>2.0147388164693339E-5</v>
      </c>
      <c r="AA56" s="5">
        <f t="shared" si="91"/>
        <v>5.7448503543772476E-2</v>
      </c>
      <c r="AB56" s="5">
        <f t="shared" si="92"/>
        <v>1.0452566248007366E-2</v>
      </c>
      <c r="AC56" s="5">
        <f t="shared" si="93"/>
        <v>1.0452566248007366E-2</v>
      </c>
      <c r="AD56" s="5">
        <f t="shared" si="94"/>
        <v>9.3368632225064724E-3</v>
      </c>
      <c r="AE56" s="5">
        <f t="shared" si="95"/>
        <v>8.9454041613637909E-3</v>
      </c>
      <c r="AF56" s="24">
        <f t="shared" si="96"/>
        <v>9.3368632225064724E-3</v>
      </c>
      <c r="AG56" s="23">
        <f t="shared" si="97"/>
        <v>1.0643841637641475E-3</v>
      </c>
      <c r="AH56" s="5">
        <f t="shared" si="98"/>
        <v>6.4664168782384332E-2</v>
      </c>
      <c r="AI56" s="5">
        <f t="shared" si="99"/>
        <v>3.4942943112058769E-4</v>
      </c>
      <c r="AJ56" s="5">
        <f t="shared" si="100"/>
        <v>4.3523863033028963E-5</v>
      </c>
      <c r="AK56" s="5">
        <f t="shared" si="101"/>
        <v>6.4664168782384332E-2</v>
      </c>
      <c r="AL56" s="5">
        <f t="shared" si="102"/>
        <v>6.2400754487016733E-3</v>
      </c>
      <c r="AM56" s="5">
        <f t="shared" si="103"/>
        <v>6.2400754487016733E-3</v>
      </c>
      <c r="AN56" s="5">
        <f t="shared" si="104"/>
        <v>9.1804630740407161E-3</v>
      </c>
      <c r="AO56" s="5">
        <f t="shared" si="105"/>
        <v>9.9058151071549985E-3</v>
      </c>
      <c r="AP56" s="24">
        <f t="shared" si="106"/>
        <v>9.9058151071549985E-3</v>
      </c>
      <c r="AQ56" s="225">
        <f t="shared" si="107"/>
        <v>7.5999999999999998E-2</v>
      </c>
      <c r="AR56" s="5">
        <f t="shared" si="108"/>
        <v>8.1000000000000003E-2</v>
      </c>
      <c r="AS56" s="5">
        <f t="shared" si="109"/>
        <v>7.9000000000000001E-2</v>
      </c>
      <c r="AT56" s="196">
        <f t="shared" si="110"/>
        <v>0.51</v>
      </c>
      <c r="AU56" s="196">
        <f t="shared" si="111"/>
        <v>0.54</v>
      </c>
      <c r="AV56" s="196">
        <f t="shared" si="112"/>
        <v>0.53</v>
      </c>
      <c r="AW56" s="51">
        <f t="shared" si="113"/>
        <v>5</v>
      </c>
      <c r="AX56" s="51">
        <f t="shared" si="114"/>
        <v>5</v>
      </c>
      <c r="AY56" s="226">
        <f t="shared" si="115"/>
        <v>5</v>
      </c>
    </row>
    <row r="57" spans="1:51" ht="13.15" customHeight="1">
      <c r="A57" s="87">
        <v>10977</v>
      </c>
      <c r="B57" s="87" t="s">
        <v>225</v>
      </c>
      <c r="C57" s="222" t="str">
        <f>Rollover!A57</f>
        <v>Volvo</v>
      </c>
      <c r="D57" s="223" t="str">
        <f>Rollover!B57</f>
        <v>XC60 T6 SUV AWD</v>
      </c>
      <c r="E57" s="197" t="s">
        <v>91</v>
      </c>
      <c r="F57" s="224">
        <f>Rollover!C57</f>
        <v>2020</v>
      </c>
      <c r="G57" s="10">
        <v>125.29</v>
      </c>
      <c r="H57" s="11">
        <v>0.218</v>
      </c>
      <c r="I57" s="11">
        <v>879.298</v>
      </c>
      <c r="J57" s="11">
        <v>68.245999999999995</v>
      </c>
      <c r="K57" s="11">
        <v>18.32</v>
      </c>
      <c r="L57" s="11">
        <v>30.63</v>
      </c>
      <c r="M57" s="11">
        <v>2175.7040000000002</v>
      </c>
      <c r="N57" s="12">
        <v>2092.5140000000001</v>
      </c>
      <c r="O57" s="10">
        <v>177.56700000000001</v>
      </c>
      <c r="P57" s="11">
        <v>0.28199999999999997</v>
      </c>
      <c r="Q57" s="11">
        <v>795.52800000000002</v>
      </c>
      <c r="R57" s="11">
        <v>242.929</v>
      </c>
      <c r="S57" s="11">
        <v>12.294</v>
      </c>
      <c r="T57" s="11">
        <v>30.35</v>
      </c>
      <c r="U57" s="11">
        <v>1461.4059999999999</v>
      </c>
      <c r="V57" s="12">
        <v>1562.1759999999999</v>
      </c>
      <c r="W57" s="225">
        <f t="shared" si="87"/>
        <v>1.9787250913244007E-4</v>
      </c>
      <c r="X57" s="5">
        <f t="shared" si="88"/>
        <v>5.7448503543772476E-2</v>
      </c>
      <c r="Y57" s="5">
        <f t="shared" si="89"/>
        <v>1.3826954833560162E-4</v>
      </c>
      <c r="Z57" s="5">
        <f t="shared" si="90"/>
        <v>2.0147388164693339E-5</v>
      </c>
      <c r="AA57" s="5">
        <f t="shared" si="91"/>
        <v>5.7448503543772476E-2</v>
      </c>
      <c r="AB57" s="5">
        <f t="shared" si="92"/>
        <v>1.0452566248007366E-2</v>
      </c>
      <c r="AC57" s="5">
        <f t="shared" si="93"/>
        <v>1.0452566248007366E-2</v>
      </c>
      <c r="AD57" s="5">
        <f t="shared" si="94"/>
        <v>9.3368632225064724E-3</v>
      </c>
      <c r="AE57" s="5">
        <f t="shared" si="95"/>
        <v>8.9454041613637909E-3</v>
      </c>
      <c r="AF57" s="24">
        <f t="shared" si="96"/>
        <v>9.3368632225064724E-3</v>
      </c>
      <c r="AG57" s="23">
        <f t="shared" si="97"/>
        <v>1.0643841637641475E-3</v>
      </c>
      <c r="AH57" s="5">
        <f t="shared" si="98"/>
        <v>6.4664168782384332E-2</v>
      </c>
      <c r="AI57" s="5">
        <f t="shared" si="99"/>
        <v>3.4942943112058769E-4</v>
      </c>
      <c r="AJ57" s="5">
        <f t="shared" si="100"/>
        <v>4.3523863033028963E-5</v>
      </c>
      <c r="AK57" s="5">
        <f t="shared" si="101"/>
        <v>6.4664168782384332E-2</v>
      </c>
      <c r="AL57" s="5">
        <f t="shared" si="102"/>
        <v>6.2400754487016733E-3</v>
      </c>
      <c r="AM57" s="5">
        <f t="shared" si="103"/>
        <v>6.2400754487016733E-3</v>
      </c>
      <c r="AN57" s="5">
        <f t="shared" si="104"/>
        <v>9.1804630740407161E-3</v>
      </c>
      <c r="AO57" s="5">
        <f t="shared" si="105"/>
        <v>9.9058151071549985E-3</v>
      </c>
      <c r="AP57" s="24">
        <f t="shared" si="106"/>
        <v>9.9058151071549985E-3</v>
      </c>
      <c r="AQ57" s="225">
        <f t="shared" si="107"/>
        <v>7.5999999999999998E-2</v>
      </c>
      <c r="AR57" s="5">
        <f t="shared" si="108"/>
        <v>8.1000000000000003E-2</v>
      </c>
      <c r="AS57" s="5">
        <f t="shared" si="109"/>
        <v>7.9000000000000001E-2</v>
      </c>
      <c r="AT57" s="196">
        <f t="shared" si="110"/>
        <v>0.51</v>
      </c>
      <c r="AU57" s="196">
        <f t="shared" si="111"/>
        <v>0.54</v>
      </c>
      <c r="AV57" s="196">
        <f t="shared" si="112"/>
        <v>0.53</v>
      </c>
      <c r="AW57" s="51">
        <f t="shared" si="113"/>
        <v>5</v>
      </c>
      <c r="AX57" s="51">
        <f t="shared" si="114"/>
        <v>5</v>
      </c>
      <c r="AY57" s="226">
        <f t="shared" si="115"/>
        <v>5</v>
      </c>
    </row>
    <row r="58" spans="1:51" ht="13.15" customHeight="1">
      <c r="A58" s="87">
        <v>9557</v>
      </c>
      <c r="B58" s="87" t="s">
        <v>167</v>
      </c>
      <c r="C58" s="228" t="str">
        <f>Rollover!A58</f>
        <v>Volvo</v>
      </c>
      <c r="D58" s="229" t="str">
        <f>Rollover!B58</f>
        <v>XC90 T5 SUV FWD</v>
      </c>
      <c r="E58" s="197" t="s">
        <v>85</v>
      </c>
      <c r="F58" s="224">
        <f>Rollover!C58</f>
        <v>2020</v>
      </c>
      <c r="G58" s="10">
        <v>137.26900000000001</v>
      </c>
      <c r="H58" s="11">
        <v>0.26700000000000002</v>
      </c>
      <c r="I58" s="11">
        <v>1119.386</v>
      </c>
      <c r="J58" s="11">
        <v>78.352000000000004</v>
      </c>
      <c r="K58" s="11">
        <v>22.719000000000001</v>
      </c>
      <c r="L58" s="11">
        <v>31.823</v>
      </c>
      <c r="M58" s="11">
        <v>2524.4720000000002</v>
      </c>
      <c r="N58" s="12">
        <v>2804.8409999999999</v>
      </c>
      <c r="O58" s="10">
        <v>216.80799999999999</v>
      </c>
      <c r="P58" s="11">
        <v>0.314</v>
      </c>
      <c r="Q58" s="11">
        <v>788.13400000000001</v>
      </c>
      <c r="R58" s="11">
        <v>112.35899999999999</v>
      </c>
      <c r="S58" s="11">
        <v>10.654999999999999</v>
      </c>
      <c r="T58" s="11">
        <v>38.594000000000001</v>
      </c>
      <c r="U58" s="11">
        <v>1701.9069999999999</v>
      </c>
      <c r="V58" s="12">
        <v>1483.73</v>
      </c>
      <c r="W58" s="225">
        <f t="shared" si="87"/>
        <v>3.136724923352904E-4</v>
      </c>
      <c r="X58" s="5">
        <f t="shared" si="88"/>
        <v>6.2900791995682381E-2</v>
      </c>
      <c r="Y58" s="5">
        <f t="shared" si="89"/>
        <v>2.4452260422497854E-4</v>
      </c>
      <c r="Z58" s="5">
        <f t="shared" si="90"/>
        <v>2.0636800642150523E-5</v>
      </c>
      <c r="AA58" s="5">
        <f t="shared" si="91"/>
        <v>6.2900791995682381E-2</v>
      </c>
      <c r="AB58" s="5">
        <f t="shared" si="92"/>
        <v>1.9363442424102234E-2</v>
      </c>
      <c r="AC58" s="5">
        <f t="shared" si="93"/>
        <v>1.9363442424102234E-2</v>
      </c>
      <c r="AD58" s="5">
        <f t="shared" si="94"/>
        <v>1.1171175982538726E-2</v>
      </c>
      <c r="AE58" s="5">
        <f t="shared" si="95"/>
        <v>1.2900502014314797E-2</v>
      </c>
      <c r="AF58" s="24">
        <f t="shared" si="96"/>
        <v>1.2900502014314797E-2</v>
      </c>
      <c r="AG58" s="23">
        <f t="shared" si="97"/>
        <v>2.5406856502132738E-3</v>
      </c>
      <c r="AH58" s="5">
        <f t="shared" si="98"/>
        <v>6.8580802062592441E-2</v>
      </c>
      <c r="AI58" s="5">
        <f t="shared" si="99"/>
        <v>3.3982672436627795E-4</v>
      </c>
      <c r="AJ58" s="5">
        <f t="shared" si="100"/>
        <v>2.6604420420155793E-5</v>
      </c>
      <c r="AK58" s="5">
        <f t="shared" si="101"/>
        <v>6.8580802062592441E-2</v>
      </c>
      <c r="AL58" s="5">
        <f t="shared" si="102"/>
        <v>4.407009455588003E-3</v>
      </c>
      <c r="AM58" s="5">
        <f t="shared" si="103"/>
        <v>4.407009455588003E-3</v>
      </c>
      <c r="AN58" s="5">
        <f t="shared" si="104"/>
        <v>1.1006333403412465E-2</v>
      </c>
      <c r="AO58" s="5">
        <f t="shared" si="105"/>
        <v>9.3364755631799735E-3</v>
      </c>
      <c r="AP58" s="24">
        <f t="shared" si="106"/>
        <v>1.1006333403412465E-2</v>
      </c>
      <c r="AQ58" s="225">
        <f t="shared" si="107"/>
        <v>9.2999999999999999E-2</v>
      </c>
      <c r="AR58" s="5">
        <f t="shared" si="108"/>
        <v>8.5000000000000006E-2</v>
      </c>
      <c r="AS58" s="5">
        <f t="shared" si="109"/>
        <v>8.8999999999999996E-2</v>
      </c>
      <c r="AT58" s="196">
        <f t="shared" si="110"/>
        <v>0.62</v>
      </c>
      <c r="AU58" s="196">
        <f t="shared" si="111"/>
        <v>0.56999999999999995</v>
      </c>
      <c r="AV58" s="196">
        <f t="shared" si="112"/>
        <v>0.59</v>
      </c>
      <c r="AW58" s="51">
        <f t="shared" si="113"/>
        <v>5</v>
      </c>
      <c r="AX58" s="51">
        <f t="shared" si="114"/>
        <v>5</v>
      </c>
      <c r="AY58" s="226">
        <f t="shared" si="115"/>
        <v>5</v>
      </c>
    </row>
    <row r="59" spans="1:51" ht="13.15" customHeight="1">
      <c r="A59" s="87">
        <v>9557</v>
      </c>
      <c r="B59" s="87" t="s">
        <v>167</v>
      </c>
      <c r="C59" s="228" t="str">
        <f>Rollover!A59</f>
        <v>Volvo</v>
      </c>
      <c r="D59" s="229" t="str">
        <f>Rollover!B59</f>
        <v>XC90 (T5/T6) SUV AWD</v>
      </c>
      <c r="E59" s="197" t="s">
        <v>85</v>
      </c>
      <c r="F59" s="224">
        <f>Rollover!C59</f>
        <v>2020</v>
      </c>
      <c r="G59" s="10">
        <v>137.26900000000001</v>
      </c>
      <c r="H59" s="11">
        <v>0.26700000000000002</v>
      </c>
      <c r="I59" s="11">
        <v>1119.386</v>
      </c>
      <c r="J59" s="11">
        <v>78.352000000000004</v>
      </c>
      <c r="K59" s="11">
        <v>22.719000000000001</v>
      </c>
      <c r="L59" s="11">
        <v>31.823</v>
      </c>
      <c r="M59" s="11">
        <v>2524.4720000000002</v>
      </c>
      <c r="N59" s="12">
        <v>2804.8409999999999</v>
      </c>
      <c r="O59" s="10">
        <v>216.80799999999999</v>
      </c>
      <c r="P59" s="11">
        <v>0.314</v>
      </c>
      <c r="Q59" s="11">
        <v>788.13400000000001</v>
      </c>
      <c r="R59" s="11">
        <v>112.35899999999999</v>
      </c>
      <c r="S59" s="11">
        <v>10.654999999999999</v>
      </c>
      <c r="T59" s="11">
        <v>38.594000000000001</v>
      </c>
      <c r="U59" s="11">
        <v>1701.9069999999999</v>
      </c>
      <c r="V59" s="12">
        <v>1483.73</v>
      </c>
      <c r="W59" s="225">
        <f t="shared" si="87"/>
        <v>3.136724923352904E-4</v>
      </c>
      <c r="X59" s="5">
        <f t="shared" si="88"/>
        <v>6.2900791995682381E-2</v>
      </c>
      <c r="Y59" s="5">
        <f t="shared" si="89"/>
        <v>2.4452260422497854E-4</v>
      </c>
      <c r="Z59" s="5">
        <f t="shared" si="90"/>
        <v>2.0636800642150523E-5</v>
      </c>
      <c r="AA59" s="5">
        <f t="shared" si="91"/>
        <v>6.2900791995682381E-2</v>
      </c>
      <c r="AB59" s="5">
        <f t="shared" si="92"/>
        <v>1.9363442424102234E-2</v>
      </c>
      <c r="AC59" s="5">
        <f t="shared" si="93"/>
        <v>1.9363442424102234E-2</v>
      </c>
      <c r="AD59" s="5">
        <f t="shared" si="94"/>
        <v>1.1171175982538726E-2</v>
      </c>
      <c r="AE59" s="5">
        <f t="shared" si="95"/>
        <v>1.2900502014314797E-2</v>
      </c>
      <c r="AF59" s="24">
        <f t="shared" si="96"/>
        <v>1.2900502014314797E-2</v>
      </c>
      <c r="AG59" s="23">
        <f t="shared" si="97"/>
        <v>2.5406856502132738E-3</v>
      </c>
      <c r="AH59" s="5">
        <f t="shared" si="98"/>
        <v>6.8580802062592441E-2</v>
      </c>
      <c r="AI59" s="5">
        <f t="shared" si="99"/>
        <v>3.3982672436627795E-4</v>
      </c>
      <c r="AJ59" s="5">
        <f t="shared" si="100"/>
        <v>2.6604420420155793E-5</v>
      </c>
      <c r="AK59" s="5">
        <f t="shared" si="101"/>
        <v>6.8580802062592441E-2</v>
      </c>
      <c r="AL59" s="5">
        <f t="shared" si="102"/>
        <v>4.407009455588003E-3</v>
      </c>
      <c r="AM59" s="5">
        <f t="shared" si="103"/>
        <v>4.407009455588003E-3</v>
      </c>
      <c r="AN59" s="5">
        <f t="shared" si="104"/>
        <v>1.1006333403412465E-2</v>
      </c>
      <c r="AO59" s="5">
        <f t="shared" si="105"/>
        <v>9.3364755631799735E-3</v>
      </c>
      <c r="AP59" s="24">
        <f t="shared" si="106"/>
        <v>1.1006333403412465E-2</v>
      </c>
      <c r="AQ59" s="225">
        <f t="shared" si="107"/>
        <v>9.2999999999999999E-2</v>
      </c>
      <c r="AR59" s="5">
        <f t="shared" si="108"/>
        <v>8.5000000000000006E-2</v>
      </c>
      <c r="AS59" s="5">
        <f t="shared" si="109"/>
        <v>8.8999999999999996E-2</v>
      </c>
      <c r="AT59" s="196">
        <f t="shared" si="110"/>
        <v>0.62</v>
      </c>
      <c r="AU59" s="196">
        <f t="shared" si="111"/>
        <v>0.56999999999999995</v>
      </c>
      <c r="AV59" s="196">
        <f t="shared" si="112"/>
        <v>0.59</v>
      </c>
      <c r="AW59" s="51">
        <f t="shared" si="113"/>
        <v>5</v>
      </c>
      <c r="AX59" s="51">
        <f t="shared" si="114"/>
        <v>5</v>
      </c>
      <c r="AY59" s="226">
        <f t="shared" si="115"/>
        <v>5</v>
      </c>
    </row>
    <row r="60" spans="1:51">
      <c r="C60" s="134"/>
      <c r="D60" s="134"/>
      <c r="E60" s="134"/>
      <c r="F60" s="134"/>
      <c r="G60" s="235"/>
      <c r="H60" s="235"/>
      <c r="K60" s="235"/>
    </row>
    <row r="61" spans="1:51">
      <c r="G61" s="235"/>
      <c r="H61" s="235"/>
      <c r="K61" s="235"/>
    </row>
    <row r="62" spans="1:51">
      <c r="G62" s="235"/>
      <c r="H62" s="235"/>
      <c r="K62" s="235"/>
    </row>
    <row r="63" spans="1:51">
      <c r="C63" s="134"/>
      <c r="D63" s="134"/>
      <c r="E63" s="134"/>
      <c r="F63" s="134"/>
      <c r="G63" s="235"/>
      <c r="H63" s="235"/>
      <c r="K63" s="235"/>
    </row>
    <row r="64" spans="1:51">
      <c r="A64" s="136"/>
      <c r="B64" s="136"/>
      <c r="C64" s="134"/>
      <c r="D64" s="134"/>
      <c r="E64" s="134"/>
      <c r="F64" s="134"/>
      <c r="G64" s="235"/>
      <c r="H64" s="235"/>
      <c r="K64" s="235"/>
    </row>
    <row r="65" spans="1:31">
      <c r="A65" s="136"/>
      <c r="B65" s="136"/>
      <c r="C65" s="134"/>
      <c r="D65" s="134"/>
      <c r="E65" s="134"/>
      <c r="F65" s="134"/>
      <c r="G65" s="235"/>
      <c r="H65" s="235"/>
      <c r="K65" s="235"/>
    </row>
    <row r="66" spans="1:31">
      <c r="A66" s="136"/>
      <c r="B66" s="136"/>
      <c r="C66" s="134"/>
      <c r="D66" s="134"/>
      <c r="E66" s="134"/>
      <c r="F66" s="134"/>
      <c r="G66" s="235"/>
      <c r="H66" s="235"/>
      <c r="K66" s="235"/>
      <c r="N66" s="235"/>
      <c r="O66" s="235"/>
      <c r="P66" s="235"/>
      <c r="Q66" s="235"/>
      <c r="R66" s="235"/>
      <c r="S66" s="235"/>
      <c r="T66" s="235"/>
      <c r="U66" s="235"/>
      <c r="V66" s="235"/>
      <c r="W66" s="241"/>
      <c r="X66" s="242"/>
      <c r="Y66" s="241"/>
      <c r="Z66" s="241"/>
      <c r="AA66" s="134"/>
      <c r="AB66" s="134"/>
      <c r="AC66" s="134"/>
      <c r="AD66" s="134"/>
      <c r="AE66" s="134"/>
    </row>
    <row r="67" spans="1:31">
      <c r="C67" s="134"/>
      <c r="D67" s="134"/>
      <c r="E67" s="134"/>
      <c r="F67" s="134"/>
      <c r="H67" s="168"/>
      <c r="I67" s="168"/>
      <c r="J67" s="168"/>
      <c r="K67" s="168"/>
      <c r="L67" s="168"/>
      <c r="M67" s="168"/>
      <c r="N67" s="235"/>
      <c r="O67" s="235"/>
      <c r="P67" s="235"/>
      <c r="Q67" s="235"/>
      <c r="R67" s="235"/>
      <c r="S67" s="235"/>
      <c r="T67" s="235"/>
      <c r="U67" s="235"/>
      <c r="V67" s="235"/>
      <c r="W67" s="241"/>
      <c r="X67" s="242"/>
      <c r="Y67" s="241"/>
      <c r="Z67" s="241"/>
      <c r="AA67" s="103"/>
      <c r="AB67" s="103"/>
      <c r="AC67" s="103"/>
      <c r="AD67" s="103"/>
      <c r="AE67" s="103"/>
    </row>
    <row r="68" spans="1:31">
      <c r="C68" s="134"/>
      <c r="D68" s="134"/>
      <c r="E68" s="134"/>
      <c r="F68" s="134"/>
      <c r="H68" s="168"/>
      <c r="I68" s="168"/>
      <c r="J68" s="168"/>
      <c r="K68" s="168"/>
      <c r="L68" s="168"/>
      <c r="M68" s="168"/>
      <c r="N68" s="235"/>
      <c r="O68" s="235"/>
      <c r="P68" s="235"/>
      <c r="Q68" s="235"/>
      <c r="R68" s="235"/>
      <c r="S68" s="235"/>
      <c r="T68" s="235"/>
      <c r="U68" s="235"/>
      <c r="V68" s="235"/>
      <c r="W68" s="241"/>
      <c r="X68" s="242"/>
      <c r="Y68" s="241"/>
      <c r="Z68" s="241"/>
      <c r="AA68" s="74"/>
      <c r="AB68" s="241"/>
      <c r="AC68" s="241"/>
      <c r="AD68" s="74"/>
      <c r="AE68" s="74"/>
    </row>
    <row r="69" spans="1:31">
      <c r="A69" s="243"/>
      <c r="B69" s="243"/>
      <c r="C69" s="143"/>
      <c r="D69" s="143"/>
      <c r="E69" s="143"/>
      <c r="F69" s="143"/>
      <c r="G69" s="244"/>
      <c r="H69" s="168"/>
      <c r="I69" s="168"/>
      <c r="J69" s="168"/>
      <c r="K69" s="168"/>
      <c r="L69" s="168"/>
      <c r="M69" s="168"/>
      <c r="N69" s="235"/>
      <c r="O69" s="235"/>
      <c r="P69" s="235"/>
      <c r="Q69" s="235"/>
      <c r="R69" s="235"/>
      <c r="S69" s="235"/>
      <c r="T69" s="235"/>
      <c r="U69" s="235"/>
      <c r="V69" s="235"/>
      <c r="W69" s="241"/>
      <c r="X69" s="242"/>
      <c r="Y69" s="241"/>
      <c r="Z69" s="241"/>
      <c r="AA69" s="74"/>
      <c r="AB69" s="241"/>
      <c r="AC69" s="241"/>
      <c r="AD69" s="74"/>
      <c r="AE69" s="74"/>
    </row>
    <row r="70" spans="1:31">
      <c r="A70" s="136"/>
      <c r="B70" s="136"/>
      <c r="C70" s="136"/>
      <c r="D70" s="136"/>
      <c r="E70" s="136"/>
      <c r="F70" s="136"/>
      <c r="G70" s="245"/>
      <c r="H70" s="168"/>
      <c r="I70" s="168"/>
      <c r="J70" s="168"/>
      <c r="K70" s="168"/>
      <c r="L70" s="168"/>
      <c r="M70" s="168"/>
      <c r="N70" s="235"/>
      <c r="O70" s="235"/>
      <c r="P70" s="235"/>
      <c r="Q70" s="235"/>
      <c r="R70" s="235"/>
      <c r="S70" s="235"/>
      <c r="T70" s="235"/>
      <c r="U70" s="235"/>
      <c r="V70" s="235"/>
      <c r="W70" s="241"/>
      <c r="X70" s="242"/>
      <c r="Y70" s="241"/>
      <c r="Z70" s="241"/>
      <c r="AA70" s="74"/>
      <c r="AB70" s="241"/>
      <c r="AC70" s="241"/>
      <c r="AD70" s="74"/>
      <c r="AE70" s="74"/>
    </row>
    <row r="71" spans="1:31">
      <c r="C71" s="134"/>
      <c r="D71" s="134"/>
      <c r="E71" s="134"/>
      <c r="F71" s="134"/>
      <c r="H71" s="168"/>
      <c r="I71" s="168"/>
      <c r="J71" s="168"/>
      <c r="K71" s="168"/>
      <c r="L71" s="168"/>
      <c r="M71" s="168"/>
      <c r="N71" s="235"/>
      <c r="O71" s="235"/>
      <c r="P71" s="235"/>
      <c r="Q71" s="235"/>
      <c r="R71" s="235"/>
      <c r="S71" s="235"/>
      <c r="T71" s="235"/>
      <c r="U71" s="235"/>
      <c r="V71" s="235"/>
      <c r="W71" s="241"/>
      <c r="X71" s="242"/>
      <c r="Y71" s="241"/>
      <c r="Z71" s="241"/>
      <c r="AA71" s="74"/>
      <c r="AB71" s="241"/>
      <c r="AC71" s="241"/>
      <c r="AD71" s="74"/>
      <c r="AE71" s="74"/>
    </row>
    <row r="72" spans="1:31">
      <c r="A72" s="136"/>
      <c r="B72" s="136"/>
      <c r="C72" s="134"/>
      <c r="D72" s="134"/>
      <c r="E72" s="134"/>
      <c r="F72" s="134"/>
      <c r="H72" s="168"/>
      <c r="I72" s="168"/>
      <c r="J72" s="168"/>
      <c r="K72" s="168"/>
      <c r="L72" s="168"/>
      <c r="M72" s="168"/>
      <c r="N72" s="235"/>
      <c r="O72" s="235"/>
      <c r="P72" s="235"/>
      <c r="Q72" s="235"/>
      <c r="R72" s="235"/>
      <c r="S72" s="235"/>
      <c r="T72" s="235"/>
      <c r="U72" s="235"/>
      <c r="V72" s="235"/>
      <c r="W72" s="241"/>
      <c r="X72" s="242"/>
      <c r="Y72" s="241"/>
      <c r="Z72" s="241"/>
      <c r="AA72" s="74"/>
      <c r="AB72" s="241"/>
      <c r="AC72" s="241"/>
      <c r="AD72" s="74"/>
      <c r="AE72" s="74"/>
    </row>
    <row r="73" spans="1:31">
      <c r="C73" s="134"/>
      <c r="D73" s="134"/>
      <c r="E73" s="134"/>
      <c r="F73" s="134"/>
      <c r="H73" s="168"/>
      <c r="I73" s="168"/>
      <c r="J73" s="168"/>
      <c r="K73" s="168"/>
      <c r="L73" s="168"/>
      <c r="M73" s="168"/>
      <c r="N73" s="235"/>
      <c r="O73" s="235"/>
      <c r="P73" s="235"/>
      <c r="Q73" s="235"/>
      <c r="R73" s="235"/>
      <c r="S73" s="235"/>
      <c r="T73" s="235"/>
      <c r="U73" s="235"/>
      <c r="V73" s="235"/>
      <c r="W73" s="241"/>
      <c r="X73" s="242"/>
      <c r="Y73" s="241"/>
      <c r="Z73" s="241"/>
      <c r="AA73" s="74"/>
      <c r="AB73" s="241"/>
      <c r="AC73" s="241"/>
      <c r="AD73" s="74"/>
      <c r="AE73" s="74"/>
    </row>
    <row r="74" spans="1:31">
      <c r="C74" s="134"/>
      <c r="D74" s="134"/>
      <c r="E74" s="134"/>
      <c r="F74" s="134"/>
      <c r="H74" s="168"/>
      <c r="I74" s="168"/>
      <c r="J74" s="168"/>
      <c r="K74" s="168"/>
      <c r="L74" s="168"/>
      <c r="M74" s="168"/>
      <c r="N74" s="235"/>
      <c r="O74" s="235"/>
      <c r="P74" s="235"/>
      <c r="Q74" s="235"/>
      <c r="R74" s="235"/>
      <c r="S74" s="235"/>
      <c r="T74" s="235"/>
      <c r="U74" s="235"/>
      <c r="V74" s="235"/>
      <c r="W74" s="241"/>
      <c r="X74" s="242"/>
      <c r="Y74" s="241"/>
      <c r="Z74" s="241"/>
      <c r="AA74" s="74"/>
      <c r="AB74" s="241"/>
      <c r="AC74" s="241"/>
      <c r="AD74" s="74"/>
      <c r="AE74" s="74"/>
    </row>
    <row r="75" spans="1:31">
      <c r="A75" s="136"/>
      <c r="B75" s="136"/>
      <c r="C75" s="136"/>
      <c r="D75" s="136"/>
      <c r="E75" s="136"/>
      <c r="F75" s="136"/>
      <c r="G75" s="245"/>
      <c r="H75" s="168"/>
      <c r="I75" s="168"/>
      <c r="J75" s="168"/>
      <c r="K75" s="168"/>
      <c r="L75" s="168"/>
      <c r="M75" s="168"/>
      <c r="N75" s="235"/>
      <c r="O75" s="235"/>
      <c r="P75" s="235"/>
      <c r="Q75" s="235"/>
      <c r="R75" s="235"/>
      <c r="S75" s="235"/>
      <c r="T75" s="235"/>
      <c r="U75" s="235"/>
      <c r="V75" s="235"/>
      <c r="W75" s="241"/>
      <c r="X75" s="242"/>
      <c r="Y75" s="241"/>
      <c r="Z75" s="241"/>
      <c r="AA75" s="74"/>
      <c r="AB75" s="241"/>
      <c r="AC75" s="241"/>
      <c r="AD75" s="74"/>
      <c r="AE75" s="74"/>
    </row>
    <row r="76" spans="1:31">
      <c r="H76" s="168"/>
      <c r="I76" s="168"/>
      <c r="J76" s="168"/>
      <c r="K76" s="168"/>
      <c r="L76" s="168"/>
      <c r="M76" s="168"/>
      <c r="N76" s="235"/>
      <c r="O76" s="235"/>
      <c r="P76" s="235"/>
      <c r="Q76" s="235"/>
      <c r="R76" s="235"/>
      <c r="S76" s="235"/>
      <c r="T76" s="235"/>
      <c r="U76" s="235"/>
      <c r="V76" s="235"/>
      <c r="W76" s="241"/>
      <c r="X76" s="242"/>
      <c r="Y76" s="241"/>
      <c r="Z76" s="241"/>
      <c r="AA76" s="74"/>
      <c r="AB76" s="241"/>
      <c r="AC76" s="241"/>
      <c r="AD76" s="74"/>
      <c r="AE76" s="74"/>
    </row>
    <row r="77" spans="1:31">
      <c r="H77" s="168"/>
      <c r="I77" s="168"/>
      <c r="J77" s="168"/>
      <c r="K77" s="168"/>
      <c r="L77" s="168"/>
      <c r="M77" s="168"/>
      <c r="N77" s="235"/>
      <c r="O77" s="235"/>
      <c r="P77" s="235"/>
      <c r="Q77" s="235"/>
      <c r="R77" s="235"/>
      <c r="S77" s="235"/>
      <c r="T77" s="235"/>
      <c r="U77" s="235"/>
      <c r="V77" s="235"/>
      <c r="W77" s="241"/>
      <c r="X77" s="242"/>
      <c r="Y77" s="241"/>
      <c r="Z77" s="241"/>
      <c r="AA77" s="74"/>
      <c r="AB77" s="241"/>
      <c r="AC77" s="241"/>
      <c r="AD77" s="74"/>
      <c r="AE77" s="74"/>
    </row>
  </sheetData>
  <mergeCells count="4">
    <mergeCell ref="O1:V1"/>
    <mergeCell ref="W1:AF1"/>
    <mergeCell ref="AG1:AP1"/>
    <mergeCell ref="G1:N1"/>
  </mergeCells>
  <phoneticPr fontId="3" type="noConversion"/>
  <pageMargins left="0.25" right="0.2" top="0.25" bottom="0.25" header="0.3" footer="0.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96"/>
  <sheetViews>
    <sheetView workbookViewId="0">
      <pane xSplit="6" ySplit="2" topLeftCell="G42" activePane="bottomRight" state="frozen"/>
      <selection activeCell="B62" sqref="B62"/>
      <selection pane="topRight" activeCell="B62" sqref="B62"/>
      <selection pane="bottomLeft" activeCell="B62" sqref="B62"/>
      <selection pane="bottomRight" activeCell="A55" sqref="A55:XFD57"/>
    </sheetView>
  </sheetViews>
  <sheetFormatPr defaultRowHeight="12.75"/>
  <cols>
    <col min="1" max="1" width="7.28515625" style="200" customWidth="1"/>
    <col min="2" max="2" width="9" style="200" bestFit="1" customWidth="1"/>
    <col min="3" max="3" width="13.5703125" style="92" bestFit="1" customWidth="1"/>
    <col min="4" max="4" width="36.28515625" style="92" customWidth="1"/>
    <col min="5" max="5" width="6.5703125" style="92" bestFit="1" customWidth="1"/>
    <col min="6" max="6" width="5.7109375" style="92" customWidth="1"/>
    <col min="7" max="16" width="8.7109375" style="168" customWidth="1"/>
    <col min="17" max="20" width="9.28515625" style="92" customWidth="1"/>
    <col min="21" max="21" width="10.7109375" style="92" customWidth="1"/>
    <col min="22" max="22" width="8.28515625" style="92" customWidth="1"/>
    <col min="23" max="23" width="8" style="74" customWidth="1"/>
    <col min="24" max="24" width="10.28515625" style="74" customWidth="1"/>
    <col min="25" max="25" width="9.28515625" style="74" customWidth="1"/>
    <col min="26" max="26" width="8" style="74" customWidth="1"/>
    <col min="27" max="27" width="9.5703125" style="74" customWidth="1"/>
    <col min="28" max="28" width="6.28515625" style="74" customWidth="1"/>
    <col min="29" max="29" width="5.7109375" style="2" customWidth="1"/>
    <col min="30" max="30" width="9" style="2" customWidth="1"/>
    <col min="31" max="31" width="8.28515625" style="1" bestFit="1" customWidth="1"/>
    <col min="32" max="16384" width="9.140625" style="92"/>
  </cols>
  <sheetData>
    <row r="1" spans="1:51" s="78" customFormat="1" ht="13.5" thickBot="1">
      <c r="A1" s="179"/>
      <c r="B1" s="180"/>
      <c r="C1" s="181"/>
      <c r="D1" s="181"/>
      <c r="E1" s="182"/>
      <c r="F1" s="182"/>
      <c r="G1" s="183" t="s">
        <v>41</v>
      </c>
      <c r="H1" s="184"/>
      <c r="I1" s="184"/>
      <c r="J1" s="184"/>
      <c r="K1" s="185"/>
      <c r="L1" s="186" t="s">
        <v>42</v>
      </c>
      <c r="M1" s="187"/>
      <c r="N1" s="187"/>
      <c r="O1" s="187"/>
      <c r="P1" s="188"/>
      <c r="Q1" s="56" t="s">
        <v>43</v>
      </c>
      <c r="R1" s="189"/>
      <c r="S1" s="189"/>
      <c r="T1" s="190"/>
      <c r="U1" s="56" t="s">
        <v>42</v>
      </c>
      <c r="V1" s="57"/>
      <c r="W1" s="34" t="s">
        <v>13</v>
      </c>
      <c r="X1" s="35" t="s">
        <v>69</v>
      </c>
      <c r="Y1" s="36" t="s">
        <v>49</v>
      </c>
      <c r="Z1" s="34" t="s">
        <v>13</v>
      </c>
      <c r="AA1" s="35" t="s">
        <v>16</v>
      </c>
      <c r="AB1" s="36" t="s">
        <v>54</v>
      </c>
      <c r="AC1" s="38" t="s">
        <v>13</v>
      </c>
      <c r="AD1" s="39" t="s">
        <v>16</v>
      </c>
      <c r="AE1" s="40" t="s">
        <v>44</v>
      </c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ht="34.5" thickBot="1">
      <c r="A2" s="191" t="s">
        <v>27</v>
      </c>
      <c r="B2" s="192" t="s">
        <v>84</v>
      </c>
      <c r="C2" s="55" t="s">
        <v>19</v>
      </c>
      <c r="D2" s="79" t="s">
        <v>20</v>
      </c>
      <c r="E2" s="79" t="s">
        <v>76</v>
      </c>
      <c r="F2" s="80" t="s">
        <v>21</v>
      </c>
      <c r="G2" s="193" t="s">
        <v>59</v>
      </c>
      <c r="H2" s="194" t="s">
        <v>33</v>
      </c>
      <c r="I2" s="194" t="s">
        <v>10</v>
      </c>
      <c r="J2" s="194" t="s">
        <v>11</v>
      </c>
      <c r="K2" s="195" t="s">
        <v>12</v>
      </c>
      <c r="L2" s="193" t="s">
        <v>59</v>
      </c>
      <c r="M2" s="194" t="s">
        <v>33</v>
      </c>
      <c r="N2" s="194" t="s">
        <v>10</v>
      </c>
      <c r="O2" s="194" t="s">
        <v>39</v>
      </c>
      <c r="P2" s="195" t="s">
        <v>40</v>
      </c>
      <c r="Q2" s="28" t="s">
        <v>1</v>
      </c>
      <c r="R2" s="29" t="s">
        <v>3</v>
      </c>
      <c r="S2" s="29" t="s">
        <v>14</v>
      </c>
      <c r="T2" s="30" t="s">
        <v>15</v>
      </c>
      <c r="U2" s="28" t="s">
        <v>1</v>
      </c>
      <c r="V2" s="30" t="s">
        <v>15</v>
      </c>
      <c r="W2" s="31" t="s">
        <v>17</v>
      </c>
      <c r="X2" s="32" t="s">
        <v>17</v>
      </c>
      <c r="Y2" s="33" t="s">
        <v>17</v>
      </c>
      <c r="Z2" s="69" t="s">
        <v>66</v>
      </c>
      <c r="AA2" s="70" t="s">
        <v>66</v>
      </c>
      <c r="AB2" s="37" t="s">
        <v>66</v>
      </c>
      <c r="AC2" s="71" t="s">
        <v>45</v>
      </c>
      <c r="AD2" s="65" t="s">
        <v>45</v>
      </c>
      <c r="AE2" s="30" t="s">
        <v>45</v>
      </c>
      <c r="AF2" s="72"/>
      <c r="AG2" s="72"/>
      <c r="AH2" s="73"/>
      <c r="AI2" s="73"/>
      <c r="AJ2" s="73"/>
      <c r="AK2" s="73"/>
      <c r="AL2" s="14"/>
      <c r="AM2" s="14"/>
      <c r="AN2" s="14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</row>
    <row r="3" spans="1:51">
      <c r="A3" s="87">
        <v>9975</v>
      </c>
      <c r="B3" s="87" t="s">
        <v>96</v>
      </c>
      <c r="C3" s="27" t="str">
        <f>Rollover!A3</f>
        <v>Cadillac</v>
      </c>
      <c r="D3" s="45" t="str">
        <f>Rollover!B3</f>
        <v>XT5 SUV AWD</v>
      </c>
      <c r="E3" s="9" t="s">
        <v>97</v>
      </c>
      <c r="F3" s="93">
        <f>Rollover!C3</f>
        <v>2020</v>
      </c>
      <c r="G3" s="10">
        <v>111.917</v>
      </c>
      <c r="H3" s="11">
        <v>22.794</v>
      </c>
      <c r="I3" s="11">
        <v>23.802</v>
      </c>
      <c r="J3" s="11">
        <v>671.524</v>
      </c>
      <c r="K3" s="12">
        <v>816.59299999999996</v>
      </c>
      <c r="L3" s="10">
        <v>182.965</v>
      </c>
      <c r="M3" s="11">
        <v>13.635999999999999</v>
      </c>
      <c r="N3" s="11">
        <v>43.148000000000003</v>
      </c>
      <c r="O3" s="11">
        <v>37.31</v>
      </c>
      <c r="P3" s="12">
        <v>3670.7069999999999</v>
      </c>
      <c r="Q3" s="23">
        <f t="shared" ref="Q3:Q13" si="0">NORMDIST(LN(G3),7.45231,0.73998,1)</f>
        <v>1.0975270001146088E-4</v>
      </c>
      <c r="R3" s="5">
        <f t="shared" ref="R3:R13" si="1">1/(1+EXP(5.3895-0.0919*H3))</f>
        <v>3.5752376155962086E-2</v>
      </c>
      <c r="S3" s="5">
        <f t="shared" ref="S3:S13" si="2">1/(1+EXP(6.04044-0.002133*J3))</f>
        <v>9.8725127127944051E-3</v>
      </c>
      <c r="T3" s="24">
        <f t="shared" ref="T3:T13" si="3">1/(1+EXP(7.5969-0.0011*K3))</f>
        <v>1.231060213608413E-3</v>
      </c>
      <c r="U3" s="23">
        <f t="shared" ref="U3:U13" si="4">NORMDIST(LN(L3),7.45231,0.73998,1)</f>
        <v>1.2179860187177664E-3</v>
      </c>
      <c r="V3" s="24">
        <f t="shared" ref="V3:V13" si="5">1/(1+EXP(6.3055-0.00094*P3))</f>
        <v>5.442161285843379E-2</v>
      </c>
      <c r="W3" s="23">
        <f t="shared" ref="W3:W13" si="6">ROUND(1-(1-Q3)*(1-R3)*(1-S3)*(1-T3),3)</f>
        <v>4.7E-2</v>
      </c>
      <c r="X3" s="5">
        <f t="shared" ref="X3:X13" si="7">IF(L3="N/A",L3,ROUND(1-(1-U3)*(1-V3),3))</f>
        <v>5.6000000000000001E-2</v>
      </c>
      <c r="Y3" s="24">
        <f t="shared" ref="Y3:Y13" si="8">ROUND(AVERAGE(W3:X3),3)</f>
        <v>5.1999999999999998E-2</v>
      </c>
      <c r="Z3" s="25">
        <f t="shared" ref="Z3:Z13" si="9">ROUND(W3/0.15,2)</f>
        <v>0.31</v>
      </c>
      <c r="AA3" s="196">
        <f t="shared" ref="AA3:AA13" si="10">IF(L3="N/A", L3, ROUND(X3/0.15,2))</f>
        <v>0.37</v>
      </c>
      <c r="AB3" s="26">
        <f t="shared" ref="AB3:AB13" si="11">ROUND(Y3/0.15,2)</f>
        <v>0.35</v>
      </c>
      <c r="AC3" s="21">
        <f t="shared" ref="AC3:AC13" si="12">IF(Z3&lt;0.67,5,IF(Z3&lt;1,4,IF(Z3&lt;1.33,3,IF(Z3&lt;2.67,2,1))))</f>
        <v>5</v>
      </c>
      <c r="AD3" s="51">
        <f t="shared" ref="AD3:AD13" si="13">IF(L3="N/A",L3,IF(AA3&lt;0.67,5,IF(AA3&lt;1,4,IF(AA3&lt;1.33,3,IF(AA3&lt;2.67,2,1)))))</f>
        <v>5</v>
      </c>
      <c r="AE3" s="22">
        <f t="shared" ref="AE3:AE13" si="14">IF(AB3&lt;0.67,5,IF(AB3&lt;1,4,IF(AB3&lt;1.33,3,IF(AB3&lt;2.67,2,1))))</f>
        <v>5</v>
      </c>
      <c r="AF3" s="13"/>
      <c r="AG3" s="13"/>
      <c r="AH3" s="15"/>
      <c r="AI3" s="15"/>
      <c r="AJ3" s="15"/>
      <c r="AK3" s="15"/>
      <c r="AL3" s="14"/>
      <c r="AM3" s="14"/>
      <c r="AN3" s="14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</row>
    <row r="4" spans="1:51">
      <c r="A4" s="87">
        <v>9975</v>
      </c>
      <c r="B4" s="87" t="s">
        <v>96</v>
      </c>
      <c r="C4" s="27" t="str">
        <f>Rollover!A4</f>
        <v>Cadillac</v>
      </c>
      <c r="D4" s="45" t="str">
        <f>Rollover!B4</f>
        <v>XT5 SUV FWD</v>
      </c>
      <c r="E4" s="9" t="s">
        <v>97</v>
      </c>
      <c r="F4" s="93">
        <f>Rollover!C4</f>
        <v>2020</v>
      </c>
      <c r="G4" s="10">
        <v>111.917</v>
      </c>
      <c r="H4" s="11">
        <v>22.794</v>
      </c>
      <c r="I4" s="11">
        <v>23.802</v>
      </c>
      <c r="J4" s="11">
        <v>671.524</v>
      </c>
      <c r="K4" s="12">
        <v>816.59299999999996</v>
      </c>
      <c r="L4" s="10">
        <v>182.965</v>
      </c>
      <c r="M4" s="11">
        <v>13.635999999999999</v>
      </c>
      <c r="N4" s="11">
        <v>43.148000000000003</v>
      </c>
      <c r="O4" s="11">
        <v>37.31</v>
      </c>
      <c r="P4" s="12">
        <v>3670.7069999999999</v>
      </c>
      <c r="Q4" s="23">
        <f t="shared" si="0"/>
        <v>1.0975270001146088E-4</v>
      </c>
      <c r="R4" s="5">
        <f t="shared" si="1"/>
        <v>3.5752376155962086E-2</v>
      </c>
      <c r="S4" s="5">
        <f t="shared" si="2"/>
        <v>9.8725127127944051E-3</v>
      </c>
      <c r="T4" s="24">
        <f t="shared" si="3"/>
        <v>1.231060213608413E-3</v>
      </c>
      <c r="U4" s="23">
        <f t="shared" si="4"/>
        <v>1.2179860187177664E-3</v>
      </c>
      <c r="V4" s="24">
        <f t="shared" si="5"/>
        <v>5.442161285843379E-2</v>
      </c>
      <c r="W4" s="23">
        <f t="shared" si="6"/>
        <v>4.7E-2</v>
      </c>
      <c r="X4" s="5">
        <f t="shared" si="7"/>
        <v>5.6000000000000001E-2</v>
      </c>
      <c r="Y4" s="24">
        <f t="shared" si="8"/>
        <v>5.1999999999999998E-2</v>
      </c>
      <c r="Z4" s="25">
        <f t="shared" si="9"/>
        <v>0.31</v>
      </c>
      <c r="AA4" s="196">
        <f t="shared" si="10"/>
        <v>0.37</v>
      </c>
      <c r="AB4" s="26">
        <f t="shared" si="11"/>
        <v>0.35</v>
      </c>
      <c r="AC4" s="21">
        <f t="shared" si="12"/>
        <v>5</v>
      </c>
      <c r="AD4" s="51">
        <f t="shared" si="13"/>
        <v>5</v>
      </c>
      <c r="AE4" s="22">
        <f t="shared" si="14"/>
        <v>5</v>
      </c>
      <c r="AF4" s="13"/>
      <c r="AG4" s="13"/>
      <c r="AH4" s="15"/>
      <c r="AI4" s="15"/>
      <c r="AJ4" s="15"/>
      <c r="AK4" s="15"/>
      <c r="AL4" s="14"/>
      <c r="AM4" s="14"/>
      <c r="AN4" s="14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1:51">
      <c r="A5" s="87">
        <v>10920</v>
      </c>
      <c r="B5" s="197" t="s">
        <v>193</v>
      </c>
      <c r="C5" s="27" t="str">
        <f>Rollover!A5</f>
        <v>Cadillac</v>
      </c>
      <c r="D5" s="45" t="str">
        <f>Rollover!B5</f>
        <v>XT6 SUV AWD</v>
      </c>
      <c r="E5" s="9" t="s">
        <v>104</v>
      </c>
      <c r="F5" s="93">
        <f>Rollover!C5</f>
        <v>2020</v>
      </c>
      <c r="G5" s="10">
        <v>97.825000000000003</v>
      </c>
      <c r="H5" s="11">
        <v>17.117000000000001</v>
      </c>
      <c r="I5" s="11">
        <v>21.286999999999999</v>
      </c>
      <c r="J5" s="11">
        <v>519.88699999999994</v>
      </c>
      <c r="K5" s="12">
        <v>1134.4390000000001</v>
      </c>
      <c r="L5" s="10">
        <v>179.57400000000001</v>
      </c>
      <c r="M5" s="11">
        <v>19.873999999999999</v>
      </c>
      <c r="N5" s="11">
        <v>41.015000000000001</v>
      </c>
      <c r="O5" s="11">
        <v>37.171999999999997</v>
      </c>
      <c r="P5" s="12">
        <v>1106.912</v>
      </c>
      <c r="Q5" s="23">
        <f t="shared" si="0"/>
        <v>5.2809467715494205E-5</v>
      </c>
      <c r="R5" s="5">
        <f t="shared" si="1"/>
        <v>2.1532003844675983E-2</v>
      </c>
      <c r="S5" s="5">
        <f t="shared" si="2"/>
        <v>7.1638291634438019E-3</v>
      </c>
      <c r="T5" s="24">
        <f t="shared" si="3"/>
        <v>1.7454130646511012E-3</v>
      </c>
      <c r="U5" s="23">
        <f t="shared" si="4"/>
        <v>1.1198198976819207E-3</v>
      </c>
      <c r="V5" s="24">
        <f t="shared" si="5"/>
        <v>5.1427939168818366E-3</v>
      </c>
      <c r="W5" s="23">
        <f t="shared" si="6"/>
        <v>0.03</v>
      </c>
      <c r="X5" s="5">
        <f t="shared" si="7"/>
        <v>6.0000000000000001E-3</v>
      </c>
      <c r="Y5" s="24">
        <f t="shared" si="8"/>
        <v>1.7999999999999999E-2</v>
      </c>
      <c r="Z5" s="25">
        <f t="shared" si="9"/>
        <v>0.2</v>
      </c>
      <c r="AA5" s="196">
        <f t="shared" si="10"/>
        <v>0.04</v>
      </c>
      <c r="AB5" s="26">
        <f t="shared" si="11"/>
        <v>0.12</v>
      </c>
      <c r="AC5" s="21">
        <f t="shared" si="12"/>
        <v>5</v>
      </c>
      <c r="AD5" s="51">
        <f t="shared" si="13"/>
        <v>5</v>
      </c>
      <c r="AE5" s="22">
        <f t="shared" si="14"/>
        <v>5</v>
      </c>
      <c r="AF5" s="13"/>
      <c r="AG5" s="13"/>
      <c r="AH5" s="15"/>
      <c r="AI5" s="15"/>
      <c r="AJ5" s="15"/>
      <c r="AK5" s="15"/>
      <c r="AL5" s="14"/>
      <c r="AM5" s="14"/>
      <c r="AN5" s="14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</row>
    <row r="6" spans="1:51">
      <c r="A6" s="87">
        <v>10920</v>
      </c>
      <c r="B6" s="197" t="s">
        <v>193</v>
      </c>
      <c r="C6" s="27" t="str">
        <f>Rollover!A6</f>
        <v>Cadillac</v>
      </c>
      <c r="D6" s="45" t="str">
        <f>Rollover!B6</f>
        <v>XT6 SUV FWD</v>
      </c>
      <c r="E6" s="9" t="s">
        <v>104</v>
      </c>
      <c r="F6" s="93">
        <f>Rollover!C6</f>
        <v>2020</v>
      </c>
      <c r="G6" s="10">
        <v>97.825000000000003</v>
      </c>
      <c r="H6" s="11">
        <v>17.117000000000001</v>
      </c>
      <c r="I6" s="11">
        <v>21.286999999999999</v>
      </c>
      <c r="J6" s="11">
        <v>519.88699999999994</v>
      </c>
      <c r="K6" s="12">
        <v>1134.4390000000001</v>
      </c>
      <c r="L6" s="10">
        <v>179.57400000000001</v>
      </c>
      <c r="M6" s="11">
        <v>19.873999999999999</v>
      </c>
      <c r="N6" s="11">
        <v>41.015000000000001</v>
      </c>
      <c r="O6" s="11">
        <v>37.171999999999997</v>
      </c>
      <c r="P6" s="12">
        <v>1106.912</v>
      </c>
      <c r="Q6" s="23">
        <f t="shared" si="0"/>
        <v>5.2809467715494205E-5</v>
      </c>
      <c r="R6" s="5">
        <f t="shared" si="1"/>
        <v>2.1532003844675983E-2</v>
      </c>
      <c r="S6" s="5">
        <f t="shared" si="2"/>
        <v>7.1638291634438019E-3</v>
      </c>
      <c r="T6" s="24">
        <f t="shared" si="3"/>
        <v>1.7454130646511012E-3</v>
      </c>
      <c r="U6" s="23">
        <f t="shared" si="4"/>
        <v>1.1198198976819207E-3</v>
      </c>
      <c r="V6" s="24">
        <f t="shared" si="5"/>
        <v>5.1427939168818366E-3</v>
      </c>
      <c r="W6" s="23">
        <f t="shared" si="6"/>
        <v>0.03</v>
      </c>
      <c r="X6" s="5">
        <f t="shared" si="7"/>
        <v>6.0000000000000001E-3</v>
      </c>
      <c r="Y6" s="24">
        <f t="shared" si="8"/>
        <v>1.7999999999999999E-2</v>
      </c>
      <c r="Z6" s="25">
        <f t="shared" si="9"/>
        <v>0.2</v>
      </c>
      <c r="AA6" s="196">
        <f t="shared" si="10"/>
        <v>0.04</v>
      </c>
      <c r="AB6" s="26">
        <f t="shared" si="11"/>
        <v>0.12</v>
      </c>
      <c r="AC6" s="21">
        <f t="shared" si="12"/>
        <v>5</v>
      </c>
      <c r="AD6" s="51">
        <f t="shared" si="13"/>
        <v>5</v>
      </c>
      <c r="AE6" s="22">
        <f t="shared" si="14"/>
        <v>5</v>
      </c>
      <c r="AF6" s="13"/>
      <c r="AG6" s="13"/>
      <c r="AH6" s="15"/>
      <c r="AI6" s="15"/>
      <c r="AJ6" s="15"/>
      <c r="AK6" s="15"/>
      <c r="AL6" s="14"/>
      <c r="AM6" s="14"/>
      <c r="AN6" s="14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</row>
    <row r="7" spans="1:51">
      <c r="A7" s="87">
        <v>10776</v>
      </c>
      <c r="B7" s="197" t="s">
        <v>103</v>
      </c>
      <c r="C7" s="27" t="str">
        <f>Rollover!A7</f>
        <v>Chevrolet</v>
      </c>
      <c r="D7" s="45" t="str">
        <f>Rollover!B7</f>
        <v>Malibu 4DR FWD</v>
      </c>
      <c r="E7" s="9" t="s">
        <v>104</v>
      </c>
      <c r="F7" s="93">
        <f>Rollover!C7</f>
        <v>2020</v>
      </c>
      <c r="G7" s="10">
        <v>160.44499999999999</v>
      </c>
      <c r="H7" s="11">
        <v>34.103000000000002</v>
      </c>
      <c r="I7" s="11">
        <v>34.262</v>
      </c>
      <c r="J7" s="11">
        <v>1031.3389999999999</v>
      </c>
      <c r="K7" s="12">
        <v>1057.1369999999999</v>
      </c>
      <c r="L7" s="10">
        <v>364.77100000000002</v>
      </c>
      <c r="M7" s="11">
        <v>35.837000000000003</v>
      </c>
      <c r="N7" s="11">
        <v>61.893999999999998</v>
      </c>
      <c r="O7" s="11">
        <v>32.206000000000003</v>
      </c>
      <c r="P7" s="12">
        <v>4969.1210000000001</v>
      </c>
      <c r="Q7" s="23">
        <f t="shared" si="0"/>
        <v>6.6672978515960857E-4</v>
      </c>
      <c r="R7" s="5">
        <f t="shared" si="1"/>
        <v>9.4881743019533157E-2</v>
      </c>
      <c r="S7" s="5">
        <f t="shared" si="2"/>
        <v>2.1029116718346456E-2</v>
      </c>
      <c r="T7" s="24">
        <f t="shared" si="3"/>
        <v>1.6033598477601537E-3</v>
      </c>
      <c r="U7" s="23">
        <f t="shared" si="4"/>
        <v>1.7919042258889861E-2</v>
      </c>
      <c r="V7" s="24">
        <f t="shared" si="5"/>
        <v>0.16321125207180645</v>
      </c>
      <c r="W7" s="23">
        <f t="shared" si="6"/>
        <v>0.11600000000000001</v>
      </c>
      <c r="X7" s="5">
        <f t="shared" si="7"/>
        <v>0.17799999999999999</v>
      </c>
      <c r="Y7" s="24">
        <f t="shared" si="8"/>
        <v>0.14699999999999999</v>
      </c>
      <c r="Z7" s="25">
        <f t="shared" si="9"/>
        <v>0.77</v>
      </c>
      <c r="AA7" s="196">
        <f t="shared" si="10"/>
        <v>1.19</v>
      </c>
      <c r="AB7" s="26">
        <f t="shared" si="11"/>
        <v>0.98</v>
      </c>
      <c r="AC7" s="21">
        <f t="shared" si="12"/>
        <v>4</v>
      </c>
      <c r="AD7" s="51">
        <f t="shared" si="13"/>
        <v>3</v>
      </c>
      <c r="AE7" s="22">
        <f t="shared" si="14"/>
        <v>4</v>
      </c>
      <c r="AF7" s="13"/>
      <c r="AG7" s="13"/>
      <c r="AH7" s="15"/>
      <c r="AI7" s="15"/>
      <c r="AJ7" s="15"/>
      <c r="AK7" s="15"/>
      <c r="AL7" s="14"/>
      <c r="AM7" s="14"/>
      <c r="AN7" s="14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</row>
    <row r="8" spans="1:51" ht="13.15" customHeight="1">
      <c r="A8" s="17">
        <v>10965</v>
      </c>
      <c r="B8" s="198" t="s">
        <v>210</v>
      </c>
      <c r="C8" s="27" t="str">
        <f>Rollover!A8</f>
        <v>Ford</v>
      </c>
      <c r="D8" s="45" t="str">
        <f>Rollover!B8</f>
        <v>Escape SUV AWD</v>
      </c>
      <c r="E8" s="9" t="s">
        <v>97</v>
      </c>
      <c r="F8" s="93">
        <f>Rollover!C8</f>
        <v>2020</v>
      </c>
      <c r="G8" s="18">
        <v>197.124</v>
      </c>
      <c r="H8" s="19">
        <v>22.675000000000001</v>
      </c>
      <c r="I8" s="19">
        <v>23.055</v>
      </c>
      <c r="J8" s="19">
        <v>850.29300000000001</v>
      </c>
      <c r="K8" s="20">
        <v>1068.4559999999999</v>
      </c>
      <c r="L8" s="18">
        <v>96.789000000000001</v>
      </c>
      <c r="M8" s="19">
        <v>17.957999999999998</v>
      </c>
      <c r="N8" s="19">
        <v>42.622999999999998</v>
      </c>
      <c r="O8" s="19">
        <v>17.042999999999999</v>
      </c>
      <c r="P8" s="20">
        <v>3628.9169999999999</v>
      </c>
      <c r="Q8" s="23">
        <f t="shared" si="0"/>
        <v>1.6923378858193117E-3</v>
      </c>
      <c r="R8" s="5">
        <f t="shared" si="1"/>
        <v>3.5377271638477842E-2</v>
      </c>
      <c r="S8" s="5">
        <f t="shared" si="2"/>
        <v>1.438946370983624E-2</v>
      </c>
      <c r="T8" s="24">
        <f t="shared" si="3"/>
        <v>1.6234153073758631E-3</v>
      </c>
      <c r="U8" s="23">
        <f t="shared" si="4"/>
        <v>4.9773117150322211E-5</v>
      </c>
      <c r="V8" s="24">
        <f t="shared" si="5"/>
        <v>5.2435159436274179E-2</v>
      </c>
      <c r="W8" s="23">
        <f t="shared" si="6"/>
        <v>5.1999999999999998E-2</v>
      </c>
      <c r="X8" s="5">
        <f t="shared" si="7"/>
        <v>5.1999999999999998E-2</v>
      </c>
      <c r="Y8" s="24">
        <f t="shared" si="8"/>
        <v>5.1999999999999998E-2</v>
      </c>
      <c r="Z8" s="25">
        <f t="shared" si="9"/>
        <v>0.35</v>
      </c>
      <c r="AA8" s="196">
        <f t="shared" si="10"/>
        <v>0.35</v>
      </c>
      <c r="AB8" s="26">
        <f t="shared" si="11"/>
        <v>0.35</v>
      </c>
      <c r="AC8" s="21">
        <f t="shared" si="12"/>
        <v>5</v>
      </c>
      <c r="AD8" s="51">
        <f t="shared" si="13"/>
        <v>5</v>
      </c>
      <c r="AE8" s="22">
        <f t="shared" si="14"/>
        <v>5</v>
      </c>
      <c r="AF8" s="13"/>
      <c r="AG8" s="13"/>
      <c r="AH8" s="15"/>
      <c r="AI8" s="15"/>
      <c r="AJ8" s="15"/>
      <c r="AK8" s="15"/>
      <c r="AL8" s="14"/>
      <c r="AM8" s="14"/>
      <c r="AN8" s="14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</row>
    <row r="9" spans="1:51" ht="13.15" customHeight="1">
      <c r="A9" s="17">
        <v>10965</v>
      </c>
      <c r="B9" s="198" t="s">
        <v>210</v>
      </c>
      <c r="C9" s="27" t="str">
        <f>Rollover!A9</f>
        <v>Ford</v>
      </c>
      <c r="D9" s="45" t="str">
        <f>Rollover!B9</f>
        <v>Escape SUV FWD</v>
      </c>
      <c r="E9" s="9" t="s">
        <v>97</v>
      </c>
      <c r="F9" s="93">
        <f>Rollover!C9</f>
        <v>2020</v>
      </c>
      <c r="G9" s="18">
        <v>197.124</v>
      </c>
      <c r="H9" s="19">
        <v>22.675000000000001</v>
      </c>
      <c r="I9" s="19">
        <v>23.055</v>
      </c>
      <c r="J9" s="19">
        <v>850.29300000000001</v>
      </c>
      <c r="K9" s="20">
        <v>1068.4559999999999</v>
      </c>
      <c r="L9" s="18">
        <v>96.789000000000001</v>
      </c>
      <c r="M9" s="19">
        <v>17.957999999999998</v>
      </c>
      <c r="N9" s="19">
        <v>42.622999999999998</v>
      </c>
      <c r="O9" s="19">
        <v>17.042999999999999</v>
      </c>
      <c r="P9" s="20">
        <v>3628.9169999999999</v>
      </c>
      <c r="Q9" s="23">
        <f t="shared" si="0"/>
        <v>1.6923378858193117E-3</v>
      </c>
      <c r="R9" s="5">
        <f t="shared" si="1"/>
        <v>3.5377271638477842E-2</v>
      </c>
      <c r="S9" s="5">
        <f t="shared" si="2"/>
        <v>1.438946370983624E-2</v>
      </c>
      <c r="T9" s="24">
        <f t="shared" si="3"/>
        <v>1.6234153073758631E-3</v>
      </c>
      <c r="U9" s="23">
        <f t="shared" si="4"/>
        <v>4.9773117150322211E-5</v>
      </c>
      <c r="V9" s="24">
        <f t="shared" si="5"/>
        <v>5.2435159436274179E-2</v>
      </c>
      <c r="W9" s="23">
        <f t="shared" si="6"/>
        <v>5.1999999999999998E-2</v>
      </c>
      <c r="X9" s="5">
        <f t="shared" si="7"/>
        <v>5.1999999999999998E-2</v>
      </c>
      <c r="Y9" s="24">
        <f t="shared" si="8"/>
        <v>5.1999999999999998E-2</v>
      </c>
      <c r="Z9" s="25">
        <f t="shared" si="9"/>
        <v>0.35</v>
      </c>
      <c r="AA9" s="196">
        <f t="shared" si="10"/>
        <v>0.35</v>
      </c>
      <c r="AB9" s="26">
        <f t="shared" si="11"/>
        <v>0.35</v>
      </c>
      <c r="AC9" s="21">
        <f t="shared" si="12"/>
        <v>5</v>
      </c>
      <c r="AD9" s="51">
        <f t="shared" si="13"/>
        <v>5</v>
      </c>
      <c r="AE9" s="22">
        <f t="shared" si="14"/>
        <v>5</v>
      </c>
      <c r="AF9" s="13"/>
      <c r="AG9" s="13"/>
      <c r="AH9" s="15"/>
      <c r="AI9" s="15"/>
      <c r="AJ9" s="15"/>
      <c r="AK9" s="15"/>
      <c r="AL9" s="14"/>
      <c r="AM9" s="14"/>
      <c r="AN9" s="14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</row>
    <row r="10" spans="1:51" ht="13.15" customHeight="1">
      <c r="A10" s="17">
        <v>10965</v>
      </c>
      <c r="B10" s="198" t="s">
        <v>210</v>
      </c>
      <c r="C10" s="52" t="str">
        <f>Rollover!A10</f>
        <v>Ford</v>
      </c>
      <c r="D10" s="9" t="str">
        <f>Rollover!B10</f>
        <v>Escape HEV SUV AWD</v>
      </c>
      <c r="E10" s="9" t="s">
        <v>97</v>
      </c>
      <c r="F10" s="93">
        <f>Rollover!C10</f>
        <v>2020</v>
      </c>
      <c r="G10" s="18">
        <v>197.124</v>
      </c>
      <c r="H10" s="19">
        <v>22.675000000000001</v>
      </c>
      <c r="I10" s="19">
        <v>23.055</v>
      </c>
      <c r="J10" s="19">
        <v>850.29300000000001</v>
      </c>
      <c r="K10" s="20">
        <v>1068.4559999999999</v>
      </c>
      <c r="L10" s="18">
        <v>96.789000000000001</v>
      </c>
      <c r="M10" s="19">
        <v>17.957999999999998</v>
      </c>
      <c r="N10" s="19">
        <v>42.622999999999998</v>
      </c>
      <c r="O10" s="19">
        <v>17.042999999999999</v>
      </c>
      <c r="P10" s="20">
        <v>3628.9169999999999</v>
      </c>
      <c r="Q10" s="23">
        <f t="shared" si="0"/>
        <v>1.6923378858193117E-3</v>
      </c>
      <c r="R10" s="5">
        <f t="shared" si="1"/>
        <v>3.5377271638477842E-2</v>
      </c>
      <c r="S10" s="5">
        <f t="shared" si="2"/>
        <v>1.438946370983624E-2</v>
      </c>
      <c r="T10" s="24">
        <f t="shared" si="3"/>
        <v>1.6234153073758631E-3</v>
      </c>
      <c r="U10" s="23">
        <f t="shared" si="4"/>
        <v>4.9773117150322211E-5</v>
      </c>
      <c r="V10" s="24">
        <f t="shared" si="5"/>
        <v>5.2435159436274179E-2</v>
      </c>
      <c r="W10" s="23">
        <f t="shared" si="6"/>
        <v>5.1999999999999998E-2</v>
      </c>
      <c r="X10" s="5">
        <f t="shared" si="7"/>
        <v>5.1999999999999998E-2</v>
      </c>
      <c r="Y10" s="24">
        <f t="shared" si="8"/>
        <v>5.1999999999999998E-2</v>
      </c>
      <c r="Z10" s="25">
        <f t="shared" si="9"/>
        <v>0.35</v>
      </c>
      <c r="AA10" s="196">
        <f t="shared" si="10"/>
        <v>0.35</v>
      </c>
      <c r="AB10" s="26">
        <f t="shared" si="11"/>
        <v>0.35</v>
      </c>
      <c r="AC10" s="21">
        <f t="shared" si="12"/>
        <v>5</v>
      </c>
      <c r="AD10" s="51">
        <f t="shared" si="13"/>
        <v>5</v>
      </c>
      <c r="AE10" s="22">
        <f t="shared" si="14"/>
        <v>5</v>
      </c>
      <c r="AF10" s="13"/>
      <c r="AG10" s="13"/>
      <c r="AH10" s="15"/>
      <c r="AI10" s="15"/>
      <c r="AJ10" s="15"/>
      <c r="AK10" s="15"/>
      <c r="AL10" s="14"/>
      <c r="AM10" s="14"/>
      <c r="AN10" s="14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</row>
    <row r="11" spans="1:51" ht="13.15" customHeight="1">
      <c r="A11" s="17">
        <v>10965</v>
      </c>
      <c r="B11" s="198" t="s">
        <v>210</v>
      </c>
      <c r="C11" s="52" t="str">
        <f>Rollover!A11</f>
        <v>Ford</v>
      </c>
      <c r="D11" s="9" t="str">
        <f>Rollover!B11</f>
        <v>Escape HEV SUV FWD</v>
      </c>
      <c r="E11" s="9" t="s">
        <v>97</v>
      </c>
      <c r="F11" s="93">
        <f>Rollover!C11</f>
        <v>2020</v>
      </c>
      <c r="G11" s="18">
        <v>197.124</v>
      </c>
      <c r="H11" s="19">
        <v>22.675000000000001</v>
      </c>
      <c r="I11" s="19">
        <v>23.055</v>
      </c>
      <c r="J11" s="19">
        <v>850.29300000000001</v>
      </c>
      <c r="K11" s="20">
        <v>1068.4559999999999</v>
      </c>
      <c r="L11" s="18">
        <v>96.789000000000001</v>
      </c>
      <c r="M11" s="19">
        <v>17.957999999999998</v>
      </c>
      <c r="N11" s="19">
        <v>42.622999999999998</v>
      </c>
      <c r="O11" s="19">
        <v>17.042999999999999</v>
      </c>
      <c r="P11" s="20">
        <v>3628.9169999999999</v>
      </c>
      <c r="Q11" s="23">
        <f t="shared" si="0"/>
        <v>1.6923378858193117E-3</v>
      </c>
      <c r="R11" s="5">
        <f t="shared" si="1"/>
        <v>3.5377271638477842E-2</v>
      </c>
      <c r="S11" s="5">
        <f t="shared" si="2"/>
        <v>1.438946370983624E-2</v>
      </c>
      <c r="T11" s="24">
        <f t="shared" si="3"/>
        <v>1.6234153073758631E-3</v>
      </c>
      <c r="U11" s="23">
        <f t="shared" si="4"/>
        <v>4.9773117150322211E-5</v>
      </c>
      <c r="V11" s="24">
        <f t="shared" si="5"/>
        <v>5.2435159436274179E-2</v>
      </c>
      <c r="W11" s="23">
        <f t="shared" si="6"/>
        <v>5.1999999999999998E-2</v>
      </c>
      <c r="X11" s="5">
        <f t="shared" si="7"/>
        <v>5.1999999999999998E-2</v>
      </c>
      <c r="Y11" s="24">
        <f t="shared" si="8"/>
        <v>5.1999999999999998E-2</v>
      </c>
      <c r="Z11" s="25">
        <f t="shared" si="9"/>
        <v>0.35</v>
      </c>
      <c r="AA11" s="196">
        <f t="shared" si="10"/>
        <v>0.35</v>
      </c>
      <c r="AB11" s="26">
        <f t="shared" si="11"/>
        <v>0.35</v>
      </c>
      <c r="AC11" s="21">
        <f t="shared" si="12"/>
        <v>5</v>
      </c>
      <c r="AD11" s="51">
        <f t="shared" si="13"/>
        <v>5</v>
      </c>
      <c r="AE11" s="22">
        <f t="shared" si="14"/>
        <v>5</v>
      </c>
      <c r="AF11" s="13"/>
      <c r="AG11" s="13"/>
      <c r="AH11" s="15"/>
      <c r="AI11" s="15"/>
      <c r="AJ11" s="15"/>
      <c r="AK11" s="15"/>
      <c r="AL11" s="14"/>
      <c r="AM11" s="14"/>
      <c r="AN11" s="14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</row>
    <row r="12" spans="1:51">
      <c r="A12" s="17">
        <v>10965</v>
      </c>
      <c r="B12" s="198" t="s">
        <v>210</v>
      </c>
      <c r="C12" s="52" t="str">
        <f>Rollover!A12</f>
        <v>Lincoln</v>
      </c>
      <c r="D12" s="9" t="str">
        <f>Rollover!B12</f>
        <v>Corsair SUV AWD</v>
      </c>
      <c r="E12" s="9" t="s">
        <v>97</v>
      </c>
      <c r="F12" s="93">
        <f>Rollover!C12</f>
        <v>2020</v>
      </c>
      <c r="G12" s="18">
        <v>197.124</v>
      </c>
      <c r="H12" s="19">
        <v>22.675000000000001</v>
      </c>
      <c r="I12" s="19">
        <v>23.055</v>
      </c>
      <c r="J12" s="19">
        <v>850.29300000000001</v>
      </c>
      <c r="K12" s="20">
        <v>1068.4559999999999</v>
      </c>
      <c r="L12" s="18">
        <v>96.789000000000001</v>
      </c>
      <c r="M12" s="19">
        <v>17.957999999999998</v>
      </c>
      <c r="N12" s="19">
        <v>42.622999999999998</v>
      </c>
      <c r="O12" s="19">
        <v>17.042999999999999</v>
      </c>
      <c r="P12" s="20">
        <v>3628.9169999999999</v>
      </c>
      <c r="Q12" s="23">
        <f t="shared" si="0"/>
        <v>1.6923378858193117E-3</v>
      </c>
      <c r="R12" s="5">
        <f t="shared" si="1"/>
        <v>3.5377271638477842E-2</v>
      </c>
      <c r="S12" s="5">
        <f t="shared" si="2"/>
        <v>1.438946370983624E-2</v>
      </c>
      <c r="T12" s="24">
        <f t="shared" si="3"/>
        <v>1.6234153073758631E-3</v>
      </c>
      <c r="U12" s="23">
        <f t="shared" si="4"/>
        <v>4.9773117150322211E-5</v>
      </c>
      <c r="V12" s="24">
        <f t="shared" si="5"/>
        <v>5.2435159436274179E-2</v>
      </c>
      <c r="W12" s="23">
        <f t="shared" si="6"/>
        <v>5.1999999999999998E-2</v>
      </c>
      <c r="X12" s="5">
        <f t="shared" si="7"/>
        <v>5.1999999999999998E-2</v>
      </c>
      <c r="Y12" s="24">
        <f t="shared" si="8"/>
        <v>5.1999999999999998E-2</v>
      </c>
      <c r="Z12" s="25">
        <f t="shared" si="9"/>
        <v>0.35</v>
      </c>
      <c r="AA12" s="196">
        <f t="shared" si="10"/>
        <v>0.35</v>
      </c>
      <c r="AB12" s="26">
        <f t="shared" si="11"/>
        <v>0.35</v>
      </c>
      <c r="AC12" s="21">
        <f t="shared" si="12"/>
        <v>5</v>
      </c>
      <c r="AD12" s="51">
        <f t="shared" si="13"/>
        <v>5</v>
      </c>
      <c r="AE12" s="22">
        <f t="shared" si="14"/>
        <v>5</v>
      </c>
      <c r="AF12" s="13"/>
      <c r="AG12" s="13"/>
      <c r="AH12" s="15"/>
      <c r="AI12" s="15"/>
      <c r="AJ12" s="15"/>
      <c r="AK12" s="15"/>
      <c r="AL12" s="14"/>
      <c r="AM12" s="14"/>
      <c r="AN12" s="14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</row>
    <row r="13" spans="1:51">
      <c r="A13" s="17">
        <v>10965</v>
      </c>
      <c r="B13" s="198" t="s">
        <v>210</v>
      </c>
      <c r="C13" s="52" t="str">
        <f>Rollover!A13</f>
        <v>Lincoln</v>
      </c>
      <c r="D13" s="9" t="str">
        <f>Rollover!B13</f>
        <v>Corsair SUV FWD</v>
      </c>
      <c r="E13" s="9" t="s">
        <v>97</v>
      </c>
      <c r="F13" s="93">
        <f>Rollover!C13</f>
        <v>2020</v>
      </c>
      <c r="G13" s="18">
        <v>197.124</v>
      </c>
      <c r="H13" s="19">
        <v>22.675000000000001</v>
      </c>
      <c r="I13" s="19">
        <v>23.055</v>
      </c>
      <c r="J13" s="19">
        <v>850.29300000000001</v>
      </c>
      <c r="K13" s="20">
        <v>1068.4559999999999</v>
      </c>
      <c r="L13" s="18">
        <v>96.789000000000001</v>
      </c>
      <c r="M13" s="19">
        <v>17.957999999999998</v>
      </c>
      <c r="N13" s="19">
        <v>42.622999999999998</v>
      </c>
      <c r="O13" s="19">
        <v>17.042999999999999</v>
      </c>
      <c r="P13" s="20">
        <v>3628.9169999999999</v>
      </c>
      <c r="Q13" s="23">
        <f t="shared" si="0"/>
        <v>1.6923378858193117E-3</v>
      </c>
      <c r="R13" s="5">
        <f t="shared" si="1"/>
        <v>3.5377271638477842E-2</v>
      </c>
      <c r="S13" s="5">
        <f t="shared" si="2"/>
        <v>1.438946370983624E-2</v>
      </c>
      <c r="T13" s="24">
        <f t="shared" si="3"/>
        <v>1.6234153073758631E-3</v>
      </c>
      <c r="U13" s="23">
        <f t="shared" si="4"/>
        <v>4.9773117150322211E-5</v>
      </c>
      <c r="V13" s="24">
        <f t="shared" si="5"/>
        <v>5.2435159436274179E-2</v>
      </c>
      <c r="W13" s="23">
        <f t="shared" si="6"/>
        <v>5.1999999999999998E-2</v>
      </c>
      <c r="X13" s="5">
        <f t="shared" si="7"/>
        <v>5.1999999999999998E-2</v>
      </c>
      <c r="Y13" s="24">
        <f t="shared" si="8"/>
        <v>5.1999999999999998E-2</v>
      </c>
      <c r="Z13" s="25">
        <f t="shared" si="9"/>
        <v>0.35</v>
      </c>
      <c r="AA13" s="196">
        <f t="shared" si="10"/>
        <v>0.35</v>
      </c>
      <c r="AB13" s="26">
        <f t="shared" si="11"/>
        <v>0.35</v>
      </c>
      <c r="AC13" s="21">
        <f t="shared" si="12"/>
        <v>5</v>
      </c>
      <c r="AD13" s="51">
        <f t="shared" si="13"/>
        <v>5</v>
      </c>
      <c r="AE13" s="22">
        <f t="shared" si="14"/>
        <v>5</v>
      </c>
      <c r="AF13" s="13"/>
      <c r="AG13" s="13"/>
      <c r="AH13" s="15"/>
      <c r="AI13" s="15"/>
      <c r="AJ13" s="15"/>
      <c r="AK13" s="15"/>
      <c r="AL13" s="14"/>
      <c r="AM13" s="14"/>
      <c r="AN13" s="14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</row>
    <row r="14" spans="1:51">
      <c r="A14" s="87">
        <v>8997</v>
      </c>
      <c r="B14" s="87" t="s">
        <v>120</v>
      </c>
      <c r="C14" s="27" t="str">
        <f>Rollover!A14</f>
        <v>Ford</v>
      </c>
      <c r="D14" s="45" t="str">
        <f>Rollover!B14</f>
        <v>Transit Wagon High Roof (8,10,12 Pass) RWD</v>
      </c>
      <c r="E14" s="9" t="s">
        <v>85</v>
      </c>
      <c r="F14" s="93">
        <f>Rollover!C14</f>
        <v>2020</v>
      </c>
      <c r="G14" s="10">
        <v>34.774999999999999</v>
      </c>
      <c r="H14" s="11">
        <v>10.8</v>
      </c>
      <c r="I14" s="11">
        <v>14.317</v>
      </c>
      <c r="J14" s="11">
        <v>357.77199999999999</v>
      </c>
      <c r="K14" s="12">
        <v>647.89099999999996</v>
      </c>
      <c r="L14" s="10">
        <v>24.399000000000001</v>
      </c>
      <c r="M14" s="11">
        <v>8.0090000000000003</v>
      </c>
      <c r="N14" s="11">
        <v>36.615000000000002</v>
      </c>
      <c r="O14" s="11">
        <v>9.2560000000000002</v>
      </c>
      <c r="P14" s="12">
        <v>1755.0129999999999</v>
      </c>
      <c r="Q14" s="23">
        <f t="shared" ref="Q14:Q48" si="15">NORMDIST(LN(G14),7.45231,0.73998,1)</f>
        <v>6.6369845262072164E-8</v>
      </c>
      <c r="R14" s="5">
        <f t="shared" ref="R14:R48" si="16">1/(1+EXP(5.3895-0.0919*H14))</f>
        <v>1.2164671982183881E-2</v>
      </c>
      <c r="S14" s="5">
        <f t="shared" ref="S14:S48" si="17">1/(1+EXP(6.04044-0.002133*J14))</f>
        <v>5.0801958351869379E-3</v>
      </c>
      <c r="T14" s="24">
        <f t="shared" ref="T14:T48" si="18">1/(1+EXP(7.5969-0.0011*K14))</f>
        <v>1.0227673975077595E-3</v>
      </c>
      <c r="U14" s="23">
        <f t="shared" ref="U14:U48" si="19">NORMDIST(LN(L14),7.45231,0.73998,1)</f>
        <v>4.3604948178913116E-9</v>
      </c>
      <c r="V14" s="24">
        <f t="shared" ref="V14:V48" si="20">1/(1+EXP(6.3055-0.00094*P14))</f>
        <v>9.4169003009539967E-3</v>
      </c>
      <c r="W14" s="23">
        <f t="shared" ref="W14:W48" si="21">ROUND(1-(1-Q14)*(1-R14)*(1-S14)*(1-T14),3)</f>
        <v>1.7999999999999999E-2</v>
      </c>
      <c r="X14" s="5">
        <f t="shared" ref="X14:X48" si="22">IF(L14="N/A",L14,ROUND(1-(1-U14)*(1-V14),3))</f>
        <v>8.9999999999999993E-3</v>
      </c>
      <c r="Y14" s="24">
        <f t="shared" ref="Y14:Y48" si="23">ROUND(AVERAGE(W14:X14),3)</f>
        <v>1.4E-2</v>
      </c>
      <c r="Z14" s="25">
        <f t="shared" ref="Z14:Z48" si="24">ROUND(W14/0.15,2)</f>
        <v>0.12</v>
      </c>
      <c r="AA14" s="196">
        <f t="shared" ref="AA14:AA48" si="25">IF(L14="N/A", L14, ROUND(X14/0.15,2))</f>
        <v>0.06</v>
      </c>
      <c r="AB14" s="26">
        <f t="shared" ref="AB14:AB48" si="26">ROUND(Y14/0.15,2)</f>
        <v>0.09</v>
      </c>
      <c r="AC14" s="21">
        <f t="shared" ref="AC14:AC48" si="27">IF(Z14&lt;0.67,5,IF(Z14&lt;1,4,IF(Z14&lt;1.33,3,IF(Z14&lt;2.67,2,1))))</f>
        <v>5</v>
      </c>
      <c r="AD14" s="51">
        <f t="shared" ref="AD14:AD48" si="28">IF(L14="N/A",L14,IF(AA14&lt;0.67,5,IF(AA14&lt;1,4,IF(AA14&lt;1.33,3,IF(AA14&lt;2.67,2,1)))))</f>
        <v>5</v>
      </c>
      <c r="AE14" s="22">
        <f t="shared" ref="AE14:AE48" si="29">IF(AB14&lt;0.67,5,IF(AB14&lt;1,4,IF(AB14&lt;1.33,3,IF(AB14&lt;2.67,2,1))))</f>
        <v>5</v>
      </c>
      <c r="AF14" s="13"/>
      <c r="AG14" s="13"/>
      <c r="AH14" s="15"/>
      <c r="AI14" s="15"/>
      <c r="AJ14" s="15"/>
      <c r="AK14" s="15"/>
      <c r="AL14" s="14"/>
      <c r="AM14" s="14"/>
      <c r="AN14" s="14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</row>
    <row r="15" spans="1:51">
      <c r="A15" s="87">
        <v>8997</v>
      </c>
      <c r="B15" s="87" t="s">
        <v>120</v>
      </c>
      <c r="C15" s="27" t="str">
        <f>Rollover!A15</f>
        <v>Ford</v>
      </c>
      <c r="D15" s="45" t="str">
        <f>Rollover!B15</f>
        <v>Transit Wagon High Roof (15 Pass) RWD</v>
      </c>
      <c r="E15" s="9" t="s">
        <v>85</v>
      </c>
      <c r="F15" s="93">
        <f>Rollover!C16</f>
        <v>2020</v>
      </c>
      <c r="G15" s="10">
        <v>34.774999999999999</v>
      </c>
      <c r="H15" s="11">
        <v>10.8</v>
      </c>
      <c r="I15" s="11">
        <v>14.317</v>
      </c>
      <c r="J15" s="11">
        <v>357.77199999999999</v>
      </c>
      <c r="K15" s="12">
        <v>647.89099999999996</v>
      </c>
      <c r="L15" s="10">
        <v>24.399000000000001</v>
      </c>
      <c r="M15" s="11">
        <v>8.0090000000000003</v>
      </c>
      <c r="N15" s="11">
        <v>36.615000000000002</v>
      </c>
      <c r="O15" s="11">
        <v>9.2560000000000002</v>
      </c>
      <c r="P15" s="12">
        <v>1755.0129999999999</v>
      </c>
      <c r="Q15" s="23">
        <f t="shared" si="15"/>
        <v>6.6369845262072164E-8</v>
      </c>
      <c r="R15" s="5">
        <f t="shared" si="16"/>
        <v>1.2164671982183881E-2</v>
      </c>
      <c r="S15" s="5">
        <f t="shared" si="17"/>
        <v>5.0801958351869379E-3</v>
      </c>
      <c r="T15" s="24">
        <f t="shared" si="18"/>
        <v>1.0227673975077595E-3</v>
      </c>
      <c r="U15" s="23">
        <f t="shared" si="19"/>
        <v>4.3604948178913116E-9</v>
      </c>
      <c r="V15" s="24">
        <f t="shared" si="20"/>
        <v>9.4169003009539967E-3</v>
      </c>
      <c r="W15" s="23">
        <f t="shared" si="21"/>
        <v>1.7999999999999999E-2</v>
      </c>
      <c r="X15" s="5">
        <f t="shared" si="22"/>
        <v>8.9999999999999993E-3</v>
      </c>
      <c r="Y15" s="24">
        <f t="shared" si="23"/>
        <v>1.4E-2</v>
      </c>
      <c r="Z15" s="25">
        <f t="shared" si="24"/>
        <v>0.12</v>
      </c>
      <c r="AA15" s="196">
        <f t="shared" si="25"/>
        <v>0.06</v>
      </c>
      <c r="AB15" s="26">
        <f t="shared" si="26"/>
        <v>0.09</v>
      </c>
      <c r="AC15" s="21">
        <f t="shared" si="27"/>
        <v>5</v>
      </c>
      <c r="AD15" s="51">
        <f t="shared" si="28"/>
        <v>5</v>
      </c>
      <c r="AE15" s="22">
        <f t="shared" si="29"/>
        <v>5</v>
      </c>
      <c r="AF15" s="13"/>
      <c r="AG15" s="13"/>
      <c r="AH15" s="15"/>
      <c r="AI15" s="15"/>
      <c r="AJ15" s="15"/>
      <c r="AK15" s="15"/>
      <c r="AL15" s="14"/>
      <c r="AM15" s="14"/>
      <c r="AN15" s="14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</row>
    <row r="16" spans="1:51">
      <c r="A16" s="87">
        <v>8997</v>
      </c>
      <c r="B16" s="87" t="s">
        <v>120</v>
      </c>
      <c r="C16" s="52" t="str">
        <f>Rollover!A16</f>
        <v>Ford</v>
      </c>
      <c r="D16" s="9" t="str">
        <f>Rollover!B16</f>
        <v>Transit Wagon Medium Roof (8,10,12 Pass) RWD</v>
      </c>
      <c r="E16" s="9" t="s">
        <v>85</v>
      </c>
      <c r="F16" s="93">
        <f>Rollover!C17</f>
        <v>2020</v>
      </c>
      <c r="G16" s="10">
        <v>34.774999999999999</v>
      </c>
      <c r="H16" s="11">
        <v>10.8</v>
      </c>
      <c r="I16" s="11">
        <v>14.317</v>
      </c>
      <c r="J16" s="11">
        <v>357.77199999999999</v>
      </c>
      <c r="K16" s="12">
        <v>647.89099999999996</v>
      </c>
      <c r="L16" s="10">
        <v>24.399000000000001</v>
      </c>
      <c r="M16" s="11">
        <v>8.0090000000000003</v>
      </c>
      <c r="N16" s="11">
        <v>36.615000000000002</v>
      </c>
      <c r="O16" s="11">
        <v>9.2560000000000002</v>
      </c>
      <c r="P16" s="12">
        <v>1755.0129999999999</v>
      </c>
      <c r="Q16" s="23">
        <f t="shared" si="15"/>
        <v>6.6369845262072164E-8</v>
      </c>
      <c r="R16" s="5">
        <f t="shared" si="16"/>
        <v>1.2164671982183881E-2</v>
      </c>
      <c r="S16" s="5">
        <f t="shared" si="17"/>
        <v>5.0801958351869379E-3</v>
      </c>
      <c r="T16" s="24">
        <f t="shared" si="18"/>
        <v>1.0227673975077595E-3</v>
      </c>
      <c r="U16" s="23">
        <f t="shared" si="19"/>
        <v>4.3604948178913116E-9</v>
      </c>
      <c r="V16" s="24">
        <f t="shared" si="20"/>
        <v>9.4169003009539967E-3</v>
      </c>
      <c r="W16" s="23">
        <f t="shared" si="21"/>
        <v>1.7999999999999999E-2</v>
      </c>
      <c r="X16" s="5">
        <f t="shared" si="22"/>
        <v>8.9999999999999993E-3</v>
      </c>
      <c r="Y16" s="24">
        <f t="shared" si="23"/>
        <v>1.4E-2</v>
      </c>
      <c r="Z16" s="25">
        <f t="shared" si="24"/>
        <v>0.12</v>
      </c>
      <c r="AA16" s="196">
        <f t="shared" si="25"/>
        <v>0.06</v>
      </c>
      <c r="AB16" s="26">
        <f t="shared" si="26"/>
        <v>0.09</v>
      </c>
      <c r="AC16" s="21">
        <f t="shared" si="27"/>
        <v>5</v>
      </c>
      <c r="AD16" s="51">
        <f t="shared" si="28"/>
        <v>5</v>
      </c>
      <c r="AE16" s="22">
        <f t="shared" si="29"/>
        <v>5</v>
      </c>
      <c r="AF16" s="13"/>
      <c r="AG16" s="13"/>
      <c r="AH16" s="15"/>
      <c r="AI16" s="15"/>
      <c r="AJ16" s="15"/>
      <c r="AK16" s="15"/>
      <c r="AL16" s="14"/>
      <c r="AM16" s="14"/>
      <c r="AN16" s="14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</row>
    <row r="17" spans="1:51">
      <c r="A17" s="87">
        <v>8997</v>
      </c>
      <c r="B17" s="87" t="s">
        <v>120</v>
      </c>
      <c r="C17" s="52" t="str">
        <f>Rollover!A17</f>
        <v>Ford</v>
      </c>
      <c r="D17" s="9" t="str">
        <f>Rollover!B17</f>
        <v>Transit Wagon Medium Roof (15 Pass) RWD</v>
      </c>
      <c r="E17" s="9" t="s">
        <v>85</v>
      </c>
      <c r="F17" s="93">
        <f>Rollover!C17</f>
        <v>2020</v>
      </c>
      <c r="G17" s="10">
        <v>34.774999999999999</v>
      </c>
      <c r="H17" s="11">
        <v>10.8</v>
      </c>
      <c r="I17" s="11">
        <v>14.317</v>
      </c>
      <c r="J17" s="11">
        <v>357.77199999999999</v>
      </c>
      <c r="K17" s="12">
        <v>647.89099999999996</v>
      </c>
      <c r="L17" s="10">
        <v>24.399000000000001</v>
      </c>
      <c r="M17" s="11">
        <v>8.0090000000000003</v>
      </c>
      <c r="N17" s="11">
        <v>36.615000000000002</v>
      </c>
      <c r="O17" s="11">
        <v>9.2560000000000002</v>
      </c>
      <c r="P17" s="12">
        <v>1755.0129999999999</v>
      </c>
      <c r="Q17" s="23">
        <f t="shared" si="15"/>
        <v>6.6369845262072164E-8</v>
      </c>
      <c r="R17" s="5">
        <f t="shared" si="16"/>
        <v>1.2164671982183881E-2</v>
      </c>
      <c r="S17" s="5">
        <f t="shared" si="17"/>
        <v>5.0801958351869379E-3</v>
      </c>
      <c r="T17" s="24">
        <f t="shared" si="18"/>
        <v>1.0227673975077595E-3</v>
      </c>
      <c r="U17" s="23">
        <f t="shared" si="19"/>
        <v>4.3604948178913116E-9</v>
      </c>
      <c r="V17" s="24">
        <f t="shared" si="20"/>
        <v>9.4169003009539967E-3</v>
      </c>
      <c r="W17" s="23">
        <f t="shared" si="21"/>
        <v>1.7999999999999999E-2</v>
      </c>
      <c r="X17" s="5">
        <f t="shared" si="22"/>
        <v>8.9999999999999993E-3</v>
      </c>
      <c r="Y17" s="24">
        <f t="shared" si="23"/>
        <v>1.4E-2</v>
      </c>
      <c r="Z17" s="25">
        <f t="shared" si="24"/>
        <v>0.12</v>
      </c>
      <c r="AA17" s="196">
        <f t="shared" si="25"/>
        <v>0.06</v>
      </c>
      <c r="AB17" s="26">
        <f t="shared" si="26"/>
        <v>0.09</v>
      </c>
      <c r="AC17" s="21">
        <f t="shared" si="27"/>
        <v>5</v>
      </c>
      <c r="AD17" s="51">
        <f t="shared" si="28"/>
        <v>5</v>
      </c>
      <c r="AE17" s="22">
        <f t="shared" si="29"/>
        <v>5</v>
      </c>
      <c r="AF17" s="13"/>
      <c r="AG17" s="13"/>
      <c r="AH17" s="15"/>
      <c r="AI17" s="15"/>
      <c r="AJ17" s="15"/>
      <c r="AK17" s="15"/>
      <c r="AL17" s="14"/>
      <c r="AM17" s="14"/>
      <c r="AN17" s="14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</row>
    <row r="18" spans="1:51">
      <c r="A18" s="87">
        <v>8997</v>
      </c>
      <c r="B18" s="87" t="s">
        <v>120</v>
      </c>
      <c r="C18" s="27" t="str">
        <f>Rollover!A18</f>
        <v>Ford</v>
      </c>
      <c r="D18" s="45" t="str">
        <f>Rollover!B18</f>
        <v>Transit Wagon Low Roof (8,10,12 Pass) RWD</v>
      </c>
      <c r="E18" s="9" t="s">
        <v>85</v>
      </c>
      <c r="F18" s="93">
        <f>Rollover!C18</f>
        <v>2020</v>
      </c>
      <c r="G18" s="10">
        <v>34.774999999999999</v>
      </c>
      <c r="H18" s="11">
        <v>10.8</v>
      </c>
      <c r="I18" s="11">
        <v>14.317</v>
      </c>
      <c r="J18" s="11">
        <v>357.77199999999999</v>
      </c>
      <c r="K18" s="12">
        <v>647.89099999999996</v>
      </c>
      <c r="L18" s="10">
        <v>24.399000000000001</v>
      </c>
      <c r="M18" s="11">
        <v>8.0090000000000003</v>
      </c>
      <c r="N18" s="11">
        <v>36.615000000000002</v>
      </c>
      <c r="O18" s="11">
        <v>9.2560000000000002</v>
      </c>
      <c r="P18" s="12">
        <v>1755.0129999999999</v>
      </c>
      <c r="Q18" s="23">
        <f t="shared" si="15"/>
        <v>6.6369845262072164E-8</v>
      </c>
      <c r="R18" s="5">
        <f t="shared" si="16"/>
        <v>1.2164671982183881E-2</v>
      </c>
      <c r="S18" s="5">
        <f t="shared" si="17"/>
        <v>5.0801958351869379E-3</v>
      </c>
      <c r="T18" s="24">
        <f t="shared" si="18"/>
        <v>1.0227673975077595E-3</v>
      </c>
      <c r="U18" s="23">
        <f t="shared" si="19"/>
        <v>4.3604948178913116E-9</v>
      </c>
      <c r="V18" s="24">
        <f t="shared" si="20"/>
        <v>9.4169003009539967E-3</v>
      </c>
      <c r="W18" s="23">
        <f t="shared" si="21"/>
        <v>1.7999999999999999E-2</v>
      </c>
      <c r="X18" s="5">
        <f t="shared" si="22"/>
        <v>8.9999999999999993E-3</v>
      </c>
      <c r="Y18" s="24">
        <f t="shared" si="23"/>
        <v>1.4E-2</v>
      </c>
      <c r="Z18" s="25">
        <f t="shared" si="24"/>
        <v>0.12</v>
      </c>
      <c r="AA18" s="196">
        <f t="shared" si="25"/>
        <v>0.06</v>
      </c>
      <c r="AB18" s="26">
        <f t="shared" si="26"/>
        <v>0.09</v>
      </c>
      <c r="AC18" s="21">
        <f t="shared" si="27"/>
        <v>5</v>
      </c>
      <c r="AD18" s="51">
        <f t="shared" si="28"/>
        <v>5</v>
      </c>
      <c r="AE18" s="22">
        <f t="shared" si="29"/>
        <v>5</v>
      </c>
      <c r="AF18" s="13"/>
      <c r="AG18" s="13"/>
      <c r="AH18" s="15"/>
      <c r="AI18" s="15"/>
      <c r="AJ18" s="15"/>
      <c r="AK18" s="15"/>
      <c r="AL18" s="14"/>
      <c r="AM18" s="14"/>
      <c r="AN18" s="14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</row>
    <row r="19" spans="1:51">
      <c r="A19" s="87">
        <v>8997</v>
      </c>
      <c r="B19" s="87" t="s">
        <v>120</v>
      </c>
      <c r="C19" s="27" t="str">
        <f>Rollover!A19</f>
        <v>Ford</v>
      </c>
      <c r="D19" s="45" t="str">
        <f>Rollover!B19</f>
        <v>Transit Wagon Low Roof (15 Pass) RWD</v>
      </c>
      <c r="E19" s="9" t="s">
        <v>85</v>
      </c>
      <c r="F19" s="93">
        <f>Rollover!C19</f>
        <v>2020</v>
      </c>
      <c r="G19" s="10">
        <v>34.774999999999999</v>
      </c>
      <c r="H19" s="11">
        <v>10.8</v>
      </c>
      <c r="I19" s="11">
        <v>14.317</v>
      </c>
      <c r="J19" s="11">
        <v>357.77199999999999</v>
      </c>
      <c r="K19" s="12">
        <v>647.89099999999996</v>
      </c>
      <c r="L19" s="10">
        <v>24.399000000000001</v>
      </c>
      <c r="M19" s="11">
        <v>8.0090000000000003</v>
      </c>
      <c r="N19" s="11">
        <v>36.615000000000002</v>
      </c>
      <c r="O19" s="11">
        <v>9.2560000000000002</v>
      </c>
      <c r="P19" s="12">
        <v>1755.0129999999999</v>
      </c>
      <c r="Q19" s="23">
        <f t="shared" ref="Q19:Q32" si="30">NORMDIST(LN(G19),7.45231,0.73998,1)</f>
        <v>6.6369845262072164E-8</v>
      </c>
      <c r="R19" s="5">
        <f t="shared" ref="R19:R32" si="31">1/(1+EXP(5.3895-0.0919*H19))</f>
        <v>1.2164671982183881E-2</v>
      </c>
      <c r="S19" s="5">
        <f t="shared" ref="S19:S32" si="32">1/(1+EXP(6.04044-0.002133*J19))</f>
        <v>5.0801958351869379E-3</v>
      </c>
      <c r="T19" s="24">
        <f t="shared" ref="T19:T32" si="33">1/(1+EXP(7.5969-0.0011*K19))</f>
        <v>1.0227673975077595E-3</v>
      </c>
      <c r="U19" s="23">
        <f t="shared" ref="U19:U32" si="34">NORMDIST(LN(L19),7.45231,0.73998,1)</f>
        <v>4.3604948178913116E-9</v>
      </c>
      <c r="V19" s="24">
        <f t="shared" ref="V19:V32" si="35">1/(1+EXP(6.3055-0.00094*P19))</f>
        <v>9.4169003009539967E-3</v>
      </c>
      <c r="W19" s="23">
        <f t="shared" ref="W19:W32" si="36">ROUND(1-(1-Q19)*(1-R19)*(1-S19)*(1-T19),3)</f>
        <v>1.7999999999999999E-2</v>
      </c>
      <c r="X19" s="5">
        <f t="shared" ref="X19:X32" si="37">IF(L19="N/A",L19,ROUND(1-(1-U19)*(1-V19),3))</f>
        <v>8.9999999999999993E-3</v>
      </c>
      <c r="Y19" s="24">
        <f t="shared" ref="Y19:Y32" si="38">ROUND(AVERAGE(W19:X19),3)</f>
        <v>1.4E-2</v>
      </c>
      <c r="Z19" s="25">
        <f t="shared" ref="Z19:Z32" si="39">ROUND(W19/0.15,2)</f>
        <v>0.12</v>
      </c>
      <c r="AA19" s="196">
        <f t="shared" ref="AA19:AA32" si="40">IF(L19="N/A", L19, ROUND(X19/0.15,2))</f>
        <v>0.06</v>
      </c>
      <c r="AB19" s="26">
        <f t="shared" ref="AB19:AB32" si="41">ROUND(Y19/0.15,2)</f>
        <v>0.09</v>
      </c>
      <c r="AC19" s="21">
        <f t="shared" ref="AC19:AC32" si="42">IF(Z19&lt;0.67,5,IF(Z19&lt;1,4,IF(Z19&lt;1.33,3,IF(Z19&lt;2.67,2,1))))</f>
        <v>5</v>
      </c>
      <c r="AD19" s="51">
        <f t="shared" ref="AD19:AD32" si="43">IF(L19="N/A",L19,IF(AA19&lt;0.67,5,IF(AA19&lt;1,4,IF(AA19&lt;1.33,3,IF(AA19&lt;2.67,2,1)))))</f>
        <v>5</v>
      </c>
      <c r="AE19" s="22">
        <f t="shared" ref="AE19:AE32" si="44">IF(AB19&lt;0.67,5,IF(AB19&lt;1,4,IF(AB19&lt;1.33,3,IF(AB19&lt;2.67,2,1))))</f>
        <v>5</v>
      </c>
      <c r="AF19" s="13"/>
      <c r="AG19" s="13"/>
      <c r="AH19" s="15"/>
      <c r="AI19" s="15"/>
      <c r="AJ19" s="15"/>
      <c r="AK19" s="15"/>
      <c r="AL19" s="14"/>
      <c r="AM19" s="14"/>
      <c r="AN19" s="14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</row>
    <row r="20" spans="1:51">
      <c r="A20" s="87"/>
      <c r="B20" s="197"/>
      <c r="C20" s="27" t="str">
        <f>Rollover!A20</f>
        <v>Ford</v>
      </c>
      <c r="D20" s="45" t="str">
        <f>Rollover!B20</f>
        <v>Transit Van RWD</v>
      </c>
      <c r="E20" s="9"/>
      <c r="F20" s="93">
        <f>Rollover!C20</f>
        <v>2020</v>
      </c>
      <c r="G20" s="10"/>
      <c r="H20" s="11"/>
      <c r="I20" s="11"/>
      <c r="J20" s="11"/>
      <c r="K20" s="12"/>
      <c r="L20" s="10"/>
      <c r="M20" s="11"/>
      <c r="N20" s="11"/>
      <c r="O20" s="11"/>
      <c r="P20" s="12"/>
      <c r="Q20" s="23" t="e">
        <f t="shared" si="30"/>
        <v>#NUM!</v>
      </c>
      <c r="R20" s="5">
        <f t="shared" si="31"/>
        <v>4.5435171224880964E-3</v>
      </c>
      <c r="S20" s="5">
        <f t="shared" si="32"/>
        <v>2.3748578822706131E-3</v>
      </c>
      <c r="T20" s="24">
        <f t="shared" si="33"/>
        <v>5.0175335722563109E-4</v>
      </c>
      <c r="U20" s="23" t="e">
        <f t="shared" si="34"/>
        <v>#NUM!</v>
      </c>
      <c r="V20" s="24">
        <f t="shared" si="35"/>
        <v>1.8229037773026034E-3</v>
      </c>
      <c r="W20" s="23" t="e">
        <f t="shared" si="36"/>
        <v>#NUM!</v>
      </c>
      <c r="X20" s="5" t="e">
        <f t="shared" si="37"/>
        <v>#NUM!</v>
      </c>
      <c r="Y20" s="24" t="e">
        <f t="shared" si="38"/>
        <v>#NUM!</v>
      </c>
      <c r="Z20" s="25" t="e">
        <f t="shared" si="39"/>
        <v>#NUM!</v>
      </c>
      <c r="AA20" s="196" t="e">
        <f t="shared" si="40"/>
        <v>#NUM!</v>
      </c>
      <c r="AB20" s="26" t="e">
        <f t="shared" si="41"/>
        <v>#NUM!</v>
      </c>
      <c r="AC20" s="21" t="e">
        <f t="shared" si="42"/>
        <v>#NUM!</v>
      </c>
      <c r="AD20" s="51" t="e">
        <f t="shared" si="43"/>
        <v>#NUM!</v>
      </c>
      <c r="AE20" s="22" t="e">
        <f t="shared" si="44"/>
        <v>#NUM!</v>
      </c>
      <c r="AF20" s="13"/>
      <c r="AG20" s="13"/>
      <c r="AH20" s="15"/>
      <c r="AI20" s="15"/>
      <c r="AJ20" s="15"/>
      <c r="AK20" s="15"/>
      <c r="AL20" s="14"/>
      <c r="AM20" s="14"/>
      <c r="AN20" s="14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</row>
    <row r="21" spans="1:51">
      <c r="A21" s="87">
        <v>10992</v>
      </c>
      <c r="B21" s="87" t="s">
        <v>237</v>
      </c>
      <c r="C21" s="52" t="str">
        <f>Rollover!A21</f>
        <v xml:space="preserve">GMC </v>
      </c>
      <c r="D21" s="9" t="str">
        <f>Rollover!B21</f>
        <v>Acadia SUV AWD</v>
      </c>
      <c r="E21" s="9" t="s">
        <v>85</v>
      </c>
      <c r="F21" s="93">
        <f>Rollover!C21</f>
        <v>2020</v>
      </c>
      <c r="G21" s="10">
        <v>124.91800000000001</v>
      </c>
      <c r="H21" s="11">
        <v>23.902999999999999</v>
      </c>
      <c r="I21" s="11">
        <v>24.041</v>
      </c>
      <c r="J21" s="11">
        <v>694.601</v>
      </c>
      <c r="K21" s="12">
        <v>1083.2460000000001</v>
      </c>
      <c r="L21" s="10">
        <v>275.51400000000001</v>
      </c>
      <c r="M21" s="11">
        <v>26.541</v>
      </c>
      <c r="N21" s="11">
        <v>50.953000000000003</v>
      </c>
      <c r="O21" s="11">
        <v>28.422999999999998</v>
      </c>
      <c r="P21" s="12">
        <v>3552.7930000000001</v>
      </c>
      <c r="Q21" s="23">
        <f t="shared" si="30"/>
        <v>1.9487884827320683E-4</v>
      </c>
      <c r="R21" s="5">
        <f t="shared" si="31"/>
        <v>3.9437030644927533E-2</v>
      </c>
      <c r="S21" s="5">
        <f t="shared" si="32"/>
        <v>1.0365465451438943E-2</v>
      </c>
      <c r="T21" s="24">
        <f t="shared" si="33"/>
        <v>1.6499987288300761E-3</v>
      </c>
      <c r="U21" s="23">
        <f t="shared" si="34"/>
        <v>6.6060293398992869E-3</v>
      </c>
      <c r="V21" s="24">
        <f t="shared" si="35"/>
        <v>4.8991574862550083E-2</v>
      </c>
      <c r="W21" s="23">
        <f t="shared" si="36"/>
        <v>5.0999999999999997E-2</v>
      </c>
      <c r="X21" s="5">
        <f t="shared" si="37"/>
        <v>5.5E-2</v>
      </c>
      <c r="Y21" s="24">
        <f t="shared" si="38"/>
        <v>5.2999999999999999E-2</v>
      </c>
      <c r="Z21" s="25">
        <f t="shared" si="39"/>
        <v>0.34</v>
      </c>
      <c r="AA21" s="196">
        <f t="shared" si="40"/>
        <v>0.37</v>
      </c>
      <c r="AB21" s="26">
        <f t="shared" si="41"/>
        <v>0.35</v>
      </c>
      <c r="AC21" s="21">
        <f t="shared" si="42"/>
        <v>5</v>
      </c>
      <c r="AD21" s="51">
        <f t="shared" si="43"/>
        <v>5</v>
      </c>
      <c r="AE21" s="22">
        <f t="shared" si="44"/>
        <v>5</v>
      </c>
      <c r="AF21" s="13"/>
      <c r="AG21" s="13"/>
      <c r="AH21" s="15"/>
      <c r="AI21" s="15"/>
      <c r="AJ21" s="15"/>
      <c r="AK21" s="15"/>
      <c r="AL21" s="14"/>
      <c r="AM21" s="14"/>
      <c r="AN21" s="14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</row>
    <row r="22" spans="1:51">
      <c r="A22" s="87">
        <v>10992</v>
      </c>
      <c r="B22" s="87" t="s">
        <v>237</v>
      </c>
      <c r="C22" s="27" t="str">
        <f>Rollover!A22</f>
        <v xml:space="preserve">GMC </v>
      </c>
      <c r="D22" s="45" t="str">
        <f>Rollover!B22</f>
        <v>Acadia SUV FWD</v>
      </c>
      <c r="E22" s="9" t="s">
        <v>85</v>
      </c>
      <c r="F22" s="93">
        <f>Rollover!C22</f>
        <v>2020</v>
      </c>
      <c r="G22" s="10">
        <v>124.91800000000001</v>
      </c>
      <c r="H22" s="11">
        <v>23.902999999999999</v>
      </c>
      <c r="I22" s="11">
        <v>24.041</v>
      </c>
      <c r="J22" s="11">
        <v>694.601</v>
      </c>
      <c r="K22" s="12">
        <v>1083.2460000000001</v>
      </c>
      <c r="L22" s="10">
        <v>275.51400000000001</v>
      </c>
      <c r="M22" s="11">
        <v>26.541</v>
      </c>
      <c r="N22" s="11">
        <v>50.953000000000003</v>
      </c>
      <c r="O22" s="11">
        <v>28.422999999999998</v>
      </c>
      <c r="P22" s="12">
        <v>3552.7930000000001</v>
      </c>
      <c r="Q22" s="23">
        <f t="shared" si="30"/>
        <v>1.9487884827320683E-4</v>
      </c>
      <c r="R22" s="5">
        <f t="shared" si="31"/>
        <v>3.9437030644927533E-2</v>
      </c>
      <c r="S22" s="5">
        <f t="shared" si="32"/>
        <v>1.0365465451438943E-2</v>
      </c>
      <c r="T22" s="24">
        <f t="shared" si="33"/>
        <v>1.6499987288300761E-3</v>
      </c>
      <c r="U22" s="23">
        <f t="shared" si="34"/>
        <v>6.6060293398992869E-3</v>
      </c>
      <c r="V22" s="24">
        <f t="shared" si="35"/>
        <v>4.8991574862550083E-2</v>
      </c>
      <c r="W22" s="23">
        <f t="shared" si="36"/>
        <v>5.0999999999999997E-2</v>
      </c>
      <c r="X22" s="5">
        <f t="shared" si="37"/>
        <v>5.5E-2</v>
      </c>
      <c r="Y22" s="24">
        <f t="shared" si="38"/>
        <v>5.2999999999999999E-2</v>
      </c>
      <c r="Z22" s="25">
        <f t="shared" si="39"/>
        <v>0.34</v>
      </c>
      <c r="AA22" s="196">
        <f t="shared" si="40"/>
        <v>0.37</v>
      </c>
      <c r="AB22" s="26">
        <f t="shared" si="41"/>
        <v>0.35</v>
      </c>
      <c r="AC22" s="21">
        <f t="shared" si="42"/>
        <v>5</v>
      </c>
      <c r="AD22" s="51">
        <f t="shared" si="43"/>
        <v>5</v>
      </c>
      <c r="AE22" s="22">
        <f t="shared" si="44"/>
        <v>5</v>
      </c>
      <c r="AF22" s="13"/>
      <c r="AG22" s="13"/>
      <c r="AH22" s="15"/>
      <c r="AI22" s="15"/>
      <c r="AJ22" s="15"/>
      <c r="AK22" s="15"/>
      <c r="AL22" s="14"/>
      <c r="AM22" s="14"/>
      <c r="AN22" s="14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</row>
    <row r="23" spans="1:51" ht="13.15" customHeight="1">
      <c r="A23" s="87">
        <v>10968</v>
      </c>
      <c r="B23" s="87" t="s">
        <v>212</v>
      </c>
      <c r="C23" s="27" t="str">
        <f>Rollover!A23</f>
        <v>Hyundai</v>
      </c>
      <c r="D23" s="45" t="str">
        <f>Rollover!B23</f>
        <v>Accent 4DR FWD</v>
      </c>
      <c r="E23" s="9" t="s">
        <v>85</v>
      </c>
      <c r="F23" s="93">
        <f>Rollover!C23</f>
        <v>2020</v>
      </c>
      <c r="G23" s="10">
        <v>193.93700000000001</v>
      </c>
      <c r="H23" s="11">
        <v>33.042000000000002</v>
      </c>
      <c r="I23" s="11">
        <v>43.648000000000003</v>
      </c>
      <c r="J23" s="11">
        <v>1148.5509999999999</v>
      </c>
      <c r="K23" s="12">
        <v>1380.097</v>
      </c>
      <c r="L23" s="10">
        <v>527.17100000000005</v>
      </c>
      <c r="M23" s="46">
        <v>41.048000000000002</v>
      </c>
      <c r="N23" s="46">
        <v>84.213999999999999</v>
      </c>
      <c r="O23" s="46">
        <v>46.183999999999997</v>
      </c>
      <c r="P23" s="12">
        <v>2825.0279999999998</v>
      </c>
      <c r="Q23" s="23">
        <f t="shared" si="30"/>
        <v>1.5761591007472293E-3</v>
      </c>
      <c r="R23" s="5">
        <f t="shared" si="31"/>
        <v>8.6832353256037581E-2</v>
      </c>
      <c r="S23" s="5">
        <f t="shared" si="32"/>
        <v>2.684194544282285E-2</v>
      </c>
      <c r="T23" s="24">
        <f t="shared" si="33"/>
        <v>2.285703054967325E-3</v>
      </c>
      <c r="U23" s="23">
        <f t="shared" si="34"/>
        <v>5.4676930046486653E-2</v>
      </c>
      <c r="V23" s="24">
        <f t="shared" si="35"/>
        <v>2.5333353100988804E-2</v>
      </c>
      <c r="W23" s="23">
        <f t="shared" si="36"/>
        <v>0.115</v>
      </c>
      <c r="X23" s="5">
        <f t="shared" si="37"/>
        <v>7.9000000000000001E-2</v>
      </c>
      <c r="Y23" s="24">
        <f t="shared" si="38"/>
        <v>9.7000000000000003E-2</v>
      </c>
      <c r="Z23" s="25">
        <f t="shared" si="39"/>
        <v>0.77</v>
      </c>
      <c r="AA23" s="196">
        <f t="shared" si="40"/>
        <v>0.53</v>
      </c>
      <c r="AB23" s="26">
        <f t="shared" si="41"/>
        <v>0.65</v>
      </c>
      <c r="AC23" s="21">
        <f t="shared" si="42"/>
        <v>4</v>
      </c>
      <c r="AD23" s="51">
        <f t="shared" si="43"/>
        <v>5</v>
      </c>
      <c r="AE23" s="22">
        <f t="shared" si="44"/>
        <v>5</v>
      </c>
      <c r="AF23" s="13"/>
      <c r="AG23" s="13"/>
      <c r="AH23" s="15"/>
      <c r="AI23" s="15"/>
      <c r="AJ23" s="15"/>
      <c r="AK23" s="15"/>
      <c r="AL23" s="14"/>
      <c r="AM23" s="14"/>
      <c r="AN23" s="14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</row>
    <row r="24" spans="1:51" ht="13.15" customHeight="1">
      <c r="A24" s="87">
        <v>10990</v>
      </c>
      <c r="B24" s="87" t="s">
        <v>234</v>
      </c>
      <c r="C24" s="27" t="str">
        <f>Rollover!A24</f>
        <v>Hyundai</v>
      </c>
      <c r="D24" s="45" t="str">
        <f>Rollover!B24</f>
        <v>Palisade SUV FWD</v>
      </c>
      <c r="E24" s="9" t="s">
        <v>91</v>
      </c>
      <c r="F24" s="93">
        <f>Rollover!C24</f>
        <v>2020</v>
      </c>
      <c r="G24" s="10">
        <v>24.968</v>
      </c>
      <c r="H24" s="11">
        <v>17.728999999999999</v>
      </c>
      <c r="I24" s="11">
        <v>24.687000000000001</v>
      </c>
      <c r="J24" s="11">
        <v>500.678</v>
      </c>
      <c r="K24" s="12">
        <v>1348.799</v>
      </c>
      <c r="L24" s="10">
        <v>189.34399999999999</v>
      </c>
      <c r="M24" s="11">
        <v>7.5209999999999999</v>
      </c>
      <c r="N24" s="11">
        <v>35.529000000000003</v>
      </c>
      <c r="O24" s="11">
        <v>16.155999999999999</v>
      </c>
      <c r="P24" s="12">
        <v>842.45100000000002</v>
      </c>
      <c r="Q24" s="23">
        <f t="shared" si="30"/>
        <v>5.2409036694547688E-9</v>
      </c>
      <c r="R24" s="5">
        <f t="shared" si="31"/>
        <v>2.2749387710625145E-2</v>
      </c>
      <c r="S24" s="5">
        <f t="shared" si="32"/>
        <v>6.8782170726413502E-3</v>
      </c>
      <c r="T24" s="24">
        <f t="shared" si="33"/>
        <v>2.2085213412945497E-3</v>
      </c>
      <c r="U24" s="23">
        <f t="shared" si="34"/>
        <v>1.4184916267288474E-3</v>
      </c>
      <c r="V24" s="24">
        <f t="shared" si="35"/>
        <v>4.015395068016501E-3</v>
      </c>
      <c r="W24" s="23">
        <f t="shared" si="36"/>
        <v>3.2000000000000001E-2</v>
      </c>
      <c r="X24" s="5">
        <f t="shared" si="37"/>
        <v>5.0000000000000001E-3</v>
      </c>
      <c r="Y24" s="24">
        <f t="shared" si="38"/>
        <v>1.9E-2</v>
      </c>
      <c r="Z24" s="25">
        <f t="shared" si="39"/>
        <v>0.21</v>
      </c>
      <c r="AA24" s="196">
        <f t="shared" si="40"/>
        <v>0.03</v>
      </c>
      <c r="AB24" s="26">
        <f t="shared" si="41"/>
        <v>0.13</v>
      </c>
      <c r="AC24" s="21">
        <f t="shared" si="42"/>
        <v>5</v>
      </c>
      <c r="AD24" s="51">
        <f t="shared" si="43"/>
        <v>5</v>
      </c>
      <c r="AE24" s="22">
        <f t="shared" si="44"/>
        <v>5</v>
      </c>
      <c r="AF24" s="13"/>
      <c r="AG24" s="13"/>
      <c r="AH24" s="15"/>
      <c r="AI24" s="15"/>
      <c r="AJ24" s="15"/>
      <c r="AK24" s="15"/>
      <c r="AL24" s="14"/>
      <c r="AM24" s="14"/>
      <c r="AN24" s="14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</row>
    <row r="25" spans="1:51">
      <c r="A25" s="87">
        <v>10990</v>
      </c>
      <c r="B25" s="87" t="s">
        <v>234</v>
      </c>
      <c r="C25" s="52" t="str">
        <f>Rollover!A25</f>
        <v>Hyundai</v>
      </c>
      <c r="D25" s="9" t="str">
        <f>Rollover!B25</f>
        <v>Palisade SUV AWD</v>
      </c>
      <c r="E25" s="9" t="s">
        <v>91</v>
      </c>
      <c r="F25" s="93">
        <f>Rollover!C25</f>
        <v>2020</v>
      </c>
      <c r="G25" s="10">
        <v>24.968</v>
      </c>
      <c r="H25" s="11">
        <v>17.728999999999999</v>
      </c>
      <c r="I25" s="11">
        <v>24.687000000000001</v>
      </c>
      <c r="J25" s="11">
        <v>500.678</v>
      </c>
      <c r="K25" s="12">
        <v>1348.799</v>
      </c>
      <c r="L25" s="10">
        <v>189.34399999999999</v>
      </c>
      <c r="M25" s="11">
        <v>7.5209999999999999</v>
      </c>
      <c r="N25" s="11">
        <v>35.529000000000003</v>
      </c>
      <c r="O25" s="11">
        <v>16.155999999999999</v>
      </c>
      <c r="P25" s="12">
        <v>842.45100000000002</v>
      </c>
      <c r="Q25" s="23">
        <f t="shared" si="30"/>
        <v>5.2409036694547688E-9</v>
      </c>
      <c r="R25" s="5">
        <f t="shared" si="31"/>
        <v>2.2749387710625145E-2</v>
      </c>
      <c r="S25" s="5">
        <f t="shared" si="32"/>
        <v>6.8782170726413502E-3</v>
      </c>
      <c r="T25" s="24">
        <f t="shared" si="33"/>
        <v>2.2085213412945497E-3</v>
      </c>
      <c r="U25" s="23">
        <f t="shared" si="34"/>
        <v>1.4184916267288474E-3</v>
      </c>
      <c r="V25" s="24">
        <f t="shared" si="35"/>
        <v>4.015395068016501E-3</v>
      </c>
      <c r="W25" s="23">
        <f t="shared" si="36"/>
        <v>3.2000000000000001E-2</v>
      </c>
      <c r="X25" s="5">
        <f t="shared" si="37"/>
        <v>5.0000000000000001E-3</v>
      </c>
      <c r="Y25" s="24">
        <f t="shared" si="38"/>
        <v>1.9E-2</v>
      </c>
      <c r="Z25" s="25">
        <f t="shared" si="39"/>
        <v>0.21</v>
      </c>
      <c r="AA25" s="196">
        <f t="shared" si="40"/>
        <v>0.03</v>
      </c>
      <c r="AB25" s="26">
        <f t="shared" si="41"/>
        <v>0.13</v>
      </c>
      <c r="AC25" s="21">
        <f t="shared" si="42"/>
        <v>5</v>
      </c>
      <c r="AD25" s="51">
        <f t="shared" si="43"/>
        <v>5</v>
      </c>
      <c r="AE25" s="22">
        <f t="shared" si="44"/>
        <v>5</v>
      </c>
      <c r="AF25" s="13"/>
      <c r="AG25" s="13"/>
      <c r="AH25" s="15"/>
      <c r="AI25" s="15"/>
      <c r="AJ25" s="15"/>
      <c r="AK25" s="15"/>
      <c r="AL25" s="14"/>
      <c r="AM25" s="14"/>
      <c r="AN25" s="14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</row>
    <row r="26" spans="1:51" ht="13.15" customHeight="1">
      <c r="A26" s="87">
        <v>10979</v>
      </c>
      <c r="B26" s="87" t="s">
        <v>222</v>
      </c>
      <c r="C26" s="27" t="str">
        <f>Rollover!A26</f>
        <v>Hyundai</v>
      </c>
      <c r="D26" s="45" t="str">
        <f>Rollover!B26</f>
        <v>Venue 5HB FWD</v>
      </c>
      <c r="E26" s="9" t="s">
        <v>104</v>
      </c>
      <c r="F26" s="93">
        <f>Rollover!C26</f>
        <v>2020</v>
      </c>
      <c r="G26" s="10">
        <v>153.82400000000001</v>
      </c>
      <c r="H26" s="11">
        <v>28.853000000000002</v>
      </c>
      <c r="I26" s="11">
        <v>41.726999999999997</v>
      </c>
      <c r="J26" s="11">
        <v>957.41</v>
      </c>
      <c r="K26" s="12">
        <v>1223.6969999999999</v>
      </c>
      <c r="L26" s="10">
        <v>223.36</v>
      </c>
      <c r="M26" s="11">
        <v>31.571999999999999</v>
      </c>
      <c r="N26" s="11">
        <v>81.474000000000004</v>
      </c>
      <c r="O26" s="11">
        <v>39.869999999999997</v>
      </c>
      <c r="P26" s="12">
        <v>3751.76</v>
      </c>
      <c r="Q26" s="23">
        <f t="shared" si="30"/>
        <v>5.4610423872762561E-4</v>
      </c>
      <c r="R26" s="5">
        <f t="shared" si="31"/>
        <v>6.0773130435028189E-2</v>
      </c>
      <c r="S26" s="5">
        <f t="shared" si="32"/>
        <v>1.8016535933866637E-2</v>
      </c>
      <c r="T26" s="24">
        <f t="shared" si="33"/>
        <v>1.9251328737040852E-3</v>
      </c>
      <c r="U26" s="23">
        <f t="shared" si="34"/>
        <v>2.8759876626738212E-3</v>
      </c>
      <c r="V26" s="24">
        <f t="shared" si="35"/>
        <v>5.8478082568903328E-2</v>
      </c>
      <c r="W26" s="23">
        <f t="shared" si="36"/>
        <v>0.08</v>
      </c>
      <c r="X26" s="5">
        <f t="shared" si="37"/>
        <v>6.0999999999999999E-2</v>
      </c>
      <c r="Y26" s="24">
        <f t="shared" si="38"/>
        <v>7.0999999999999994E-2</v>
      </c>
      <c r="Z26" s="25">
        <f t="shared" si="39"/>
        <v>0.53</v>
      </c>
      <c r="AA26" s="196">
        <f t="shared" si="40"/>
        <v>0.41</v>
      </c>
      <c r="AB26" s="26">
        <f t="shared" si="41"/>
        <v>0.47</v>
      </c>
      <c r="AC26" s="21">
        <f t="shared" si="42"/>
        <v>5</v>
      </c>
      <c r="AD26" s="51">
        <f t="shared" si="43"/>
        <v>5</v>
      </c>
      <c r="AE26" s="22">
        <f t="shared" si="44"/>
        <v>5</v>
      </c>
      <c r="AF26" s="13"/>
      <c r="AG26" s="13"/>
      <c r="AH26" s="15"/>
      <c r="AI26" s="15"/>
      <c r="AJ26" s="15"/>
      <c r="AK26" s="15"/>
      <c r="AL26" s="14"/>
      <c r="AM26" s="14"/>
      <c r="AN26" s="14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</row>
    <row r="27" spans="1:51" ht="13.15" customHeight="1">
      <c r="A27" s="87"/>
      <c r="B27" s="87"/>
      <c r="C27" s="27" t="str">
        <f>Rollover!A27</f>
        <v>Jeep</v>
      </c>
      <c r="D27" s="45" t="str">
        <f>Rollover!B27</f>
        <v>Gladiator PU/CC 4WD</v>
      </c>
      <c r="E27" s="9"/>
      <c r="F27" s="93">
        <f>Rollover!C27</f>
        <v>2020</v>
      </c>
      <c r="G27" s="10"/>
      <c r="H27" s="11"/>
      <c r="I27" s="11"/>
      <c r="J27" s="11"/>
      <c r="K27" s="12"/>
      <c r="L27" s="10"/>
      <c r="M27" s="11"/>
      <c r="N27" s="11"/>
      <c r="O27" s="11"/>
      <c r="P27" s="12"/>
      <c r="Q27" s="23" t="e">
        <f t="shared" si="30"/>
        <v>#NUM!</v>
      </c>
      <c r="R27" s="5">
        <f t="shared" si="31"/>
        <v>4.5435171224880964E-3</v>
      </c>
      <c r="S27" s="5">
        <f t="shared" si="32"/>
        <v>2.3748578822706131E-3</v>
      </c>
      <c r="T27" s="24">
        <f t="shared" si="33"/>
        <v>5.0175335722563109E-4</v>
      </c>
      <c r="U27" s="23" t="e">
        <f t="shared" si="34"/>
        <v>#NUM!</v>
      </c>
      <c r="V27" s="24">
        <f t="shared" si="35"/>
        <v>1.8229037773026034E-3</v>
      </c>
      <c r="W27" s="23" t="e">
        <f t="shared" si="36"/>
        <v>#NUM!</v>
      </c>
      <c r="X27" s="5" t="e">
        <f t="shared" si="37"/>
        <v>#NUM!</v>
      </c>
      <c r="Y27" s="24" t="e">
        <f t="shared" si="38"/>
        <v>#NUM!</v>
      </c>
      <c r="Z27" s="25" t="e">
        <f t="shared" si="39"/>
        <v>#NUM!</v>
      </c>
      <c r="AA27" s="196" t="e">
        <f t="shared" si="40"/>
        <v>#NUM!</v>
      </c>
      <c r="AB27" s="26" t="e">
        <f t="shared" si="41"/>
        <v>#NUM!</v>
      </c>
      <c r="AC27" s="21" t="e">
        <f t="shared" si="42"/>
        <v>#NUM!</v>
      </c>
      <c r="AD27" s="51" t="e">
        <f t="shared" si="43"/>
        <v>#NUM!</v>
      </c>
      <c r="AE27" s="22" t="e">
        <f t="shared" si="44"/>
        <v>#NUM!</v>
      </c>
      <c r="AF27" s="13"/>
      <c r="AG27" s="13"/>
      <c r="AH27" s="15"/>
      <c r="AI27" s="15"/>
      <c r="AJ27" s="15"/>
      <c r="AK27" s="15"/>
      <c r="AL27" s="14"/>
      <c r="AM27" s="14"/>
      <c r="AN27" s="14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</row>
    <row r="28" spans="1:51" ht="13.15" customHeight="1">
      <c r="A28" s="87">
        <v>10959</v>
      </c>
      <c r="B28" s="87" t="s">
        <v>205</v>
      </c>
      <c r="C28" s="27" t="str">
        <f>Rollover!A28</f>
        <v>Jeep</v>
      </c>
      <c r="D28" s="45" t="str">
        <f>Rollover!B28</f>
        <v>Renegade SUV AWD</v>
      </c>
      <c r="E28" s="9" t="s">
        <v>104</v>
      </c>
      <c r="F28" s="93">
        <f>Rollover!C28</f>
        <v>2020</v>
      </c>
      <c r="G28" s="10">
        <v>160.809</v>
      </c>
      <c r="H28" s="11">
        <v>25.032</v>
      </c>
      <c r="I28" s="11">
        <v>32.69</v>
      </c>
      <c r="J28" s="11">
        <v>714.6</v>
      </c>
      <c r="K28" s="12">
        <v>1459.9659999999999</v>
      </c>
      <c r="L28" s="10">
        <v>286.45800000000003</v>
      </c>
      <c r="M28" s="11">
        <v>28.779</v>
      </c>
      <c r="N28" s="11">
        <v>72.784999999999997</v>
      </c>
      <c r="O28" s="46">
        <v>51.496000000000002</v>
      </c>
      <c r="P28" s="12">
        <v>5147.0590000000002</v>
      </c>
      <c r="Q28" s="23">
        <f t="shared" si="30"/>
        <v>6.7386556244552933E-4</v>
      </c>
      <c r="R28" s="5">
        <f t="shared" si="31"/>
        <v>4.3560814932526538E-2</v>
      </c>
      <c r="S28" s="5">
        <f t="shared" si="32"/>
        <v>1.0812316324419279E-2</v>
      </c>
      <c r="T28" s="24">
        <f t="shared" si="33"/>
        <v>2.4950772330547548E-3</v>
      </c>
      <c r="U28" s="23">
        <f t="shared" si="34"/>
        <v>7.6466014414749419E-3</v>
      </c>
      <c r="V28" s="24">
        <f t="shared" si="35"/>
        <v>0.18735874650866979</v>
      </c>
      <c r="W28" s="23">
        <f t="shared" si="36"/>
        <v>5.7000000000000002E-2</v>
      </c>
      <c r="X28" s="5">
        <f t="shared" si="37"/>
        <v>0.19400000000000001</v>
      </c>
      <c r="Y28" s="24">
        <f t="shared" si="38"/>
        <v>0.126</v>
      </c>
      <c r="Z28" s="25">
        <f t="shared" si="39"/>
        <v>0.38</v>
      </c>
      <c r="AA28" s="196">
        <f t="shared" si="40"/>
        <v>1.29</v>
      </c>
      <c r="AB28" s="26">
        <f t="shared" si="41"/>
        <v>0.84</v>
      </c>
      <c r="AC28" s="21">
        <f t="shared" si="42"/>
        <v>5</v>
      </c>
      <c r="AD28" s="51">
        <f t="shared" si="43"/>
        <v>3</v>
      </c>
      <c r="AE28" s="22">
        <f t="shared" si="44"/>
        <v>4</v>
      </c>
      <c r="AF28" s="13"/>
      <c r="AG28" s="13"/>
      <c r="AH28" s="15"/>
      <c r="AI28" s="15"/>
      <c r="AJ28" s="15"/>
      <c r="AK28" s="15"/>
      <c r="AL28" s="14"/>
      <c r="AM28" s="14"/>
      <c r="AN28" s="14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</row>
    <row r="29" spans="1:51" ht="13.15" customHeight="1">
      <c r="A29" s="87">
        <v>10959</v>
      </c>
      <c r="B29" s="87" t="s">
        <v>205</v>
      </c>
      <c r="C29" s="52" t="str">
        <f>Rollover!A29</f>
        <v>Jeep</v>
      </c>
      <c r="D29" s="9" t="str">
        <f>Rollover!B29</f>
        <v>Renegade SUV FWD</v>
      </c>
      <c r="E29" s="9" t="s">
        <v>104</v>
      </c>
      <c r="F29" s="93">
        <f>Rollover!C29</f>
        <v>2020</v>
      </c>
      <c r="G29" s="10">
        <v>160.809</v>
      </c>
      <c r="H29" s="11">
        <v>25.032</v>
      </c>
      <c r="I29" s="11">
        <v>32.69</v>
      </c>
      <c r="J29" s="11">
        <v>714.6</v>
      </c>
      <c r="K29" s="12">
        <v>1459.9659999999999</v>
      </c>
      <c r="L29" s="10">
        <v>286.45800000000003</v>
      </c>
      <c r="M29" s="11">
        <v>28.779</v>
      </c>
      <c r="N29" s="11">
        <v>72.784999999999997</v>
      </c>
      <c r="O29" s="46">
        <v>51.496000000000002</v>
      </c>
      <c r="P29" s="12">
        <v>5147.0590000000002</v>
      </c>
      <c r="Q29" s="23">
        <f t="shared" si="30"/>
        <v>6.7386556244552933E-4</v>
      </c>
      <c r="R29" s="5">
        <f t="shared" si="31"/>
        <v>4.3560814932526538E-2</v>
      </c>
      <c r="S29" s="5">
        <f t="shared" si="32"/>
        <v>1.0812316324419279E-2</v>
      </c>
      <c r="T29" s="24">
        <f t="shared" si="33"/>
        <v>2.4950772330547548E-3</v>
      </c>
      <c r="U29" s="23">
        <f t="shared" si="34"/>
        <v>7.6466014414749419E-3</v>
      </c>
      <c r="V29" s="24">
        <f t="shared" si="35"/>
        <v>0.18735874650866979</v>
      </c>
      <c r="W29" s="23">
        <f t="shared" si="36"/>
        <v>5.7000000000000002E-2</v>
      </c>
      <c r="X29" s="5">
        <f t="shared" si="37"/>
        <v>0.19400000000000001</v>
      </c>
      <c r="Y29" s="24">
        <f t="shared" si="38"/>
        <v>0.126</v>
      </c>
      <c r="Z29" s="25">
        <f t="shared" si="39"/>
        <v>0.38</v>
      </c>
      <c r="AA29" s="196">
        <f t="shared" si="40"/>
        <v>1.29</v>
      </c>
      <c r="AB29" s="26">
        <f t="shared" si="41"/>
        <v>0.84</v>
      </c>
      <c r="AC29" s="21">
        <f t="shared" si="42"/>
        <v>5</v>
      </c>
      <c r="AD29" s="51">
        <f t="shared" si="43"/>
        <v>3</v>
      </c>
      <c r="AE29" s="22">
        <f t="shared" si="44"/>
        <v>4</v>
      </c>
      <c r="AF29" s="13"/>
      <c r="AG29" s="13"/>
      <c r="AH29" s="15"/>
      <c r="AI29" s="15"/>
      <c r="AJ29" s="15"/>
      <c r="AK29" s="15"/>
      <c r="AL29" s="14"/>
      <c r="AM29" s="14"/>
      <c r="AN29" s="14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</row>
    <row r="30" spans="1:51" ht="13.15" customHeight="1">
      <c r="A30" s="87"/>
      <c r="B30" s="87"/>
      <c r="C30" s="52" t="str">
        <f>Rollover!A30</f>
        <v>Jeep</v>
      </c>
      <c r="D30" s="9" t="str">
        <f>Rollover!B30</f>
        <v>Wrangler 4WD</v>
      </c>
      <c r="E30" s="9"/>
      <c r="F30" s="93">
        <f>Rollover!C30</f>
        <v>2020</v>
      </c>
      <c r="G30" s="10"/>
      <c r="H30" s="11"/>
      <c r="I30" s="11"/>
      <c r="J30" s="11"/>
      <c r="K30" s="12"/>
      <c r="L30" s="10"/>
      <c r="M30" s="11"/>
      <c r="N30" s="11"/>
      <c r="O30" s="11"/>
      <c r="P30" s="12"/>
      <c r="Q30" s="23" t="e">
        <f t="shared" si="30"/>
        <v>#NUM!</v>
      </c>
      <c r="R30" s="5">
        <f t="shared" si="31"/>
        <v>4.5435171224880964E-3</v>
      </c>
      <c r="S30" s="5">
        <f t="shared" si="32"/>
        <v>2.3748578822706131E-3</v>
      </c>
      <c r="T30" s="24">
        <f t="shared" si="33"/>
        <v>5.0175335722563109E-4</v>
      </c>
      <c r="U30" s="23" t="e">
        <f t="shared" si="34"/>
        <v>#NUM!</v>
      </c>
      <c r="V30" s="24">
        <f t="shared" si="35"/>
        <v>1.8229037773026034E-3</v>
      </c>
      <c r="W30" s="23" t="e">
        <f t="shared" si="36"/>
        <v>#NUM!</v>
      </c>
      <c r="X30" s="5" t="e">
        <f t="shared" si="37"/>
        <v>#NUM!</v>
      </c>
      <c r="Y30" s="24" t="e">
        <f t="shared" si="38"/>
        <v>#NUM!</v>
      </c>
      <c r="Z30" s="25" t="e">
        <f t="shared" si="39"/>
        <v>#NUM!</v>
      </c>
      <c r="AA30" s="196" t="e">
        <f t="shared" si="40"/>
        <v>#NUM!</v>
      </c>
      <c r="AB30" s="26" t="e">
        <f t="shared" si="41"/>
        <v>#NUM!</v>
      </c>
      <c r="AC30" s="21" t="e">
        <f t="shared" si="42"/>
        <v>#NUM!</v>
      </c>
      <c r="AD30" s="51" t="e">
        <f t="shared" si="43"/>
        <v>#NUM!</v>
      </c>
      <c r="AE30" s="22" t="e">
        <f t="shared" si="44"/>
        <v>#NUM!</v>
      </c>
      <c r="AF30" s="13"/>
      <c r="AG30" s="13"/>
      <c r="AH30" s="15"/>
      <c r="AI30" s="15"/>
      <c r="AJ30" s="15"/>
      <c r="AK30" s="15"/>
      <c r="AL30" s="14"/>
      <c r="AM30" s="14"/>
      <c r="AN30" s="14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</row>
    <row r="31" spans="1:51">
      <c r="A31" s="17">
        <v>10833</v>
      </c>
      <c r="B31" s="197" t="s">
        <v>174</v>
      </c>
      <c r="C31" s="27" t="str">
        <f>Rollover!A31</f>
        <v>Kia</v>
      </c>
      <c r="D31" s="45" t="str">
        <f>Rollover!B31</f>
        <v>Soul SUV FWD</v>
      </c>
      <c r="E31" s="9" t="s">
        <v>104</v>
      </c>
      <c r="F31" s="93">
        <f>Rollover!C31</f>
        <v>2020</v>
      </c>
      <c r="G31" s="18">
        <v>142.08600000000001</v>
      </c>
      <c r="H31" s="19">
        <v>26.34</v>
      </c>
      <c r="I31" s="19">
        <v>38.634999999999998</v>
      </c>
      <c r="J31" s="19">
        <v>1152.1769999999999</v>
      </c>
      <c r="K31" s="20">
        <v>2180.5810000000001</v>
      </c>
      <c r="L31" s="18">
        <v>421.66500000000002</v>
      </c>
      <c r="M31" s="19">
        <v>25.728999999999999</v>
      </c>
      <c r="N31" s="19">
        <v>72.527000000000001</v>
      </c>
      <c r="O31" s="19">
        <v>40.795999999999999</v>
      </c>
      <c r="P31" s="20">
        <v>2716.7339999999999</v>
      </c>
      <c r="Q31" s="23">
        <f t="shared" si="30"/>
        <v>3.7190672256363845E-4</v>
      </c>
      <c r="R31" s="5">
        <f t="shared" si="31"/>
        <v>4.8852945896531524E-2</v>
      </c>
      <c r="S31" s="5">
        <f t="shared" si="32"/>
        <v>2.7044716553736917E-2</v>
      </c>
      <c r="T31" s="24">
        <f t="shared" si="33"/>
        <v>5.4957959410138826E-3</v>
      </c>
      <c r="U31" s="23">
        <f t="shared" si="34"/>
        <v>2.8527600154920986E-2</v>
      </c>
      <c r="V31" s="24">
        <f t="shared" si="35"/>
        <v>2.2937667089081418E-2</v>
      </c>
      <c r="W31" s="23">
        <f t="shared" si="36"/>
        <v>0.08</v>
      </c>
      <c r="X31" s="5">
        <f t="shared" si="37"/>
        <v>5.0999999999999997E-2</v>
      </c>
      <c r="Y31" s="24">
        <f t="shared" si="38"/>
        <v>6.6000000000000003E-2</v>
      </c>
      <c r="Z31" s="25">
        <f t="shared" si="39"/>
        <v>0.53</v>
      </c>
      <c r="AA31" s="196">
        <f t="shared" si="40"/>
        <v>0.34</v>
      </c>
      <c r="AB31" s="26">
        <f t="shared" si="41"/>
        <v>0.44</v>
      </c>
      <c r="AC31" s="21">
        <f t="shared" si="42"/>
        <v>5</v>
      </c>
      <c r="AD31" s="51">
        <f t="shared" si="43"/>
        <v>5</v>
      </c>
      <c r="AE31" s="22">
        <f t="shared" si="44"/>
        <v>5</v>
      </c>
      <c r="AF31" s="13"/>
      <c r="AG31" s="13"/>
      <c r="AH31" s="15"/>
      <c r="AI31" s="15"/>
      <c r="AJ31" s="15"/>
      <c r="AK31" s="15"/>
      <c r="AL31" s="14"/>
      <c r="AM31" s="14"/>
      <c r="AN31" s="14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</row>
    <row r="32" spans="1:51">
      <c r="A32" s="17">
        <v>10839</v>
      </c>
      <c r="B32" s="197" t="s">
        <v>182</v>
      </c>
      <c r="C32" s="27" t="str">
        <f>Rollover!A32</f>
        <v>Kia</v>
      </c>
      <c r="D32" s="45" t="str">
        <f>Rollover!B32</f>
        <v>Telluride SUV AWD</v>
      </c>
      <c r="E32" s="9" t="s">
        <v>85</v>
      </c>
      <c r="F32" s="93">
        <f>Rollover!C32</f>
        <v>2020</v>
      </c>
      <c r="G32" s="18">
        <v>41.006999999999998</v>
      </c>
      <c r="H32" s="19">
        <v>13.342000000000001</v>
      </c>
      <c r="I32" s="19">
        <v>24.198</v>
      </c>
      <c r="J32" s="19">
        <v>413.37099999999998</v>
      </c>
      <c r="K32" s="20">
        <v>1954.62</v>
      </c>
      <c r="L32" s="18">
        <v>136.827</v>
      </c>
      <c r="M32" s="19">
        <v>10.06</v>
      </c>
      <c r="N32" s="19">
        <v>46.813000000000002</v>
      </c>
      <c r="O32" s="19">
        <v>35.887999999999998</v>
      </c>
      <c r="P32" s="20">
        <v>1997.0150000000001</v>
      </c>
      <c r="Q32" s="23">
        <f t="shared" si="30"/>
        <v>2.1831279526411896E-7</v>
      </c>
      <c r="R32" s="5">
        <f t="shared" si="31"/>
        <v>1.531679245685956E-2</v>
      </c>
      <c r="S32" s="5">
        <f t="shared" si="32"/>
        <v>5.7161930264627197E-3</v>
      </c>
      <c r="T32" s="24">
        <f t="shared" si="33"/>
        <v>4.2915009481515358E-3</v>
      </c>
      <c r="U32" s="23">
        <f t="shared" si="34"/>
        <v>3.0868484001604998E-4</v>
      </c>
      <c r="V32" s="24">
        <f t="shared" si="35"/>
        <v>1.1793934155352768E-2</v>
      </c>
      <c r="W32" s="23">
        <f t="shared" si="36"/>
        <v>2.5000000000000001E-2</v>
      </c>
      <c r="X32" s="5">
        <f t="shared" si="37"/>
        <v>1.2E-2</v>
      </c>
      <c r="Y32" s="24">
        <f t="shared" si="38"/>
        <v>1.9E-2</v>
      </c>
      <c r="Z32" s="25">
        <f t="shared" si="39"/>
        <v>0.17</v>
      </c>
      <c r="AA32" s="196">
        <f t="shared" si="40"/>
        <v>0.08</v>
      </c>
      <c r="AB32" s="26">
        <f t="shared" si="41"/>
        <v>0.13</v>
      </c>
      <c r="AC32" s="21">
        <f t="shared" si="42"/>
        <v>5</v>
      </c>
      <c r="AD32" s="51">
        <f t="shared" si="43"/>
        <v>5</v>
      </c>
      <c r="AE32" s="22">
        <f t="shared" si="44"/>
        <v>5</v>
      </c>
      <c r="AF32" s="13"/>
      <c r="AG32" s="13"/>
      <c r="AH32" s="15"/>
      <c r="AI32" s="15"/>
      <c r="AJ32" s="15"/>
      <c r="AK32" s="15"/>
      <c r="AL32" s="14"/>
      <c r="AM32" s="14"/>
      <c r="AN32" s="14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</row>
    <row r="33" spans="1:51">
      <c r="A33" s="17">
        <v>10839</v>
      </c>
      <c r="B33" s="197" t="s">
        <v>182</v>
      </c>
      <c r="C33" s="27" t="str">
        <f>Rollover!A33</f>
        <v>Kia</v>
      </c>
      <c r="D33" s="45" t="str">
        <f>Rollover!B33</f>
        <v>Telluride SUV FWD</v>
      </c>
      <c r="E33" s="9" t="s">
        <v>85</v>
      </c>
      <c r="F33" s="93">
        <f>Rollover!C33</f>
        <v>2020</v>
      </c>
      <c r="G33" s="18">
        <v>41.006999999999998</v>
      </c>
      <c r="H33" s="19">
        <v>13.342000000000001</v>
      </c>
      <c r="I33" s="19">
        <v>24.198</v>
      </c>
      <c r="J33" s="19">
        <v>413.37099999999998</v>
      </c>
      <c r="K33" s="20">
        <v>1954.62</v>
      </c>
      <c r="L33" s="18">
        <v>136.827</v>
      </c>
      <c r="M33" s="19">
        <v>10.06</v>
      </c>
      <c r="N33" s="19">
        <v>46.813000000000002</v>
      </c>
      <c r="O33" s="19">
        <v>35.887999999999998</v>
      </c>
      <c r="P33" s="20">
        <v>1997.0150000000001</v>
      </c>
      <c r="Q33" s="23">
        <f t="shared" si="15"/>
        <v>2.1831279526411896E-7</v>
      </c>
      <c r="R33" s="5">
        <f t="shared" si="16"/>
        <v>1.531679245685956E-2</v>
      </c>
      <c r="S33" s="5">
        <f t="shared" si="17"/>
        <v>5.7161930264627197E-3</v>
      </c>
      <c r="T33" s="24">
        <f t="shared" si="18"/>
        <v>4.2915009481515358E-3</v>
      </c>
      <c r="U33" s="23">
        <f t="shared" si="19"/>
        <v>3.0868484001604998E-4</v>
      </c>
      <c r="V33" s="24">
        <f t="shared" si="20"/>
        <v>1.1793934155352768E-2</v>
      </c>
      <c r="W33" s="23">
        <f t="shared" si="21"/>
        <v>2.5000000000000001E-2</v>
      </c>
      <c r="X33" s="5">
        <f t="shared" si="22"/>
        <v>1.2E-2</v>
      </c>
      <c r="Y33" s="24">
        <f t="shared" si="23"/>
        <v>1.9E-2</v>
      </c>
      <c r="Z33" s="25">
        <f t="shared" si="24"/>
        <v>0.17</v>
      </c>
      <c r="AA33" s="196">
        <f t="shared" si="25"/>
        <v>0.08</v>
      </c>
      <c r="AB33" s="26">
        <f t="shared" si="26"/>
        <v>0.13</v>
      </c>
      <c r="AC33" s="21">
        <f t="shared" si="27"/>
        <v>5</v>
      </c>
      <c r="AD33" s="51">
        <f t="shared" si="28"/>
        <v>5</v>
      </c>
      <c r="AE33" s="22">
        <f t="shared" si="29"/>
        <v>5</v>
      </c>
      <c r="AF33" s="13"/>
      <c r="AG33" s="13"/>
      <c r="AH33" s="15"/>
      <c r="AI33" s="15"/>
      <c r="AJ33" s="15"/>
      <c r="AK33" s="15"/>
      <c r="AL33" s="14"/>
      <c r="AM33" s="14"/>
      <c r="AN33" s="14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</row>
    <row r="34" spans="1:51">
      <c r="A34" s="17">
        <v>10985</v>
      </c>
      <c r="B34" s="197" t="s">
        <v>227</v>
      </c>
      <c r="C34" s="52" t="str">
        <f>Rollover!A34</f>
        <v>Mazda</v>
      </c>
      <c r="D34" s="9" t="str">
        <f>Rollover!B34</f>
        <v>CX-30 SUV AWD</v>
      </c>
      <c r="E34" s="9" t="s">
        <v>97</v>
      </c>
      <c r="F34" s="93">
        <f>Rollover!C34</f>
        <v>2020</v>
      </c>
      <c r="G34" s="18">
        <v>73.406999999999996</v>
      </c>
      <c r="H34" s="19">
        <v>25.451000000000001</v>
      </c>
      <c r="I34" s="19">
        <v>29.95</v>
      </c>
      <c r="J34" s="19">
        <v>929.173</v>
      </c>
      <c r="K34" s="20">
        <v>1222.2619999999999</v>
      </c>
      <c r="L34" s="18">
        <v>196.863</v>
      </c>
      <c r="M34" s="19">
        <v>16.238</v>
      </c>
      <c r="N34" s="19">
        <v>60.491</v>
      </c>
      <c r="O34" s="19">
        <v>21.088000000000001</v>
      </c>
      <c r="P34" s="20">
        <v>2337.136</v>
      </c>
      <c r="Q34" s="23">
        <f t="shared" si="15"/>
        <v>9.9784261626735655E-6</v>
      </c>
      <c r="R34" s="5">
        <f t="shared" si="16"/>
        <v>4.519360058357804E-2</v>
      </c>
      <c r="S34" s="5">
        <f t="shared" si="17"/>
        <v>1.6981323599683708E-2</v>
      </c>
      <c r="T34" s="24">
        <f t="shared" si="18"/>
        <v>1.9221022849115882E-3</v>
      </c>
      <c r="U34" s="23">
        <f t="shared" si="19"/>
        <v>1.6826109706529755E-3</v>
      </c>
      <c r="V34" s="24">
        <f t="shared" si="20"/>
        <v>1.6165280366804896E-2</v>
      </c>
      <c r="W34" s="23">
        <f t="shared" si="21"/>
        <v>6.3E-2</v>
      </c>
      <c r="X34" s="5">
        <f t="shared" si="22"/>
        <v>1.7999999999999999E-2</v>
      </c>
      <c r="Y34" s="24">
        <f t="shared" si="23"/>
        <v>4.1000000000000002E-2</v>
      </c>
      <c r="Z34" s="25">
        <f t="shared" si="24"/>
        <v>0.42</v>
      </c>
      <c r="AA34" s="196">
        <f t="shared" si="25"/>
        <v>0.12</v>
      </c>
      <c r="AB34" s="26">
        <f t="shared" si="26"/>
        <v>0.27</v>
      </c>
      <c r="AC34" s="21">
        <f t="shared" si="27"/>
        <v>5</v>
      </c>
      <c r="AD34" s="51">
        <f t="shared" si="28"/>
        <v>5</v>
      </c>
      <c r="AE34" s="22">
        <f t="shared" si="29"/>
        <v>5</v>
      </c>
      <c r="AF34" s="13"/>
      <c r="AG34" s="13"/>
      <c r="AH34" s="15"/>
      <c r="AI34" s="15"/>
      <c r="AJ34" s="15"/>
      <c r="AK34" s="15"/>
      <c r="AL34" s="14"/>
      <c r="AM34" s="14"/>
      <c r="AN34" s="14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</row>
    <row r="35" spans="1:51" ht="13.5" customHeight="1">
      <c r="A35" s="17">
        <v>10985</v>
      </c>
      <c r="B35" s="197" t="s">
        <v>227</v>
      </c>
      <c r="C35" s="27" t="str">
        <f>Rollover!A35</f>
        <v>Mazda</v>
      </c>
      <c r="D35" s="45" t="str">
        <f>Rollover!B35</f>
        <v>CX-30 SUV FWD</v>
      </c>
      <c r="E35" s="9" t="s">
        <v>97</v>
      </c>
      <c r="F35" s="93">
        <f>Rollover!C35</f>
        <v>2020</v>
      </c>
      <c r="G35" s="18">
        <v>73.406999999999996</v>
      </c>
      <c r="H35" s="19">
        <v>25.451000000000001</v>
      </c>
      <c r="I35" s="19">
        <v>29.95</v>
      </c>
      <c r="J35" s="19">
        <v>929.173</v>
      </c>
      <c r="K35" s="20">
        <v>1222.2619999999999</v>
      </c>
      <c r="L35" s="18">
        <v>196.863</v>
      </c>
      <c r="M35" s="19">
        <v>16.238</v>
      </c>
      <c r="N35" s="19">
        <v>60.491</v>
      </c>
      <c r="O35" s="19">
        <v>21.088000000000001</v>
      </c>
      <c r="P35" s="20">
        <v>2337.136</v>
      </c>
      <c r="Q35" s="23">
        <f t="shared" si="15"/>
        <v>9.9784261626735655E-6</v>
      </c>
      <c r="R35" s="5">
        <f t="shared" si="16"/>
        <v>4.519360058357804E-2</v>
      </c>
      <c r="S35" s="5">
        <f t="shared" si="17"/>
        <v>1.6981323599683708E-2</v>
      </c>
      <c r="T35" s="24">
        <f t="shared" si="18"/>
        <v>1.9221022849115882E-3</v>
      </c>
      <c r="U35" s="23">
        <f t="shared" si="19"/>
        <v>1.6826109706529755E-3</v>
      </c>
      <c r="V35" s="24">
        <f t="shared" si="20"/>
        <v>1.6165280366804896E-2</v>
      </c>
      <c r="W35" s="23">
        <f t="shared" si="21"/>
        <v>6.3E-2</v>
      </c>
      <c r="X35" s="5">
        <f t="shared" si="22"/>
        <v>1.7999999999999999E-2</v>
      </c>
      <c r="Y35" s="24">
        <f t="shared" si="23"/>
        <v>4.1000000000000002E-2</v>
      </c>
      <c r="Z35" s="25">
        <f t="shared" si="24"/>
        <v>0.42</v>
      </c>
      <c r="AA35" s="196">
        <f t="shared" si="25"/>
        <v>0.12</v>
      </c>
      <c r="AB35" s="26">
        <f t="shared" si="26"/>
        <v>0.27</v>
      </c>
      <c r="AC35" s="21">
        <f t="shared" si="27"/>
        <v>5</v>
      </c>
      <c r="AD35" s="51">
        <f t="shared" si="28"/>
        <v>5</v>
      </c>
      <c r="AE35" s="22">
        <f t="shared" si="29"/>
        <v>5</v>
      </c>
      <c r="AF35" s="13"/>
      <c r="AG35" s="13"/>
      <c r="AH35" s="15"/>
      <c r="AI35" s="15"/>
      <c r="AJ35" s="15"/>
      <c r="AK35" s="15"/>
      <c r="AL35" s="14"/>
      <c r="AM35" s="14"/>
      <c r="AN35" s="14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</row>
    <row r="36" spans="1:51">
      <c r="A36" s="87">
        <v>10972</v>
      </c>
      <c r="B36" s="197" t="s">
        <v>217</v>
      </c>
      <c r="C36" s="52" t="str">
        <f>Rollover!A36</f>
        <v>Mazda</v>
      </c>
      <c r="D36" s="9" t="str">
        <f>Rollover!B36</f>
        <v>Mazda3 4DR AWD</v>
      </c>
      <c r="E36" s="9" t="s">
        <v>91</v>
      </c>
      <c r="F36" s="93">
        <f>Rollover!C36</f>
        <v>2020</v>
      </c>
      <c r="G36" s="10">
        <v>112.215</v>
      </c>
      <c r="H36" s="11">
        <v>24.155000000000001</v>
      </c>
      <c r="I36" s="11">
        <v>30.564</v>
      </c>
      <c r="J36" s="11">
        <v>1056.8969999999999</v>
      </c>
      <c r="K36" s="12">
        <v>1063.9480000000001</v>
      </c>
      <c r="L36" s="10">
        <v>370.53399999999999</v>
      </c>
      <c r="M36" s="11">
        <v>26.387</v>
      </c>
      <c r="N36" s="11">
        <v>71.34</v>
      </c>
      <c r="O36" s="11">
        <v>36.756</v>
      </c>
      <c r="P36" s="12">
        <v>2757.1790000000001</v>
      </c>
      <c r="Q36" s="23">
        <f t="shared" si="15"/>
        <v>1.1131546658768858E-4</v>
      </c>
      <c r="R36" s="5">
        <f t="shared" si="16"/>
        <v>4.0323744683308738E-2</v>
      </c>
      <c r="S36" s="5">
        <f t="shared" si="17"/>
        <v>2.2181212895128442E-2</v>
      </c>
      <c r="T36" s="24">
        <f t="shared" si="18"/>
        <v>1.6153980143185059E-3</v>
      </c>
      <c r="U36" s="23">
        <f t="shared" si="19"/>
        <v>1.8874207871493104E-2</v>
      </c>
      <c r="V36" s="24">
        <f t="shared" si="20"/>
        <v>2.3805348086802583E-2</v>
      </c>
      <c r="W36" s="23">
        <f t="shared" si="21"/>
        <v>6.3E-2</v>
      </c>
      <c r="X36" s="5">
        <f t="shared" si="22"/>
        <v>4.2000000000000003E-2</v>
      </c>
      <c r="Y36" s="24">
        <f t="shared" si="23"/>
        <v>5.2999999999999999E-2</v>
      </c>
      <c r="Z36" s="25">
        <f t="shared" si="24"/>
        <v>0.42</v>
      </c>
      <c r="AA36" s="196">
        <f t="shared" si="25"/>
        <v>0.28000000000000003</v>
      </c>
      <c r="AB36" s="26">
        <f t="shared" si="26"/>
        <v>0.35</v>
      </c>
      <c r="AC36" s="21">
        <f t="shared" si="27"/>
        <v>5</v>
      </c>
      <c r="AD36" s="51">
        <f t="shared" si="28"/>
        <v>5</v>
      </c>
      <c r="AE36" s="22">
        <f t="shared" si="29"/>
        <v>5</v>
      </c>
      <c r="AF36" s="13"/>
      <c r="AG36" s="13"/>
      <c r="AH36" s="15"/>
      <c r="AI36" s="15"/>
      <c r="AJ36" s="15"/>
      <c r="AK36" s="15"/>
      <c r="AL36" s="14"/>
      <c r="AM36" s="14"/>
      <c r="AN36" s="14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</row>
    <row r="37" spans="1:51">
      <c r="A37" s="87">
        <v>10972</v>
      </c>
      <c r="B37" s="197" t="s">
        <v>217</v>
      </c>
      <c r="C37" s="27" t="str">
        <f>Rollover!A37</f>
        <v>Mazda</v>
      </c>
      <c r="D37" s="45" t="str">
        <f>Rollover!B37</f>
        <v>Mazda3 4DR FWD</v>
      </c>
      <c r="E37" s="9" t="s">
        <v>91</v>
      </c>
      <c r="F37" s="93">
        <f>Rollover!C37</f>
        <v>2020</v>
      </c>
      <c r="G37" s="10">
        <v>112.215</v>
      </c>
      <c r="H37" s="11">
        <v>24.155000000000001</v>
      </c>
      <c r="I37" s="11">
        <v>30.564</v>
      </c>
      <c r="J37" s="11">
        <v>1056.8969999999999</v>
      </c>
      <c r="K37" s="12">
        <v>1063.9480000000001</v>
      </c>
      <c r="L37" s="10">
        <v>370.53399999999999</v>
      </c>
      <c r="M37" s="11">
        <v>26.387</v>
      </c>
      <c r="N37" s="11">
        <v>71.34</v>
      </c>
      <c r="O37" s="11">
        <v>36.756</v>
      </c>
      <c r="P37" s="12">
        <v>2757.1790000000001</v>
      </c>
      <c r="Q37" s="23">
        <f t="shared" si="15"/>
        <v>1.1131546658768858E-4</v>
      </c>
      <c r="R37" s="5">
        <f t="shared" si="16"/>
        <v>4.0323744683308738E-2</v>
      </c>
      <c r="S37" s="5">
        <f t="shared" si="17"/>
        <v>2.2181212895128442E-2</v>
      </c>
      <c r="T37" s="24">
        <f t="shared" si="18"/>
        <v>1.6153980143185059E-3</v>
      </c>
      <c r="U37" s="23">
        <f t="shared" si="19"/>
        <v>1.8874207871493104E-2</v>
      </c>
      <c r="V37" s="24">
        <f t="shared" si="20"/>
        <v>2.3805348086802583E-2</v>
      </c>
      <c r="W37" s="23">
        <f t="shared" si="21"/>
        <v>6.3E-2</v>
      </c>
      <c r="X37" s="5">
        <f t="shared" si="22"/>
        <v>4.2000000000000003E-2</v>
      </c>
      <c r="Y37" s="24">
        <f t="shared" si="23"/>
        <v>5.2999999999999999E-2</v>
      </c>
      <c r="Z37" s="25">
        <f t="shared" si="24"/>
        <v>0.42</v>
      </c>
      <c r="AA37" s="196">
        <f t="shared" si="25"/>
        <v>0.28000000000000003</v>
      </c>
      <c r="AB37" s="26">
        <f t="shared" si="26"/>
        <v>0.35</v>
      </c>
      <c r="AC37" s="21">
        <f t="shared" si="27"/>
        <v>5</v>
      </c>
      <c r="AD37" s="51">
        <f t="shared" si="28"/>
        <v>5</v>
      </c>
      <c r="AE37" s="22">
        <f t="shared" si="29"/>
        <v>5</v>
      </c>
      <c r="AF37" s="13"/>
      <c r="AG37" s="13"/>
      <c r="AH37" s="15"/>
      <c r="AI37" s="15"/>
      <c r="AJ37" s="15"/>
      <c r="AK37" s="15"/>
      <c r="AL37" s="14"/>
      <c r="AM37" s="14"/>
      <c r="AN37" s="14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</row>
    <row r="38" spans="1:51">
      <c r="A38" s="87">
        <v>10972</v>
      </c>
      <c r="B38" s="197" t="s">
        <v>217</v>
      </c>
      <c r="C38" s="52" t="str">
        <f>Rollover!A38</f>
        <v>Mazda</v>
      </c>
      <c r="D38" s="9" t="str">
        <f>Rollover!B38</f>
        <v>Mazda3 5HB AWD</v>
      </c>
      <c r="E38" s="9" t="s">
        <v>91</v>
      </c>
      <c r="F38" s="93">
        <f>Rollover!C38</f>
        <v>2020</v>
      </c>
      <c r="G38" s="10">
        <v>112.215</v>
      </c>
      <c r="H38" s="11">
        <v>24.155000000000001</v>
      </c>
      <c r="I38" s="11">
        <v>30.564</v>
      </c>
      <c r="J38" s="11">
        <v>1056.8969999999999</v>
      </c>
      <c r="K38" s="12">
        <v>1063.9480000000001</v>
      </c>
      <c r="L38" s="10">
        <v>370.53399999999999</v>
      </c>
      <c r="M38" s="11">
        <v>26.387</v>
      </c>
      <c r="N38" s="11">
        <v>71.34</v>
      </c>
      <c r="O38" s="11">
        <v>36.756</v>
      </c>
      <c r="P38" s="12">
        <v>2757.1790000000001</v>
      </c>
      <c r="Q38" s="23">
        <f t="shared" si="15"/>
        <v>1.1131546658768858E-4</v>
      </c>
      <c r="R38" s="5">
        <f t="shared" si="16"/>
        <v>4.0323744683308738E-2</v>
      </c>
      <c r="S38" s="5">
        <f t="shared" si="17"/>
        <v>2.2181212895128442E-2</v>
      </c>
      <c r="T38" s="24">
        <f t="shared" si="18"/>
        <v>1.6153980143185059E-3</v>
      </c>
      <c r="U38" s="23">
        <f t="shared" si="19"/>
        <v>1.8874207871493104E-2</v>
      </c>
      <c r="V38" s="24">
        <f t="shared" si="20"/>
        <v>2.3805348086802583E-2</v>
      </c>
      <c r="W38" s="23">
        <f t="shared" si="21"/>
        <v>6.3E-2</v>
      </c>
      <c r="X38" s="5">
        <f t="shared" si="22"/>
        <v>4.2000000000000003E-2</v>
      </c>
      <c r="Y38" s="24">
        <f t="shared" si="23"/>
        <v>5.2999999999999999E-2</v>
      </c>
      <c r="Z38" s="25">
        <f t="shared" si="24"/>
        <v>0.42</v>
      </c>
      <c r="AA38" s="196">
        <f t="shared" si="25"/>
        <v>0.28000000000000003</v>
      </c>
      <c r="AB38" s="26">
        <f t="shared" si="26"/>
        <v>0.35</v>
      </c>
      <c r="AC38" s="21">
        <f t="shared" si="27"/>
        <v>5</v>
      </c>
      <c r="AD38" s="51">
        <f t="shared" si="28"/>
        <v>5</v>
      </c>
      <c r="AE38" s="22">
        <f t="shared" si="29"/>
        <v>5</v>
      </c>
      <c r="AF38" s="13"/>
      <c r="AG38" s="13"/>
      <c r="AH38" s="15"/>
      <c r="AI38" s="15"/>
      <c r="AJ38" s="15"/>
      <c r="AK38" s="15"/>
      <c r="AL38" s="14"/>
      <c r="AM38" s="14"/>
      <c r="AN38" s="14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</row>
    <row r="39" spans="1:51">
      <c r="A39" s="87">
        <v>10972</v>
      </c>
      <c r="B39" s="197" t="s">
        <v>217</v>
      </c>
      <c r="C39" s="52" t="str">
        <f>Rollover!A39</f>
        <v>Mazda</v>
      </c>
      <c r="D39" s="9" t="str">
        <f>Rollover!B39</f>
        <v>Mazda3 5HB FWD</v>
      </c>
      <c r="E39" s="9" t="s">
        <v>91</v>
      </c>
      <c r="F39" s="93">
        <f>Rollover!C39</f>
        <v>2020</v>
      </c>
      <c r="G39" s="10">
        <v>112.215</v>
      </c>
      <c r="H39" s="11">
        <v>24.155000000000001</v>
      </c>
      <c r="I39" s="11">
        <v>30.564</v>
      </c>
      <c r="J39" s="11">
        <v>1056.8969999999999</v>
      </c>
      <c r="K39" s="12">
        <v>1063.9480000000001</v>
      </c>
      <c r="L39" s="10">
        <v>370.53399999999999</v>
      </c>
      <c r="M39" s="11">
        <v>26.387</v>
      </c>
      <c r="N39" s="11">
        <v>71.34</v>
      </c>
      <c r="O39" s="11">
        <v>36.756</v>
      </c>
      <c r="P39" s="12">
        <v>2757.1790000000001</v>
      </c>
      <c r="Q39" s="23">
        <f t="shared" si="15"/>
        <v>1.1131546658768858E-4</v>
      </c>
      <c r="R39" s="5">
        <f t="shared" si="16"/>
        <v>4.0323744683308738E-2</v>
      </c>
      <c r="S39" s="5">
        <f t="shared" si="17"/>
        <v>2.2181212895128442E-2</v>
      </c>
      <c r="T39" s="24">
        <f t="shared" si="18"/>
        <v>1.6153980143185059E-3</v>
      </c>
      <c r="U39" s="23">
        <f t="shared" si="19"/>
        <v>1.8874207871493104E-2</v>
      </c>
      <c r="V39" s="24">
        <f t="shared" si="20"/>
        <v>2.3805348086802583E-2</v>
      </c>
      <c r="W39" s="23">
        <f t="shared" si="21"/>
        <v>6.3E-2</v>
      </c>
      <c r="X39" s="5">
        <f t="shared" si="22"/>
        <v>4.2000000000000003E-2</v>
      </c>
      <c r="Y39" s="24">
        <f t="shared" si="23"/>
        <v>5.2999999999999999E-2</v>
      </c>
      <c r="Z39" s="25">
        <f t="shared" si="24"/>
        <v>0.42</v>
      </c>
      <c r="AA39" s="196">
        <f t="shared" si="25"/>
        <v>0.28000000000000003</v>
      </c>
      <c r="AB39" s="26">
        <f t="shared" si="26"/>
        <v>0.35</v>
      </c>
      <c r="AC39" s="21">
        <f t="shared" si="27"/>
        <v>5</v>
      </c>
      <c r="AD39" s="51">
        <f t="shared" si="28"/>
        <v>5</v>
      </c>
      <c r="AE39" s="22">
        <f t="shared" si="29"/>
        <v>5</v>
      </c>
      <c r="AF39" s="13"/>
      <c r="AG39" s="13"/>
      <c r="AH39" s="15"/>
      <c r="AI39" s="15"/>
      <c r="AJ39" s="15"/>
      <c r="AK39" s="15"/>
      <c r="AL39" s="14"/>
      <c r="AM39" s="14"/>
      <c r="AN39" s="14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</row>
    <row r="40" spans="1:51" ht="13.15" customHeight="1">
      <c r="A40" s="87">
        <v>10835</v>
      </c>
      <c r="B40" s="197" t="s">
        <v>177</v>
      </c>
      <c r="C40" s="27" t="str">
        <f>Rollover!A40</f>
        <v>Mitsubishi</v>
      </c>
      <c r="D40" s="45" t="str">
        <f>Rollover!B40</f>
        <v>Eclipse Cross SUV AWD</v>
      </c>
      <c r="E40" s="9" t="s">
        <v>97</v>
      </c>
      <c r="F40" s="93">
        <f>Rollover!C40</f>
        <v>2020</v>
      </c>
      <c r="G40" s="10">
        <v>144.69499999999999</v>
      </c>
      <c r="H40" s="11">
        <v>11.705</v>
      </c>
      <c r="I40" s="11">
        <v>26.678999999999998</v>
      </c>
      <c r="J40" s="11">
        <v>683.97900000000004</v>
      </c>
      <c r="K40" s="12">
        <v>1298.925</v>
      </c>
      <c r="L40" s="10">
        <v>162.101</v>
      </c>
      <c r="M40" s="11">
        <v>15.973000000000001</v>
      </c>
      <c r="N40" s="11">
        <v>55.374000000000002</v>
      </c>
      <c r="O40" s="11">
        <v>38.148000000000003</v>
      </c>
      <c r="P40" s="12">
        <v>2064.259</v>
      </c>
      <c r="Q40" s="23">
        <f t="shared" si="15"/>
        <v>4.065310636660894E-4</v>
      </c>
      <c r="R40" s="5">
        <f t="shared" si="16"/>
        <v>1.3205733279719625E-2</v>
      </c>
      <c r="S40" s="5">
        <f t="shared" si="17"/>
        <v>1.0135611960285668E-2</v>
      </c>
      <c r="T40" s="24">
        <f t="shared" si="18"/>
        <v>2.0908688999106092E-3</v>
      </c>
      <c r="U40" s="23">
        <f t="shared" si="19"/>
        <v>6.9963133102703167E-4</v>
      </c>
      <c r="V40" s="24">
        <f t="shared" si="20"/>
        <v>1.2553825606703666E-2</v>
      </c>
      <c r="W40" s="23">
        <f t="shared" si="21"/>
        <v>2.5999999999999999E-2</v>
      </c>
      <c r="X40" s="5">
        <f t="shared" si="22"/>
        <v>1.2999999999999999E-2</v>
      </c>
      <c r="Y40" s="24">
        <f t="shared" si="23"/>
        <v>0.02</v>
      </c>
      <c r="Z40" s="25">
        <f t="shared" si="24"/>
        <v>0.17</v>
      </c>
      <c r="AA40" s="196">
        <f t="shared" si="25"/>
        <v>0.09</v>
      </c>
      <c r="AB40" s="26">
        <f t="shared" si="26"/>
        <v>0.13</v>
      </c>
      <c r="AC40" s="21">
        <f t="shared" si="27"/>
        <v>5</v>
      </c>
      <c r="AD40" s="51">
        <f t="shared" si="28"/>
        <v>5</v>
      </c>
      <c r="AE40" s="22">
        <f t="shared" si="29"/>
        <v>5</v>
      </c>
      <c r="AF40" s="13"/>
      <c r="AG40" s="13"/>
      <c r="AH40" s="15"/>
      <c r="AI40" s="15"/>
      <c r="AJ40" s="15"/>
      <c r="AK40" s="15"/>
      <c r="AL40" s="14"/>
      <c r="AM40" s="14"/>
      <c r="AN40" s="14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</row>
    <row r="41" spans="1:51" ht="13.15" customHeight="1">
      <c r="A41" s="87">
        <v>10835</v>
      </c>
      <c r="B41" s="197" t="s">
        <v>177</v>
      </c>
      <c r="C41" s="27" t="str">
        <f>Rollover!A41</f>
        <v>Mitsubishi</v>
      </c>
      <c r="D41" s="45" t="str">
        <f>Rollover!B41</f>
        <v>Eclipse Cross SUV FWD</v>
      </c>
      <c r="E41" s="9" t="s">
        <v>97</v>
      </c>
      <c r="F41" s="93">
        <f>Rollover!C41</f>
        <v>2020</v>
      </c>
      <c r="G41" s="10">
        <v>144.69499999999999</v>
      </c>
      <c r="H41" s="11">
        <v>11.705</v>
      </c>
      <c r="I41" s="11">
        <v>26.678999999999998</v>
      </c>
      <c r="J41" s="11">
        <v>683.97900000000004</v>
      </c>
      <c r="K41" s="12">
        <v>1298.925</v>
      </c>
      <c r="L41" s="10">
        <v>162.101</v>
      </c>
      <c r="M41" s="11">
        <v>15.973000000000001</v>
      </c>
      <c r="N41" s="11">
        <v>55.374000000000002</v>
      </c>
      <c r="O41" s="11">
        <v>38.148000000000003</v>
      </c>
      <c r="P41" s="12">
        <v>2064.259</v>
      </c>
      <c r="Q41" s="23">
        <f t="shared" si="15"/>
        <v>4.065310636660894E-4</v>
      </c>
      <c r="R41" s="5">
        <f t="shared" si="16"/>
        <v>1.3205733279719625E-2</v>
      </c>
      <c r="S41" s="5">
        <f t="shared" si="17"/>
        <v>1.0135611960285668E-2</v>
      </c>
      <c r="T41" s="24">
        <f t="shared" si="18"/>
        <v>2.0908688999106092E-3</v>
      </c>
      <c r="U41" s="23">
        <f t="shared" si="19"/>
        <v>6.9963133102703167E-4</v>
      </c>
      <c r="V41" s="24">
        <f t="shared" si="20"/>
        <v>1.2553825606703666E-2</v>
      </c>
      <c r="W41" s="23">
        <f t="shared" si="21"/>
        <v>2.5999999999999999E-2</v>
      </c>
      <c r="X41" s="5">
        <f t="shared" si="22"/>
        <v>1.2999999999999999E-2</v>
      </c>
      <c r="Y41" s="24">
        <f t="shared" si="23"/>
        <v>0.02</v>
      </c>
      <c r="Z41" s="25">
        <f t="shared" si="24"/>
        <v>0.17</v>
      </c>
      <c r="AA41" s="196">
        <f t="shared" si="25"/>
        <v>0.09</v>
      </c>
      <c r="AB41" s="26">
        <f t="shared" si="26"/>
        <v>0.13</v>
      </c>
      <c r="AC41" s="21">
        <f t="shared" si="27"/>
        <v>5</v>
      </c>
      <c r="AD41" s="51">
        <f t="shared" si="28"/>
        <v>5</v>
      </c>
      <c r="AE41" s="22">
        <f t="shared" si="29"/>
        <v>5</v>
      </c>
      <c r="AF41" s="13"/>
      <c r="AG41" s="13"/>
      <c r="AH41" s="15"/>
      <c r="AI41" s="15"/>
      <c r="AJ41" s="15"/>
      <c r="AK41" s="15"/>
      <c r="AL41" s="14"/>
      <c r="AM41" s="14"/>
      <c r="AN41" s="14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</row>
    <row r="42" spans="1:51" ht="13.15" customHeight="1">
      <c r="A42" s="87">
        <v>10964</v>
      </c>
      <c r="B42" s="197" t="s">
        <v>207</v>
      </c>
      <c r="C42" s="27" t="str">
        <f>Rollover!A42</f>
        <v>Nissan</v>
      </c>
      <c r="D42" s="45" t="str">
        <f>Rollover!B42</f>
        <v>Maxima 4DR FWD</v>
      </c>
      <c r="E42" s="9" t="s">
        <v>85</v>
      </c>
      <c r="F42" s="93">
        <f>Rollover!C42</f>
        <v>2020</v>
      </c>
      <c r="G42" s="10">
        <v>301.13200000000001</v>
      </c>
      <c r="H42" s="11">
        <v>29.355</v>
      </c>
      <c r="I42" s="11">
        <v>39.840000000000003</v>
      </c>
      <c r="J42" s="11">
        <v>1107.085</v>
      </c>
      <c r="K42" s="12">
        <v>1568.4459999999999</v>
      </c>
      <c r="L42" s="10">
        <v>325.98399999999998</v>
      </c>
      <c r="M42" s="11">
        <v>20.675999999999998</v>
      </c>
      <c r="N42" s="11">
        <v>32.529000000000003</v>
      </c>
      <c r="O42" s="11">
        <v>19.484000000000002</v>
      </c>
      <c r="P42" s="12">
        <v>1642.5319999999999</v>
      </c>
      <c r="Q42" s="23">
        <f t="shared" si="15"/>
        <v>9.1905776934093318E-3</v>
      </c>
      <c r="R42" s="5">
        <f t="shared" si="16"/>
        <v>6.3460412883686104E-2</v>
      </c>
      <c r="S42" s="5">
        <f t="shared" si="17"/>
        <v>2.4625771738804262E-2</v>
      </c>
      <c r="T42" s="24">
        <f t="shared" si="18"/>
        <v>2.8104131729761749E-3</v>
      </c>
      <c r="U42" s="23">
        <f t="shared" si="19"/>
        <v>1.2202755737339295E-2</v>
      </c>
      <c r="V42" s="24">
        <f t="shared" si="20"/>
        <v>8.4800735661394733E-3</v>
      </c>
      <c r="W42" s="23">
        <f t="shared" si="21"/>
        <v>9.7000000000000003E-2</v>
      </c>
      <c r="X42" s="5">
        <f t="shared" si="22"/>
        <v>2.1000000000000001E-2</v>
      </c>
      <c r="Y42" s="24">
        <f t="shared" si="23"/>
        <v>5.8999999999999997E-2</v>
      </c>
      <c r="Z42" s="25">
        <f t="shared" si="24"/>
        <v>0.65</v>
      </c>
      <c r="AA42" s="196">
        <f t="shared" si="25"/>
        <v>0.14000000000000001</v>
      </c>
      <c r="AB42" s="26">
        <f t="shared" si="26"/>
        <v>0.39</v>
      </c>
      <c r="AC42" s="21">
        <f t="shared" si="27"/>
        <v>5</v>
      </c>
      <c r="AD42" s="51">
        <f t="shared" si="28"/>
        <v>5</v>
      </c>
      <c r="AE42" s="22">
        <f t="shared" si="29"/>
        <v>5</v>
      </c>
      <c r="AF42" s="13"/>
      <c r="AG42" s="13"/>
      <c r="AH42" s="15"/>
      <c r="AI42" s="15"/>
      <c r="AJ42" s="15"/>
      <c r="AK42" s="15"/>
      <c r="AL42" s="14"/>
      <c r="AM42" s="14"/>
      <c r="AN42" s="14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</row>
    <row r="43" spans="1:51" ht="13.15" customHeight="1">
      <c r="A43" s="87">
        <v>10926</v>
      </c>
      <c r="B43" s="87" t="s">
        <v>202</v>
      </c>
      <c r="C43" s="27" t="str">
        <f>Rollover!A43</f>
        <v>Nissan</v>
      </c>
      <c r="D43" s="45" t="str">
        <f>Rollover!B43</f>
        <v>Versa 4DR FWD</v>
      </c>
      <c r="E43" s="9" t="s">
        <v>91</v>
      </c>
      <c r="F43" s="93">
        <f>Rollover!C43</f>
        <v>2020</v>
      </c>
      <c r="G43" s="10">
        <v>145.19399999999999</v>
      </c>
      <c r="H43" s="11">
        <v>26.215</v>
      </c>
      <c r="I43" s="11">
        <v>28.413</v>
      </c>
      <c r="J43" s="11">
        <v>960.11199999999997</v>
      </c>
      <c r="K43" s="12">
        <v>1414.154</v>
      </c>
      <c r="L43" s="10">
        <v>249.93100000000001</v>
      </c>
      <c r="M43" s="11">
        <v>31.97</v>
      </c>
      <c r="N43" s="11">
        <v>31.992999999999999</v>
      </c>
      <c r="O43" s="11">
        <v>28.846</v>
      </c>
      <c r="P43" s="12">
        <v>2050.0520000000001</v>
      </c>
      <c r="Q43" s="23">
        <f t="shared" si="15"/>
        <v>4.1340964752562898E-4</v>
      </c>
      <c r="R43" s="5">
        <f t="shared" si="16"/>
        <v>4.8321921766281549E-2</v>
      </c>
      <c r="S43" s="5">
        <f t="shared" si="17"/>
        <v>1.8118784810168168E-2</v>
      </c>
      <c r="T43" s="24">
        <f t="shared" si="18"/>
        <v>2.3727487916367341E-3</v>
      </c>
      <c r="U43" s="23">
        <f t="shared" si="19"/>
        <v>4.5310950719539564E-3</v>
      </c>
      <c r="V43" s="24">
        <f t="shared" si="20"/>
        <v>1.2389352306810181E-2</v>
      </c>
      <c r="W43" s="23">
        <f t="shared" si="21"/>
        <v>6.8000000000000005E-2</v>
      </c>
      <c r="X43" s="5">
        <f t="shared" si="22"/>
        <v>1.7000000000000001E-2</v>
      </c>
      <c r="Y43" s="24">
        <f t="shared" si="23"/>
        <v>4.2999999999999997E-2</v>
      </c>
      <c r="Z43" s="25">
        <f t="shared" si="24"/>
        <v>0.45</v>
      </c>
      <c r="AA43" s="196">
        <f t="shared" si="25"/>
        <v>0.11</v>
      </c>
      <c r="AB43" s="26">
        <f t="shared" si="26"/>
        <v>0.28999999999999998</v>
      </c>
      <c r="AC43" s="21">
        <f t="shared" si="27"/>
        <v>5</v>
      </c>
      <c r="AD43" s="51">
        <f t="shared" si="28"/>
        <v>5</v>
      </c>
      <c r="AE43" s="22">
        <f t="shared" si="29"/>
        <v>5</v>
      </c>
      <c r="AF43" s="13"/>
      <c r="AG43" s="13"/>
      <c r="AH43" s="15"/>
      <c r="AI43" s="15"/>
      <c r="AJ43" s="15"/>
      <c r="AK43" s="15"/>
      <c r="AL43" s="14"/>
      <c r="AM43" s="14"/>
      <c r="AN43" s="14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</row>
    <row r="44" spans="1:51">
      <c r="A44" s="87">
        <v>10912</v>
      </c>
      <c r="B44" s="197" t="s">
        <v>185</v>
      </c>
      <c r="C44" s="27" t="str">
        <f>Rollover!A44</f>
        <v>Subaru</v>
      </c>
      <c r="D44" s="45" t="str">
        <f>Rollover!B44</f>
        <v>Legacy 4DR AWD</v>
      </c>
      <c r="E44" s="9" t="s">
        <v>91</v>
      </c>
      <c r="F44" s="93">
        <f>Rollover!C44</f>
        <v>2020</v>
      </c>
      <c r="G44" s="10">
        <v>50.405999999999999</v>
      </c>
      <c r="H44" s="11">
        <v>19.109000000000002</v>
      </c>
      <c r="I44" s="11">
        <v>30.044</v>
      </c>
      <c r="J44" s="11">
        <v>960.92200000000003</v>
      </c>
      <c r="K44" s="12">
        <v>1487.779</v>
      </c>
      <c r="L44" s="10">
        <v>220.37899999999999</v>
      </c>
      <c r="M44" s="11">
        <v>18.289000000000001</v>
      </c>
      <c r="N44" s="11">
        <v>62.070999999999998</v>
      </c>
      <c r="O44" s="11">
        <v>17.741</v>
      </c>
      <c r="P44" s="12">
        <v>2584.3000000000002</v>
      </c>
      <c r="Q44" s="23">
        <f t="shared" si="15"/>
        <v>9.0583371576187033E-7</v>
      </c>
      <c r="R44" s="5">
        <f t="shared" si="16"/>
        <v>2.5746247689558976E-2</v>
      </c>
      <c r="S44" s="5">
        <f t="shared" si="17"/>
        <v>1.8149547585362569E-2</v>
      </c>
      <c r="T44" s="24">
        <f t="shared" si="18"/>
        <v>2.5723926859840185E-3</v>
      </c>
      <c r="U44" s="23">
        <f t="shared" si="19"/>
        <v>2.7200176585358768E-3</v>
      </c>
      <c r="V44" s="24">
        <f t="shared" si="20"/>
        <v>2.0307310419881684E-2</v>
      </c>
      <c r="W44" s="23">
        <f t="shared" si="21"/>
        <v>4.5999999999999999E-2</v>
      </c>
      <c r="X44" s="5">
        <f t="shared" si="22"/>
        <v>2.3E-2</v>
      </c>
      <c r="Y44" s="24">
        <f t="shared" si="23"/>
        <v>3.5000000000000003E-2</v>
      </c>
      <c r="Z44" s="25">
        <f t="shared" si="24"/>
        <v>0.31</v>
      </c>
      <c r="AA44" s="196">
        <f t="shared" si="25"/>
        <v>0.15</v>
      </c>
      <c r="AB44" s="26">
        <f t="shared" si="26"/>
        <v>0.23</v>
      </c>
      <c r="AC44" s="21">
        <f t="shared" si="27"/>
        <v>5</v>
      </c>
      <c r="AD44" s="51">
        <f t="shared" si="28"/>
        <v>5</v>
      </c>
      <c r="AE44" s="22">
        <f t="shared" si="29"/>
        <v>5</v>
      </c>
      <c r="AF44" s="13"/>
      <c r="AG44" s="13"/>
      <c r="AH44" s="15"/>
      <c r="AI44" s="15"/>
      <c r="AJ44" s="15"/>
      <c r="AK44" s="15"/>
      <c r="AL44" s="14"/>
      <c r="AM44" s="14"/>
      <c r="AN44" s="14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</row>
    <row r="45" spans="1:51" ht="13.15" customHeight="1">
      <c r="A45" s="87">
        <v>10913</v>
      </c>
      <c r="B45" s="197" t="s">
        <v>187</v>
      </c>
      <c r="C45" s="27" t="str">
        <f>Rollover!A45</f>
        <v>Subaru</v>
      </c>
      <c r="D45" s="45" t="str">
        <f>Rollover!B45</f>
        <v>Outback SW AWD</v>
      </c>
      <c r="E45" s="9" t="s">
        <v>91</v>
      </c>
      <c r="F45" s="93">
        <f>Rollover!C45</f>
        <v>2020</v>
      </c>
      <c r="G45" s="10">
        <v>28.306000000000001</v>
      </c>
      <c r="H45" s="11">
        <v>12.315</v>
      </c>
      <c r="I45" s="11">
        <v>17.428000000000001</v>
      </c>
      <c r="J45" s="11">
        <v>448.30399999999997</v>
      </c>
      <c r="K45" s="12">
        <v>1098.097</v>
      </c>
      <c r="L45" s="10">
        <v>116.06399999999999</v>
      </c>
      <c r="M45" s="11">
        <v>7.4880000000000004</v>
      </c>
      <c r="N45" s="11">
        <v>51.052</v>
      </c>
      <c r="O45" s="11">
        <v>9.1820000000000004</v>
      </c>
      <c r="P45" s="12">
        <v>2825.4050000000002</v>
      </c>
      <c r="Q45" s="23">
        <f t="shared" si="15"/>
        <v>1.4026591142925212E-8</v>
      </c>
      <c r="R45" s="5">
        <f t="shared" si="16"/>
        <v>1.3956549841022738E-2</v>
      </c>
      <c r="S45" s="5">
        <f t="shared" si="17"/>
        <v>6.1556663809201528E-3</v>
      </c>
      <c r="T45" s="24">
        <f t="shared" si="18"/>
        <v>1.677129065411007E-3</v>
      </c>
      <c r="U45" s="23">
        <f t="shared" si="19"/>
        <v>1.3303625193766548E-4</v>
      </c>
      <c r="V45" s="24">
        <f t="shared" si="20"/>
        <v>2.5342104773144802E-2</v>
      </c>
      <c r="W45" s="23">
        <f t="shared" si="21"/>
        <v>2.1999999999999999E-2</v>
      </c>
      <c r="X45" s="5">
        <f t="shared" si="22"/>
        <v>2.5000000000000001E-2</v>
      </c>
      <c r="Y45" s="24">
        <f t="shared" si="23"/>
        <v>2.4E-2</v>
      </c>
      <c r="Z45" s="25">
        <f t="shared" si="24"/>
        <v>0.15</v>
      </c>
      <c r="AA45" s="196">
        <f t="shared" si="25"/>
        <v>0.17</v>
      </c>
      <c r="AB45" s="26">
        <f t="shared" si="26"/>
        <v>0.16</v>
      </c>
      <c r="AC45" s="21">
        <f t="shared" si="27"/>
        <v>5</v>
      </c>
      <c r="AD45" s="51">
        <f t="shared" si="28"/>
        <v>5</v>
      </c>
      <c r="AE45" s="22">
        <f t="shared" si="29"/>
        <v>5</v>
      </c>
      <c r="AF45" s="13"/>
      <c r="AG45" s="13"/>
      <c r="AH45" s="15"/>
      <c r="AI45" s="15"/>
      <c r="AJ45" s="15"/>
      <c r="AK45" s="15"/>
      <c r="AL45" s="14"/>
      <c r="AM45" s="14"/>
      <c r="AN45" s="14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</row>
    <row r="46" spans="1:51" ht="13.15" customHeight="1">
      <c r="A46" s="87">
        <v>10919</v>
      </c>
      <c r="B46" s="197" t="s">
        <v>197</v>
      </c>
      <c r="C46" s="27" t="str">
        <f>Rollover!A46</f>
        <v>Subaru</v>
      </c>
      <c r="D46" s="45" t="str">
        <f>Rollover!B46</f>
        <v>WRX 4DR AWD</v>
      </c>
      <c r="E46" s="9" t="s">
        <v>97</v>
      </c>
      <c r="F46" s="93">
        <f>Rollover!C46</f>
        <v>2020</v>
      </c>
      <c r="G46" s="10">
        <v>117.803</v>
      </c>
      <c r="H46" s="11">
        <v>28.911999999999999</v>
      </c>
      <c r="I46" s="11">
        <v>29.681000000000001</v>
      </c>
      <c r="J46" s="11">
        <v>687.20799999999997</v>
      </c>
      <c r="K46" s="12">
        <v>1969.633</v>
      </c>
      <c r="L46" s="10">
        <v>234.548</v>
      </c>
      <c r="M46" s="11">
        <v>25.381</v>
      </c>
      <c r="N46" s="11">
        <v>64.531999999999996</v>
      </c>
      <c r="O46" s="11">
        <v>33.155000000000001</v>
      </c>
      <c r="P46" s="12">
        <v>2161.3470000000002</v>
      </c>
      <c r="Q46" s="23">
        <f t="shared" si="15"/>
        <v>1.4382576310162558E-4</v>
      </c>
      <c r="R46" s="5">
        <f t="shared" si="16"/>
        <v>6.1083360648883117E-2</v>
      </c>
      <c r="S46" s="5">
        <f t="shared" si="17"/>
        <v>1.0204946654655123E-2</v>
      </c>
      <c r="T46" s="24">
        <f t="shared" si="18"/>
        <v>4.3626487575713071E-3</v>
      </c>
      <c r="U46" s="23">
        <f t="shared" si="19"/>
        <v>3.5136742155711274E-3</v>
      </c>
      <c r="V46" s="24">
        <f t="shared" si="20"/>
        <v>1.3736950020053687E-2</v>
      </c>
      <c r="W46" s="23">
        <f t="shared" si="21"/>
        <v>7.4999999999999997E-2</v>
      </c>
      <c r="X46" s="5">
        <f t="shared" si="22"/>
        <v>1.7000000000000001E-2</v>
      </c>
      <c r="Y46" s="24">
        <f t="shared" si="23"/>
        <v>4.5999999999999999E-2</v>
      </c>
      <c r="Z46" s="25">
        <f t="shared" si="24"/>
        <v>0.5</v>
      </c>
      <c r="AA46" s="196">
        <f t="shared" si="25"/>
        <v>0.11</v>
      </c>
      <c r="AB46" s="26">
        <f t="shared" si="26"/>
        <v>0.31</v>
      </c>
      <c r="AC46" s="21">
        <f t="shared" si="27"/>
        <v>5</v>
      </c>
      <c r="AD46" s="51">
        <f t="shared" si="28"/>
        <v>5</v>
      </c>
      <c r="AE46" s="22">
        <f t="shared" si="29"/>
        <v>5</v>
      </c>
      <c r="AF46" s="13"/>
      <c r="AG46" s="13"/>
      <c r="AH46" s="15"/>
      <c r="AI46" s="15"/>
      <c r="AJ46" s="15"/>
      <c r="AK46" s="15"/>
      <c r="AL46" s="14"/>
      <c r="AM46" s="14"/>
      <c r="AN46" s="14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</row>
    <row r="47" spans="1:51" ht="13.15" customHeight="1">
      <c r="A47" s="8">
        <v>10798</v>
      </c>
      <c r="B47" s="199" t="s">
        <v>88</v>
      </c>
      <c r="C47" s="27" t="str">
        <f>Rollover!A47</f>
        <v>Toyota</v>
      </c>
      <c r="D47" s="45" t="str">
        <f>Rollover!B47</f>
        <v>Corolla 4DR FWD</v>
      </c>
      <c r="E47" s="9" t="s">
        <v>85</v>
      </c>
      <c r="F47" s="93">
        <f>Rollover!C47</f>
        <v>2020</v>
      </c>
      <c r="G47" s="10">
        <v>84.995999999999995</v>
      </c>
      <c r="H47" s="11">
        <v>22.896999999999998</v>
      </c>
      <c r="I47" s="11">
        <v>33.213000000000001</v>
      </c>
      <c r="J47" s="11">
        <v>606.36099999999999</v>
      </c>
      <c r="K47" s="12">
        <v>1781.702</v>
      </c>
      <c r="L47" s="10">
        <v>162.178</v>
      </c>
      <c r="M47" s="46">
        <v>43.720999999999997</v>
      </c>
      <c r="N47" s="11">
        <v>59.920999999999999</v>
      </c>
      <c r="O47" s="11">
        <v>35.392000000000003</v>
      </c>
      <c r="P47" s="12">
        <v>2241.2860000000001</v>
      </c>
      <c r="Q47" s="23">
        <f t="shared" si="15"/>
        <v>2.3782546118213887E-5</v>
      </c>
      <c r="R47" s="5">
        <f t="shared" si="16"/>
        <v>3.6080135928211028E-2</v>
      </c>
      <c r="S47" s="5">
        <f t="shared" si="17"/>
        <v>8.6024208406198423E-3</v>
      </c>
      <c r="T47" s="24">
        <f t="shared" si="18"/>
        <v>3.5507909058569418E-3</v>
      </c>
      <c r="U47" s="23">
        <f t="shared" si="19"/>
        <v>7.0118860846596668E-4</v>
      </c>
      <c r="V47" s="24">
        <f t="shared" si="20"/>
        <v>1.4793094957810496E-2</v>
      </c>
      <c r="W47" s="23">
        <f t="shared" si="21"/>
        <v>4.8000000000000001E-2</v>
      </c>
      <c r="X47" s="5">
        <f t="shared" si="22"/>
        <v>1.4999999999999999E-2</v>
      </c>
      <c r="Y47" s="24">
        <f t="shared" si="23"/>
        <v>3.2000000000000001E-2</v>
      </c>
      <c r="Z47" s="25">
        <f t="shared" si="24"/>
        <v>0.32</v>
      </c>
      <c r="AA47" s="196">
        <f t="shared" si="25"/>
        <v>0.1</v>
      </c>
      <c r="AB47" s="26">
        <f t="shared" si="26"/>
        <v>0.21</v>
      </c>
      <c r="AC47" s="21">
        <f t="shared" si="27"/>
        <v>5</v>
      </c>
      <c r="AD47" s="51">
        <f t="shared" si="28"/>
        <v>5</v>
      </c>
      <c r="AE47" s="22">
        <f t="shared" si="29"/>
        <v>5</v>
      </c>
      <c r="AF47" s="13"/>
      <c r="AG47" s="13"/>
      <c r="AH47" s="15"/>
      <c r="AI47" s="15"/>
      <c r="AJ47" s="15"/>
      <c r="AK47" s="15"/>
      <c r="AL47" s="14"/>
      <c r="AM47" s="14"/>
      <c r="AN47" s="14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</row>
    <row r="48" spans="1:51" ht="13.15" customHeight="1">
      <c r="A48" s="87">
        <v>10798</v>
      </c>
      <c r="B48" s="197" t="s">
        <v>88</v>
      </c>
      <c r="C48" s="27" t="str">
        <f>Rollover!A48</f>
        <v>Toyota</v>
      </c>
      <c r="D48" s="45" t="str">
        <f>Rollover!B48</f>
        <v>Corolla Hybrid 4DR FWD</v>
      </c>
      <c r="E48" s="9" t="s">
        <v>85</v>
      </c>
      <c r="F48" s="93">
        <f>Rollover!C48</f>
        <v>2020</v>
      </c>
      <c r="G48" s="10">
        <v>84.995999999999995</v>
      </c>
      <c r="H48" s="11">
        <v>22.896999999999998</v>
      </c>
      <c r="I48" s="11">
        <v>33.213000000000001</v>
      </c>
      <c r="J48" s="11">
        <v>606.36099999999999</v>
      </c>
      <c r="K48" s="12">
        <v>1781.702</v>
      </c>
      <c r="L48" s="10">
        <v>162.178</v>
      </c>
      <c r="M48" s="46">
        <v>43.720999999999997</v>
      </c>
      <c r="N48" s="11">
        <v>59.920999999999999</v>
      </c>
      <c r="O48" s="11">
        <v>35.392000000000003</v>
      </c>
      <c r="P48" s="12">
        <v>2241.2860000000001</v>
      </c>
      <c r="Q48" s="23">
        <f t="shared" si="15"/>
        <v>2.3782546118213887E-5</v>
      </c>
      <c r="R48" s="5">
        <f t="shared" si="16"/>
        <v>3.6080135928211028E-2</v>
      </c>
      <c r="S48" s="5">
        <f t="shared" si="17"/>
        <v>8.6024208406198423E-3</v>
      </c>
      <c r="T48" s="24">
        <f t="shared" si="18"/>
        <v>3.5507909058569418E-3</v>
      </c>
      <c r="U48" s="23">
        <f t="shared" si="19"/>
        <v>7.0118860846596668E-4</v>
      </c>
      <c r="V48" s="24">
        <f t="shared" si="20"/>
        <v>1.4793094957810496E-2</v>
      </c>
      <c r="W48" s="23">
        <f t="shared" si="21"/>
        <v>4.8000000000000001E-2</v>
      </c>
      <c r="X48" s="5">
        <f t="shared" si="22"/>
        <v>1.4999999999999999E-2</v>
      </c>
      <c r="Y48" s="24">
        <f t="shared" si="23"/>
        <v>3.2000000000000001E-2</v>
      </c>
      <c r="Z48" s="25">
        <f t="shared" si="24"/>
        <v>0.32</v>
      </c>
      <c r="AA48" s="196">
        <f t="shared" si="25"/>
        <v>0.1</v>
      </c>
      <c r="AB48" s="26">
        <f t="shared" si="26"/>
        <v>0.21</v>
      </c>
      <c r="AC48" s="21">
        <f t="shared" si="27"/>
        <v>5</v>
      </c>
      <c r="AD48" s="51">
        <f t="shared" si="28"/>
        <v>5</v>
      </c>
      <c r="AE48" s="22">
        <f t="shared" si="29"/>
        <v>5</v>
      </c>
      <c r="AF48" s="13"/>
      <c r="AG48" s="13"/>
      <c r="AH48" s="15"/>
      <c r="AI48" s="15"/>
      <c r="AJ48" s="15"/>
      <c r="AK48" s="15"/>
      <c r="AL48" s="14"/>
      <c r="AM48" s="14"/>
      <c r="AN48" s="14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</row>
    <row r="49" spans="1:51" ht="13.15" customHeight="1">
      <c r="A49" s="87">
        <v>11046</v>
      </c>
      <c r="B49" s="197" t="s">
        <v>239</v>
      </c>
      <c r="C49" s="52" t="str">
        <f>Rollover!A49</f>
        <v>Volvo</v>
      </c>
      <c r="D49" s="9" t="str">
        <f>Rollover!B49</f>
        <v>S60 T6 4DR AWD</v>
      </c>
      <c r="E49" s="9" t="s">
        <v>97</v>
      </c>
      <c r="F49" s="93">
        <f>Rollover!C49</f>
        <v>2020</v>
      </c>
      <c r="G49" s="10">
        <v>102.84</v>
      </c>
      <c r="H49" s="11">
        <v>23.303000000000001</v>
      </c>
      <c r="I49" s="11">
        <v>25.725999999999999</v>
      </c>
      <c r="J49" s="11">
        <v>864.46699999999998</v>
      </c>
      <c r="K49" s="12">
        <v>941.07100000000003</v>
      </c>
      <c r="L49" s="10">
        <v>270.84199999999998</v>
      </c>
      <c r="M49" s="11">
        <v>20.510999999999999</v>
      </c>
      <c r="N49" s="11">
        <v>49.886000000000003</v>
      </c>
      <c r="O49" s="11">
        <v>19.126999999999999</v>
      </c>
      <c r="P49" s="12">
        <v>2557.8440000000001</v>
      </c>
      <c r="Q49" s="23">
        <f t="shared" ref="Q49:Q59" si="45">NORMDIST(LN(G49),7.45231,0.73998,1)</f>
        <v>6.9554902858117172E-5</v>
      </c>
      <c r="R49" s="5">
        <f t="shared" ref="R49:R59" si="46">1/(1+EXP(5.3895-0.0919*H49))</f>
        <v>3.7400466307001869E-2</v>
      </c>
      <c r="S49" s="5">
        <f t="shared" ref="S49:S59" si="47">1/(1+EXP(6.04044-0.002133*J49))</f>
        <v>1.4824597726258383E-2</v>
      </c>
      <c r="T49" s="24">
        <f t="shared" ref="T49:T59" si="48">1/(1+EXP(7.5969-0.0011*K49))</f>
        <v>1.4114547740852858E-3</v>
      </c>
      <c r="U49" s="23">
        <f t="shared" ref="U49:U59" si="49">NORMDIST(LN(L49),7.45231,0.73998,1)</f>
        <v>6.190165088468003E-3</v>
      </c>
      <c r="V49" s="24">
        <f t="shared" ref="V49:V59" si="50">1/(1+EXP(6.3055-0.00094*P49))</f>
        <v>1.981840818820774E-2</v>
      </c>
      <c r="W49" s="23">
        <f t="shared" ref="W49:W59" si="51">ROUND(1-(1-Q49)*(1-R49)*(1-S49)*(1-T49),3)</f>
        <v>5.2999999999999999E-2</v>
      </c>
      <c r="X49" s="5">
        <f t="shared" ref="X49:X59" si="52">IF(L49="N/A",L49,ROUND(1-(1-U49)*(1-V49),3))</f>
        <v>2.5999999999999999E-2</v>
      </c>
      <c r="Y49" s="24">
        <f t="shared" ref="Y49:Y59" si="53">ROUND(AVERAGE(W49:X49),3)</f>
        <v>0.04</v>
      </c>
      <c r="Z49" s="25">
        <f t="shared" ref="Z49:Z59" si="54">ROUND(W49/0.15,2)</f>
        <v>0.35</v>
      </c>
      <c r="AA49" s="196">
        <f t="shared" ref="AA49:AA59" si="55">IF(L49="N/A", L49, ROUND(X49/0.15,2))</f>
        <v>0.17</v>
      </c>
      <c r="AB49" s="26">
        <f t="shared" ref="AB49:AB59" si="56">ROUND(Y49/0.15,2)</f>
        <v>0.27</v>
      </c>
      <c r="AC49" s="21">
        <f t="shared" ref="AC49:AC59" si="57">IF(Z49&lt;0.67,5,IF(Z49&lt;1,4,IF(Z49&lt;1.33,3,IF(Z49&lt;2.67,2,1))))</f>
        <v>5</v>
      </c>
      <c r="AD49" s="51">
        <f t="shared" ref="AD49:AD59" si="58">IF(L49="N/A",L49,IF(AA49&lt;0.67,5,IF(AA49&lt;1,4,IF(AA49&lt;1.33,3,IF(AA49&lt;2.67,2,1)))))</f>
        <v>5</v>
      </c>
      <c r="AE49" s="22">
        <f t="shared" ref="AE49:AE59" si="59">IF(AB49&lt;0.67,5,IF(AB49&lt;1,4,IF(AB49&lt;1.33,3,IF(AB49&lt;2.67,2,1))))</f>
        <v>5</v>
      </c>
      <c r="AF49" s="13"/>
      <c r="AG49" s="13"/>
      <c r="AH49" s="15"/>
      <c r="AI49" s="15"/>
      <c r="AJ49" s="15"/>
      <c r="AK49" s="15"/>
      <c r="AL49" s="14"/>
      <c r="AM49" s="14"/>
      <c r="AN49" s="14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</row>
    <row r="50" spans="1:51">
      <c r="A50" s="87">
        <v>11046</v>
      </c>
      <c r="B50" s="197" t="s">
        <v>239</v>
      </c>
      <c r="C50" s="27" t="str">
        <f>Rollover!A50</f>
        <v>Volvo</v>
      </c>
      <c r="D50" s="45" t="str">
        <f>Rollover!B50</f>
        <v>S60 T5 4DR FWD</v>
      </c>
      <c r="E50" s="9" t="s">
        <v>97</v>
      </c>
      <c r="F50" s="93">
        <f>Rollover!C50</f>
        <v>2020</v>
      </c>
      <c r="G50" s="10">
        <v>102.84</v>
      </c>
      <c r="H50" s="11">
        <v>23.303000000000001</v>
      </c>
      <c r="I50" s="11">
        <v>25.725999999999999</v>
      </c>
      <c r="J50" s="11">
        <v>864.46699999999998</v>
      </c>
      <c r="K50" s="12">
        <v>941.07100000000003</v>
      </c>
      <c r="L50" s="10">
        <v>270.84199999999998</v>
      </c>
      <c r="M50" s="11">
        <v>20.510999999999999</v>
      </c>
      <c r="N50" s="11">
        <v>49.886000000000003</v>
      </c>
      <c r="O50" s="11">
        <v>19.126999999999999</v>
      </c>
      <c r="P50" s="12">
        <v>2557.8440000000001</v>
      </c>
      <c r="Q50" s="23">
        <f t="shared" si="45"/>
        <v>6.9554902858117172E-5</v>
      </c>
      <c r="R50" s="5">
        <f t="shared" si="46"/>
        <v>3.7400466307001869E-2</v>
      </c>
      <c r="S50" s="5">
        <f t="shared" si="47"/>
        <v>1.4824597726258383E-2</v>
      </c>
      <c r="T50" s="24">
        <f t="shared" si="48"/>
        <v>1.4114547740852858E-3</v>
      </c>
      <c r="U50" s="23">
        <f t="shared" si="49"/>
        <v>6.190165088468003E-3</v>
      </c>
      <c r="V50" s="24">
        <f t="shared" si="50"/>
        <v>1.981840818820774E-2</v>
      </c>
      <c r="W50" s="23">
        <f t="shared" si="51"/>
        <v>5.2999999999999999E-2</v>
      </c>
      <c r="X50" s="5">
        <f t="shared" si="52"/>
        <v>2.5999999999999999E-2</v>
      </c>
      <c r="Y50" s="24">
        <f t="shared" si="53"/>
        <v>0.04</v>
      </c>
      <c r="Z50" s="25">
        <f t="shared" si="54"/>
        <v>0.35</v>
      </c>
      <c r="AA50" s="196">
        <f t="shared" si="55"/>
        <v>0.17</v>
      </c>
      <c r="AB50" s="26">
        <f t="shared" si="56"/>
        <v>0.27</v>
      </c>
      <c r="AC50" s="21">
        <f t="shared" si="57"/>
        <v>5</v>
      </c>
      <c r="AD50" s="51">
        <f t="shared" si="58"/>
        <v>5</v>
      </c>
      <c r="AE50" s="22">
        <f t="shared" si="59"/>
        <v>5</v>
      </c>
      <c r="AF50" s="13"/>
      <c r="AG50" s="13"/>
      <c r="AH50" s="15"/>
      <c r="AI50" s="15"/>
      <c r="AJ50" s="15"/>
      <c r="AK50" s="15"/>
      <c r="AL50" s="14"/>
      <c r="AM50" s="14"/>
      <c r="AN50" s="14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</row>
    <row r="51" spans="1:51">
      <c r="A51" s="87">
        <v>11046</v>
      </c>
      <c r="B51" s="197" t="s">
        <v>239</v>
      </c>
      <c r="C51" s="27" t="str">
        <f>Rollover!A51</f>
        <v>Volvo</v>
      </c>
      <c r="D51" s="45" t="str">
        <f>Rollover!B51</f>
        <v>V60 T5 SW FWD</v>
      </c>
      <c r="E51" s="9" t="s">
        <v>97</v>
      </c>
      <c r="F51" s="93">
        <f>Rollover!C51</f>
        <v>2020</v>
      </c>
      <c r="G51" s="10">
        <v>102.84</v>
      </c>
      <c r="H51" s="11">
        <v>23.303000000000001</v>
      </c>
      <c r="I51" s="11">
        <v>25.725999999999999</v>
      </c>
      <c r="J51" s="11">
        <v>864.46699999999998</v>
      </c>
      <c r="K51" s="12">
        <v>941.07100000000003</v>
      </c>
      <c r="L51" s="10">
        <v>270.84199999999998</v>
      </c>
      <c r="M51" s="11">
        <v>20.510999999999999</v>
      </c>
      <c r="N51" s="11">
        <v>49.886000000000003</v>
      </c>
      <c r="O51" s="11">
        <v>19.126999999999999</v>
      </c>
      <c r="P51" s="12">
        <v>2557.8440000000001</v>
      </c>
      <c r="Q51" s="23">
        <f t="shared" si="45"/>
        <v>6.9554902858117172E-5</v>
      </c>
      <c r="R51" s="5">
        <f t="shared" si="46"/>
        <v>3.7400466307001869E-2</v>
      </c>
      <c r="S51" s="5">
        <f t="shared" si="47"/>
        <v>1.4824597726258383E-2</v>
      </c>
      <c r="T51" s="24">
        <f t="shared" si="48"/>
        <v>1.4114547740852858E-3</v>
      </c>
      <c r="U51" s="23">
        <f t="shared" si="49"/>
        <v>6.190165088468003E-3</v>
      </c>
      <c r="V51" s="24">
        <f t="shared" si="50"/>
        <v>1.981840818820774E-2</v>
      </c>
      <c r="W51" s="23">
        <f t="shared" si="51"/>
        <v>5.2999999999999999E-2</v>
      </c>
      <c r="X51" s="5">
        <f t="shared" si="52"/>
        <v>2.5999999999999999E-2</v>
      </c>
      <c r="Y51" s="24">
        <f t="shared" si="53"/>
        <v>0.04</v>
      </c>
      <c r="Z51" s="25">
        <f t="shared" si="54"/>
        <v>0.35</v>
      </c>
      <c r="AA51" s="196">
        <f t="shared" si="55"/>
        <v>0.17</v>
      </c>
      <c r="AB51" s="26">
        <f t="shared" si="56"/>
        <v>0.27</v>
      </c>
      <c r="AC51" s="21">
        <f t="shared" si="57"/>
        <v>5</v>
      </c>
      <c r="AD51" s="51">
        <f t="shared" si="58"/>
        <v>5</v>
      </c>
      <c r="AE51" s="22">
        <f t="shared" si="59"/>
        <v>5</v>
      </c>
      <c r="AF51" s="13"/>
      <c r="AG51" s="13"/>
      <c r="AH51" s="15"/>
      <c r="AI51" s="15"/>
      <c r="AJ51" s="15"/>
      <c r="AK51" s="15"/>
      <c r="AL51" s="14"/>
      <c r="AM51" s="14"/>
      <c r="AN51" s="14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</row>
    <row r="52" spans="1:51">
      <c r="A52" s="87">
        <v>11046</v>
      </c>
      <c r="B52" s="197" t="s">
        <v>239</v>
      </c>
      <c r="C52" s="27" t="str">
        <f>Rollover!A52</f>
        <v>Volvo</v>
      </c>
      <c r="D52" s="45" t="str">
        <f>Rollover!B52</f>
        <v>V60 CC T5 SW AWD</v>
      </c>
      <c r="E52" s="9" t="s">
        <v>97</v>
      </c>
      <c r="F52" s="93">
        <f>Rollover!C52</f>
        <v>2020</v>
      </c>
      <c r="G52" s="10">
        <v>102.84</v>
      </c>
      <c r="H52" s="11">
        <v>23.303000000000001</v>
      </c>
      <c r="I52" s="11">
        <v>25.725999999999999</v>
      </c>
      <c r="J52" s="11">
        <v>864.46699999999998</v>
      </c>
      <c r="K52" s="12">
        <v>941.07100000000003</v>
      </c>
      <c r="L52" s="10">
        <v>270.84199999999998</v>
      </c>
      <c r="M52" s="11">
        <v>20.510999999999999</v>
      </c>
      <c r="N52" s="11">
        <v>49.886000000000003</v>
      </c>
      <c r="O52" s="11">
        <v>19.126999999999999</v>
      </c>
      <c r="P52" s="12">
        <v>2557.8440000000001</v>
      </c>
      <c r="Q52" s="23">
        <f t="shared" si="45"/>
        <v>6.9554902858117172E-5</v>
      </c>
      <c r="R52" s="5">
        <f t="shared" si="46"/>
        <v>3.7400466307001869E-2</v>
      </c>
      <c r="S52" s="5">
        <f t="shared" si="47"/>
        <v>1.4824597726258383E-2</v>
      </c>
      <c r="T52" s="24">
        <f t="shared" si="48"/>
        <v>1.4114547740852858E-3</v>
      </c>
      <c r="U52" s="23">
        <f t="shared" si="49"/>
        <v>6.190165088468003E-3</v>
      </c>
      <c r="V52" s="24">
        <f t="shared" si="50"/>
        <v>1.981840818820774E-2</v>
      </c>
      <c r="W52" s="23">
        <f t="shared" si="51"/>
        <v>5.2999999999999999E-2</v>
      </c>
      <c r="X52" s="5">
        <f t="shared" si="52"/>
        <v>2.5999999999999999E-2</v>
      </c>
      <c r="Y52" s="24">
        <f t="shared" si="53"/>
        <v>0.04</v>
      </c>
      <c r="Z52" s="25">
        <f t="shared" si="54"/>
        <v>0.35</v>
      </c>
      <c r="AA52" s="196">
        <f t="shared" si="55"/>
        <v>0.17</v>
      </c>
      <c r="AB52" s="26">
        <f t="shared" si="56"/>
        <v>0.27</v>
      </c>
      <c r="AC52" s="21">
        <f t="shared" si="57"/>
        <v>5</v>
      </c>
      <c r="AD52" s="51">
        <f t="shared" si="58"/>
        <v>5</v>
      </c>
      <c r="AE52" s="22">
        <f t="shared" si="59"/>
        <v>5</v>
      </c>
      <c r="AF52" s="13"/>
      <c r="AG52" s="13"/>
      <c r="AH52" s="15"/>
      <c r="AI52" s="15"/>
      <c r="AJ52" s="15"/>
      <c r="AK52" s="15"/>
      <c r="AL52" s="14"/>
      <c r="AM52" s="14"/>
      <c r="AN52" s="14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</row>
    <row r="53" spans="1:51">
      <c r="A53" s="87">
        <v>10915</v>
      </c>
      <c r="B53" s="87" t="s">
        <v>189</v>
      </c>
      <c r="C53" s="52" t="str">
        <f>Rollover!A53</f>
        <v>Volvo</v>
      </c>
      <c r="D53" s="9" t="str">
        <f>Rollover!B53</f>
        <v>XC40 T5 SUV AWD</v>
      </c>
      <c r="E53" s="9" t="s">
        <v>85</v>
      </c>
      <c r="F53" s="93">
        <f>Rollover!C53</f>
        <v>2020</v>
      </c>
      <c r="G53" s="10">
        <v>77.596000000000004</v>
      </c>
      <c r="H53" s="11">
        <v>21.733000000000001</v>
      </c>
      <c r="I53" s="11">
        <v>24.413</v>
      </c>
      <c r="J53" s="11">
        <v>693.56600000000003</v>
      </c>
      <c r="K53" s="12">
        <v>1422.38</v>
      </c>
      <c r="L53" s="10">
        <v>118.53</v>
      </c>
      <c r="M53" s="11">
        <v>26.788</v>
      </c>
      <c r="N53" s="11">
        <v>48.165999999999997</v>
      </c>
      <c r="O53" s="11">
        <v>20.844000000000001</v>
      </c>
      <c r="P53" s="12">
        <v>3356.6329999999998</v>
      </c>
      <c r="Q53" s="23">
        <f t="shared" si="45"/>
        <v>1.3924654705043251E-5</v>
      </c>
      <c r="R53" s="5">
        <f t="shared" si="46"/>
        <v>3.2538951020058701E-2</v>
      </c>
      <c r="S53" s="5">
        <f t="shared" si="47"/>
        <v>1.0342843738601169E-2</v>
      </c>
      <c r="T53" s="24">
        <f t="shared" si="48"/>
        <v>2.3942646387023134E-3</v>
      </c>
      <c r="U53" s="23">
        <f t="shared" si="49"/>
        <v>1.4852460207833814E-4</v>
      </c>
      <c r="V53" s="24">
        <f t="shared" si="50"/>
        <v>4.1080838520024039E-2</v>
      </c>
      <c r="W53" s="23">
        <f t="shared" si="51"/>
        <v>4.4999999999999998E-2</v>
      </c>
      <c r="X53" s="5">
        <f t="shared" si="52"/>
        <v>4.1000000000000002E-2</v>
      </c>
      <c r="Y53" s="24">
        <f t="shared" si="53"/>
        <v>4.2999999999999997E-2</v>
      </c>
      <c r="Z53" s="25">
        <f t="shared" si="54"/>
        <v>0.3</v>
      </c>
      <c r="AA53" s="196">
        <f t="shared" si="55"/>
        <v>0.27</v>
      </c>
      <c r="AB53" s="26">
        <f t="shared" si="56"/>
        <v>0.28999999999999998</v>
      </c>
      <c r="AC53" s="21">
        <f t="shared" si="57"/>
        <v>5</v>
      </c>
      <c r="AD53" s="51">
        <f t="shared" si="58"/>
        <v>5</v>
      </c>
      <c r="AE53" s="22">
        <f t="shared" si="59"/>
        <v>5</v>
      </c>
      <c r="AF53" s="13"/>
      <c r="AG53" s="13"/>
      <c r="AH53" s="15"/>
      <c r="AI53" s="15"/>
      <c r="AJ53" s="15"/>
      <c r="AK53" s="15"/>
      <c r="AL53" s="14"/>
      <c r="AM53" s="14"/>
      <c r="AN53" s="14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</row>
    <row r="54" spans="1:51">
      <c r="A54" s="87">
        <v>10915</v>
      </c>
      <c r="B54" s="87" t="s">
        <v>189</v>
      </c>
      <c r="C54" s="27" t="str">
        <f>Rollover!A54</f>
        <v>Volvo</v>
      </c>
      <c r="D54" s="45" t="str">
        <f>Rollover!B54</f>
        <v>XC40 T4 4DR FWD</v>
      </c>
      <c r="E54" s="9" t="s">
        <v>85</v>
      </c>
      <c r="F54" s="93">
        <f>Rollover!C54</f>
        <v>2020</v>
      </c>
      <c r="G54" s="10">
        <v>77.596000000000004</v>
      </c>
      <c r="H54" s="11">
        <v>21.733000000000001</v>
      </c>
      <c r="I54" s="11">
        <v>24.413</v>
      </c>
      <c r="J54" s="11">
        <v>693.56600000000003</v>
      </c>
      <c r="K54" s="12">
        <v>1422.38</v>
      </c>
      <c r="L54" s="10">
        <v>118.53</v>
      </c>
      <c r="M54" s="11">
        <v>26.788</v>
      </c>
      <c r="N54" s="11">
        <v>48.165999999999997</v>
      </c>
      <c r="O54" s="11">
        <v>20.844000000000001</v>
      </c>
      <c r="P54" s="12">
        <v>3356.6329999999998</v>
      </c>
      <c r="Q54" s="23">
        <f t="shared" si="45"/>
        <v>1.3924654705043251E-5</v>
      </c>
      <c r="R54" s="5">
        <f t="shared" si="46"/>
        <v>3.2538951020058701E-2</v>
      </c>
      <c r="S54" s="5">
        <f t="shared" si="47"/>
        <v>1.0342843738601169E-2</v>
      </c>
      <c r="T54" s="24">
        <f t="shared" si="48"/>
        <v>2.3942646387023134E-3</v>
      </c>
      <c r="U54" s="23">
        <f t="shared" si="49"/>
        <v>1.4852460207833814E-4</v>
      </c>
      <c r="V54" s="24">
        <f t="shared" si="50"/>
        <v>4.1080838520024039E-2</v>
      </c>
      <c r="W54" s="23">
        <f t="shared" si="51"/>
        <v>4.4999999999999998E-2</v>
      </c>
      <c r="X54" s="5">
        <f t="shared" si="52"/>
        <v>4.1000000000000002E-2</v>
      </c>
      <c r="Y54" s="24">
        <f t="shared" si="53"/>
        <v>4.2999999999999997E-2</v>
      </c>
      <c r="Z54" s="25">
        <f t="shared" si="54"/>
        <v>0.3</v>
      </c>
      <c r="AA54" s="196">
        <f t="shared" si="55"/>
        <v>0.27</v>
      </c>
      <c r="AB54" s="26">
        <f t="shared" si="56"/>
        <v>0.28999999999999998</v>
      </c>
      <c r="AC54" s="21">
        <f t="shared" si="57"/>
        <v>5</v>
      </c>
      <c r="AD54" s="51">
        <f t="shared" si="58"/>
        <v>5</v>
      </c>
      <c r="AE54" s="22">
        <f t="shared" si="59"/>
        <v>5</v>
      </c>
      <c r="AF54" s="13"/>
      <c r="AG54" s="13"/>
      <c r="AH54" s="15"/>
      <c r="AI54" s="15"/>
      <c r="AJ54" s="15"/>
      <c r="AK54" s="15"/>
      <c r="AL54" s="14"/>
      <c r="AM54" s="14"/>
      <c r="AN54" s="14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</row>
    <row r="55" spans="1:51">
      <c r="A55" s="87">
        <v>10978</v>
      </c>
      <c r="B55" s="87" t="s">
        <v>223</v>
      </c>
      <c r="C55" s="52" t="str">
        <f>Rollover!A55</f>
        <v>Volvo</v>
      </c>
      <c r="D55" s="9" t="str">
        <f>Rollover!B55</f>
        <v>XC60 T5 SUV AWD</v>
      </c>
      <c r="E55" s="9" t="s">
        <v>91</v>
      </c>
      <c r="F55" s="93">
        <f>Rollover!C55</f>
        <v>2020</v>
      </c>
      <c r="G55" s="10">
        <v>72.510000000000005</v>
      </c>
      <c r="H55" s="11">
        <v>17.015999999999998</v>
      </c>
      <c r="I55" s="11">
        <v>18.478000000000002</v>
      </c>
      <c r="J55" s="11">
        <v>559.85199999999998</v>
      </c>
      <c r="K55" s="12">
        <v>846.26199999999994</v>
      </c>
      <c r="L55" s="10">
        <v>185.119</v>
      </c>
      <c r="M55" s="11">
        <v>6.4429999999999996</v>
      </c>
      <c r="N55" s="11">
        <v>45.454999999999998</v>
      </c>
      <c r="O55" s="11">
        <v>9.0649999999999995</v>
      </c>
      <c r="P55" s="12">
        <v>4031.6149999999998</v>
      </c>
      <c r="Q55" s="23">
        <f t="shared" si="45"/>
        <v>9.2615466304089875E-6</v>
      </c>
      <c r="R55" s="5">
        <f t="shared" si="46"/>
        <v>2.1337315306885755E-2</v>
      </c>
      <c r="S55" s="5">
        <f t="shared" si="47"/>
        <v>7.7963269410712887E-3</v>
      </c>
      <c r="T55" s="24">
        <f t="shared" si="48"/>
        <v>1.2718478228978453E-3</v>
      </c>
      <c r="U55" s="23">
        <f t="shared" si="49"/>
        <v>1.283343161802367E-3</v>
      </c>
      <c r="V55" s="24">
        <f t="shared" si="50"/>
        <v>7.4759189371140636E-2</v>
      </c>
      <c r="W55" s="23">
        <f t="shared" si="51"/>
        <v>0.03</v>
      </c>
      <c r="X55" s="5">
        <f t="shared" si="52"/>
        <v>7.5999999999999998E-2</v>
      </c>
      <c r="Y55" s="24">
        <f t="shared" si="53"/>
        <v>5.2999999999999999E-2</v>
      </c>
      <c r="Z55" s="25">
        <f t="shared" si="54"/>
        <v>0.2</v>
      </c>
      <c r="AA55" s="196">
        <f t="shared" si="55"/>
        <v>0.51</v>
      </c>
      <c r="AB55" s="26">
        <f t="shared" si="56"/>
        <v>0.35</v>
      </c>
      <c r="AC55" s="21">
        <f t="shared" si="57"/>
        <v>5</v>
      </c>
      <c r="AD55" s="51">
        <f t="shared" si="58"/>
        <v>5</v>
      </c>
      <c r="AE55" s="22">
        <f t="shared" si="59"/>
        <v>5</v>
      </c>
      <c r="AF55" s="13"/>
      <c r="AG55" s="13"/>
      <c r="AH55" s="15"/>
      <c r="AI55" s="15"/>
      <c r="AJ55" s="15"/>
      <c r="AK55" s="15"/>
      <c r="AL55" s="14"/>
      <c r="AM55" s="14"/>
      <c r="AN55" s="14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</row>
    <row r="56" spans="1:51">
      <c r="A56" s="87">
        <v>10978</v>
      </c>
      <c r="B56" s="87" t="s">
        <v>223</v>
      </c>
      <c r="C56" s="27" t="str">
        <f>Rollover!A56</f>
        <v>Volvo</v>
      </c>
      <c r="D56" s="45" t="str">
        <f>Rollover!B56</f>
        <v>XC60 T5 SUV FWD</v>
      </c>
      <c r="E56" s="9" t="s">
        <v>91</v>
      </c>
      <c r="F56" s="93">
        <f>Rollover!C56</f>
        <v>2020</v>
      </c>
      <c r="G56" s="10">
        <v>72.510000000000005</v>
      </c>
      <c r="H56" s="11">
        <v>17.015999999999998</v>
      </c>
      <c r="I56" s="11">
        <v>18.478000000000002</v>
      </c>
      <c r="J56" s="11">
        <v>559.85199999999998</v>
      </c>
      <c r="K56" s="12">
        <v>846.26199999999994</v>
      </c>
      <c r="L56" s="10">
        <v>185.119</v>
      </c>
      <c r="M56" s="11">
        <v>6.4429999999999996</v>
      </c>
      <c r="N56" s="11">
        <v>45.454999999999998</v>
      </c>
      <c r="O56" s="11">
        <v>9.0649999999999995</v>
      </c>
      <c r="P56" s="12">
        <v>4031.6149999999998</v>
      </c>
      <c r="Q56" s="23">
        <f t="shared" si="45"/>
        <v>9.2615466304089875E-6</v>
      </c>
      <c r="R56" s="5">
        <f t="shared" si="46"/>
        <v>2.1337315306885755E-2</v>
      </c>
      <c r="S56" s="5">
        <f t="shared" si="47"/>
        <v>7.7963269410712887E-3</v>
      </c>
      <c r="T56" s="24">
        <f t="shared" si="48"/>
        <v>1.2718478228978453E-3</v>
      </c>
      <c r="U56" s="23">
        <f t="shared" si="49"/>
        <v>1.283343161802367E-3</v>
      </c>
      <c r="V56" s="24">
        <f t="shared" si="50"/>
        <v>7.4759189371140636E-2</v>
      </c>
      <c r="W56" s="23">
        <f t="shared" si="51"/>
        <v>0.03</v>
      </c>
      <c r="X56" s="5">
        <f t="shared" si="52"/>
        <v>7.5999999999999998E-2</v>
      </c>
      <c r="Y56" s="24">
        <f t="shared" si="53"/>
        <v>5.2999999999999999E-2</v>
      </c>
      <c r="Z56" s="25">
        <f t="shared" si="54"/>
        <v>0.2</v>
      </c>
      <c r="AA56" s="196">
        <f t="shared" si="55"/>
        <v>0.51</v>
      </c>
      <c r="AB56" s="26">
        <f t="shared" si="56"/>
        <v>0.35</v>
      </c>
      <c r="AC56" s="21">
        <f t="shared" si="57"/>
        <v>5</v>
      </c>
      <c r="AD56" s="51">
        <f t="shared" si="58"/>
        <v>5</v>
      </c>
      <c r="AE56" s="22">
        <f t="shared" si="59"/>
        <v>5</v>
      </c>
      <c r="AF56" s="13"/>
      <c r="AG56" s="13"/>
      <c r="AH56" s="15"/>
      <c r="AI56" s="15"/>
      <c r="AJ56" s="15"/>
      <c r="AK56" s="15"/>
      <c r="AL56" s="14"/>
      <c r="AM56" s="14"/>
      <c r="AN56" s="14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</row>
    <row r="57" spans="1:51">
      <c r="A57" s="87">
        <v>10978</v>
      </c>
      <c r="B57" s="87" t="s">
        <v>223</v>
      </c>
      <c r="C57" s="52" t="str">
        <f>Rollover!A57</f>
        <v>Volvo</v>
      </c>
      <c r="D57" s="9" t="str">
        <f>Rollover!B57</f>
        <v>XC60 T6 SUV AWD</v>
      </c>
      <c r="E57" s="9" t="s">
        <v>91</v>
      </c>
      <c r="F57" s="93">
        <f>Rollover!C57</f>
        <v>2020</v>
      </c>
      <c r="G57" s="10">
        <v>72.510000000000005</v>
      </c>
      <c r="H57" s="11">
        <v>17.015999999999998</v>
      </c>
      <c r="I57" s="11">
        <v>18.478000000000002</v>
      </c>
      <c r="J57" s="11">
        <v>559.85199999999998</v>
      </c>
      <c r="K57" s="12">
        <v>846.26199999999994</v>
      </c>
      <c r="L57" s="10">
        <v>185.119</v>
      </c>
      <c r="M57" s="11">
        <v>6.4429999999999996</v>
      </c>
      <c r="N57" s="11">
        <v>45.454999999999998</v>
      </c>
      <c r="O57" s="11">
        <v>9.0649999999999995</v>
      </c>
      <c r="P57" s="12">
        <v>4031.6149999999998</v>
      </c>
      <c r="Q57" s="23">
        <f t="shared" si="45"/>
        <v>9.2615466304089875E-6</v>
      </c>
      <c r="R57" s="5">
        <f t="shared" si="46"/>
        <v>2.1337315306885755E-2</v>
      </c>
      <c r="S57" s="5">
        <f t="shared" si="47"/>
        <v>7.7963269410712887E-3</v>
      </c>
      <c r="T57" s="24">
        <f t="shared" si="48"/>
        <v>1.2718478228978453E-3</v>
      </c>
      <c r="U57" s="23">
        <f t="shared" si="49"/>
        <v>1.283343161802367E-3</v>
      </c>
      <c r="V57" s="24">
        <f t="shared" si="50"/>
        <v>7.4759189371140636E-2</v>
      </c>
      <c r="W57" s="23">
        <f t="shared" si="51"/>
        <v>0.03</v>
      </c>
      <c r="X57" s="5">
        <f t="shared" si="52"/>
        <v>7.5999999999999998E-2</v>
      </c>
      <c r="Y57" s="24">
        <f t="shared" si="53"/>
        <v>5.2999999999999999E-2</v>
      </c>
      <c r="Z57" s="25">
        <f t="shared" si="54"/>
        <v>0.2</v>
      </c>
      <c r="AA57" s="196">
        <f t="shared" si="55"/>
        <v>0.51</v>
      </c>
      <c r="AB57" s="26">
        <f t="shared" si="56"/>
        <v>0.35</v>
      </c>
      <c r="AC57" s="21">
        <f t="shared" si="57"/>
        <v>5</v>
      </c>
      <c r="AD57" s="51">
        <f t="shared" si="58"/>
        <v>5</v>
      </c>
      <c r="AE57" s="22">
        <f t="shared" si="59"/>
        <v>5</v>
      </c>
      <c r="AF57" s="13"/>
      <c r="AG57" s="13"/>
      <c r="AH57" s="15"/>
      <c r="AI57" s="15"/>
      <c r="AJ57" s="15"/>
      <c r="AK57" s="15"/>
      <c r="AL57" s="14"/>
      <c r="AM57" s="14"/>
      <c r="AN57" s="14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</row>
    <row r="58" spans="1:51" ht="13.15" customHeight="1">
      <c r="A58" s="87">
        <v>9560</v>
      </c>
      <c r="B58" s="87" t="s">
        <v>168</v>
      </c>
      <c r="C58" s="27" t="str">
        <f>Rollover!A58</f>
        <v>Volvo</v>
      </c>
      <c r="D58" s="45" t="str">
        <f>Rollover!B58</f>
        <v>XC90 T5 SUV FWD</v>
      </c>
      <c r="E58" s="9" t="s">
        <v>85</v>
      </c>
      <c r="F58" s="93">
        <f>Rollover!C58</f>
        <v>2020</v>
      </c>
      <c r="G58" s="10">
        <v>51.241999999999997</v>
      </c>
      <c r="H58" s="11">
        <v>18.943999999999999</v>
      </c>
      <c r="I58" s="11">
        <v>21.1</v>
      </c>
      <c r="J58" s="11">
        <v>678.74199999999996</v>
      </c>
      <c r="K58" s="12">
        <v>1132.7919999999999</v>
      </c>
      <c r="L58" s="10">
        <v>93.653000000000006</v>
      </c>
      <c r="M58" s="11">
        <v>10.414</v>
      </c>
      <c r="N58" s="11">
        <v>39.707999999999998</v>
      </c>
      <c r="O58" s="11">
        <v>12.754</v>
      </c>
      <c r="P58" s="12">
        <v>2704.6889999999999</v>
      </c>
      <c r="Q58" s="23">
        <f t="shared" si="45"/>
        <v>1.0113521590150846E-6</v>
      </c>
      <c r="R58" s="5">
        <f t="shared" si="46"/>
        <v>2.5368618777068128E-2</v>
      </c>
      <c r="S58" s="5">
        <f t="shared" si="47"/>
        <v>1.0024150529166673E-2</v>
      </c>
      <c r="T58" s="24">
        <f t="shared" si="48"/>
        <v>1.7422592668432601E-3</v>
      </c>
      <c r="U58" s="23">
        <f t="shared" si="49"/>
        <v>4.1390002721959317E-5</v>
      </c>
      <c r="V58" s="24">
        <f t="shared" si="50"/>
        <v>2.2685282951778414E-2</v>
      </c>
      <c r="W58" s="23">
        <f t="shared" si="51"/>
        <v>3.6999999999999998E-2</v>
      </c>
      <c r="X58" s="5">
        <f t="shared" si="52"/>
        <v>2.3E-2</v>
      </c>
      <c r="Y58" s="24">
        <f t="shared" si="53"/>
        <v>0.03</v>
      </c>
      <c r="Z58" s="25">
        <f t="shared" si="54"/>
        <v>0.25</v>
      </c>
      <c r="AA58" s="196">
        <f t="shared" si="55"/>
        <v>0.15</v>
      </c>
      <c r="AB58" s="26">
        <f t="shared" si="56"/>
        <v>0.2</v>
      </c>
      <c r="AC58" s="21">
        <f t="shared" si="57"/>
        <v>5</v>
      </c>
      <c r="AD58" s="51">
        <f t="shared" si="58"/>
        <v>5</v>
      </c>
      <c r="AE58" s="22">
        <f t="shared" si="59"/>
        <v>5</v>
      </c>
      <c r="AF58" s="13"/>
      <c r="AG58" s="13"/>
      <c r="AH58" s="15"/>
      <c r="AI58" s="15"/>
      <c r="AJ58" s="15"/>
      <c r="AK58" s="15"/>
      <c r="AL58" s="14"/>
      <c r="AM58" s="14"/>
      <c r="AN58" s="14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</row>
    <row r="59" spans="1:51" ht="13.15" customHeight="1">
      <c r="A59" s="87">
        <v>9560</v>
      </c>
      <c r="B59" s="87" t="s">
        <v>168</v>
      </c>
      <c r="C59" s="52" t="str">
        <f>Rollover!A59</f>
        <v>Volvo</v>
      </c>
      <c r="D59" s="9" t="str">
        <f>Rollover!B59</f>
        <v>XC90 (T5/T6) SUV AWD</v>
      </c>
      <c r="E59" s="9" t="s">
        <v>85</v>
      </c>
      <c r="F59" s="93">
        <f>Rollover!C59</f>
        <v>2020</v>
      </c>
      <c r="G59" s="10">
        <v>51.241999999999997</v>
      </c>
      <c r="H59" s="11">
        <v>18.943999999999999</v>
      </c>
      <c r="I59" s="11">
        <v>21.1</v>
      </c>
      <c r="J59" s="11">
        <v>678.74199999999996</v>
      </c>
      <c r="K59" s="12">
        <v>1132.7919999999999</v>
      </c>
      <c r="L59" s="10">
        <v>93.653000000000006</v>
      </c>
      <c r="M59" s="11">
        <v>10.414</v>
      </c>
      <c r="N59" s="11">
        <v>39.707999999999998</v>
      </c>
      <c r="O59" s="11">
        <v>12.754</v>
      </c>
      <c r="P59" s="12">
        <v>2704.6889999999999</v>
      </c>
      <c r="Q59" s="23">
        <f t="shared" si="45"/>
        <v>1.0113521590150846E-6</v>
      </c>
      <c r="R59" s="5">
        <f t="shared" si="46"/>
        <v>2.5368618777068128E-2</v>
      </c>
      <c r="S59" s="5">
        <f t="shared" si="47"/>
        <v>1.0024150529166673E-2</v>
      </c>
      <c r="T59" s="24">
        <f t="shared" si="48"/>
        <v>1.7422592668432601E-3</v>
      </c>
      <c r="U59" s="23">
        <f t="shared" si="49"/>
        <v>4.1390002721959317E-5</v>
      </c>
      <c r="V59" s="24">
        <f t="shared" si="50"/>
        <v>2.2685282951778414E-2</v>
      </c>
      <c r="W59" s="23">
        <f t="shared" si="51"/>
        <v>3.6999999999999998E-2</v>
      </c>
      <c r="X59" s="5">
        <f t="shared" si="52"/>
        <v>2.3E-2</v>
      </c>
      <c r="Y59" s="24">
        <f t="shared" si="53"/>
        <v>0.03</v>
      </c>
      <c r="Z59" s="25">
        <f t="shared" si="54"/>
        <v>0.25</v>
      </c>
      <c r="AA59" s="196">
        <f t="shared" si="55"/>
        <v>0.15</v>
      </c>
      <c r="AB59" s="26">
        <f t="shared" si="56"/>
        <v>0.2</v>
      </c>
      <c r="AC59" s="21">
        <f t="shared" si="57"/>
        <v>5</v>
      </c>
      <c r="AD59" s="51">
        <f t="shared" si="58"/>
        <v>5</v>
      </c>
      <c r="AE59" s="22">
        <f t="shared" si="59"/>
        <v>5</v>
      </c>
      <c r="AF59" s="13"/>
      <c r="AG59" s="13"/>
      <c r="AH59" s="15"/>
      <c r="AI59" s="15"/>
      <c r="AJ59" s="15"/>
      <c r="AK59" s="15"/>
      <c r="AL59" s="14"/>
      <c r="AM59" s="14"/>
      <c r="AN59" s="14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</row>
    <row r="60" spans="1:51">
      <c r="AE60" s="2"/>
    </row>
    <row r="61" spans="1:51">
      <c r="AE61" s="2"/>
    </row>
    <row r="62" spans="1:51">
      <c r="AE62" s="2"/>
    </row>
    <row r="63" spans="1:51">
      <c r="AE63" s="2"/>
    </row>
    <row r="64" spans="1:51">
      <c r="AE64" s="2"/>
    </row>
    <row r="65" spans="31:31">
      <c r="AE65" s="2"/>
    </row>
    <row r="66" spans="31:31">
      <c r="AE66" s="2"/>
    </row>
    <row r="67" spans="31:31">
      <c r="AE67" s="2"/>
    </row>
    <row r="68" spans="31:31">
      <c r="AE68" s="2"/>
    </row>
    <row r="69" spans="31:31">
      <c r="AE69" s="2"/>
    </row>
    <row r="70" spans="31:31">
      <c r="AE70" s="2"/>
    </row>
    <row r="71" spans="31:31">
      <c r="AE71" s="2"/>
    </row>
    <row r="72" spans="31:31">
      <c r="AE72" s="2"/>
    </row>
    <row r="73" spans="31:31">
      <c r="AE73" s="2"/>
    </row>
    <row r="74" spans="31:31">
      <c r="AE74" s="2"/>
    </row>
    <row r="75" spans="31:31">
      <c r="AE75" s="2"/>
    </row>
    <row r="76" spans="31:31">
      <c r="AE76" s="2"/>
    </row>
    <row r="77" spans="31:31">
      <c r="AE77" s="2"/>
    </row>
    <row r="78" spans="31:31">
      <c r="AE78" s="2"/>
    </row>
    <row r="79" spans="31:31">
      <c r="AE79" s="2"/>
    </row>
    <row r="80" spans="31:31">
      <c r="AE80" s="2"/>
    </row>
    <row r="81" spans="31:31">
      <c r="AE81" s="2"/>
    </row>
    <row r="82" spans="31:31">
      <c r="AE82" s="2"/>
    </row>
    <row r="83" spans="31:31">
      <c r="AE83" s="2"/>
    </row>
    <row r="84" spans="31:31">
      <c r="AE84" s="2"/>
    </row>
    <row r="85" spans="31:31">
      <c r="AE85" s="2"/>
    </row>
    <row r="86" spans="31:31">
      <c r="AE86" s="2"/>
    </row>
    <row r="87" spans="31:31">
      <c r="AE87" s="2"/>
    </row>
    <row r="88" spans="31:31">
      <c r="AE88" s="2"/>
    </row>
    <row r="89" spans="31:31">
      <c r="AE89" s="2"/>
    </row>
    <row r="90" spans="31:31">
      <c r="AE90" s="2"/>
    </row>
    <row r="91" spans="31:31">
      <c r="AE91" s="2"/>
    </row>
    <row r="92" spans="31:31">
      <c r="AE92" s="2"/>
    </row>
    <row r="93" spans="31:31">
      <c r="AE93" s="2"/>
    </row>
    <row r="94" spans="31:31">
      <c r="AE94" s="2"/>
    </row>
    <row r="95" spans="31:31">
      <c r="AE95" s="2"/>
    </row>
    <row r="96" spans="31:31">
      <c r="AE96" s="2"/>
    </row>
    <row r="97" spans="31:31">
      <c r="AE97" s="2"/>
    </row>
    <row r="98" spans="31:31">
      <c r="AE98" s="2"/>
    </row>
    <row r="99" spans="31:31">
      <c r="AE99" s="2"/>
    </row>
    <row r="100" spans="31:31">
      <c r="AE100" s="2"/>
    </row>
    <row r="101" spans="31:31">
      <c r="AE101" s="2"/>
    </row>
    <row r="102" spans="31:31">
      <c r="AE102" s="2"/>
    </row>
    <row r="103" spans="31:31">
      <c r="AE103" s="2"/>
    </row>
    <row r="104" spans="31:31">
      <c r="AE104" s="2"/>
    </row>
    <row r="105" spans="31:31">
      <c r="AE105" s="2"/>
    </row>
    <row r="106" spans="31:31">
      <c r="AE106" s="2"/>
    </row>
    <row r="107" spans="31:31">
      <c r="AE107" s="2"/>
    </row>
    <row r="108" spans="31:31">
      <c r="AE108" s="2"/>
    </row>
    <row r="109" spans="31:31">
      <c r="AE109" s="2"/>
    </row>
    <row r="110" spans="31:31">
      <c r="AE110" s="2"/>
    </row>
    <row r="111" spans="31:31">
      <c r="AE111" s="2"/>
    </row>
    <row r="112" spans="31:31">
      <c r="AE112" s="2"/>
    </row>
    <row r="113" spans="31:31">
      <c r="AE113" s="2"/>
    </row>
    <row r="114" spans="31:31">
      <c r="AE114" s="2"/>
    </row>
    <row r="115" spans="31:31">
      <c r="AE115" s="2"/>
    </row>
    <row r="116" spans="31:31">
      <c r="AE116" s="2"/>
    </row>
    <row r="117" spans="31:31">
      <c r="AE117" s="2"/>
    </row>
    <row r="118" spans="31:31">
      <c r="AE118" s="2"/>
    </row>
    <row r="119" spans="31:31">
      <c r="AE119" s="2"/>
    </row>
    <row r="120" spans="31:31">
      <c r="AE120" s="2"/>
    </row>
    <row r="121" spans="31:31">
      <c r="AE121" s="2"/>
    </row>
    <row r="122" spans="31:31">
      <c r="AE122" s="2"/>
    </row>
    <row r="123" spans="31:31">
      <c r="AE123" s="2"/>
    </row>
    <row r="124" spans="31:31">
      <c r="AE124" s="2"/>
    </row>
    <row r="125" spans="31:31">
      <c r="AE125" s="2"/>
    </row>
    <row r="126" spans="31:31">
      <c r="AE126" s="2"/>
    </row>
    <row r="127" spans="31:31">
      <c r="AE127" s="2"/>
    </row>
    <row r="128" spans="31:31">
      <c r="AE128" s="2"/>
    </row>
    <row r="129" spans="31:31">
      <c r="AE129" s="2"/>
    </row>
    <row r="130" spans="31:31">
      <c r="AE130" s="2"/>
    </row>
    <row r="131" spans="31:31">
      <c r="AE131" s="2"/>
    </row>
    <row r="132" spans="31:31">
      <c r="AE132" s="2"/>
    </row>
    <row r="133" spans="31:31">
      <c r="AE133" s="2"/>
    </row>
    <row r="134" spans="31:31">
      <c r="AE134" s="2"/>
    </row>
    <row r="135" spans="31:31">
      <c r="AE135" s="2"/>
    </row>
    <row r="136" spans="31:31">
      <c r="AE136" s="2"/>
    </row>
    <row r="137" spans="31:31">
      <c r="AE137" s="2"/>
    </row>
    <row r="138" spans="31:31">
      <c r="AE138" s="2"/>
    </row>
    <row r="139" spans="31:31">
      <c r="AE139" s="2"/>
    </row>
    <row r="140" spans="31:31">
      <c r="AE140" s="2"/>
    </row>
    <row r="141" spans="31:31">
      <c r="AE141" s="2"/>
    </row>
    <row r="142" spans="31:31">
      <c r="AE142" s="2"/>
    </row>
    <row r="143" spans="31:31">
      <c r="AE143" s="2"/>
    </row>
    <row r="144" spans="31:31">
      <c r="AE144" s="2"/>
    </row>
    <row r="145" spans="31:31">
      <c r="AE145" s="2"/>
    </row>
    <row r="146" spans="31:31">
      <c r="AE146" s="2"/>
    </row>
    <row r="147" spans="31:31">
      <c r="AE147" s="2"/>
    </row>
    <row r="148" spans="31:31">
      <c r="AE148" s="2"/>
    </row>
    <row r="149" spans="31:31">
      <c r="AE149" s="2"/>
    </row>
    <row r="150" spans="31:31">
      <c r="AE150" s="2"/>
    </row>
    <row r="151" spans="31:31">
      <c r="AE151" s="2"/>
    </row>
    <row r="152" spans="31:31">
      <c r="AE152" s="2"/>
    </row>
    <row r="153" spans="31:31">
      <c r="AE153" s="2"/>
    </row>
    <row r="154" spans="31:31">
      <c r="AE154" s="2"/>
    </row>
    <row r="155" spans="31:31">
      <c r="AE155" s="2"/>
    </row>
    <row r="156" spans="31:31">
      <c r="AE156" s="2"/>
    </row>
    <row r="157" spans="31:31">
      <c r="AE157" s="2"/>
    </row>
    <row r="158" spans="31:31">
      <c r="AE158" s="2"/>
    </row>
    <row r="159" spans="31:31">
      <c r="AE159" s="2"/>
    </row>
    <row r="160" spans="31:31">
      <c r="AE160" s="2"/>
    </row>
    <row r="161" spans="31:31">
      <c r="AE161" s="2"/>
    </row>
    <row r="162" spans="31:31">
      <c r="AE162" s="2"/>
    </row>
    <row r="163" spans="31:31">
      <c r="AE163" s="2"/>
    </row>
    <row r="164" spans="31:31">
      <c r="AE164" s="2"/>
    </row>
    <row r="165" spans="31:31">
      <c r="AE165" s="2"/>
    </row>
    <row r="166" spans="31:31">
      <c r="AE166" s="2"/>
    </row>
    <row r="167" spans="31:31">
      <c r="AE167" s="2"/>
    </row>
    <row r="168" spans="31:31">
      <c r="AE168" s="2"/>
    </row>
    <row r="169" spans="31:31">
      <c r="AE169" s="2"/>
    </row>
    <row r="170" spans="31:31">
      <c r="AE170" s="2"/>
    </row>
    <row r="171" spans="31:31">
      <c r="AE171" s="2"/>
    </row>
    <row r="172" spans="31:31">
      <c r="AE172" s="2"/>
    </row>
    <row r="173" spans="31:31">
      <c r="AE173" s="2"/>
    </row>
    <row r="174" spans="31:31">
      <c r="AE174" s="2"/>
    </row>
    <row r="175" spans="31:31">
      <c r="AE175" s="2"/>
    </row>
    <row r="176" spans="31:31">
      <c r="AE176" s="2"/>
    </row>
    <row r="177" spans="31:31">
      <c r="AE177" s="2"/>
    </row>
    <row r="178" spans="31:31">
      <c r="AE178" s="2"/>
    </row>
    <row r="179" spans="31:31">
      <c r="AE179" s="2"/>
    </row>
    <row r="180" spans="31:31">
      <c r="AE180" s="2"/>
    </row>
    <row r="181" spans="31:31">
      <c r="AE181" s="2"/>
    </row>
    <row r="182" spans="31:31">
      <c r="AE182" s="2"/>
    </row>
    <row r="183" spans="31:31">
      <c r="AE183" s="2"/>
    </row>
    <row r="184" spans="31:31">
      <c r="AE184" s="2"/>
    </row>
    <row r="185" spans="31:31">
      <c r="AE185" s="2"/>
    </row>
    <row r="186" spans="31:31">
      <c r="AE186" s="2"/>
    </row>
    <row r="187" spans="31:31">
      <c r="AE187" s="2"/>
    </row>
    <row r="188" spans="31:31">
      <c r="AE188" s="2"/>
    </row>
    <row r="189" spans="31:31">
      <c r="AE189" s="2"/>
    </row>
    <row r="190" spans="31:31">
      <c r="AE190" s="2"/>
    </row>
    <row r="191" spans="31:31">
      <c r="AE191" s="2"/>
    </row>
    <row r="192" spans="31:31">
      <c r="AE192" s="2"/>
    </row>
    <row r="193" spans="31:31">
      <c r="AE193" s="2"/>
    </row>
    <row r="194" spans="31:31">
      <c r="AE194" s="2"/>
    </row>
    <row r="195" spans="31:31">
      <c r="AE195" s="2"/>
    </row>
    <row r="196" spans="31:31">
      <c r="AE196" s="2"/>
    </row>
  </sheetData>
  <mergeCells count="4">
    <mergeCell ref="G1:K1"/>
    <mergeCell ref="L1:P1"/>
    <mergeCell ref="Q1:T1"/>
    <mergeCell ref="U1:V1"/>
  </mergeCells>
  <phoneticPr fontId="3" type="noConversion"/>
  <pageMargins left="0.25" right="0.2" top="0.25" bottom="0.2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66"/>
  <sheetViews>
    <sheetView zoomScaleNormal="100" workbookViewId="0">
      <pane xSplit="6" ySplit="2" topLeftCell="G42" activePane="bottomRight" state="frozen"/>
      <selection activeCell="B62" sqref="B62"/>
      <selection pane="topRight" activeCell="B62" sqref="B62"/>
      <selection pane="bottomLeft" activeCell="B62" sqref="B62"/>
      <selection pane="bottomRight" activeCell="A55" sqref="A55:XFD57"/>
    </sheetView>
  </sheetViews>
  <sheetFormatPr defaultColWidth="9.28515625" defaultRowHeight="13.9" customHeight="1"/>
  <cols>
    <col min="1" max="1" width="8.5703125" style="173" bestFit="1" customWidth="1"/>
    <col min="2" max="2" width="9" style="173" bestFit="1" customWidth="1"/>
    <col min="3" max="3" width="13.5703125" style="174" bestFit="1" customWidth="1"/>
    <col min="4" max="4" width="36.5703125" style="174" customWidth="1"/>
    <col min="5" max="5" width="6.5703125" style="175" customWidth="1"/>
    <col min="6" max="6" width="7.42578125" style="176" bestFit="1" customWidth="1"/>
    <col min="7" max="10" width="8.7109375" style="168" customWidth="1"/>
    <col min="11" max="11" width="9.7109375" style="168" customWidth="1"/>
    <col min="12" max="12" width="7" style="168" customWidth="1"/>
    <col min="13" max="13" width="7.42578125" style="168" customWidth="1"/>
    <col min="14" max="14" width="7.7109375" style="177" customWidth="1"/>
    <col min="15" max="15" width="8.5703125" style="177" bestFit="1" customWidth="1"/>
    <col min="16" max="16" width="8.28515625" style="178" customWidth="1"/>
    <col min="17" max="17" width="9.28515625" style="177" customWidth="1"/>
    <col min="18" max="18" width="10.28515625" style="168" customWidth="1"/>
    <col min="19" max="19" width="6" style="173" customWidth="1"/>
    <col min="20" max="20" width="10.28515625" style="173" bestFit="1" customWidth="1"/>
    <col min="21" max="21" width="10.28515625" style="173" customWidth="1"/>
    <col min="22" max="22" width="10.28515625" style="173" bestFit="1" customWidth="1"/>
    <col min="23" max="16384" width="9.28515625" style="168"/>
  </cols>
  <sheetData>
    <row r="1" spans="1:38" s="158" customFormat="1" ht="13.9" customHeight="1" thickBot="1">
      <c r="A1" s="145"/>
      <c r="B1" s="146"/>
      <c r="C1" s="147"/>
      <c r="D1" s="147"/>
      <c r="E1" s="148"/>
      <c r="F1" s="149"/>
      <c r="G1" s="150" t="s">
        <v>47</v>
      </c>
      <c r="H1" s="151"/>
      <c r="I1" s="151"/>
      <c r="J1" s="151"/>
      <c r="K1" s="152"/>
      <c r="L1" s="153" t="s">
        <v>47</v>
      </c>
      <c r="M1" s="154"/>
      <c r="N1" s="155" t="s">
        <v>13</v>
      </c>
      <c r="O1" s="156" t="s">
        <v>13</v>
      </c>
      <c r="P1" s="40" t="s">
        <v>46</v>
      </c>
      <c r="Q1" s="157" t="s">
        <v>13</v>
      </c>
      <c r="R1" s="59" t="s">
        <v>13</v>
      </c>
      <c r="S1" s="39" t="s">
        <v>13</v>
      </c>
      <c r="T1" s="39" t="s">
        <v>60</v>
      </c>
      <c r="U1" s="39" t="s">
        <v>77</v>
      </c>
      <c r="V1" s="40" t="s">
        <v>60</v>
      </c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</row>
    <row r="2" spans="1:38" s="164" customFormat="1" ht="45.75" thickBot="1">
      <c r="A2" s="38" t="s">
        <v>27</v>
      </c>
      <c r="B2" s="39" t="s">
        <v>84</v>
      </c>
      <c r="C2" s="159" t="s">
        <v>19</v>
      </c>
      <c r="D2" s="159" t="s">
        <v>20</v>
      </c>
      <c r="E2" s="160" t="s">
        <v>76</v>
      </c>
      <c r="F2" s="161" t="s">
        <v>21</v>
      </c>
      <c r="G2" s="162" t="s">
        <v>59</v>
      </c>
      <c r="H2" s="64" t="s">
        <v>73</v>
      </c>
      <c r="I2" s="64" t="s">
        <v>74</v>
      </c>
      <c r="J2" s="64" t="s">
        <v>72</v>
      </c>
      <c r="K2" s="163" t="s">
        <v>40</v>
      </c>
      <c r="L2" s="60" t="s">
        <v>1</v>
      </c>
      <c r="M2" s="61" t="s">
        <v>15</v>
      </c>
      <c r="N2" s="60" t="s">
        <v>17</v>
      </c>
      <c r="O2" s="62" t="s">
        <v>67</v>
      </c>
      <c r="P2" s="30" t="s">
        <v>45</v>
      </c>
      <c r="Q2" s="63" t="s">
        <v>80</v>
      </c>
      <c r="R2" s="64" t="s">
        <v>81</v>
      </c>
      <c r="S2" s="65" t="s">
        <v>82</v>
      </c>
      <c r="T2" s="64" t="s">
        <v>79</v>
      </c>
      <c r="U2" s="64" t="s">
        <v>78</v>
      </c>
      <c r="V2" s="66" t="s">
        <v>83</v>
      </c>
      <c r="W2" s="4"/>
      <c r="X2" s="4"/>
      <c r="Y2" s="42"/>
      <c r="Z2" s="42"/>
      <c r="AA2" s="42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</row>
    <row r="3" spans="1:38" ht="13.9" customHeight="1">
      <c r="A3" s="165">
        <v>9974</v>
      </c>
      <c r="B3" s="165" t="s">
        <v>98</v>
      </c>
      <c r="C3" s="166" t="str">
        <f>Rollover!A3</f>
        <v>Cadillac</v>
      </c>
      <c r="D3" s="166" t="str">
        <f>Rollover!B3</f>
        <v>XT5 SUV AWD</v>
      </c>
      <c r="E3" s="89" t="s">
        <v>99</v>
      </c>
      <c r="F3" s="167">
        <f>Rollover!C3</f>
        <v>2020</v>
      </c>
      <c r="G3" s="47">
        <v>399.03100000000001</v>
      </c>
      <c r="H3" s="11">
        <v>23.43</v>
      </c>
      <c r="I3" s="11">
        <v>39.198</v>
      </c>
      <c r="J3" s="48">
        <v>26.561</v>
      </c>
      <c r="K3" s="48">
        <v>3552.2530000000002</v>
      </c>
      <c r="L3" s="23">
        <f t="shared" ref="L3:L13" si="0">NORMDIST(LN(G3),7.45231,0.73998,1)</f>
        <v>2.3995588768875899E-2</v>
      </c>
      <c r="M3" s="24">
        <f t="shared" ref="M3:M13" si="1">1/(1+EXP(6.3055-0.00094*K3))</f>
        <v>4.8967930481139406E-2</v>
      </c>
      <c r="N3" s="23">
        <f t="shared" ref="N3:N13" si="2">ROUND(1-(1-L3)*(1-M3),3)</f>
        <v>7.1999999999999995E-2</v>
      </c>
      <c r="O3" s="5">
        <f t="shared" ref="O3:O13" si="3">ROUND(N3/0.15,2)</f>
        <v>0.48</v>
      </c>
      <c r="P3" s="22">
        <f t="shared" ref="P3:P13" si="4">IF(O3&lt;0.67,5,IF(O3&lt;1,4,IF(O3&lt;1.33,3,IF(O3&lt;2.67,2,1))))</f>
        <v>5</v>
      </c>
      <c r="Q3" s="67">
        <f>ROUND((0.8*'Side MDB'!W3+0.2*'Side Pole'!N3),3)</f>
        <v>5.1999999999999998E-2</v>
      </c>
      <c r="R3" s="68">
        <f t="shared" ref="R3:R13" si="5">ROUND((Q3)/0.15,2)</f>
        <v>0.35</v>
      </c>
      <c r="S3" s="51">
        <f t="shared" ref="S3:S13" si="6">IF(R3&lt;0.67,5,IF(R3&lt;1,4,IF(R3&lt;1.33,3,IF(R3&lt;2.67,2,1))))</f>
        <v>5</v>
      </c>
      <c r="T3" s="68">
        <f>ROUND(((0.8*'Side MDB'!W3+0.2*'Side Pole'!N3)+(IF('Side MDB'!X3="N/A",(0.8*'Side MDB'!W3+0.2*'Side Pole'!N3),'Side MDB'!X3)))/2,3)</f>
        <v>5.3999999999999999E-2</v>
      </c>
      <c r="U3" s="68">
        <f t="shared" ref="U3:U13" si="7">ROUND((T3)/0.15,2)</f>
        <v>0.36</v>
      </c>
      <c r="V3" s="22">
        <f t="shared" ref="V3:V13" si="8">IF(U3&lt;0.67,5,IF(U3&lt;1,4,IF(U3&lt;1.33,3,IF(U3&lt;2.67,2,1))))</f>
        <v>5</v>
      </c>
      <c r="W3" s="15"/>
      <c r="X3" s="15"/>
      <c r="Y3" s="53"/>
      <c r="Z3" s="53"/>
      <c r="AA3" s="53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</row>
    <row r="4" spans="1:38" ht="13.9" customHeight="1">
      <c r="A4" s="165">
        <v>9974</v>
      </c>
      <c r="B4" s="165" t="s">
        <v>98</v>
      </c>
      <c r="C4" s="166" t="str">
        <f>Rollover!A4</f>
        <v>Cadillac</v>
      </c>
      <c r="D4" s="166" t="str">
        <f>Rollover!B4</f>
        <v>XT5 SUV FWD</v>
      </c>
      <c r="E4" s="89" t="s">
        <v>99</v>
      </c>
      <c r="F4" s="167">
        <f>Rollover!C4</f>
        <v>2020</v>
      </c>
      <c r="G4" s="47">
        <v>399.03100000000001</v>
      </c>
      <c r="H4" s="11">
        <v>23.43</v>
      </c>
      <c r="I4" s="11">
        <v>39.198</v>
      </c>
      <c r="J4" s="48">
        <v>26.561</v>
      </c>
      <c r="K4" s="48">
        <v>3552.2530000000002</v>
      </c>
      <c r="L4" s="23">
        <f t="shared" si="0"/>
        <v>2.3995588768875899E-2</v>
      </c>
      <c r="M4" s="24">
        <f t="shared" si="1"/>
        <v>4.8967930481139406E-2</v>
      </c>
      <c r="N4" s="23">
        <f t="shared" si="2"/>
        <v>7.1999999999999995E-2</v>
      </c>
      <c r="O4" s="5">
        <f t="shared" si="3"/>
        <v>0.48</v>
      </c>
      <c r="P4" s="22">
        <f t="shared" si="4"/>
        <v>5</v>
      </c>
      <c r="Q4" s="67">
        <f>ROUND((0.8*'Side MDB'!W4+0.2*'Side Pole'!N4),3)</f>
        <v>5.1999999999999998E-2</v>
      </c>
      <c r="R4" s="68">
        <f t="shared" si="5"/>
        <v>0.35</v>
      </c>
      <c r="S4" s="51">
        <f t="shared" si="6"/>
        <v>5</v>
      </c>
      <c r="T4" s="68">
        <f>ROUND(((0.8*'Side MDB'!W4+0.2*'Side Pole'!N4)+(IF('Side MDB'!X4="N/A",(0.8*'Side MDB'!W4+0.2*'Side Pole'!N4),'Side MDB'!X4)))/2,3)</f>
        <v>5.3999999999999999E-2</v>
      </c>
      <c r="U4" s="68">
        <f t="shared" si="7"/>
        <v>0.36</v>
      </c>
      <c r="V4" s="22">
        <f t="shared" si="8"/>
        <v>5</v>
      </c>
      <c r="W4" s="15"/>
      <c r="X4" s="15"/>
      <c r="Y4" s="53"/>
      <c r="Z4" s="53"/>
      <c r="AA4" s="53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</row>
    <row r="5" spans="1:38" ht="13.9" customHeight="1">
      <c r="A5" s="169">
        <v>10922</v>
      </c>
      <c r="B5" s="165" t="s">
        <v>194</v>
      </c>
      <c r="C5" s="166" t="str">
        <f>Rollover!A5</f>
        <v>Cadillac</v>
      </c>
      <c r="D5" s="166" t="str">
        <f>Rollover!B5</f>
        <v>XT6 SUV AWD</v>
      </c>
      <c r="E5" s="89" t="s">
        <v>104</v>
      </c>
      <c r="F5" s="167">
        <f>Rollover!C5</f>
        <v>2020</v>
      </c>
      <c r="G5" s="47">
        <v>291.99099999999999</v>
      </c>
      <c r="H5" s="11">
        <v>21.452000000000002</v>
      </c>
      <c r="I5" s="11">
        <v>38.988</v>
      </c>
      <c r="J5" s="48">
        <v>24.802</v>
      </c>
      <c r="K5" s="12">
        <v>2961.5479999999998</v>
      </c>
      <c r="L5" s="23">
        <f t="shared" si="0"/>
        <v>8.2085881046275247E-3</v>
      </c>
      <c r="M5" s="24">
        <f t="shared" si="1"/>
        <v>2.8702603138674551E-2</v>
      </c>
      <c r="N5" s="23">
        <f t="shared" si="2"/>
        <v>3.6999999999999998E-2</v>
      </c>
      <c r="O5" s="5">
        <f t="shared" si="3"/>
        <v>0.25</v>
      </c>
      <c r="P5" s="22">
        <f t="shared" si="4"/>
        <v>5</v>
      </c>
      <c r="Q5" s="67">
        <f>ROUND((0.8*'Side MDB'!W5+0.2*'Side Pole'!N5),3)</f>
        <v>3.1E-2</v>
      </c>
      <c r="R5" s="68">
        <f t="shared" si="5"/>
        <v>0.21</v>
      </c>
      <c r="S5" s="51">
        <f t="shared" si="6"/>
        <v>5</v>
      </c>
      <c r="T5" s="68">
        <f>ROUND(((0.8*'Side MDB'!W5+0.2*'Side Pole'!N5)+(IF('Side MDB'!X5="N/A",(0.8*'Side MDB'!W5+0.2*'Side Pole'!N5),'Side MDB'!X5)))/2,3)</f>
        <v>1.9E-2</v>
      </c>
      <c r="U5" s="68">
        <f t="shared" si="7"/>
        <v>0.13</v>
      </c>
      <c r="V5" s="22">
        <f t="shared" si="8"/>
        <v>5</v>
      </c>
      <c r="W5" s="15"/>
      <c r="X5" s="15"/>
      <c r="Y5" s="53"/>
      <c r="Z5" s="53"/>
      <c r="AA5" s="53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</row>
    <row r="6" spans="1:38" ht="13.9" customHeight="1">
      <c r="A6" s="169">
        <v>10922</v>
      </c>
      <c r="B6" s="165" t="s">
        <v>194</v>
      </c>
      <c r="C6" s="166" t="str">
        <f>Rollover!A6</f>
        <v>Cadillac</v>
      </c>
      <c r="D6" s="166" t="str">
        <f>Rollover!B6</f>
        <v>XT6 SUV FWD</v>
      </c>
      <c r="E6" s="89" t="s">
        <v>104</v>
      </c>
      <c r="F6" s="167">
        <f>Rollover!C6</f>
        <v>2020</v>
      </c>
      <c r="G6" s="47">
        <v>291.99099999999999</v>
      </c>
      <c r="H6" s="11">
        <v>21.452000000000002</v>
      </c>
      <c r="I6" s="11">
        <v>38.988</v>
      </c>
      <c r="J6" s="48">
        <v>24.802</v>
      </c>
      <c r="K6" s="12">
        <v>2961.5479999999998</v>
      </c>
      <c r="L6" s="23">
        <f t="shared" si="0"/>
        <v>8.2085881046275247E-3</v>
      </c>
      <c r="M6" s="24">
        <f t="shared" si="1"/>
        <v>2.8702603138674551E-2</v>
      </c>
      <c r="N6" s="23">
        <f t="shared" si="2"/>
        <v>3.6999999999999998E-2</v>
      </c>
      <c r="O6" s="5">
        <f t="shared" si="3"/>
        <v>0.25</v>
      </c>
      <c r="P6" s="22">
        <f t="shared" si="4"/>
        <v>5</v>
      </c>
      <c r="Q6" s="67">
        <f>ROUND((0.8*'Side MDB'!W6+0.2*'Side Pole'!N6),3)</f>
        <v>3.1E-2</v>
      </c>
      <c r="R6" s="68">
        <f t="shared" si="5"/>
        <v>0.21</v>
      </c>
      <c r="S6" s="51">
        <f t="shared" si="6"/>
        <v>5</v>
      </c>
      <c r="T6" s="68">
        <f>ROUND(((0.8*'Side MDB'!W6+0.2*'Side Pole'!N6)+(IF('Side MDB'!X6="N/A",(0.8*'Side MDB'!W6+0.2*'Side Pole'!N6),'Side MDB'!X6)))/2,3)</f>
        <v>1.9E-2</v>
      </c>
      <c r="U6" s="68">
        <f t="shared" si="7"/>
        <v>0.13</v>
      </c>
      <c r="V6" s="22">
        <f t="shared" si="8"/>
        <v>5</v>
      </c>
      <c r="W6" s="15"/>
      <c r="X6" s="15"/>
      <c r="Y6" s="53"/>
      <c r="Z6" s="53"/>
      <c r="AA6" s="53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</row>
    <row r="7" spans="1:38" ht="13.9" customHeight="1">
      <c r="A7" s="169">
        <v>10829</v>
      </c>
      <c r="B7" s="165" t="s">
        <v>181</v>
      </c>
      <c r="C7" s="166" t="str">
        <f>Rollover!A7</f>
        <v>Chevrolet</v>
      </c>
      <c r="D7" s="166" t="str">
        <f>Rollover!B7</f>
        <v>Malibu 4DR FWD</v>
      </c>
      <c r="E7" s="89" t="s">
        <v>104</v>
      </c>
      <c r="F7" s="167">
        <f>Rollover!C7</f>
        <v>2020</v>
      </c>
      <c r="G7" s="47">
        <v>279.09699999999998</v>
      </c>
      <c r="H7" s="11">
        <v>20.425000000000001</v>
      </c>
      <c r="I7" s="11">
        <v>27.391999999999999</v>
      </c>
      <c r="J7" s="48">
        <v>18.286999999999999</v>
      </c>
      <c r="K7" s="12">
        <v>2443.8339999999998</v>
      </c>
      <c r="L7" s="23">
        <f t="shared" si="0"/>
        <v>6.936399614196326E-3</v>
      </c>
      <c r="M7" s="24">
        <f t="shared" si="1"/>
        <v>1.7840263891864622E-2</v>
      </c>
      <c r="N7" s="23">
        <f t="shared" si="2"/>
        <v>2.5000000000000001E-2</v>
      </c>
      <c r="O7" s="5">
        <f t="shared" si="3"/>
        <v>0.17</v>
      </c>
      <c r="P7" s="22">
        <f t="shared" si="4"/>
        <v>5</v>
      </c>
      <c r="Q7" s="67">
        <f>ROUND((0.8*'Side MDB'!W7+0.2*'Side Pole'!N7),3)</f>
        <v>9.8000000000000004E-2</v>
      </c>
      <c r="R7" s="68">
        <f t="shared" si="5"/>
        <v>0.65</v>
      </c>
      <c r="S7" s="51">
        <f t="shared" si="6"/>
        <v>5</v>
      </c>
      <c r="T7" s="68">
        <f>ROUND(((0.8*'Side MDB'!W7+0.2*'Side Pole'!N7)+(IF('Side MDB'!X7="N/A",(0.8*'Side MDB'!W7+0.2*'Side Pole'!N7),'Side MDB'!X7)))/2,3)</f>
        <v>0.13800000000000001</v>
      </c>
      <c r="U7" s="68">
        <f t="shared" si="7"/>
        <v>0.92</v>
      </c>
      <c r="V7" s="22">
        <f t="shared" si="8"/>
        <v>4</v>
      </c>
      <c r="W7" s="15"/>
      <c r="X7" s="15"/>
      <c r="Y7" s="53"/>
      <c r="Z7" s="53"/>
      <c r="AA7" s="53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</row>
    <row r="8" spans="1:38" ht="13.9" customHeight="1">
      <c r="A8" s="170">
        <v>10967</v>
      </c>
      <c r="B8" s="171" t="s">
        <v>211</v>
      </c>
      <c r="C8" s="172" t="str">
        <f>Rollover!A8</f>
        <v>Ford</v>
      </c>
      <c r="D8" s="172" t="str">
        <f>Rollover!B8</f>
        <v>Escape SUV AWD</v>
      </c>
      <c r="E8" s="89" t="s">
        <v>99</v>
      </c>
      <c r="F8" s="167">
        <f>Rollover!C8</f>
        <v>2020</v>
      </c>
      <c r="G8" s="49">
        <v>344.00700000000001</v>
      </c>
      <c r="H8" s="19">
        <v>22.251999999999999</v>
      </c>
      <c r="I8" s="19">
        <v>31.547000000000001</v>
      </c>
      <c r="J8" s="50">
        <v>22.353000000000002</v>
      </c>
      <c r="K8" s="20">
        <v>2056.777</v>
      </c>
      <c r="L8" s="23">
        <f t="shared" si="0"/>
        <v>1.4704449415837383E-2</v>
      </c>
      <c r="M8" s="24">
        <f t="shared" si="1"/>
        <v>1.2466940172979042E-2</v>
      </c>
      <c r="N8" s="23">
        <f t="shared" si="2"/>
        <v>2.7E-2</v>
      </c>
      <c r="O8" s="5">
        <f t="shared" si="3"/>
        <v>0.18</v>
      </c>
      <c r="P8" s="22">
        <f t="shared" si="4"/>
        <v>5</v>
      </c>
      <c r="Q8" s="67">
        <f>ROUND((0.8*'Side MDB'!W8+0.2*'Side Pole'!N8),3)</f>
        <v>4.7E-2</v>
      </c>
      <c r="R8" s="68">
        <f t="shared" si="5"/>
        <v>0.31</v>
      </c>
      <c r="S8" s="51">
        <f t="shared" si="6"/>
        <v>5</v>
      </c>
      <c r="T8" s="68">
        <f>ROUND(((0.8*'Side MDB'!W8+0.2*'Side Pole'!N8)+(IF('Side MDB'!X8="N/A",(0.8*'Side MDB'!W8+0.2*'Side Pole'!N8),'Side MDB'!X8)))/2,3)</f>
        <v>0.05</v>
      </c>
      <c r="U8" s="68">
        <f t="shared" si="7"/>
        <v>0.33</v>
      </c>
      <c r="V8" s="22">
        <f t="shared" si="8"/>
        <v>5</v>
      </c>
      <c r="W8" s="15"/>
      <c r="X8" s="15"/>
      <c r="Y8" s="53"/>
      <c r="Z8" s="53"/>
      <c r="AA8" s="53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</row>
    <row r="9" spans="1:38" ht="13.9" customHeight="1">
      <c r="A9" s="170">
        <v>10967</v>
      </c>
      <c r="B9" s="171" t="s">
        <v>211</v>
      </c>
      <c r="C9" s="172" t="str">
        <f>Rollover!A9</f>
        <v>Ford</v>
      </c>
      <c r="D9" s="172" t="str">
        <f>Rollover!B9</f>
        <v>Escape SUV FWD</v>
      </c>
      <c r="E9" s="89" t="s">
        <v>99</v>
      </c>
      <c r="F9" s="167">
        <f>Rollover!C9</f>
        <v>2020</v>
      </c>
      <c r="G9" s="49">
        <v>344.00700000000001</v>
      </c>
      <c r="H9" s="19">
        <v>22.251999999999999</v>
      </c>
      <c r="I9" s="19">
        <v>31.547000000000001</v>
      </c>
      <c r="J9" s="50">
        <v>22.353000000000002</v>
      </c>
      <c r="K9" s="20">
        <v>2056.777</v>
      </c>
      <c r="L9" s="23">
        <f t="shared" si="0"/>
        <v>1.4704449415837383E-2</v>
      </c>
      <c r="M9" s="24">
        <f t="shared" si="1"/>
        <v>1.2466940172979042E-2</v>
      </c>
      <c r="N9" s="23">
        <f t="shared" si="2"/>
        <v>2.7E-2</v>
      </c>
      <c r="O9" s="5">
        <f t="shared" si="3"/>
        <v>0.18</v>
      </c>
      <c r="P9" s="22">
        <f t="shared" si="4"/>
        <v>5</v>
      </c>
      <c r="Q9" s="67">
        <f>ROUND((0.8*'Side MDB'!W9+0.2*'Side Pole'!N9),3)</f>
        <v>4.7E-2</v>
      </c>
      <c r="R9" s="68">
        <f t="shared" si="5"/>
        <v>0.31</v>
      </c>
      <c r="S9" s="51">
        <f t="shared" si="6"/>
        <v>5</v>
      </c>
      <c r="T9" s="68">
        <f>ROUND(((0.8*'Side MDB'!W9+0.2*'Side Pole'!N9)+(IF('Side MDB'!X9="N/A",(0.8*'Side MDB'!W9+0.2*'Side Pole'!N9),'Side MDB'!X9)))/2,3)</f>
        <v>0.05</v>
      </c>
      <c r="U9" s="68">
        <f t="shared" si="7"/>
        <v>0.33</v>
      </c>
      <c r="V9" s="22">
        <f t="shared" si="8"/>
        <v>5</v>
      </c>
      <c r="W9" s="15"/>
      <c r="X9" s="15"/>
      <c r="Y9" s="53"/>
      <c r="Z9" s="53"/>
      <c r="AA9" s="53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</row>
    <row r="10" spans="1:38" ht="13.9" customHeight="1">
      <c r="A10" s="170">
        <v>10967</v>
      </c>
      <c r="B10" s="171" t="s">
        <v>211</v>
      </c>
      <c r="C10" s="166" t="str">
        <f>Rollover!A10</f>
        <v>Ford</v>
      </c>
      <c r="D10" s="166" t="str">
        <f>Rollover!B10</f>
        <v>Escape HEV SUV AWD</v>
      </c>
      <c r="E10" s="89" t="s">
        <v>99</v>
      </c>
      <c r="F10" s="167">
        <f>Rollover!C10</f>
        <v>2020</v>
      </c>
      <c r="G10" s="49">
        <v>344.00700000000001</v>
      </c>
      <c r="H10" s="19">
        <v>22.251999999999999</v>
      </c>
      <c r="I10" s="19">
        <v>31.547000000000001</v>
      </c>
      <c r="J10" s="50">
        <v>22.353000000000002</v>
      </c>
      <c r="K10" s="20">
        <v>2056.777</v>
      </c>
      <c r="L10" s="23">
        <f t="shared" si="0"/>
        <v>1.4704449415837383E-2</v>
      </c>
      <c r="M10" s="24">
        <f t="shared" si="1"/>
        <v>1.2466940172979042E-2</v>
      </c>
      <c r="N10" s="23">
        <f t="shared" si="2"/>
        <v>2.7E-2</v>
      </c>
      <c r="O10" s="5">
        <f t="shared" si="3"/>
        <v>0.18</v>
      </c>
      <c r="P10" s="22">
        <f t="shared" si="4"/>
        <v>5</v>
      </c>
      <c r="Q10" s="67">
        <f>ROUND((0.8*'Side MDB'!W10+0.2*'Side Pole'!N10),3)</f>
        <v>4.7E-2</v>
      </c>
      <c r="R10" s="68">
        <f t="shared" si="5"/>
        <v>0.31</v>
      </c>
      <c r="S10" s="51">
        <f t="shared" si="6"/>
        <v>5</v>
      </c>
      <c r="T10" s="68">
        <f>ROUND(((0.8*'Side MDB'!W10+0.2*'Side Pole'!N10)+(IF('Side MDB'!X10="N/A",(0.8*'Side MDB'!W10+0.2*'Side Pole'!N10),'Side MDB'!X10)))/2,3)</f>
        <v>0.05</v>
      </c>
      <c r="U10" s="68">
        <f t="shared" si="7"/>
        <v>0.33</v>
      </c>
      <c r="V10" s="22">
        <f t="shared" si="8"/>
        <v>5</v>
      </c>
      <c r="W10" s="15"/>
      <c r="X10" s="15"/>
      <c r="Y10" s="53"/>
      <c r="Z10" s="53"/>
      <c r="AA10" s="53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</row>
    <row r="11" spans="1:38" ht="13.9" customHeight="1">
      <c r="A11" s="170">
        <v>10967</v>
      </c>
      <c r="B11" s="171" t="s">
        <v>211</v>
      </c>
      <c r="C11" s="166" t="str">
        <f>Rollover!A11</f>
        <v>Ford</v>
      </c>
      <c r="D11" s="166" t="str">
        <f>Rollover!B11</f>
        <v>Escape HEV SUV FWD</v>
      </c>
      <c r="E11" s="89" t="s">
        <v>99</v>
      </c>
      <c r="F11" s="167">
        <f>Rollover!C11</f>
        <v>2020</v>
      </c>
      <c r="G11" s="49">
        <v>344.00700000000001</v>
      </c>
      <c r="H11" s="19">
        <v>22.251999999999999</v>
      </c>
      <c r="I11" s="19">
        <v>31.547000000000001</v>
      </c>
      <c r="J11" s="50">
        <v>22.353000000000002</v>
      </c>
      <c r="K11" s="20">
        <v>2056.777</v>
      </c>
      <c r="L11" s="23">
        <f t="shared" si="0"/>
        <v>1.4704449415837383E-2</v>
      </c>
      <c r="M11" s="24">
        <f t="shared" si="1"/>
        <v>1.2466940172979042E-2</v>
      </c>
      <c r="N11" s="23">
        <f t="shared" si="2"/>
        <v>2.7E-2</v>
      </c>
      <c r="O11" s="5">
        <f t="shared" si="3"/>
        <v>0.18</v>
      </c>
      <c r="P11" s="22">
        <f t="shared" si="4"/>
        <v>5</v>
      </c>
      <c r="Q11" s="67">
        <f>ROUND((0.8*'Side MDB'!W11+0.2*'Side Pole'!N11),3)</f>
        <v>4.7E-2</v>
      </c>
      <c r="R11" s="68">
        <f t="shared" si="5"/>
        <v>0.31</v>
      </c>
      <c r="S11" s="51">
        <f t="shared" si="6"/>
        <v>5</v>
      </c>
      <c r="T11" s="68">
        <f>ROUND(((0.8*'Side MDB'!W11+0.2*'Side Pole'!N11)+(IF('Side MDB'!X11="N/A",(0.8*'Side MDB'!W11+0.2*'Side Pole'!N11),'Side MDB'!X11)))/2,3)</f>
        <v>0.05</v>
      </c>
      <c r="U11" s="68">
        <f t="shared" si="7"/>
        <v>0.33</v>
      </c>
      <c r="V11" s="22">
        <f t="shared" si="8"/>
        <v>5</v>
      </c>
      <c r="W11" s="15"/>
      <c r="X11" s="15"/>
      <c r="Y11" s="53"/>
      <c r="Z11" s="53"/>
      <c r="AA11" s="53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</row>
    <row r="12" spans="1:38" ht="13.9" customHeight="1">
      <c r="A12" s="170">
        <v>10967</v>
      </c>
      <c r="B12" s="171" t="s">
        <v>211</v>
      </c>
      <c r="C12" s="172" t="str">
        <f>Rollover!A12</f>
        <v>Lincoln</v>
      </c>
      <c r="D12" s="172" t="str">
        <f>Rollover!B12</f>
        <v>Corsair SUV AWD</v>
      </c>
      <c r="E12" s="89" t="s">
        <v>99</v>
      </c>
      <c r="F12" s="167">
        <f>Rollover!C12</f>
        <v>2020</v>
      </c>
      <c r="G12" s="49">
        <v>344.00700000000001</v>
      </c>
      <c r="H12" s="19">
        <v>22.251999999999999</v>
      </c>
      <c r="I12" s="19">
        <v>31.547000000000001</v>
      </c>
      <c r="J12" s="50">
        <v>22.353000000000002</v>
      </c>
      <c r="K12" s="20">
        <v>2056.777</v>
      </c>
      <c r="L12" s="23">
        <f t="shared" si="0"/>
        <v>1.4704449415837383E-2</v>
      </c>
      <c r="M12" s="24">
        <f t="shared" si="1"/>
        <v>1.2466940172979042E-2</v>
      </c>
      <c r="N12" s="23">
        <f t="shared" si="2"/>
        <v>2.7E-2</v>
      </c>
      <c r="O12" s="5">
        <f t="shared" si="3"/>
        <v>0.18</v>
      </c>
      <c r="P12" s="22">
        <f t="shared" si="4"/>
        <v>5</v>
      </c>
      <c r="Q12" s="67">
        <f>ROUND((0.8*'Side MDB'!W12+0.2*'Side Pole'!N12),3)</f>
        <v>4.7E-2</v>
      </c>
      <c r="R12" s="68">
        <f t="shared" si="5"/>
        <v>0.31</v>
      </c>
      <c r="S12" s="51">
        <f t="shared" si="6"/>
        <v>5</v>
      </c>
      <c r="T12" s="68">
        <f>ROUND(((0.8*'Side MDB'!W12+0.2*'Side Pole'!N12)+(IF('Side MDB'!X12="N/A",(0.8*'Side MDB'!W12+0.2*'Side Pole'!N12),'Side MDB'!X12)))/2,3)</f>
        <v>0.05</v>
      </c>
      <c r="U12" s="68">
        <f t="shared" si="7"/>
        <v>0.33</v>
      </c>
      <c r="V12" s="22">
        <f t="shared" si="8"/>
        <v>5</v>
      </c>
      <c r="W12" s="15"/>
      <c r="X12" s="15"/>
      <c r="Y12" s="53"/>
      <c r="Z12" s="53"/>
      <c r="AA12" s="53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</row>
    <row r="13" spans="1:38" ht="13.9" customHeight="1">
      <c r="A13" s="170">
        <v>10967</v>
      </c>
      <c r="B13" s="171" t="s">
        <v>211</v>
      </c>
      <c r="C13" s="172" t="str">
        <f>Rollover!A13</f>
        <v>Lincoln</v>
      </c>
      <c r="D13" s="172" t="str">
        <f>Rollover!B13</f>
        <v>Corsair SUV FWD</v>
      </c>
      <c r="E13" s="89" t="s">
        <v>99</v>
      </c>
      <c r="F13" s="167">
        <f>Rollover!C13</f>
        <v>2020</v>
      </c>
      <c r="G13" s="49">
        <v>344.00700000000001</v>
      </c>
      <c r="H13" s="19">
        <v>22.251999999999999</v>
      </c>
      <c r="I13" s="19">
        <v>31.547000000000001</v>
      </c>
      <c r="J13" s="50">
        <v>22.353000000000002</v>
      </c>
      <c r="K13" s="20">
        <v>2056.777</v>
      </c>
      <c r="L13" s="23">
        <f t="shared" si="0"/>
        <v>1.4704449415837383E-2</v>
      </c>
      <c r="M13" s="24">
        <f t="shared" si="1"/>
        <v>1.2466940172979042E-2</v>
      </c>
      <c r="N13" s="23">
        <f t="shared" si="2"/>
        <v>2.7E-2</v>
      </c>
      <c r="O13" s="5">
        <f t="shared" si="3"/>
        <v>0.18</v>
      </c>
      <c r="P13" s="22">
        <f t="shared" si="4"/>
        <v>5</v>
      </c>
      <c r="Q13" s="67">
        <f>ROUND((0.8*'Side MDB'!W13+0.2*'Side Pole'!N13),3)</f>
        <v>4.7E-2</v>
      </c>
      <c r="R13" s="68">
        <f t="shared" si="5"/>
        <v>0.31</v>
      </c>
      <c r="S13" s="51">
        <f t="shared" si="6"/>
        <v>5</v>
      </c>
      <c r="T13" s="68">
        <f>ROUND(((0.8*'Side MDB'!W13+0.2*'Side Pole'!N13)+(IF('Side MDB'!X13="N/A",(0.8*'Side MDB'!W13+0.2*'Side Pole'!N13),'Side MDB'!X13)))/2,3)</f>
        <v>0.05</v>
      </c>
      <c r="U13" s="68">
        <f t="shared" si="7"/>
        <v>0.33</v>
      </c>
      <c r="V13" s="22">
        <f t="shared" si="8"/>
        <v>5</v>
      </c>
      <c r="W13" s="15"/>
      <c r="X13" s="15"/>
      <c r="Y13" s="53"/>
      <c r="Z13" s="53"/>
      <c r="AA13" s="53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</row>
    <row r="14" spans="1:38" ht="13.9" customHeight="1">
      <c r="A14" s="165">
        <v>8995</v>
      </c>
      <c r="B14" s="165" t="s">
        <v>119</v>
      </c>
      <c r="C14" s="166" t="str">
        <f>Rollover!A14</f>
        <v>Ford</v>
      </c>
      <c r="D14" s="166" t="str">
        <f>Rollover!B14</f>
        <v>Transit Wagon High Roof (8,10,12 Pass) RWD</v>
      </c>
      <c r="E14" s="89" t="s">
        <v>85</v>
      </c>
      <c r="F14" s="167">
        <f>Rollover!C14</f>
        <v>2020</v>
      </c>
      <c r="G14" s="47">
        <v>329.47800000000001</v>
      </c>
      <c r="H14" s="11">
        <v>14.62</v>
      </c>
      <c r="I14" s="11">
        <v>39.817999999999998</v>
      </c>
      <c r="J14" s="48">
        <v>22.263000000000002</v>
      </c>
      <c r="K14" s="48">
        <v>3011.241</v>
      </c>
      <c r="L14" s="23">
        <f t="shared" ref="L14:L48" si="9">NORMDIST(LN(G14),7.45231,0.73998,1)</f>
        <v>1.2666808890806527E-2</v>
      </c>
      <c r="M14" s="24">
        <f t="shared" ref="M14:M48" si="10">1/(1+EXP(6.3055-0.00094*K14))</f>
        <v>3.0033926764632565E-2</v>
      </c>
      <c r="N14" s="23">
        <f t="shared" ref="N14:N48" si="11">ROUND(1-(1-L14)*(1-M14),3)</f>
        <v>4.2000000000000003E-2</v>
      </c>
      <c r="O14" s="5">
        <f t="shared" ref="O14:O48" si="12">ROUND(N14/0.15,2)</f>
        <v>0.28000000000000003</v>
      </c>
      <c r="P14" s="22">
        <f t="shared" ref="P14:P48" si="13">IF(O14&lt;0.67,5,IF(O14&lt;1,4,IF(O14&lt;1.33,3,IF(O14&lt;2.67,2,1))))</f>
        <v>5</v>
      </c>
      <c r="Q14" s="67">
        <f>ROUND((0.8*'Side MDB'!W14+0.2*'Side Pole'!N14),3)</f>
        <v>2.3E-2</v>
      </c>
      <c r="R14" s="68">
        <f t="shared" ref="R14:R48" si="14">ROUND((Q14)/0.15,2)</f>
        <v>0.15</v>
      </c>
      <c r="S14" s="51">
        <f t="shared" ref="S14:S48" si="15">IF(R14&lt;0.67,5,IF(R14&lt;1,4,IF(R14&lt;1.33,3,IF(R14&lt;2.67,2,1))))</f>
        <v>5</v>
      </c>
      <c r="T14" s="68">
        <f>ROUND(((0.8*'Side MDB'!W14+0.2*'Side Pole'!N14)+(IF('Side MDB'!X14="N/A",(0.8*'Side MDB'!W14+0.2*'Side Pole'!N14),'Side MDB'!X14)))/2,3)</f>
        <v>1.6E-2</v>
      </c>
      <c r="U14" s="68">
        <f t="shared" ref="U14:U48" si="16">ROUND((T14)/0.15,2)</f>
        <v>0.11</v>
      </c>
      <c r="V14" s="22">
        <f t="shared" ref="V14:V48" si="17">IF(U14&lt;0.67,5,IF(U14&lt;1,4,IF(U14&lt;1.33,3,IF(U14&lt;2.67,2,1))))</f>
        <v>5</v>
      </c>
      <c r="W14" s="15"/>
      <c r="X14" s="15"/>
      <c r="Y14" s="53"/>
      <c r="Z14" s="53"/>
      <c r="AA14" s="53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</row>
    <row r="15" spans="1:38" ht="13.9" customHeight="1">
      <c r="A15" s="165">
        <v>8995</v>
      </c>
      <c r="B15" s="165" t="s">
        <v>119</v>
      </c>
      <c r="C15" s="166" t="str">
        <f>Rollover!A15</f>
        <v>Ford</v>
      </c>
      <c r="D15" s="166" t="str">
        <f>Rollover!B15</f>
        <v>Transit Wagon High Roof (15 Pass) RWD</v>
      </c>
      <c r="E15" s="89" t="s">
        <v>85</v>
      </c>
      <c r="F15" s="167">
        <f>Rollover!C16</f>
        <v>2020</v>
      </c>
      <c r="G15" s="47">
        <v>329.47800000000001</v>
      </c>
      <c r="H15" s="11">
        <v>14.62</v>
      </c>
      <c r="I15" s="11">
        <v>39.817999999999998</v>
      </c>
      <c r="J15" s="48">
        <v>22.263000000000002</v>
      </c>
      <c r="K15" s="48">
        <v>3011.241</v>
      </c>
      <c r="L15" s="23">
        <f t="shared" si="9"/>
        <v>1.2666808890806527E-2</v>
      </c>
      <c r="M15" s="24">
        <f t="shared" si="10"/>
        <v>3.0033926764632565E-2</v>
      </c>
      <c r="N15" s="23">
        <f t="shared" si="11"/>
        <v>4.2000000000000003E-2</v>
      </c>
      <c r="O15" s="5">
        <f t="shared" si="12"/>
        <v>0.28000000000000003</v>
      </c>
      <c r="P15" s="22">
        <f t="shared" si="13"/>
        <v>5</v>
      </c>
      <c r="Q15" s="67">
        <f>ROUND((0.8*'Side MDB'!W15+0.2*'Side Pole'!N15),3)</f>
        <v>2.3E-2</v>
      </c>
      <c r="R15" s="68">
        <f t="shared" si="14"/>
        <v>0.15</v>
      </c>
      <c r="S15" s="51">
        <f t="shared" si="15"/>
        <v>5</v>
      </c>
      <c r="T15" s="68">
        <f>ROUND(((0.8*'Side MDB'!W15+0.2*'Side Pole'!N15)+(IF('Side MDB'!X15="N/A",(0.8*'Side MDB'!W15+0.2*'Side Pole'!N15),'Side MDB'!X15)))/2,3)</f>
        <v>1.6E-2</v>
      </c>
      <c r="U15" s="68">
        <f t="shared" si="16"/>
        <v>0.11</v>
      </c>
      <c r="V15" s="22">
        <f t="shared" si="17"/>
        <v>5</v>
      </c>
      <c r="W15" s="15"/>
      <c r="X15" s="15"/>
      <c r="Y15" s="53"/>
      <c r="Z15" s="53"/>
      <c r="AA15" s="53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</row>
    <row r="16" spans="1:38" ht="13.9" customHeight="1">
      <c r="A16" s="165">
        <v>8995</v>
      </c>
      <c r="B16" s="165" t="s">
        <v>119</v>
      </c>
      <c r="C16" s="172" t="str">
        <f>Rollover!A16</f>
        <v>Ford</v>
      </c>
      <c r="D16" s="172" t="str">
        <f>Rollover!B16</f>
        <v>Transit Wagon Medium Roof (8,10,12 Pass) RWD</v>
      </c>
      <c r="E16" s="89" t="s">
        <v>85</v>
      </c>
      <c r="F16" s="167">
        <f>Rollover!C17</f>
        <v>2020</v>
      </c>
      <c r="G16" s="47">
        <v>329.47800000000001</v>
      </c>
      <c r="H16" s="11">
        <v>14.62</v>
      </c>
      <c r="I16" s="11">
        <v>39.817999999999998</v>
      </c>
      <c r="J16" s="48">
        <v>22.263000000000002</v>
      </c>
      <c r="K16" s="48">
        <v>3011.241</v>
      </c>
      <c r="L16" s="23">
        <f t="shared" si="9"/>
        <v>1.2666808890806527E-2</v>
      </c>
      <c r="M16" s="24">
        <f t="shared" si="10"/>
        <v>3.0033926764632565E-2</v>
      </c>
      <c r="N16" s="23">
        <f t="shared" si="11"/>
        <v>4.2000000000000003E-2</v>
      </c>
      <c r="O16" s="5">
        <f t="shared" si="12"/>
        <v>0.28000000000000003</v>
      </c>
      <c r="P16" s="22">
        <f t="shared" si="13"/>
        <v>5</v>
      </c>
      <c r="Q16" s="67">
        <f>ROUND((0.8*'Side MDB'!W16+0.2*'Side Pole'!N16),3)</f>
        <v>2.3E-2</v>
      </c>
      <c r="R16" s="68">
        <f t="shared" si="14"/>
        <v>0.15</v>
      </c>
      <c r="S16" s="51">
        <f t="shared" si="15"/>
        <v>5</v>
      </c>
      <c r="T16" s="68">
        <f>ROUND(((0.8*'Side MDB'!W16+0.2*'Side Pole'!N16)+(IF('Side MDB'!X16="N/A",(0.8*'Side MDB'!W16+0.2*'Side Pole'!N16),'Side MDB'!X16)))/2,3)</f>
        <v>1.6E-2</v>
      </c>
      <c r="U16" s="68">
        <f t="shared" si="16"/>
        <v>0.11</v>
      </c>
      <c r="V16" s="22">
        <f t="shared" si="17"/>
        <v>5</v>
      </c>
      <c r="W16" s="15"/>
      <c r="X16" s="15"/>
      <c r="Y16" s="53"/>
      <c r="Z16" s="53"/>
      <c r="AA16" s="53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</row>
    <row r="17" spans="1:38" ht="13.9" customHeight="1">
      <c r="A17" s="165">
        <v>8995</v>
      </c>
      <c r="B17" s="165" t="s">
        <v>119</v>
      </c>
      <c r="C17" s="172" t="str">
        <f>Rollover!A17</f>
        <v>Ford</v>
      </c>
      <c r="D17" s="172" t="str">
        <f>Rollover!B17</f>
        <v>Transit Wagon Medium Roof (15 Pass) RWD</v>
      </c>
      <c r="E17" s="89" t="s">
        <v>85</v>
      </c>
      <c r="F17" s="167">
        <f>Rollover!C17</f>
        <v>2020</v>
      </c>
      <c r="G17" s="47">
        <v>329.47800000000001</v>
      </c>
      <c r="H17" s="11">
        <v>14.62</v>
      </c>
      <c r="I17" s="11">
        <v>39.817999999999998</v>
      </c>
      <c r="J17" s="48">
        <v>22.263000000000002</v>
      </c>
      <c r="K17" s="48">
        <v>3011.241</v>
      </c>
      <c r="L17" s="23">
        <f t="shared" si="9"/>
        <v>1.2666808890806527E-2</v>
      </c>
      <c r="M17" s="24">
        <f t="shared" si="10"/>
        <v>3.0033926764632565E-2</v>
      </c>
      <c r="N17" s="23">
        <f t="shared" si="11"/>
        <v>4.2000000000000003E-2</v>
      </c>
      <c r="O17" s="5">
        <f t="shared" si="12"/>
        <v>0.28000000000000003</v>
      </c>
      <c r="P17" s="22">
        <f t="shared" si="13"/>
        <v>5</v>
      </c>
      <c r="Q17" s="67">
        <f>ROUND((0.8*'Side MDB'!W17+0.2*'Side Pole'!N17),3)</f>
        <v>2.3E-2</v>
      </c>
      <c r="R17" s="68">
        <f t="shared" si="14"/>
        <v>0.15</v>
      </c>
      <c r="S17" s="51">
        <f t="shared" si="15"/>
        <v>5</v>
      </c>
      <c r="T17" s="68">
        <f>ROUND(((0.8*'Side MDB'!W17+0.2*'Side Pole'!N17)+(IF('Side MDB'!X17="N/A",(0.8*'Side MDB'!W17+0.2*'Side Pole'!N17),'Side MDB'!X17)))/2,3)</f>
        <v>1.6E-2</v>
      </c>
      <c r="U17" s="68">
        <f t="shared" si="16"/>
        <v>0.11</v>
      </c>
      <c r="V17" s="22">
        <f t="shared" si="17"/>
        <v>5</v>
      </c>
      <c r="W17" s="15"/>
      <c r="X17" s="15"/>
      <c r="Y17" s="53"/>
      <c r="Z17" s="53"/>
      <c r="AA17" s="53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</row>
    <row r="18" spans="1:38" ht="13.9" customHeight="1">
      <c r="A18" s="165">
        <v>8995</v>
      </c>
      <c r="B18" s="165" t="s">
        <v>119</v>
      </c>
      <c r="C18" s="166" t="str">
        <f>Rollover!A18</f>
        <v>Ford</v>
      </c>
      <c r="D18" s="166" t="str">
        <f>Rollover!B18</f>
        <v>Transit Wagon Low Roof (8,10,12 Pass) RWD</v>
      </c>
      <c r="E18" s="89" t="s">
        <v>85</v>
      </c>
      <c r="F18" s="167">
        <f>Rollover!C18</f>
        <v>2020</v>
      </c>
      <c r="G18" s="47">
        <v>329.47800000000001</v>
      </c>
      <c r="H18" s="11">
        <v>14.62</v>
      </c>
      <c r="I18" s="11">
        <v>39.817999999999998</v>
      </c>
      <c r="J18" s="48">
        <v>22.263000000000002</v>
      </c>
      <c r="K18" s="48">
        <v>3011.241</v>
      </c>
      <c r="L18" s="23">
        <f t="shared" si="9"/>
        <v>1.2666808890806527E-2</v>
      </c>
      <c r="M18" s="24">
        <f t="shared" si="10"/>
        <v>3.0033926764632565E-2</v>
      </c>
      <c r="N18" s="23">
        <f t="shared" si="11"/>
        <v>4.2000000000000003E-2</v>
      </c>
      <c r="O18" s="5">
        <f t="shared" si="12"/>
        <v>0.28000000000000003</v>
      </c>
      <c r="P18" s="22">
        <f t="shared" si="13"/>
        <v>5</v>
      </c>
      <c r="Q18" s="67">
        <f>ROUND((0.8*'Side MDB'!W18+0.2*'Side Pole'!N18),3)</f>
        <v>2.3E-2</v>
      </c>
      <c r="R18" s="68">
        <f t="shared" si="14"/>
        <v>0.15</v>
      </c>
      <c r="S18" s="51">
        <f t="shared" si="15"/>
        <v>5</v>
      </c>
      <c r="T18" s="68">
        <f>ROUND(((0.8*'Side MDB'!W18+0.2*'Side Pole'!N18)+(IF('Side MDB'!X18="N/A",(0.8*'Side MDB'!W18+0.2*'Side Pole'!N18),'Side MDB'!X18)))/2,3)</f>
        <v>1.6E-2</v>
      </c>
      <c r="U18" s="68">
        <f t="shared" si="16"/>
        <v>0.11</v>
      </c>
      <c r="V18" s="22">
        <f t="shared" si="17"/>
        <v>5</v>
      </c>
      <c r="W18" s="15"/>
      <c r="X18" s="15"/>
      <c r="Y18" s="53"/>
      <c r="Z18" s="53"/>
      <c r="AA18" s="53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</row>
    <row r="19" spans="1:38" ht="13.9" customHeight="1">
      <c r="A19" s="165">
        <v>8995</v>
      </c>
      <c r="B19" s="165" t="s">
        <v>119</v>
      </c>
      <c r="C19" s="166" t="str">
        <f>Rollover!A19</f>
        <v>Ford</v>
      </c>
      <c r="D19" s="166" t="str">
        <f>Rollover!B19</f>
        <v>Transit Wagon Low Roof (15 Pass) RWD</v>
      </c>
      <c r="E19" s="89" t="s">
        <v>85</v>
      </c>
      <c r="F19" s="167">
        <f>Rollover!C19</f>
        <v>2020</v>
      </c>
      <c r="G19" s="47">
        <v>329.47800000000001</v>
      </c>
      <c r="H19" s="11">
        <v>14.62</v>
      </c>
      <c r="I19" s="11">
        <v>39.817999999999998</v>
      </c>
      <c r="J19" s="48">
        <v>22.263000000000002</v>
      </c>
      <c r="K19" s="48">
        <v>3011.241</v>
      </c>
      <c r="L19" s="23">
        <f t="shared" ref="L19:L32" si="18">NORMDIST(LN(G19),7.45231,0.73998,1)</f>
        <v>1.2666808890806527E-2</v>
      </c>
      <c r="M19" s="24">
        <f t="shared" ref="M19:M32" si="19">1/(1+EXP(6.3055-0.00094*K19))</f>
        <v>3.0033926764632565E-2</v>
      </c>
      <c r="N19" s="23">
        <f t="shared" ref="N19:N32" si="20">ROUND(1-(1-L19)*(1-M19),3)</f>
        <v>4.2000000000000003E-2</v>
      </c>
      <c r="O19" s="5">
        <f t="shared" ref="O19:O32" si="21">ROUND(N19/0.15,2)</f>
        <v>0.28000000000000003</v>
      </c>
      <c r="P19" s="22">
        <f t="shared" ref="P19:P32" si="22">IF(O19&lt;0.67,5,IF(O19&lt;1,4,IF(O19&lt;1.33,3,IF(O19&lt;2.67,2,1))))</f>
        <v>5</v>
      </c>
      <c r="Q19" s="67">
        <f>ROUND((0.8*'Side MDB'!W19+0.2*'Side Pole'!N19),3)</f>
        <v>2.3E-2</v>
      </c>
      <c r="R19" s="68">
        <f t="shared" ref="R19:R32" si="23">ROUND((Q19)/0.15,2)</f>
        <v>0.15</v>
      </c>
      <c r="S19" s="51">
        <f t="shared" ref="S19:S32" si="24">IF(R19&lt;0.67,5,IF(R19&lt;1,4,IF(R19&lt;1.33,3,IF(R19&lt;2.67,2,1))))</f>
        <v>5</v>
      </c>
      <c r="T19" s="68">
        <f>ROUND(((0.8*'Side MDB'!W19+0.2*'Side Pole'!N19)+(IF('Side MDB'!X19="N/A",(0.8*'Side MDB'!W19+0.2*'Side Pole'!N19),'Side MDB'!X19)))/2,3)</f>
        <v>1.6E-2</v>
      </c>
      <c r="U19" s="68">
        <f t="shared" ref="U19:U32" si="25">ROUND((T19)/0.15,2)</f>
        <v>0.11</v>
      </c>
      <c r="V19" s="22">
        <f t="shared" ref="V19:V32" si="26">IF(U19&lt;0.67,5,IF(U19&lt;1,4,IF(U19&lt;1.33,3,IF(U19&lt;2.67,2,1))))</f>
        <v>5</v>
      </c>
      <c r="W19" s="15"/>
      <c r="X19" s="15"/>
      <c r="Y19" s="53"/>
      <c r="Z19" s="53"/>
      <c r="AA19" s="53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</row>
    <row r="20" spans="1:38" ht="13.9" customHeight="1">
      <c r="A20" s="169"/>
      <c r="B20" s="165"/>
      <c r="C20" s="166" t="str">
        <f>Rollover!A20</f>
        <v>Ford</v>
      </c>
      <c r="D20" s="166" t="str">
        <f>Rollover!B20</f>
        <v>Transit Van RWD</v>
      </c>
      <c r="E20" s="89"/>
      <c r="F20" s="167">
        <f>Rollover!C20</f>
        <v>2020</v>
      </c>
      <c r="G20" s="47"/>
      <c r="H20" s="11"/>
      <c r="I20" s="11"/>
      <c r="J20" s="48"/>
      <c r="K20" s="12"/>
      <c r="L20" s="23" t="e">
        <f t="shared" si="18"/>
        <v>#NUM!</v>
      </c>
      <c r="M20" s="24">
        <f t="shared" si="19"/>
        <v>1.8229037773026034E-3</v>
      </c>
      <c r="N20" s="23" t="e">
        <f t="shared" si="20"/>
        <v>#NUM!</v>
      </c>
      <c r="O20" s="5" t="e">
        <f t="shared" si="21"/>
        <v>#NUM!</v>
      </c>
      <c r="P20" s="22" t="e">
        <f t="shared" si="22"/>
        <v>#NUM!</v>
      </c>
      <c r="Q20" s="67" t="e">
        <f>ROUND((0.8*'Side MDB'!W20+0.2*'Side Pole'!N20),3)</f>
        <v>#NUM!</v>
      </c>
      <c r="R20" s="68" t="e">
        <f t="shared" si="23"/>
        <v>#NUM!</v>
      </c>
      <c r="S20" s="51" t="e">
        <f t="shared" si="24"/>
        <v>#NUM!</v>
      </c>
      <c r="T20" s="68" t="e">
        <f>ROUND(((0.8*'Side MDB'!W20+0.2*'Side Pole'!N20)+(IF('Side MDB'!X20="N/A",(0.8*'Side MDB'!W20+0.2*'Side Pole'!N20),'Side MDB'!X20)))/2,3)</f>
        <v>#NUM!</v>
      </c>
      <c r="U20" s="68" t="e">
        <f t="shared" si="25"/>
        <v>#NUM!</v>
      </c>
      <c r="V20" s="22" t="e">
        <f t="shared" si="26"/>
        <v>#NUM!</v>
      </c>
      <c r="W20" s="15"/>
      <c r="X20" s="15"/>
      <c r="Y20" s="53"/>
      <c r="Z20" s="53"/>
      <c r="AA20" s="53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</row>
    <row r="21" spans="1:38" ht="13.9" customHeight="1">
      <c r="A21" s="165">
        <v>10991</v>
      </c>
      <c r="B21" s="165" t="s">
        <v>238</v>
      </c>
      <c r="C21" s="172" t="str">
        <f>Rollover!A21</f>
        <v xml:space="preserve">GMC </v>
      </c>
      <c r="D21" s="172" t="str">
        <f>Rollover!B21</f>
        <v>Acadia SUV AWD</v>
      </c>
      <c r="E21" s="89" t="s">
        <v>85</v>
      </c>
      <c r="F21" s="167">
        <f>Rollover!C21</f>
        <v>2020</v>
      </c>
      <c r="G21" s="47">
        <v>381.29899999999998</v>
      </c>
      <c r="H21" s="11">
        <v>16.835999999999999</v>
      </c>
      <c r="I21" s="11">
        <v>36.082000000000001</v>
      </c>
      <c r="J21" s="48">
        <v>16.276</v>
      </c>
      <c r="K21" s="48">
        <v>3381.0390000000002</v>
      </c>
      <c r="L21" s="23">
        <f t="shared" si="18"/>
        <v>2.0731290520643184E-2</v>
      </c>
      <c r="M21" s="24">
        <f t="shared" si="19"/>
        <v>4.1994158913345132E-2</v>
      </c>
      <c r="N21" s="23">
        <f t="shared" si="20"/>
        <v>6.2E-2</v>
      </c>
      <c r="O21" s="5">
        <f t="shared" si="21"/>
        <v>0.41</v>
      </c>
      <c r="P21" s="22">
        <f t="shared" si="22"/>
        <v>5</v>
      </c>
      <c r="Q21" s="67">
        <f>ROUND((0.8*'Side MDB'!W21+0.2*'Side Pole'!N21),3)</f>
        <v>5.2999999999999999E-2</v>
      </c>
      <c r="R21" s="68">
        <f t="shared" si="23"/>
        <v>0.35</v>
      </c>
      <c r="S21" s="51">
        <f t="shared" si="24"/>
        <v>5</v>
      </c>
      <c r="T21" s="68">
        <f>ROUND(((0.8*'Side MDB'!W21+0.2*'Side Pole'!N21)+(IF('Side MDB'!X21="N/A",(0.8*'Side MDB'!W21+0.2*'Side Pole'!N21),'Side MDB'!X21)))/2,3)</f>
        <v>5.3999999999999999E-2</v>
      </c>
      <c r="U21" s="68">
        <f t="shared" si="25"/>
        <v>0.36</v>
      </c>
      <c r="V21" s="22">
        <f t="shared" si="26"/>
        <v>5</v>
      </c>
      <c r="W21" s="15"/>
      <c r="X21" s="15"/>
      <c r="Y21" s="53"/>
      <c r="Z21" s="53"/>
      <c r="AA21" s="53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</row>
    <row r="22" spans="1:38" ht="13.9" customHeight="1">
      <c r="A22" s="165">
        <v>10991</v>
      </c>
      <c r="B22" s="165" t="s">
        <v>238</v>
      </c>
      <c r="C22" s="166" t="str">
        <f>Rollover!A22</f>
        <v xml:space="preserve">GMC </v>
      </c>
      <c r="D22" s="166" t="str">
        <f>Rollover!B22</f>
        <v>Acadia SUV FWD</v>
      </c>
      <c r="E22" s="89" t="s">
        <v>85</v>
      </c>
      <c r="F22" s="167">
        <f>Rollover!C22</f>
        <v>2020</v>
      </c>
      <c r="G22" s="47">
        <v>381.29899999999998</v>
      </c>
      <c r="H22" s="11">
        <v>16.835999999999999</v>
      </c>
      <c r="I22" s="11">
        <v>36.082000000000001</v>
      </c>
      <c r="J22" s="48">
        <v>16.276</v>
      </c>
      <c r="K22" s="48">
        <v>3381.0390000000002</v>
      </c>
      <c r="L22" s="23">
        <f t="shared" si="18"/>
        <v>2.0731290520643184E-2</v>
      </c>
      <c r="M22" s="24">
        <f t="shared" si="19"/>
        <v>4.1994158913345132E-2</v>
      </c>
      <c r="N22" s="23">
        <f t="shared" si="20"/>
        <v>6.2E-2</v>
      </c>
      <c r="O22" s="5">
        <f t="shared" si="21"/>
        <v>0.41</v>
      </c>
      <c r="P22" s="22">
        <f t="shared" si="22"/>
        <v>5</v>
      </c>
      <c r="Q22" s="67">
        <f>ROUND((0.8*'Side MDB'!W22+0.2*'Side Pole'!N22),3)</f>
        <v>5.2999999999999999E-2</v>
      </c>
      <c r="R22" s="68">
        <f t="shared" si="23"/>
        <v>0.35</v>
      </c>
      <c r="S22" s="51">
        <f t="shared" si="24"/>
        <v>5</v>
      </c>
      <c r="T22" s="68">
        <f>ROUND(((0.8*'Side MDB'!W22+0.2*'Side Pole'!N22)+(IF('Side MDB'!X22="N/A",(0.8*'Side MDB'!W22+0.2*'Side Pole'!N22),'Side MDB'!X22)))/2,3)</f>
        <v>5.3999999999999999E-2</v>
      </c>
      <c r="U22" s="68">
        <f t="shared" si="25"/>
        <v>0.36</v>
      </c>
      <c r="V22" s="22">
        <f t="shared" si="26"/>
        <v>5</v>
      </c>
      <c r="W22" s="15"/>
      <c r="X22" s="15"/>
      <c r="Y22" s="53"/>
      <c r="Z22" s="53"/>
      <c r="AA22" s="53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</row>
    <row r="23" spans="1:38" ht="13.9" customHeight="1">
      <c r="A23" s="165">
        <v>10969</v>
      </c>
      <c r="B23" s="165" t="s">
        <v>213</v>
      </c>
      <c r="C23" s="166" t="str">
        <f>Rollover!A23</f>
        <v>Hyundai</v>
      </c>
      <c r="D23" s="166" t="str">
        <f>Rollover!B23</f>
        <v>Accent 4DR FWD</v>
      </c>
      <c r="E23" s="89" t="s">
        <v>85</v>
      </c>
      <c r="F23" s="167">
        <f>Rollover!C23</f>
        <v>2020</v>
      </c>
      <c r="G23" s="47">
        <v>214.40600000000001</v>
      </c>
      <c r="H23" s="11">
        <v>21.166</v>
      </c>
      <c r="I23" s="11">
        <v>35.283000000000001</v>
      </c>
      <c r="J23" s="48">
        <v>18.64</v>
      </c>
      <c r="K23" s="48">
        <v>3914.7260000000001</v>
      </c>
      <c r="L23" s="23">
        <f t="shared" si="18"/>
        <v>2.424594018865414E-3</v>
      </c>
      <c r="M23" s="24">
        <f t="shared" si="19"/>
        <v>6.7505287066706873E-2</v>
      </c>
      <c r="N23" s="23">
        <f t="shared" si="20"/>
        <v>7.0000000000000007E-2</v>
      </c>
      <c r="O23" s="5">
        <f t="shared" si="21"/>
        <v>0.47</v>
      </c>
      <c r="P23" s="22">
        <f t="shared" si="22"/>
        <v>5</v>
      </c>
      <c r="Q23" s="67">
        <f>ROUND((0.8*'Side MDB'!W23+0.2*'Side Pole'!N23),3)</f>
        <v>0.106</v>
      </c>
      <c r="R23" s="68">
        <f t="shared" si="23"/>
        <v>0.71</v>
      </c>
      <c r="S23" s="51">
        <f t="shared" si="24"/>
        <v>4</v>
      </c>
      <c r="T23" s="68">
        <f>ROUND(((0.8*'Side MDB'!W23+0.2*'Side Pole'!N23)+(IF('Side MDB'!X23="N/A",(0.8*'Side MDB'!W23+0.2*'Side Pole'!N23),'Side MDB'!X23)))/2,3)</f>
        <v>9.2999999999999999E-2</v>
      </c>
      <c r="U23" s="68">
        <f t="shared" si="25"/>
        <v>0.62</v>
      </c>
      <c r="V23" s="22">
        <f t="shared" si="26"/>
        <v>5</v>
      </c>
      <c r="W23" s="15"/>
      <c r="X23" s="15"/>
      <c r="Y23" s="53"/>
      <c r="Z23" s="53"/>
      <c r="AA23" s="53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</row>
    <row r="24" spans="1:38" ht="13.9" customHeight="1">
      <c r="A24" s="165">
        <v>10989</v>
      </c>
      <c r="B24" s="165" t="s">
        <v>232</v>
      </c>
      <c r="C24" s="166" t="str">
        <f>Rollover!A24</f>
        <v>Hyundai</v>
      </c>
      <c r="D24" s="166" t="str">
        <f>Rollover!B24</f>
        <v>Palisade SUV FWD</v>
      </c>
      <c r="E24" s="89" t="s">
        <v>91</v>
      </c>
      <c r="F24" s="167">
        <f>Rollover!C24</f>
        <v>2020</v>
      </c>
      <c r="G24" s="47">
        <v>222.898</v>
      </c>
      <c r="H24" s="11">
        <v>19.8</v>
      </c>
      <c r="I24" s="11">
        <v>44.741</v>
      </c>
      <c r="J24" s="48">
        <v>21.437000000000001</v>
      </c>
      <c r="K24" s="48">
        <v>3221.0889999999999</v>
      </c>
      <c r="L24" s="23">
        <f t="shared" si="18"/>
        <v>2.8514380103146298E-3</v>
      </c>
      <c r="M24" s="24">
        <f t="shared" si="19"/>
        <v>3.6345012741777045E-2</v>
      </c>
      <c r="N24" s="23">
        <f t="shared" si="20"/>
        <v>3.9E-2</v>
      </c>
      <c r="O24" s="5">
        <f t="shared" si="21"/>
        <v>0.26</v>
      </c>
      <c r="P24" s="22">
        <f t="shared" si="22"/>
        <v>5</v>
      </c>
      <c r="Q24" s="67">
        <f>ROUND((0.8*'Side MDB'!W24+0.2*'Side Pole'!N24),3)</f>
        <v>3.3000000000000002E-2</v>
      </c>
      <c r="R24" s="68">
        <f t="shared" si="23"/>
        <v>0.22</v>
      </c>
      <c r="S24" s="51">
        <f t="shared" si="24"/>
        <v>5</v>
      </c>
      <c r="T24" s="68">
        <f>ROUND(((0.8*'Side MDB'!W24+0.2*'Side Pole'!N24)+(IF('Side MDB'!X24="N/A",(0.8*'Side MDB'!W24+0.2*'Side Pole'!N24),'Side MDB'!X24)))/2,3)</f>
        <v>1.9E-2</v>
      </c>
      <c r="U24" s="68">
        <f t="shared" si="25"/>
        <v>0.13</v>
      </c>
      <c r="V24" s="22">
        <f t="shared" si="26"/>
        <v>5</v>
      </c>
      <c r="W24" s="15"/>
      <c r="X24" s="15"/>
      <c r="Y24" s="53"/>
      <c r="Z24" s="53"/>
      <c r="AA24" s="53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</row>
    <row r="25" spans="1:38" ht="13.9" customHeight="1">
      <c r="A25" s="169">
        <v>10989</v>
      </c>
      <c r="B25" s="165" t="s">
        <v>232</v>
      </c>
      <c r="C25" s="172" t="str">
        <f>Rollover!A25</f>
        <v>Hyundai</v>
      </c>
      <c r="D25" s="172" t="str">
        <f>Rollover!B25</f>
        <v>Palisade SUV AWD</v>
      </c>
      <c r="E25" s="89" t="s">
        <v>91</v>
      </c>
      <c r="F25" s="167">
        <f>Rollover!C25</f>
        <v>2020</v>
      </c>
      <c r="G25" s="47">
        <v>222.898</v>
      </c>
      <c r="H25" s="11">
        <v>19.8</v>
      </c>
      <c r="I25" s="11">
        <v>44.741</v>
      </c>
      <c r="J25" s="48">
        <v>21.437000000000001</v>
      </c>
      <c r="K25" s="12">
        <v>3221.0889999999999</v>
      </c>
      <c r="L25" s="23">
        <f t="shared" si="18"/>
        <v>2.8514380103146298E-3</v>
      </c>
      <c r="M25" s="24">
        <f t="shared" si="19"/>
        <v>3.6345012741777045E-2</v>
      </c>
      <c r="N25" s="23">
        <f t="shared" si="20"/>
        <v>3.9E-2</v>
      </c>
      <c r="O25" s="5">
        <f t="shared" si="21"/>
        <v>0.26</v>
      </c>
      <c r="P25" s="22">
        <f t="shared" si="22"/>
        <v>5</v>
      </c>
      <c r="Q25" s="67">
        <f>ROUND((0.8*'Side MDB'!W25+0.2*'Side Pole'!N25),3)</f>
        <v>3.3000000000000002E-2</v>
      </c>
      <c r="R25" s="68">
        <f t="shared" si="23"/>
        <v>0.22</v>
      </c>
      <c r="S25" s="51">
        <f t="shared" si="24"/>
        <v>5</v>
      </c>
      <c r="T25" s="68">
        <f>ROUND(((0.8*'Side MDB'!W25+0.2*'Side Pole'!N25)+(IF('Side MDB'!X25="N/A",(0.8*'Side MDB'!W25+0.2*'Side Pole'!N25),'Side MDB'!X25)))/2,3)</f>
        <v>1.9E-2</v>
      </c>
      <c r="U25" s="68">
        <f t="shared" si="25"/>
        <v>0.13</v>
      </c>
      <c r="V25" s="22">
        <f t="shared" si="26"/>
        <v>5</v>
      </c>
      <c r="W25" s="15"/>
      <c r="X25" s="15"/>
      <c r="Y25" s="53"/>
      <c r="Z25" s="53"/>
      <c r="AA25" s="53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</row>
    <row r="26" spans="1:38" ht="13.9" customHeight="1">
      <c r="A26" s="165">
        <v>10975</v>
      </c>
      <c r="B26" s="165" t="s">
        <v>220</v>
      </c>
      <c r="C26" s="166" t="str">
        <f>Rollover!A26</f>
        <v>Hyundai</v>
      </c>
      <c r="D26" s="166" t="str">
        <f>Rollover!B26</f>
        <v>Venue 5HB FWD</v>
      </c>
      <c r="E26" s="89" t="s">
        <v>104</v>
      </c>
      <c r="F26" s="167">
        <f>Rollover!C26</f>
        <v>2020</v>
      </c>
      <c r="G26" s="47">
        <v>343.39699999999999</v>
      </c>
      <c r="H26" s="11">
        <v>21.59</v>
      </c>
      <c r="I26" s="11">
        <v>42.066000000000003</v>
      </c>
      <c r="J26" s="48">
        <v>31.558</v>
      </c>
      <c r="K26" s="48">
        <v>3513.694</v>
      </c>
      <c r="L26" s="23">
        <f t="shared" si="18"/>
        <v>1.4615393615985711E-2</v>
      </c>
      <c r="M26" s="24">
        <f t="shared" si="19"/>
        <v>4.7307306247627606E-2</v>
      </c>
      <c r="N26" s="23">
        <f t="shared" si="20"/>
        <v>6.0999999999999999E-2</v>
      </c>
      <c r="O26" s="5">
        <f t="shared" si="21"/>
        <v>0.41</v>
      </c>
      <c r="P26" s="22">
        <f t="shared" si="22"/>
        <v>5</v>
      </c>
      <c r="Q26" s="67">
        <f>ROUND((0.8*'Side MDB'!W26+0.2*'Side Pole'!N26),3)</f>
        <v>7.5999999999999998E-2</v>
      </c>
      <c r="R26" s="68">
        <f t="shared" si="23"/>
        <v>0.51</v>
      </c>
      <c r="S26" s="51">
        <f t="shared" si="24"/>
        <v>5</v>
      </c>
      <c r="T26" s="68">
        <f>ROUND(((0.8*'Side MDB'!W26+0.2*'Side Pole'!N26)+(IF('Side MDB'!X26="N/A",(0.8*'Side MDB'!W26+0.2*'Side Pole'!N26),'Side MDB'!X26)))/2,3)</f>
        <v>6.9000000000000006E-2</v>
      </c>
      <c r="U26" s="68">
        <f t="shared" si="25"/>
        <v>0.46</v>
      </c>
      <c r="V26" s="22">
        <f t="shared" si="26"/>
        <v>5</v>
      </c>
      <c r="W26" s="15"/>
      <c r="X26" s="15"/>
      <c r="Y26" s="53"/>
      <c r="Z26" s="53"/>
      <c r="AA26" s="53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</row>
    <row r="27" spans="1:38" ht="13.9" customHeight="1">
      <c r="A27" s="165"/>
      <c r="B27" s="165"/>
      <c r="C27" s="166" t="str">
        <f>Rollover!A27</f>
        <v>Jeep</v>
      </c>
      <c r="D27" s="166" t="str">
        <f>Rollover!B27</f>
        <v>Gladiator PU/CC 4WD</v>
      </c>
      <c r="E27" s="89"/>
      <c r="F27" s="167">
        <f>Rollover!C27</f>
        <v>2020</v>
      </c>
      <c r="G27" s="47"/>
      <c r="H27" s="11"/>
      <c r="I27" s="11"/>
      <c r="J27" s="48"/>
      <c r="K27" s="48"/>
      <c r="L27" s="23" t="e">
        <f t="shared" si="18"/>
        <v>#NUM!</v>
      </c>
      <c r="M27" s="24">
        <f t="shared" si="19"/>
        <v>1.8229037773026034E-3</v>
      </c>
      <c r="N27" s="23" t="e">
        <f t="shared" si="20"/>
        <v>#NUM!</v>
      </c>
      <c r="O27" s="5" t="e">
        <f t="shared" si="21"/>
        <v>#NUM!</v>
      </c>
      <c r="P27" s="22" t="e">
        <f t="shared" si="22"/>
        <v>#NUM!</v>
      </c>
      <c r="Q27" s="67" t="e">
        <f>ROUND((0.8*'Side MDB'!W27+0.2*'Side Pole'!N27),3)</f>
        <v>#NUM!</v>
      </c>
      <c r="R27" s="68" t="e">
        <f t="shared" si="23"/>
        <v>#NUM!</v>
      </c>
      <c r="S27" s="51" t="e">
        <f t="shared" si="24"/>
        <v>#NUM!</v>
      </c>
      <c r="T27" s="68" t="e">
        <f>ROUND(((0.8*'Side MDB'!W27+0.2*'Side Pole'!N27)+(IF('Side MDB'!X27="N/A",(0.8*'Side MDB'!W27+0.2*'Side Pole'!N27),'Side MDB'!X27)))/2,3)</f>
        <v>#NUM!</v>
      </c>
      <c r="U27" s="68" t="e">
        <f t="shared" si="25"/>
        <v>#NUM!</v>
      </c>
      <c r="V27" s="22" t="e">
        <f t="shared" si="26"/>
        <v>#NUM!</v>
      </c>
      <c r="W27" s="15"/>
      <c r="X27" s="15"/>
      <c r="Y27" s="53"/>
      <c r="Z27" s="53"/>
      <c r="AA27" s="53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</row>
    <row r="28" spans="1:38" ht="13.9" customHeight="1">
      <c r="A28" s="165">
        <v>10928</v>
      </c>
      <c r="B28" s="165" t="s">
        <v>204</v>
      </c>
      <c r="C28" s="166" t="str">
        <f>Rollover!A28</f>
        <v>Jeep</v>
      </c>
      <c r="D28" s="166" t="str">
        <f>Rollover!B28</f>
        <v>Renegade SUV AWD</v>
      </c>
      <c r="E28" s="89" t="s">
        <v>104</v>
      </c>
      <c r="F28" s="167">
        <f>Rollover!C28</f>
        <v>2020</v>
      </c>
      <c r="G28" s="47">
        <v>313.83100000000002</v>
      </c>
      <c r="H28" s="11">
        <v>28.045999999999999</v>
      </c>
      <c r="I28" s="11">
        <v>38.734999999999999</v>
      </c>
      <c r="J28" s="48">
        <v>20.641999999999999</v>
      </c>
      <c r="K28" s="48">
        <v>2781.5709999999999</v>
      </c>
      <c r="L28" s="23">
        <f t="shared" si="18"/>
        <v>1.066677007545095E-2</v>
      </c>
      <c r="M28" s="24">
        <f t="shared" si="19"/>
        <v>2.4344033077930982E-2</v>
      </c>
      <c r="N28" s="23">
        <f t="shared" si="20"/>
        <v>3.5000000000000003E-2</v>
      </c>
      <c r="O28" s="5">
        <f t="shared" si="21"/>
        <v>0.23</v>
      </c>
      <c r="P28" s="22">
        <f t="shared" si="22"/>
        <v>5</v>
      </c>
      <c r="Q28" s="67">
        <f>ROUND((0.8*'Side MDB'!W28+0.2*'Side Pole'!N28),3)</f>
        <v>5.2999999999999999E-2</v>
      </c>
      <c r="R28" s="68">
        <f t="shared" si="23"/>
        <v>0.35</v>
      </c>
      <c r="S28" s="51">
        <f t="shared" si="24"/>
        <v>5</v>
      </c>
      <c r="T28" s="68">
        <f>ROUND(((0.8*'Side MDB'!W28+0.2*'Side Pole'!N28)+(IF('Side MDB'!X28="N/A",(0.8*'Side MDB'!W28+0.2*'Side Pole'!N28),'Side MDB'!X28)))/2,3)</f>
        <v>0.123</v>
      </c>
      <c r="U28" s="68">
        <f t="shared" si="25"/>
        <v>0.82</v>
      </c>
      <c r="V28" s="22">
        <f t="shared" si="26"/>
        <v>4</v>
      </c>
      <c r="W28" s="15"/>
      <c r="X28" s="15"/>
      <c r="Y28" s="53"/>
      <c r="Z28" s="53"/>
      <c r="AA28" s="53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</row>
    <row r="29" spans="1:38" ht="12" customHeight="1">
      <c r="A29" s="165">
        <v>10928</v>
      </c>
      <c r="B29" s="165" t="s">
        <v>204</v>
      </c>
      <c r="C29" s="172" t="str">
        <f>Rollover!A29</f>
        <v>Jeep</v>
      </c>
      <c r="D29" s="172" t="str">
        <f>Rollover!B29</f>
        <v>Renegade SUV FWD</v>
      </c>
      <c r="E29" s="89" t="s">
        <v>104</v>
      </c>
      <c r="F29" s="167">
        <f>Rollover!C29</f>
        <v>2020</v>
      </c>
      <c r="G29" s="47">
        <v>313.83100000000002</v>
      </c>
      <c r="H29" s="11">
        <v>28.045999999999999</v>
      </c>
      <c r="I29" s="11">
        <v>38.734999999999999</v>
      </c>
      <c r="J29" s="48">
        <v>20.641999999999999</v>
      </c>
      <c r="K29" s="48">
        <v>2781.5709999999999</v>
      </c>
      <c r="L29" s="23">
        <f t="shared" si="18"/>
        <v>1.066677007545095E-2</v>
      </c>
      <c r="M29" s="24">
        <f t="shared" si="19"/>
        <v>2.4344033077930982E-2</v>
      </c>
      <c r="N29" s="23">
        <f t="shared" si="20"/>
        <v>3.5000000000000003E-2</v>
      </c>
      <c r="O29" s="5">
        <f t="shared" si="21"/>
        <v>0.23</v>
      </c>
      <c r="P29" s="22">
        <f t="shared" si="22"/>
        <v>5</v>
      </c>
      <c r="Q29" s="67">
        <f>ROUND((0.8*'Side MDB'!W29+0.2*'Side Pole'!N29),3)</f>
        <v>5.2999999999999999E-2</v>
      </c>
      <c r="R29" s="68">
        <f t="shared" si="23"/>
        <v>0.35</v>
      </c>
      <c r="S29" s="51">
        <f t="shared" si="24"/>
        <v>5</v>
      </c>
      <c r="T29" s="68">
        <f>ROUND(((0.8*'Side MDB'!W29+0.2*'Side Pole'!N29)+(IF('Side MDB'!X29="N/A",(0.8*'Side MDB'!W29+0.2*'Side Pole'!N29),'Side MDB'!X29)))/2,3)</f>
        <v>0.123</v>
      </c>
      <c r="U29" s="68">
        <f t="shared" si="25"/>
        <v>0.82</v>
      </c>
      <c r="V29" s="22">
        <f t="shared" si="26"/>
        <v>4</v>
      </c>
      <c r="W29" s="15"/>
      <c r="X29" s="15"/>
      <c r="Y29" s="53"/>
      <c r="Z29" s="53"/>
      <c r="AA29" s="53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</row>
    <row r="30" spans="1:38" ht="13.9" customHeight="1">
      <c r="A30" s="165"/>
      <c r="B30" s="165"/>
      <c r="C30" s="172" t="str">
        <f>Rollover!A30</f>
        <v>Jeep</v>
      </c>
      <c r="D30" s="172" t="str">
        <f>Rollover!B30</f>
        <v>Wrangler 4WD</v>
      </c>
      <c r="E30" s="89"/>
      <c r="F30" s="167">
        <f>Rollover!C30</f>
        <v>2020</v>
      </c>
      <c r="G30" s="47"/>
      <c r="H30" s="11"/>
      <c r="I30" s="11"/>
      <c r="J30" s="48"/>
      <c r="K30" s="48"/>
      <c r="L30" s="23" t="e">
        <f t="shared" si="18"/>
        <v>#NUM!</v>
      </c>
      <c r="M30" s="24">
        <f t="shared" si="19"/>
        <v>1.8229037773026034E-3</v>
      </c>
      <c r="N30" s="23" t="e">
        <f t="shared" si="20"/>
        <v>#NUM!</v>
      </c>
      <c r="O30" s="5" t="e">
        <f t="shared" si="21"/>
        <v>#NUM!</v>
      </c>
      <c r="P30" s="22" t="e">
        <f t="shared" si="22"/>
        <v>#NUM!</v>
      </c>
      <c r="Q30" s="67" t="e">
        <f>ROUND((0.8*'Side MDB'!W30+0.2*'Side Pole'!N30),3)</f>
        <v>#NUM!</v>
      </c>
      <c r="R30" s="68" t="e">
        <f t="shared" si="23"/>
        <v>#NUM!</v>
      </c>
      <c r="S30" s="51" t="e">
        <f t="shared" si="24"/>
        <v>#NUM!</v>
      </c>
      <c r="T30" s="68" t="e">
        <f>ROUND(((0.8*'Side MDB'!W30+0.2*'Side Pole'!N30)+(IF('Side MDB'!X30="N/A",(0.8*'Side MDB'!W30+0.2*'Side Pole'!N30),'Side MDB'!X30)))/2,3)</f>
        <v>#NUM!</v>
      </c>
      <c r="U30" s="68" t="e">
        <f t="shared" si="25"/>
        <v>#NUM!</v>
      </c>
      <c r="V30" s="22" t="e">
        <f t="shared" si="26"/>
        <v>#NUM!</v>
      </c>
      <c r="W30" s="15"/>
      <c r="X30" s="15"/>
      <c r="Y30" s="53"/>
      <c r="Z30" s="53"/>
      <c r="AA30" s="53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</row>
    <row r="31" spans="1:38" ht="13.9" customHeight="1">
      <c r="A31" s="170">
        <v>10987</v>
      </c>
      <c r="B31" s="165" t="s">
        <v>230</v>
      </c>
      <c r="C31" s="166" t="str">
        <f>Rollover!A31</f>
        <v>Kia</v>
      </c>
      <c r="D31" s="166" t="str">
        <f>Rollover!B31</f>
        <v>Soul SUV FWD</v>
      </c>
      <c r="E31" s="89" t="s">
        <v>104</v>
      </c>
      <c r="F31" s="167">
        <f>Rollover!C31</f>
        <v>2020</v>
      </c>
      <c r="G31" s="47">
        <v>322.12799999999999</v>
      </c>
      <c r="H31" s="11">
        <v>25.030999999999999</v>
      </c>
      <c r="I31" s="11">
        <v>46.173999999999999</v>
      </c>
      <c r="J31" s="48">
        <v>26.463000000000001</v>
      </c>
      <c r="K31" s="12">
        <v>4848.7089999999998</v>
      </c>
      <c r="L31" s="23">
        <f t="shared" si="18"/>
        <v>1.1702282182340828E-2</v>
      </c>
      <c r="M31" s="24">
        <f t="shared" si="19"/>
        <v>0.14833581959544689</v>
      </c>
      <c r="N31" s="23">
        <f t="shared" si="20"/>
        <v>0.158</v>
      </c>
      <c r="O31" s="5">
        <f t="shared" si="21"/>
        <v>1.05</v>
      </c>
      <c r="P31" s="22">
        <f t="shared" si="22"/>
        <v>3</v>
      </c>
      <c r="Q31" s="67">
        <f>ROUND((0.8*'Side MDB'!W31+0.2*'Side Pole'!N31),3)</f>
        <v>9.6000000000000002E-2</v>
      </c>
      <c r="R31" s="68">
        <f t="shared" si="23"/>
        <v>0.64</v>
      </c>
      <c r="S31" s="51">
        <f t="shared" si="24"/>
        <v>5</v>
      </c>
      <c r="T31" s="68">
        <f>ROUND(((0.8*'Side MDB'!W31+0.2*'Side Pole'!N31)+(IF('Side MDB'!X31="N/A",(0.8*'Side MDB'!W31+0.2*'Side Pole'!N31),'Side MDB'!X31)))/2,3)</f>
        <v>7.2999999999999995E-2</v>
      </c>
      <c r="U31" s="68">
        <f t="shared" si="25"/>
        <v>0.49</v>
      </c>
      <c r="V31" s="22">
        <f t="shared" si="26"/>
        <v>5</v>
      </c>
      <c r="W31" s="15"/>
      <c r="X31" s="15"/>
      <c r="Y31" s="53"/>
      <c r="Z31" s="53"/>
      <c r="AA31" s="53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</row>
    <row r="32" spans="1:38" ht="13.9" customHeight="1">
      <c r="A32" s="169">
        <v>10838</v>
      </c>
      <c r="B32" s="165" t="s">
        <v>179</v>
      </c>
      <c r="C32" s="166" t="str">
        <f>Rollover!A32</f>
        <v>Kia</v>
      </c>
      <c r="D32" s="166" t="str">
        <f>Rollover!B32</f>
        <v>Telluride SUV AWD</v>
      </c>
      <c r="E32" s="89" t="s">
        <v>85</v>
      </c>
      <c r="F32" s="167">
        <f>Rollover!C32</f>
        <v>2020</v>
      </c>
      <c r="G32" s="47">
        <v>449.93400000000003</v>
      </c>
      <c r="H32" s="11">
        <v>22.834</v>
      </c>
      <c r="I32" s="11">
        <v>52.232999999999997</v>
      </c>
      <c r="J32" s="48">
        <v>22.327000000000002</v>
      </c>
      <c r="K32" s="12">
        <v>2848.152</v>
      </c>
      <c r="L32" s="23">
        <f t="shared" si="18"/>
        <v>3.4746859878362284E-2</v>
      </c>
      <c r="M32" s="24">
        <f t="shared" si="19"/>
        <v>2.587563671273457E-2</v>
      </c>
      <c r="N32" s="23">
        <f t="shared" si="20"/>
        <v>0.06</v>
      </c>
      <c r="O32" s="5">
        <f t="shared" si="21"/>
        <v>0.4</v>
      </c>
      <c r="P32" s="22">
        <f t="shared" si="22"/>
        <v>5</v>
      </c>
      <c r="Q32" s="67">
        <f>ROUND((0.8*'Side MDB'!W32+0.2*'Side Pole'!N32),3)</f>
        <v>3.2000000000000001E-2</v>
      </c>
      <c r="R32" s="68">
        <f t="shared" si="23"/>
        <v>0.21</v>
      </c>
      <c r="S32" s="51">
        <f t="shared" si="24"/>
        <v>5</v>
      </c>
      <c r="T32" s="68">
        <f>ROUND(((0.8*'Side MDB'!W32+0.2*'Side Pole'!N32)+(IF('Side MDB'!X32="N/A",(0.8*'Side MDB'!W32+0.2*'Side Pole'!N32),'Side MDB'!X32)))/2,3)</f>
        <v>2.1999999999999999E-2</v>
      </c>
      <c r="U32" s="68">
        <f t="shared" si="25"/>
        <v>0.15</v>
      </c>
      <c r="V32" s="22">
        <f t="shared" si="26"/>
        <v>5</v>
      </c>
      <c r="W32" s="15"/>
      <c r="X32" s="15"/>
      <c r="Y32" s="53"/>
      <c r="Z32" s="53"/>
      <c r="AA32" s="53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</row>
    <row r="33" spans="1:38" ht="13.9" customHeight="1">
      <c r="A33" s="169">
        <v>10838</v>
      </c>
      <c r="B33" s="165" t="s">
        <v>179</v>
      </c>
      <c r="C33" s="166" t="str">
        <f>Rollover!A33</f>
        <v>Kia</v>
      </c>
      <c r="D33" s="166" t="str">
        <f>Rollover!B33</f>
        <v>Telluride SUV FWD</v>
      </c>
      <c r="E33" s="89" t="s">
        <v>85</v>
      </c>
      <c r="F33" s="167">
        <f>Rollover!C33</f>
        <v>2020</v>
      </c>
      <c r="G33" s="47">
        <v>449.93400000000003</v>
      </c>
      <c r="H33" s="11">
        <v>22.834</v>
      </c>
      <c r="I33" s="11">
        <v>52.232999999999997</v>
      </c>
      <c r="J33" s="48">
        <v>22.327000000000002</v>
      </c>
      <c r="K33" s="12">
        <v>2848.152</v>
      </c>
      <c r="L33" s="23">
        <f t="shared" si="9"/>
        <v>3.4746859878362284E-2</v>
      </c>
      <c r="M33" s="24">
        <f t="shared" si="10"/>
        <v>2.587563671273457E-2</v>
      </c>
      <c r="N33" s="23">
        <f t="shared" si="11"/>
        <v>0.06</v>
      </c>
      <c r="O33" s="5">
        <f t="shared" si="12"/>
        <v>0.4</v>
      </c>
      <c r="P33" s="22">
        <f t="shared" si="13"/>
        <v>5</v>
      </c>
      <c r="Q33" s="67">
        <f>ROUND((0.8*'Side MDB'!W33+0.2*'Side Pole'!N33),3)</f>
        <v>3.2000000000000001E-2</v>
      </c>
      <c r="R33" s="68">
        <f t="shared" si="14"/>
        <v>0.21</v>
      </c>
      <c r="S33" s="51">
        <f t="shared" si="15"/>
        <v>5</v>
      </c>
      <c r="T33" s="68">
        <f>ROUND(((0.8*'Side MDB'!W33+0.2*'Side Pole'!N33)+(IF('Side MDB'!X33="N/A",(0.8*'Side MDB'!W33+0.2*'Side Pole'!N33),'Side MDB'!X33)))/2,3)</f>
        <v>2.1999999999999999E-2</v>
      </c>
      <c r="U33" s="68">
        <f t="shared" si="16"/>
        <v>0.15</v>
      </c>
      <c r="V33" s="22">
        <f t="shared" si="17"/>
        <v>5</v>
      </c>
      <c r="W33" s="15"/>
      <c r="X33" s="15"/>
      <c r="Y33" s="53"/>
      <c r="Z33" s="53"/>
      <c r="AA33" s="53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</row>
    <row r="34" spans="1:38" ht="13.9" customHeight="1">
      <c r="A34" s="169">
        <v>10984</v>
      </c>
      <c r="B34" s="165" t="s">
        <v>231</v>
      </c>
      <c r="C34" s="172" t="str">
        <f>Rollover!A34</f>
        <v>Mazda</v>
      </c>
      <c r="D34" s="172" t="str">
        <f>Rollover!B34</f>
        <v>CX-30 SUV AWD</v>
      </c>
      <c r="E34" s="89" t="s">
        <v>99</v>
      </c>
      <c r="F34" s="167">
        <f>Rollover!C34</f>
        <v>2020</v>
      </c>
      <c r="G34" s="47">
        <v>177.62700000000001</v>
      </c>
      <c r="H34" s="11">
        <v>26.382000000000001</v>
      </c>
      <c r="I34" s="11">
        <v>30.425999999999998</v>
      </c>
      <c r="J34" s="48">
        <v>24.963000000000001</v>
      </c>
      <c r="K34" s="12">
        <v>2595.2629999999999</v>
      </c>
      <c r="L34" s="23">
        <f t="shared" si="9"/>
        <v>1.0660131384494646E-3</v>
      </c>
      <c r="M34" s="24">
        <f t="shared" si="10"/>
        <v>2.0513348677584854E-2</v>
      </c>
      <c r="N34" s="23">
        <f t="shared" si="11"/>
        <v>2.1999999999999999E-2</v>
      </c>
      <c r="O34" s="5">
        <f t="shared" si="12"/>
        <v>0.15</v>
      </c>
      <c r="P34" s="22">
        <f t="shared" si="13"/>
        <v>5</v>
      </c>
      <c r="Q34" s="67">
        <f>ROUND((0.8*'Side MDB'!W34+0.2*'Side Pole'!N34),3)</f>
        <v>5.5E-2</v>
      </c>
      <c r="R34" s="68">
        <f t="shared" si="14"/>
        <v>0.37</v>
      </c>
      <c r="S34" s="51">
        <f t="shared" si="15"/>
        <v>5</v>
      </c>
      <c r="T34" s="68">
        <f>ROUND(((0.8*'Side MDB'!W34+0.2*'Side Pole'!N34)+(IF('Side MDB'!X34="N/A",(0.8*'Side MDB'!W34+0.2*'Side Pole'!N34),'Side MDB'!X34)))/2,3)</f>
        <v>3.5999999999999997E-2</v>
      </c>
      <c r="U34" s="68">
        <f t="shared" si="16"/>
        <v>0.24</v>
      </c>
      <c r="V34" s="22">
        <f t="shared" si="17"/>
        <v>5</v>
      </c>
      <c r="W34" s="15"/>
      <c r="X34" s="15"/>
      <c r="Y34" s="53"/>
      <c r="Z34" s="53"/>
      <c r="AA34" s="53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</row>
    <row r="35" spans="1:38" ht="13.9" customHeight="1">
      <c r="A35" s="169">
        <v>10984</v>
      </c>
      <c r="B35" s="165" t="s">
        <v>231</v>
      </c>
      <c r="C35" s="166" t="str">
        <f>Rollover!A35</f>
        <v>Mazda</v>
      </c>
      <c r="D35" s="166" t="str">
        <f>Rollover!B35</f>
        <v>CX-30 SUV FWD</v>
      </c>
      <c r="E35" s="89" t="s">
        <v>99</v>
      </c>
      <c r="F35" s="167">
        <f>Rollover!C35</f>
        <v>2020</v>
      </c>
      <c r="G35" s="47">
        <v>177.62700000000001</v>
      </c>
      <c r="H35" s="11">
        <v>26.382000000000001</v>
      </c>
      <c r="I35" s="11">
        <v>30.425999999999998</v>
      </c>
      <c r="J35" s="48">
        <v>24.963000000000001</v>
      </c>
      <c r="K35" s="12">
        <v>2595.2629999999999</v>
      </c>
      <c r="L35" s="23">
        <f t="shared" si="9"/>
        <v>1.0660131384494646E-3</v>
      </c>
      <c r="M35" s="24">
        <f t="shared" si="10"/>
        <v>2.0513348677584854E-2</v>
      </c>
      <c r="N35" s="23">
        <f t="shared" si="11"/>
        <v>2.1999999999999999E-2</v>
      </c>
      <c r="O35" s="5">
        <f t="shared" si="12"/>
        <v>0.15</v>
      </c>
      <c r="P35" s="22">
        <f t="shared" si="13"/>
        <v>5</v>
      </c>
      <c r="Q35" s="67">
        <f>ROUND((0.8*'Side MDB'!W35+0.2*'Side Pole'!N35),3)</f>
        <v>5.5E-2</v>
      </c>
      <c r="R35" s="68">
        <f t="shared" si="14"/>
        <v>0.37</v>
      </c>
      <c r="S35" s="51">
        <f t="shared" si="15"/>
        <v>5</v>
      </c>
      <c r="T35" s="68">
        <f>ROUND(((0.8*'Side MDB'!W35+0.2*'Side Pole'!N35)+(IF('Side MDB'!X35="N/A",(0.8*'Side MDB'!W35+0.2*'Side Pole'!N35),'Side MDB'!X35)))/2,3)</f>
        <v>3.5999999999999997E-2</v>
      </c>
      <c r="U35" s="68">
        <f t="shared" si="16"/>
        <v>0.24</v>
      </c>
      <c r="V35" s="22">
        <f t="shared" si="17"/>
        <v>5</v>
      </c>
      <c r="W35" s="15"/>
      <c r="X35" s="15"/>
      <c r="Y35" s="53"/>
      <c r="Z35" s="53"/>
      <c r="AA35" s="53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</row>
    <row r="36" spans="1:38" ht="13.9" customHeight="1">
      <c r="A36" s="169">
        <v>10973</v>
      </c>
      <c r="B36" s="165" t="s">
        <v>218</v>
      </c>
      <c r="C36" s="166" t="str">
        <f>Rollover!A36</f>
        <v>Mazda</v>
      </c>
      <c r="D36" s="166" t="str">
        <f>Rollover!B36</f>
        <v>Mazda3 4DR AWD</v>
      </c>
      <c r="E36" s="89" t="s">
        <v>91</v>
      </c>
      <c r="F36" s="167">
        <f>Rollover!C36</f>
        <v>2020</v>
      </c>
      <c r="G36" s="47">
        <v>198.74799999999999</v>
      </c>
      <c r="H36" s="11">
        <v>25.556999999999999</v>
      </c>
      <c r="I36" s="11">
        <v>30.155999999999999</v>
      </c>
      <c r="J36" s="48">
        <v>19.556000000000001</v>
      </c>
      <c r="K36" s="48">
        <v>2342.5479999999998</v>
      </c>
      <c r="L36" s="23">
        <f t="shared" si="9"/>
        <v>1.7537218491939489E-3</v>
      </c>
      <c r="M36" s="24">
        <f t="shared" si="10"/>
        <v>1.6246387748179471E-2</v>
      </c>
      <c r="N36" s="23">
        <f t="shared" si="11"/>
        <v>1.7999999999999999E-2</v>
      </c>
      <c r="O36" s="5">
        <f t="shared" si="12"/>
        <v>0.12</v>
      </c>
      <c r="P36" s="22">
        <f t="shared" si="13"/>
        <v>5</v>
      </c>
      <c r="Q36" s="67">
        <f>ROUND((0.8*'Side MDB'!W36+0.2*'Side Pole'!N36),3)</f>
        <v>5.3999999999999999E-2</v>
      </c>
      <c r="R36" s="68">
        <f t="shared" si="14"/>
        <v>0.36</v>
      </c>
      <c r="S36" s="51">
        <f t="shared" si="15"/>
        <v>5</v>
      </c>
      <c r="T36" s="68">
        <f>ROUND(((0.8*'Side MDB'!W36+0.2*'Side Pole'!N36)+(IF('Side MDB'!X36="N/A",(0.8*'Side MDB'!W36+0.2*'Side Pole'!N36),'Side MDB'!X36)))/2,3)</f>
        <v>4.8000000000000001E-2</v>
      </c>
      <c r="U36" s="68">
        <f t="shared" si="16"/>
        <v>0.32</v>
      </c>
      <c r="V36" s="22">
        <f t="shared" si="17"/>
        <v>5</v>
      </c>
      <c r="W36" s="15"/>
      <c r="X36" s="15"/>
      <c r="Y36" s="53"/>
      <c r="Z36" s="53"/>
      <c r="AA36" s="53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</row>
    <row r="37" spans="1:38" ht="13.9" customHeight="1">
      <c r="A37" s="169">
        <v>10973</v>
      </c>
      <c r="B37" s="165" t="s">
        <v>218</v>
      </c>
      <c r="C37" s="166" t="str">
        <f>Rollover!A37</f>
        <v>Mazda</v>
      </c>
      <c r="D37" s="166" t="str">
        <f>Rollover!B37</f>
        <v>Mazda3 4DR FWD</v>
      </c>
      <c r="E37" s="89" t="s">
        <v>91</v>
      </c>
      <c r="F37" s="167">
        <f>Rollover!C37</f>
        <v>2020</v>
      </c>
      <c r="G37" s="47">
        <v>198.74799999999999</v>
      </c>
      <c r="H37" s="11">
        <v>25.556999999999999</v>
      </c>
      <c r="I37" s="11">
        <v>30.155999999999999</v>
      </c>
      <c r="J37" s="48">
        <v>19.556000000000001</v>
      </c>
      <c r="K37" s="48">
        <v>2342.5479999999998</v>
      </c>
      <c r="L37" s="23">
        <f t="shared" si="9"/>
        <v>1.7537218491939489E-3</v>
      </c>
      <c r="M37" s="24">
        <f t="shared" si="10"/>
        <v>1.6246387748179471E-2</v>
      </c>
      <c r="N37" s="23">
        <f t="shared" si="11"/>
        <v>1.7999999999999999E-2</v>
      </c>
      <c r="O37" s="5">
        <f t="shared" si="12"/>
        <v>0.12</v>
      </c>
      <c r="P37" s="22">
        <f t="shared" si="13"/>
        <v>5</v>
      </c>
      <c r="Q37" s="67">
        <f>ROUND((0.8*'Side MDB'!W37+0.2*'Side Pole'!N37),3)</f>
        <v>5.3999999999999999E-2</v>
      </c>
      <c r="R37" s="68">
        <f t="shared" si="14"/>
        <v>0.36</v>
      </c>
      <c r="S37" s="51">
        <f t="shared" si="15"/>
        <v>5</v>
      </c>
      <c r="T37" s="68">
        <f>ROUND(((0.8*'Side MDB'!W37+0.2*'Side Pole'!N37)+(IF('Side MDB'!X37="N/A",(0.8*'Side MDB'!W37+0.2*'Side Pole'!N37),'Side MDB'!X37)))/2,3)</f>
        <v>4.8000000000000001E-2</v>
      </c>
      <c r="U37" s="68">
        <f t="shared" si="16"/>
        <v>0.32</v>
      </c>
      <c r="V37" s="22">
        <f t="shared" si="17"/>
        <v>5</v>
      </c>
      <c r="W37" s="15"/>
      <c r="X37" s="15"/>
      <c r="Y37" s="53"/>
      <c r="Z37" s="53"/>
      <c r="AA37" s="53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</row>
    <row r="38" spans="1:38" ht="13.9" customHeight="1">
      <c r="A38" s="169">
        <v>10973</v>
      </c>
      <c r="B38" s="165" t="s">
        <v>218</v>
      </c>
      <c r="C38" s="172" t="str">
        <f>Rollover!A38</f>
        <v>Mazda</v>
      </c>
      <c r="D38" s="172" t="str">
        <f>Rollover!B38</f>
        <v>Mazda3 5HB AWD</v>
      </c>
      <c r="E38" s="89" t="s">
        <v>91</v>
      </c>
      <c r="F38" s="167">
        <f>Rollover!C38</f>
        <v>2020</v>
      </c>
      <c r="G38" s="47">
        <v>198.74799999999999</v>
      </c>
      <c r="H38" s="11">
        <v>25.556999999999999</v>
      </c>
      <c r="I38" s="11">
        <v>30.155999999999999</v>
      </c>
      <c r="J38" s="48">
        <v>19.556000000000001</v>
      </c>
      <c r="K38" s="48">
        <v>2342.5479999999998</v>
      </c>
      <c r="L38" s="23">
        <f t="shared" si="9"/>
        <v>1.7537218491939489E-3</v>
      </c>
      <c r="M38" s="24">
        <f t="shared" si="10"/>
        <v>1.6246387748179471E-2</v>
      </c>
      <c r="N38" s="23">
        <f t="shared" si="11"/>
        <v>1.7999999999999999E-2</v>
      </c>
      <c r="O38" s="5">
        <f t="shared" si="12"/>
        <v>0.12</v>
      </c>
      <c r="P38" s="22">
        <f t="shared" si="13"/>
        <v>5</v>
      </c>
      <c r="Q38" s="67">
        <f>ROUND((0.8*'Side MDB'!W38+0.2*'Side Pole'!N38),3)</f>
        <v>5.3999999999999999E-2</v>
      </c>
      <c r="R38" s="68">
        <f t="shared" si="14"/>
        <v>0.36</v>
      </c>
      <c r="S38" s="51">
        <f t="shared" si="15"/>
        <v>5</v>
      </c>
      <c r="T38" s="68">
        <f>ROUND(((0.8*'Side MDB'!W38+0.2*'Side Pole'!N38)+(IF('Side MDB'!X38="N/A",(0.8*'Side MDB'!W38+0.2*'Side Pole'!N38),'Side MDB'!X38)))/2,3)</f>
        <v>4.8000000000000001E-2</v>
      </c>
      <c r="U38" s="68">
        <f t="shared" si="16"/>
        <v>0.32</v>
      </c>
      <c r="V38" s="22">
        <f t="shared" si="17"/>
        <v>5</v>
      </c>
      <c r="W38" s="15"/>
      <c r="X38" s="15"/>
      <c r="Y38" s="53"/>
      <c r="Z38" s="53"/>
      <c r="AA38" s="53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</row>
    <row r="39" spans="1:38" ht="13.9" customHeight="1">
      <c r="A39" s="169">
        <v>10973</v>
      </c>
      <c r="B39" s="165" t="s">
        <v>218</v>
      </c>
      <c r="C39" s="172" t="str">
        <f>Rollover!A39</f>
        <v>Mazda</v>
      </c>
      <c r="D39" s="172" t="str">
        <f>Rollover!B39</f>
        <v>Mazda3 5HB FWD</v>
      </c>
      <c r="E39" s="89" t="s">
        <v>91</v>
      </c>
      <c r="F39" s="167">
        <f>Rollover!C39</f>
        <v>2020</v>
      </c>
      <c r="G39" s="47">
        <v>198.74799999999999</v>
      </c>
      <c r="H39" s="11">
        <v>25.556999999999999</v>
      </c>
      <c r="I39" s="11">
        <v>30.155999999999999</v>
      </c>
      <c r="J39" s="48">
        <v>19.556000000000001</v>
      </c>
      <c r="K39" s="48">
        <v>2342.5479999999998</v>
      </c>
      <c r="L39" s="23">
        <f t="shared" si="9"/>
        <v>1.7537218491939489E-3</v>
      </c>
      <c r="M39" s="24">
        <f t="shared" si="10"/>
        <v>1.6246387748179471E-2</v>
      </c>
      <c r="N39" s="23">
        <f t="shared" si="11"/>
        <v>1.7999999999999999E-2</v>
      </c>
      <c r="O39" s="5">
        <f t="shared" si="12"/>
        <v>0.12</v>
      </c>
      <c r="P39" s="22">
        <f t="shared" si="13"/>
        <v>5</v>
      </c>
      <c r="Q39" s="67">
        <f>ROUND((0.8*'Side MDB'!W39+0.2*'Side Pole'!N39),3)</f>
        <v>5.3999999999999999E-2</v>
      </c>
      <c r="R39" s="68">
        <f t="shared" si="14"/>
        <v>0.36</v>
      </c>
      <c r="S39" s="51">
        <f t="shared" si="15"/>
        <v>5</v>
      </c>
      <c r="T39" s="68">
        <f>ROUND(((0.8*'Side MDB'!W39+0.2*'Side Pole'!N39)+(IF('Side MDB'!X39="N/A",(0.8*'Side MDB'!W39+0.2*'Side Pole'!N39),'Side MDB'!X39)))/2,3)</f>
        <v>4.8000000000000001E-2</v>
      </c>
      <c r="U39" s="68">
        <f t="shared" si="16"/>
        <v>0.32</v>
      </c>
      <c r="V39" s="22">
        <f t="shared" si="17"/>
        <v>5</v>
      </c>
      <c r="W39" s="15"/>
      <c r="X39" s="15"/>
      <c r="Y39" s="53"/>
      <c r="Z39" s="53"/>
      <c r="AA39" s="53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</row>
    <row r="40" spans="1:38" ht="13.9" customHeight="1">
      <c r="A40" s="165">
        <v>10834</v>
      </c>
      <c r="B40" s="165" t="s">
        <v>178</v>
      </c>
      <c r="C40" s="166" t="str">
        <f>Rollover!A40</f>
        <v>Mitsubishi</v>
      </c>
      <c r="D40" s="166" t="str">
        <f>Rollover!B40</f>
        <v>Eclipse Cross SUV AWD</v>
      </c>
      <c r="E40" s="89" t="s">
        <v>97</v>
      </c>
      <c r="F40" s="167">
        <f>Rollover!C40</f>
        <v>2020</v>
      </c>
      <c r="G40" s="47">
        <v>357.64400000000001</v>
      </c>
      <c r="H40" s="11">
        <v>25.074000000000002</v>
      </c>
      <c r="I40" s="11">
        <v>44.167000000000002</v>
      </c>
      <c r="J40" s="48">
        <v>39.39</v>
      </c>
      <c r="K40" s="48">
        <v>2766.826</v>
      </c>
      <c r="L40" s="23">
        <f t="shared" si="9"/>
        <v>1.6775586962925859E-2</v>
      </c>
      <c r="M40" s="24">
        <f t="shared" si="10"/>
        <v>2.4016992857706355E-2</v>
      </c>
      <c r="N40" s="23">
        <f t="shared" si="11"/>
        <v>0.04</v>
      </c>
      <c r="O40" s="5">
        <f t="shared" si="12"/>
        <v>0.27</v>
      </c>
      <c r="P40" s="22">
        <f t="shared" si="13"/>
        <v>5</v>
      </c>
      <c r="Q40" s="67">
        <f>ROUND((0.8*'Side MDB'!W40+0.2*'Side Pole'!N40),3)</f>
        <v>2.9000000000000001E-2</v>
      </c>
      <c r="R40" s="68">
        <f t="shared" si="14"/>
        <v>0.19</v>
      </c>
      <c r="S40" s="51">
        <f t="shared" si="15"/>
        <v>5</v>
      </c>
      <c r="T40" s="68">
        <f>ROUND(((0.8*'Side MDB'!W40+0.2*'Side Pole'!N40)+(IF('Side MDB'!X40="N/A",(0.8*'Side MDB'!W40+0.2*'Side Pole'!N40),'Side MDB'!X40)))/2,3)</f>
        <v>2.1000000000000001E-2</v>
      </c>
      <c r="U40" s="68">
        <f t="shared" si="16"/>
        <v>0.14000000000000001</v>
      </c>
      <c r="V40" s="22">
        <f t="shared" si="17"/>
        <v>5</v>
      </c>
      <c r="W40" s="15"/>
      <c r="X40" s="15"/>
      <c r="Y40" s="53"/>
      <c r="Z40" s="53"/>
      <c r="AA40" s="53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</row>
    <row r="41" spans="1:38" ht="13.9" customHeight="1">
      <c r="A41" s="169">
        <v>10834</v>
      </c>
      <c r="B41" s="165" t="s">
        <v>178</v>
      </c>
      <c r="C41" s="166" t="str">
        <f>Rollover!A41</f>
        <v>Mitsubishi</v>
      </c>
      <c r="D41" s="166" t="str">
        <f>Rollover!B41</f>
        <v>Eclipse Cross SUV FWD</v>
      </c>
      <c r="E41" s="89" t="s">
        <v>97</v>
      </c>
      <c r="F41" s="167">
        <f>Rollover!C41</f>
        <v>2020</v>
      </c>
      <c r="G41" s="47">
        <v>357.64400000000001</v>
      </c>
      <c r="H41" s="11">
        <v>25.074000000000002</v>
      </c>
      <c r="I41" s="11">
        <v>44.167000000000002</v>
      </c>
      <c r="J41" s="48">
        <v>39.39</v>
      </c>
      <c r="K41" s="48">
        <v>2766.826</v>
      </c>
      <c r="L41" s="23">
        <f t="shared" si="9"/>
        <v>1.6775586962925859E-2</v>
      </c>
      <c r="M41" s="24">
        <f t="shared" si="10"/>
        <v>2.4016992857706355E-2</v>
      </c>
      <c r="N41" s="23">
        <f t="shared" si="11"/>
        <v>0.04</v>
      </c>
      <c r="O41" s="5">
        <f t="shared" si="12"/>
        <v>0.27</v>
      </c>
      <c r="P41" s="22">
        <f t="shared" si="13"/>
        <v>5</v>
      </c>
      <c r="Q41" s="67">
        <f>ROUND((0.8*'Side MDB'!W41+0.2*'Side Pole'!N41),3)</f>
        <v>2.9000000000000001E-2</v>
      </c>
      <c r="R41" s="68">
        <f t="shared" si="14"/>
        <v>0.19</v>
      </c>
      <c r="S41" s="51">
        <f t="shared" si="15"/>
        <v>5</v>
      </c>
      <c r="T41" s="68">
        <f>ROUND(((0.8*'Side MDB'!W41+0.2*'Side Pole'!N41)+(IF('Side MDB'!X41="N/A",(0.8*'Side MDB'!W41+0.2*'Side Pole'!N41),'Side MDB'!X41)))/2,3)</f>
        <v>2.1000000000000001E-2</v>
      </c>
      <c r="U41" s="68">
        <f t="shared" si="16"/>
        <v>0.14000000000000001</v>
      </c>
      <c r="V41" s="22">
        <f t="shared" si="17"/>
        <v>5</v>
      </c>
      <c r="W41" s="15"/>
      <c r="X41" s="15"/>
      <c r="Y41" s="53"/>
      <c r="Z41" s="53"/>
      <c r="AA41" s="53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</row>
    <row r="42" spans="1:38" ht="13.9" customHeight="1">
      <c r="A42" s="169">
        <v>10960</v>
      </c>
      <c r="B42" s="165" t="s">
        <v>206</v>
      </c>
      <c r="C42" s="166" t="str">
        <f>Rollover!A42</f>
        <v>Nissan</v>
      </c>
      <c r="D42" s="166" t="str">
        <f>Rollover!B42</f>
        <v>Maxima 4DR FWD</v>
      </c>
      <c r="E42" s="89" t="s">
        <v>85</v>
      </c>
      <c r="F42" s="167">
        <f>Rollover!C42</f>
        <v>2020</v>
      </c>
      <c r="G42" s="47">
        <v>467.36099999999999</v>
      </c>
      <c r="H42" s="11">
        <v>22.32</v>
      </c>
      <c r="I42" s="11">
        <v>54.982999999999997</v>
      </c>
      <c r="J42" s="48">
        <v>23.501999999999999</v>
      </c>
      <c r="K42" s="12">
        <v>4090.2379999999998</v>
      </c>
      <c r="L42" s="23">
        <f t="shared" si="9"/>
        <v>3.8879267175248582E-2</v>
      </c>
      <c r="M42" s="24">
        <f t="shared" si="10"/>
        <v>7.866131068280835E-2</v>
      </c>
      <c r="N42" s="23">
        <f t="shared" si="11"/>
        <v>0.114</v>
      </c>
      <c r="O42" s="5">
        <f t="shared" si="12"/>
        <v>0.76</v>
      </c>
      <c r="P42" s="22">
        <f t="shared" si="13"/>
        <v>4</v>
      </c>
      <c r="Q42" s="67">
        <f>ROUND((0.8*'Side MDB'!W42+0.2*'Side Pole'!N42),3)</f>
        <v>0.1</v>
      </c>
      <c r="R42" s="68">
        <f t="shared" si="14"/>
        <v>0.67</v>
      </c>
      <c r="S42" s="51">
        <f t="shared" si="15"/>
        <v>4</v>
      </c>
      <c r="T42" s="68">
        <f>ROUND(((0.8*'Side MDB'!W42+0.2*'Side Pole'!N42)+(IF('Side MDB'!X42="N/A",(0.8*'Side MDB'!W42+0.2*'Side Pole'!N42),'Side MDB'!X42)))/2,3)</f>
        <v>6.0999999999999999E-2</v>
      </c>
      <c r="U42" s="68">
        <f t="shared" si="16"/>
        <v>0.41</v>
      </c>
      <c r="V42" s="22">
        <f t="shared" si="17"/>
        <v>5</v>
      </c>
      <c r="W42" s="15"/>
      <c r="X42" s="15"/>
      <c r="Y42" s="53"/>
      <c r="Z42" s="53"/>
      <c r="AA42" s="53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</row>
    <row r="43" spans="1:38" ht="13.9" customHeight="1">
      <c r="A43" s="165">
        <v>10927</v>
      </c>
      <c r="B43" s="165" t="s">
        <v>203</v>
      </c>
      <c r="C43" s="166" t="str">
        <f>Rollover!A43</f>
        <v>Nissan</v>
      </c>
      <c r="D43" s="166" t="str">
        <f>Rollover!B43</f>
        <v>Versa 4DR FWD</v>
      </c>
      <c r="E43" s="89" t="s">
        <v>91</v>
      </c>
      <c r="F43" s="167">
        <f>Rollover!C43</f>
        <v>2020</v>
      </c>
      <c r="G43" s="47">
        <v>231.83</v>
      </c>
      <c r="H43" s="11">
        <v>17.526</v>
      </c>
      <c r="I43" s="11">
        <v>28.695</v>
      </c>
      <c r="J43" s="48">
        <v>15.093999999999999</v>
      </c>
      <c r="K43" s="48">
        <v>2139.5940000000001</v>
      </c>
      <c r="L43" s="23">
        <f t="shared" si="9"/>
        <v>3.3510268700184518E-3</v>
      </c>
      <c r="M43" s="24">
        <f t="shared" si="10"/>
        <v>1.3462654799760962E-2</v>
      </c>
      <c r="N43" s="23">
        <f t="shared" si="11"/>
        <v>1.7000000000000001E-2</v>
      </c>
      <c r="O43" s="5">
        <f t="shared" si="12"/>
        <v>0.11</v>
      </c>
      <c r="P43" s="22">
        <f t="shared" si="13"/>
        <v>5</v>
      </c>
      <c r="Q43" s="67">
        <f>ROUND((0.8*'Side MDB'!W43+0.2*'Side Pole'!N43),3)</f>
        <v>5.8000000000000003E-2</v>
      </c>
      <c r="R43" s="68">
        <f t="shared" si="14"/>
        <v>0.39</v>
      </c>
      <c r="S43" s="51">
        <f t="shared" si="15"/>
        <v>5</v>
      </c>
      <c r="T43" s="68">
        <f>ROUND(((0.8*'Side MDB'!W43+0.2*'Side Pole'!N43)+(IF('Side MDB'!X43="N/A",(0.8*'Side MDB'!W43+0.2*'Side Pole'!N43),'Side MDB'!X43)))/2,3)</f>
        <v>3.6999999999999998E-2</v>
      </c>
      <c r="U43" s="68">
        <f t="shared" si="16"/>
        <v>0.25</v>
      </c>
      <c r="V43" s="22">
        <f t="shared" si="17"/>
        <v>5</v>
      </c>
      <c r="W43" s="15"/>
      <c r="X43" s="15"/>
      <c r="Y43" s="53"/>
      <c r="Z43" s="53"/>
      <c r="AA43" s="53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</row>
    <row r="44" spans="1:38" ht="13.9" customHeight="1">
      <c r="A44" s="169">
        <v>10846</v>
      </c>
      <c r="B44" s="165" t="s">
        <v>186</v>
      </c>
      <c r="C44" s="166" t="str">
        <f>Rollover!A44</f>
        <v>Subaru</v>
      </c>
      <c r="D44" s="166" t="str">
        <f>Rollover!B44</f>
        <v>Legacy 4DR AWD</v>
      </c>
      <c r="E44" s="89" t="s">
        <v>91</v>
      </c>
      <c r="F44" s="167">
        <f>Rollover!C44</f>
        <v>2020</v>
      </c>
      <c r="G44" s="47">
        <v>103.797</v>
      </c>
      <c r="H44" s="11">
        <v>19.646999999999998</v>
      </c>
      <c r="I44" s="11">
        <v>38.470999999999997</v>
      </c>
      <c r="J44" s="48">
        <v>14.347</v>
      </c>
      <c r="K44" s="12">
        <v>3028.7040000000002</v>
      </c>
      <c r="L44" s="23">
        <f t="shared" si="9"/>
        <v>7.316153487279784E-5</v>
      </c>
      <c r="M44" s="24">
        <f t="shared" si="10"/>
        <v>3.0515840093706635E-2</v>
      </c>
      <c r="N44" s="23">
        <f t="shared" si="11"/>
        <v>3.1E-2</v>
      </c>
      <c r="O44" s="5">
        <f t="shared" si="12"/>
        <v>0.21</v>
      </c>
      <c r="P44" s="22">
        <f t="shared" si="13"/>
        <v>5</v>
      </c>
      <c r="Q44" s="67">
        <f>ROUND((0.8*'Side MDB'!W44+0.2*'Side Pole'!N44),3)</f>
        <v>4.2999999999999997E-2</v>
      </c>
      <c r="R44" s="68">
        <f t="shared" si="14"/>
        <v>0.28999999999999998</v>
      </c>
      <c r="S44" s="51">
        <f t="shared" si="15"/>
        <v>5</v>
      </c>
      <c r="T44" s="68">
        <f>ROUND(((0.8*'Side MDB'!W44+0.2*'Side Pole'!N44)+(IF('Side MDB'!X44="N/A",(0.8*'Side MDB'!W44+0.2*'Side Pole'!N44),'Side MDB'!X44)))/2,3)</f>
        <v>3.3000000000000002E-2</v>
      </c>
      <c r="U44" s="68">
        <f t="shared" si="16"/>
        <v>0.22</v>
      </c>
      <c r="V44" s="22">
        <f t="shared" si="17"/>
        <v>5</v>
      </c>
      <c r="W44" s="15"/>
      <c r="X44" s="15"/>
      <c r="Y44" s="53"/>
      <c r="Z44" s="53"/>
      <c r="AA44" s="53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</row>
    <row r="45" spans="1:38" ht="13.9" customHeight="1">
      <c r="A45" s="169">
        <v>10911</v>
      </c>
      <c r="B45" s="165" t="s">
        <v>188</v>
      </c>
      <c r="C45" s="166" t="str">
        <f>Rollover!A45</f>
        <v>Subaru</v>
      </c>
      <c r="D45" s="166" t="str">
        <f>Rollover!B45</f>
        <v>Outback SW AWD</v>
      </c>
      <c r="E45" s="89" t="s">
        <v>91</v>
      </c>
      <c r="F45" s="167">
        <f>Rollover!C45</f>
        <v>2020</v>
      </c>
      <c r="G45" s="47">
        <v>145.62</v>
      </c>
      <c r="H45" s="11">
        <v>18.956</v>
      </c>
      <c r="I45" s="11">
        <v>43.360999999999997</v>
      </c>
      <c r="J45" s="48">
        <v>21.535</v>
      </c>
      <c r="K45" s="48">
        <v>2999.2440000000001</v>
      </c>
      <c r="L45" s="23">
        <f t="shared" si="9"/>
        <v>4.1934813984900748E-4</v>
      </c>
      <c r="M45" s="24">
        <f t="shared" si="10"/>
        <v>2.9707136613067439E-2</v>
      </c>
      <c r="N45" s="23">
        <f t="shared" si="11"/>
        <v>0.03</v>
      </c>
      <c r="O45" s="5">
        <f t="shared" si="12"/>
        <v>0.2</v>
      </c>
      <c r="P45" s="22">
        <f t="shared" si="13"/>
        <v>5</v>
      </c>
      <c r="Q45" s="67">
        <f>ROUND((0.8*'Side MDB'!W45+0.2*'Side Pole'!N45),3)</f>
        <v>2.4E-2</v>
      </c>
      <c r="R45" s="68">
        <f t="shared" si="14"/>
        <v>0.16</v>
      </c>
      <c r="S45" s="51">
        <f t="shared" si="15"/>
        <v>5</v>
      </c>
      <c r="T45" s="68">
        <f>ROUND(((0.8*'Side MDB'!W45+0.2*'Side Pole'!N45)+(IF('Side MDB'!X45="N/A",(0.8*'Side MDB'!W45+0.2*'Side Pole'!N45),'Side MDB'!X45)))/2,3)</f>
        <v>2.4E-2</v>
      </c>
      <c r="U45" s="68">
        <f t="shared" si="16"/>
        <v>0.16</v>
      </c>
      <c r="V45" s="22">
        <f t="shared" si="17"/>
        <v>5</v>
      </c>
      <c r="W45" s="15"/>
      <c r="X45" s="15"/>
      <c r="Y45" s="53"/>
      <c r="Z45" s="53"/>
      <c r="AA45" s="53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</row>
    <row r="46" spans="1:38" ht="13.9" customHeight="1">
      <c r="A46" s="165">
        <v>10923</v>
      </c>
      <c r="B46" s="165" t="s">
        <v>196</v>
      </c>
      <c r="C46" s="166" t="str">
        <f>Rollover!A46</f>
        <v>Subaru</v>
      </c>
      <c r="D46" s="166" t="str">
        <f>Rollover!B46</f>
        <v>WRX 4DR AWD</v>
      </c>
      <c r="E46" s="89" t="s">
        <v>97</v>
      </c>
      <c r="F46" s="167">
        <f>Rollover!C46</f>
        <v>2020</v>
      </c>
      <c r="G46" s="47">
        <v>292.42599999999999</v>
      </c>
      <c r="H46" s="11">
        <v>25.991</v>
      </c>
      <c r="I46" s="11">
        <v>44.393999999999998</v>
      </c>
      <c r="J46" s="48">
        <v>29.687000000000001</v>
      </c>
      <c r="K46" s="48">
        <v>3932.3119999999999</v>
      </c>
      <c r="L46" s="23">
        <f>NORMDIST(LN(G46),7.45231,0.73998,1)</f>
        <v>8.2538029303325187E-3</v>
      </c>
      <c r="M46" s="24">
        <f>1/(1+EXP(6.3055-0.00094*K46))</f>
        <v>6.8553344951311518E-2</v>
      </c>
      <c r="N46" s="23">
        <f>ROUND(1-(1-L46)*(1-M46),3)</f>
        <v>7.5999999999999998E-2</v>
      </c>
      <c r="O46" s="5">
        <f t="shared" si="12"/>
        <v>0.51</v>
      </c>
      <c r="P46" s="22">
        <f t="shared" si="13"/>
        <v>5</v>
      </c>
      <c r="Q46" s="67">
        <f>ROUND((0.8*'Side MDB'!W46+0.2*'Side Pole'!N46),3)</f>
        <v>7.4999999999999997E-2</v>
      </c>
      <c r="R46" s="68">
        <f t="shared" si="14"/>
        <v>0.5</v>
      </c>
      <c r="S46" s="51">
        <f t="shared" si="15"/>
        <v>5</v>
      </c>
      <c r="T46" s="68">
        <f>ROUND(((0.8*'Side MDB'!W46+0.2*'Side Pole'!N46)+(IF('Side MDB'!X46="N/A",(0.8*'Side MDB'!W46+0.2*'Side Pole'!N46),'Side MDB'!X46)))/2,3)</f>
        <v>4.5999999999999999E-2</v>
      </c>
      <c r="U46" s="68">
        <f t="shared" si="16"/>
        <v>0.31</v>
      </c>
      <c r="V46" s="22">
        <f t="shared" si="17"/>
        <v>5</v>
      </c>
      <c r="W46" s="15"/>
      <c r="X46" s="15"/>
      <c r="Y46" s="53"/>
      <c r="Z46" s="53"/>
      <c r="AA46" s="53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</row>
    <row r="47" spans="1:38" ht="13.9" customHeight="1">
      <c r="A47" s="165">
        <v>10650</v>
      </c>
      <c r="B47" s="165" t="s">
        <v>157</v>
      </c>
      <c r="C47" s="166" t="str">
        <f>Rollover!A47</f>
        <v>Toyota</v>
      </c>
      <c r="D47" s="166" t="str">
        <f>Rollover!B47</f>
        <v>Corolla 4DR FWD</v>
      </c>
      <c r="E47" s="89" t="s">
        <v>85</v>
      </c>
      <c r="F47" s="167">
        <f>Rollover!C47</f>
        <v>2020</v>
      </c>
      <c r="G47" s="47">
        <v>239.12200000000001</v>
      </c>
      <c r="H47" s="11">
        <v>14.971</v>
      </c>
      <c r="I47" s="11">
        <v>31.571999999999999</v>
      </c>
      <c r="J47" s="48">
        <v>21.445</v>
      </c>
      <c r="K47" s="12">
        <v>2769.5720000000001</v>
      </c>
      <c r="L47" s="23">
        <f t="shared" si="9"/>
        <v>3.7988325969970905E-3</v>
      </c>
      <c r="M47" s="24">
        <f t="shared" si="10"/>
        <v>2.4077571975424518E-2</v>
      </c>
      <c r="N47" s="23">
        <f t="shared" si="11"/>
        <v>2.8000000000000001E-2</v>
      </c>
      <c r="O47" s="5">
        <f t="shared" si="12"/>
        <v>0.19</v>
      </c>
      <c r="P47" s="22">
        <f t="shared" si="13"/>
        <v>5</v>
      </c>
      <c r="Q47" s="67">
        <f>ROUND((0.8*'Side MDB'!W47+0.2*'Side Pole'!N47),3)</f>
        <v>4.3999999999999997E-2</v>
      </c>
      <c r="R47" s="68">
        <f t="shared" si="14"/>
        <v>0.28999999999999998</v>
      </c>
      <c r="S47" s="51">
        <f t="shared" si="15"/>
        <v>5</v>
      </c>
      <c r="T47" s="68">
        <f>ROUND(((0.8*'Side MDB'!W47+0.2*'Side Pole'!N47)+(IF('Side MDB'!X47="N/A",(0.8*'Side MDB'!W47+0.2*'Side Pole'!N47),'Side MDB'!X47)))/2,3)</f>
        <v>0.03</v>
      </c>
      <c r="U47" s="68">
        <f t="shared" si="16"/>
        <v>0.2</v>
      </c>
      <c r="V47" s="22">
        <f t="shared" si="17"/>
        <v>5</v>
      </c>
      <c r="W47" s="15"/>
      <c r="X47" s="15"/>
      <c r="Y47" s="53"/>
      <c r="Z47" s="53"/>
      <c r="AA47" s="53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</row>
    <row r="48" spans="1:38" ht="13.9" customHeight="1">
      <c r="A48" s="165">
        <v>10650</v>
      </c>
      <c r="B48" s="165" t="s">
        <v>157</v>
      </c>
      <c r="C48" s="166" t="str">
        <f>Rollover!A48</f>
        <v>Toyota</v>
      </c>
      <c r="D48" s="166" t="str">
        <f>Rollover!B48</f>
        <v>Corolla Hybrid 4DR FWD</v>
      </c>
      <c r="E48" s="89" t="s">
        <v>85</v>
      </c>
      <c r="F48" s="167">
        <f>Rollover!C48</f>
        <v>2020</v>
      </c>
      <c r="G48" s="47">
        <v>239.12200000000001</v>
      </c>
      <c r="H48" s="11">
        <v>14.971</v>
      </c>
      <c r="I48" s="11">
        <v>31.571999999999999</v>
      </c>
      <c r="J48" s="48">
        <v>21.445</v>
      </c>
      <c r="K48" s="12">
        <v>2769.5720000000001</v>
      </c>
      <c r="L48" s="23">
        <f t="shared" si="9"/>
        <v>3.7988325969970905E-3</v>
      </c>
      <c r="M48" s="24">
        <f t="shared" si="10"/>
        <v>2.4077571975424518E-2</v>
      </c>
      <c r="N48" s="23">
        <f t="shared" si="11"/>
        <v>2.8000000000000001E-2</v>
      </c>
      <c r="O48" s="5">
        <f t="shared" si="12"/>
        <v>0.19</v>
      </c>
      <c r="P48" s="22">
        <f t="shared" si="13"/>
        <v>5</v>
      </c>
      <c r="Q48" s="67">
        <f>ROUND((0.8*'Side MDB'!W48+0.2*'Side Pole'!N48),3)</f>
        <v>4.3999999999999997E-2</v>
      </c>
      <c r="R48" s="68">
        <f t="shared" si="14"/>
        <v>0.28999999999999998</v>
      </c>
      <c r="S48" s="51">
        <f t="shared" si="15"/>
        <v>5</v>
      </c>
      <c r="T48" s="68">
        <f>ROUND(((0.8*'Side MDB'!W48+0.2*'Side Pole'!N48)+(IF('Side MDB'!X48="N/A",(0.8*'Side MDB'!W48+0.2*'Side Pole'!N48),'Side MDB'!X48)))/2,3)</f>
        <v>0.03</v>
      </c>
      <c r="U48" s="68">
        <f t="shared" si="16"/>
        <v>0.2</v>
      </c>
      <c r="V48" s="22">
        <f t="shared" si="17"/>
        <v>5</v>
      </c>
      <c r="W48" s="15"/>
      <c r="X48" s="15"/>
      <c r="Y48" s="53"/>
      <c r="Z48" s="53"/>
      <c r="AA48" s="53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</row>
    <row r="49" spans="1:38" ht="12" customHeight="1">
      <c r="A49" s="169">
        <v>11045</v>
      </c>
      <c r="B49" s="165" t="s">
        <v>240</v>
      </c>
      <c r="C49" s="172" t="str">
        <f>Rollover!A49</f>
        <v>Volvo</v>
      </c>
      <c r="D49" s="172" t="str">
        <f>Rollover!B49</f>
        <v>S60 T6 4DR AWD</v>
      </c>
      <c r="E49" s="89" t="s">
        <v>99</v>
      </c>
      <c r="F49" s="167">
        <f>Rollover!C49</f>
        <v>2020</v>
      </c>
      <c r="G49" s="47">
        <v>319.05200000000002</v>
      </c>
      <c r="H49" s="11">
        <v>22.658999999999999</v>
      </c>
      <c r="I49" s="11">
        <v>28.911999999999999</v>
      </c>
      <c r="J49" s="48">
        <v>30.515000000000001</v>
      </c>
      <c r="K49" s="12">
        <v>2181.0659999999998</v>
      </c>
      <c r="L49" s="23">
        <f t="shared" ref="L49:L59" si="27">NORMDIST(LN(G49),7.45231,0.73998,1)</f>
        <v>1.1311801484682416E-2</v>
      </c>
      <c r="M49" s="24">
        <f t="shared" ref="M49:M59" si="28">1/(1+EXP(6.3055-0.00094*K49))</f>
        <v>1.3990355177654939E-2</v>
      </c>
      <c r="N49" s="23">
        <f t="shared" ref="N49:N59" si="29">ROUND(1-(1-L49)*(1-M49),3)</f>
        <v>2.5000000000000001E-2</v>
      </c>
      <c r="O49" s="5">
        <f t="shared" ref="O49:O59" si="30">ROUND(N49/0.15,2)</f>
        <v>0.17</v>
      </c>
      <c r="P49" s="22">
        <f t="shared" ref="P49:P59" si="31">IF(O49&lt;0.67,5,IF(O49&lt;1,4,IF(O49&lt;1.33,3,IF(O49&lt;2.67,2,1))))</f>
        <v>5</v>
      </c>
      <c r="Q49" s="67">
        <f>ROUND((0.8*'Side MDB'!W49+0.2*'Side Pole'!N49),3)</f>
        <v>4.7E-2</v>
      </c>
      <c r="R49" s="68">
        <f t="shared" ref="R49:R59" si="32">ROUND((Q49)/0.15,2)</f>
        <v>0.31</v>
      </c>
      <c r="S49" s="51">
        <f t="shared" ref="S49:S59" si="33">IF(R49&lt;0.67,5,IF(R49&lt;1,4,IF(R49&lt;1.33,3,IF(R49&lt;2.67,2,1))))</f>
        <v>5</v>
      </c>
      <c r="T49" s="68">
        <f>ROUND(((0.8*'Side MDB'!W49+0.2*'Side Pole'!N49)+(IF('Side MDB'!X49="N/A",(0.8*'Side MDB'!W49+0.2*'Side Pole'!N49),'Side MDB'!X49)))/2,3)</f>
        <v>3.6999999999999998E-2</v>
      </c>
      <c r="U49" s="68">
        <f t="shared" ref="U49:U59" si="34">ROUND((T49)/0.15,2)</f>
        <v>0.25</v>
      </c>
      <c r="V49" s="22">
        <f t="shared" ref="V49:V59" si="35">IF(U49&lt;0.67,5,IF(U49&lt;1,4,IF(U49&lt;1.33,3,IF(U49&lt;2.67,2,1))))</f>
        <v>5</v>
      </c>
      <c r="W49" s="15"/>
      <c r="X49" s="15"/>
      <c r="Y49" s="53"/>
      <c r="Z49" s="53"/>
      <c r="AA49" s="53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</row>
    <row r="50" spans="1:38" ht="13.9" customHeight="1">
      <c r="A50" s="165">
        <v>11045</v>
      </c>
      <c r="B50" s="165" t="s">
        <v>240</v>
      </c>
      <c r="C50" s="166" t="str">
        <f>Rollover!A50</f>
        <v>Volvo</v>
      </c>
      <c r="D50" s="166" t="str">
        <f>Rollover!B50</f>
        <v>S60 T5 4DR FWD</v>
      </c>
      <c r="E50" s="89" t="s">
        <v>99</v>
      </c>
      <c r="F50" s="167">
        <f>Rollover!C50</f>
        <v>2020</v>
      </c>
      <c r="G50" s="47">
        <v>319.05200000000002</v>
      </c>
      <c r="H50" s="11">
        <v>22.658999999999999</v>
      </c>
      <c r="I50" s="11">
        <v>28.911999999999999</v>
      </c>
      <c r="J50" s="48">
        <v>30.515000000000001</v>
      </c>
      <c r="K50" s="12">
        <v>2181.0659999999998</v>
      </c>
      <c r="L50" s="23">
        <f t="shared" si="27"/>
        <v>1.1311801484682416E-2</v>
      </c>
      <c r="M50" s="24">
        <f t="shared" si="28"/>
        <v>1.3990355177654939E-2</v>
      </c>
      <c r="N50" s="23">
        <f t="shared" si="29"/>
        <v>2.5000000000000001E-2</v>
      </c>
      <c r="O50" s="5">
        <f t="shared" si="30"/>
        <v>0.17</v>
      </c>
      <c r="P50" s="22">
        <f t="shared" si="31"/>
        <v>5</v>
      </c>
      <c r="Q50" s="67">
        <f>ROUND((0.8*'Side MDB'!W50+0.2*'Side Pole'!N50),3)</f>
        <v>4.7E-2</v>
      </c>
      <c r="R50" s="68">
        <f t="shared" si="32"/>
        <v>0.31</v>
      </c>
      <c r="S50" s="51">
        <f t="shared" si="33"/>
        <v>5</v>
      </c>
      <c r="T50" s="68">
        <f>ROUND(((0.8*'Side MDB'!W50+0.2*'Side Pole'!N50)+(IF('Side MDB'!X50="N/A",(0.8*'Side MDB'!W50+0.2*'Side Pole'!N50),'Side MDB'!X50)))/2,3)</f>
        <v>3.6999999999999998E-2</v>
      </c>
      <c r="U50" s="68">
        <f t="shared" si="34"/>
        <v>0.25</v>
      </c>
      <c r="V50" s="22">
        <f t="shared" si="35"/>
        <v>5</v>
      </c>
      <c r="W50" s="15"/>
      <c r="X50" s="15"/>
      <c r="Y50" s="53"/>
      <c r="Z50" s="53"/>
      <c r="AA50" s="53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</row>
    <row r="51" spans="1:38" ht="13.9" customHeight="1">
      <c r="A51" s="169">
        <v>11045</v>
      </c>
      <c r="B51" s="165" t="s">
        <v>240</v>
      </c>
      <c r="C51" s="172" t="str">
        <f>Rollover!A51</f>
        <v>Volvo</v>
      </c>
      <c r="D51" s="172" t="str">
        <f>Rollover!B51</f>
        <v>V60 T5 SW FWD</v>
      </c>
      <c r="E51" s="89" t="s">
        <v>99</v>
      </c>
      <c r="F51" s="167">
        <f>Rollover!C51</f>
        <v>2020</v>
      </c>
      <c r="G51" s="47">
        <v>319.05200000000002</v>
      </c>
      <c r="H51" s="11">
        <v>22.658999999999999</v>
      </c>
      <c r="I51" s="11">
        <v>28.911999999999999</v>
      </c>
      <c r="J51" s="48">
        <v>30.515000000000001</v>
      </c>
      <c r="K51" s="12">
        <v>2181.0659999999998</v>
      </c>
      <c r="L51" s="23">
        <f t="shared" si="27"/>
        <v>1.1311801484682416E-2</v>
      </c>
      <c r="M51" s="24">
        <f t="shared" si="28"/>
        <v>1.3990355177654939E-2</v>
      </c>
      <c r="N51" s="23">
        <f t="shared" si="29"/>
        <v>2.5000000000000001E-2</v>
      </c>
      <c r="O51" s="5">
        <f t="shared" si="30"/>
        <v>0.17</v>
      </c>
      <c r="P51" s="22">
        <f t="shared" si="31"/>
        <v>5</v>
      </c>
      <c r="Q51" s="67">
        <f>ROUND((0.8*'Side MDB'!W51+0.2*'Side Pole'!N51),3)</f>
        <v>4.7E-2</v>
      </c>
      <c r="R51" s="68">
        <f t="shared" si="32"/>
        <v>0.31</v>
      </c>
      <c r="S51" s="51">
        <f t="shared" si="33"/>
        <v>5</v>
      </c>
      <c r="T51" s="68">
        <f>ROUND(((0.8*'Side MDB'!W51+0.2*'Side Pole'!N51)+(IF('Side MDB'!X51="N/A",(0.8*'Side MDB'!W51+0.2*'Side Pole'!N51),'Side MDB'!X51)))/2,3)</f>
        <v>3.6999999999999998E-2</v>
      </c>
      <c r="U51" s="68">
        <f t="shared" si="34"/>
        <v>0.25</v>
      </c>
      <c r="V51" s="22">
        <f t="shared" si="35"/>
        <v>5</v>
      </c>
      <c r="W51" s="15"/>
      <c r="X51" s="15"/>
      <c r="Y51" s="53"/>
      <c r="Z51" s="53"/>
      <c r="AA51" s="53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</row>
    <row r="52" spans="1:38" ht="13.9" customHeight="1">
      <c r="A52" s="169">
        <v>11045</v>
      </c>
      <c r="B52" s="165" t="s">
        <v>240</v>
      </c>
      <c r="C52" s="172" t="str">
        <f>Rollover!A52</f>
        <v>Volvo</v>
      </c>
      <c r="D52" s="172" t="str">
        <f>Rollover!B52</f>
        <v>V60 CC T5 SW AWD</v>
      </c>
      <c r="E52" s="89" t="s">
        <v>99</v>
      </c>
      <c r="F52" s="167">
        <f>Rollover!C52</f>
        <v>2020</v>
      </c>
      <c r="G52" s="47">
        <v>319.05200000000002</v>
      </c>
      <c r="H52" s="11">
        <v>22.658999999999999</v>
      </c>
      <c r="I52" s="11">
        <v>28.911999999999999</v>
      </c>
      <c r="J52" s="48">
        <v>30.515000000000001</v>
      </c>
      <c r="K52" s="12">
        <v>2181.0659999999998</v>
      </c>
      <c r="L52" s="23">
        <f t="shared" si="27"/>
        <v>1.1311801484682416E-2</v>
      </c>
      <c r="M52" s="24">
        <f t="shared" si="28"/>
        <v>1.3990355177654939E-2</v>
      </c>
      <c r="N52" s="23">
        <f t="shared" si="29"/>
        <v>2.5000000000000001E-2</v>
      </c>
      <c r="O52" s="5">
        <f t="shared" si="30"/>
        <v>0.17</v>
      </c>
      <c r="P52" s="22">
        <f t="shared" si="31"/>
        <v>5</v>
      </c>
      <c r="Q52" s="67">
        <f>ROUND((0.8*'Side MDB'!W52+0.2*'Side Pole'!N52),3)</f>
        <v>4.7E-2</v>
      </c>
      <c r="R52" s="68">
        <f t="shared" si="32"/>
        <v>0.31</v>
      </c>
      <c r="S52" s="51">
        <f t="shared" si="33"/>
        <v>5</v>
      </c>
      <c r="T52" s="68">
        <f>ROUND(((0.8*'Side MDB'!W52+0.2*'Side Pole'!N52)+(IF('Side MDB'!X52="N/A",(0.8*'Side MDB'!W52+0.2*'Side Pole'!N52),'Side MDB'!X52)))/2,3)</f>
        <v>3.6999999999999998E-2</v>
      </c>
      <c r="U52" s="68">
        <f t="shared" si="34"/>
        <v>0.25</v>
      </c>
      <c r="V52" s="22">
        <f t="shared" si="35"/>
        <v>5</v>
      </c>
      <c r="W52" s="15"/>
      <c r="X52" s="15"/>
      <c r="Y52" s="53"/>
      <c r="Z52" s="53"/>
      <c r="AA52" s="53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</row>
    <row r="53" spans="1:38" ht="13.9" customHeight="1">
      <c r="A53" s="165">
        <v>10916</v>
      </c>
      <c r="B53" s="165" t="s">
        <v>191</v>
      </c>
      <c r="C53" s="172" t="str">
        <f>Rollover!A53</f>
        <v>Volvo</v>
      </c>
      <c r="D53" s="172" t="str">
        <f>Rollover!B53</f>
        <v>XC40 T5 SUV AWD</v>
      </c>
      <c r="E53" s="89" t="s">
        <v>85</v>
      </c>
      <c r="F53" s="167">
        <f>Rollover!C53</f>
        <v>2020</v>
      </c>
      <c r="G53" s="47">
        <v>236.595</v>
      </c>
      <c r="H53" s="11">
        <v>24.582000000000001</v>
      </c>
      <c r="I53" s="11">
        <v>33.063000000000002</v>
      </c>
      <c r="J53" s="48">
        <v>22.033999999999999</v>
      </c>
      <c r="K53" s="48">
        <v>1827.9690000000001</v>
      </c>
      <c r="L53" s="23">
        <f t="shared" si="27"/>
        <v>3.6395044926366611E-3</v>
      </c>
      <c r="M53" s="24">
        <f t="shared" si="28"/>
        <v>1.0078620372390538E-2</v>
      </c>
      <c r="N53" s="23">
        <f t="shared" si="29"/>
        <v>1.4E-2</v>
      </c>
      <c r="O53" s="5">
        <f t="shared" si="30"/>
        <v>0.09</v>
      </c>
      <c r="P53" s="22">
        <f t="shared" si="31"/>
        <v>5</v>
      </c>
      <c r="Q53" s="67">
        <f>ROUND((0.8*'Side MDB'!W53+0.2*'Side Pole'!N53),3)</f>
        <v>3.9E-2</v>
      </c>
      <c r="R53" s="68">
        <f t="shared" si="32"/>
        <v>0.26</v>
      </c>
      <c r="S53" s="51">
        <f t="shared" si="33"/>
        <v>5</v>
      </c>
      <c r="T53" s="68">
        <f>ROUND(((0.8*'Side MDB'!W53+0.2*'Side Pole'!N53)+(IF('Side MDB'!X53="N/A",(0.8*'Side MDB'!W53+0.2*'Side Pole'!N53),'Side MDB'!X53)))/2,3)</f>
        <v>0.04</v>
      </c>
      <c r="U53" s="68">
        <f t="shared" si="34"/>
        <v>0.27</v>
      </c>
      <c r="V53" s="22">
        <f t="shared" si="35"/>
        <v>5</v>
      </c>
      <c r="W53" s="15"/>
      <c r="X53" s="15"/>
      <c r="Y53" s="53"/>
      <c r="Z53" s="53"/>
      <c r="AA53" s="53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</row>
    <row r="54" spans="1:38" ht="13.9" customHeight="1">
      <c r="A54" s="171">
        <v>10916</v>
      </c>
      <c r="B54" s="171" t="s">
        <v>191</v>
      </c>
      <c r="C54" s="166" t="str">
        <f>Rollover!A54</f>
        <v>Volvo</v>
      </c>
      <c r="D54" s="166" t="str">
        <f>Rollover!B54</f>
        <v>XC40 T4 4DR FWD</v>
      </c>
      <c r="E54" s="89" t="s">
        <v>85</v>
      </c>
      <c r="F54" s="167">
        <f>Rollover!C54</f>
        <v>2020</v>
      </c>
      <c r="G54" s="47">
        <v>236.595</v>
      </c>
      <c r="H54" s="11">
        <v>24.582000000000001</v>
      </c>
      <c r="I54" s="11">
        <v>33.063000000000002</v>
      </c>
      <c r="J54" s="48">
        <v>22.033999999999999</v>
      </c>
      <c r="K54" s="48">
        <v>1827.9690000000001</v>
      </c>
      <c r="L54" s="23">
        <f t="shared" si="27"/>
        <v>3.6395044926366611E-3</v>
      </c>
      <c r="M54" s="24">
        <f t="shared" si="28"/>
        <v>1.0078620372390538E-2</v>
      </c>
      <c r="N54" s="23">
        <f t="shared" si="29"/>
        <v>1.4E-2</v>
      </c>
      <c r="O54" s="5">
        <f t="shared" si="30"/>
        <v>0.09</v>
      </c>
      <c r="P54" s="22">
        <f t="shared" si="31"/>
        <v>5</v>
      </c>
      <c r="Q54" s="67">
        <f>ROUND((0.8*'Side MDB'!W54+0.2*'Side Pole'!N54),3)</f>
        <v>3.9E-2</v>
      </c>
      <c r="R54" s="68">
        <f t="shared" si="32"/>
        <v>0.26</v>
      </c>
      <c r="S54" s="51">
        <f t="shared" si="33"/>
        <v>5</v>
      </c>
      <c r="T54" s="68">
        <f>ROUND(((0.8*'Side MDB'!W54+0.2*'Side Pole'!N54)+(IF('Side MDB'!X54="N/A",(0.8*'Side MDB'!W54+0.2*'Side Pole'!N54),'Side MDB'!X54)))/2,3)</f>
        <v>0.04</v>
      </c>
      <c r="U54" s="68">
        <f t="shared" si="34"/>
        <v>0.27</v>
      </c>
      <c r="V54" s="22">
        <f t="shared" si="35"/>
        <v>5</v>
      </c>
      <c r="W54" s="15"/>
      <c r="X54" s="15"/>
      <c r="Y54" s="53"/>
      <c r="Z54" s="53"/>
      <c r="AA54" s="53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</row>
    <row r="55" spans="1:38" ht="13.9" customHeight="1">
      <c r="A55" s="171">
        <v>10980</v>
      </c>
      <c r="B55" s="171" t="s">
        <v>235</v>
      </c>
      <c r="C55" s="172" t="str">
        <f>Rollover!A55</f>
        <v>Volvo</v>
      </c>
      <c r="D55" s="172" t="str">
        <f>Rollover!B55</f>
        <v>XC60 T5 SUV AWD</v>
      </c>
      <c r="E55" s="89" t="s">
        <v>91</v>
      </c>
      <c r="F55" s="167">
        <f>Rollover!C55</f>
        <v>2020</v>
      </c>
      <c r="G55" s="47">
        <v>237.28700000000001</v>
      </c>
      <c r="H55" s="11">
        <v>18.806999999999999</v>
      </c>
      <c r="I55" s="11">
        <v>29.486999999999998</v>
      </c>
      <c r="J55" s="48">
        <v>25.75</v>
      </c>
      <c r="K55" s="48">
        <v>1825.336</v>
      </c>
      <c r="L55" s="23">
        <f t="shared" si="27"/>
        <v>3.6826951718014812E-3</v>
      </c>
      <c r="M55" s="24">
        <f t="shared" si="28"/>
        <v>1.0053956913077769E-2</v>
      </c>
      <c r="N55" s="23">
        <f t="shared" si="29"/>
        <v>1.4E-2</v>
      </c>
      <c r="O55" s="5">
        <f t="shared" si="30"/>
        <v>0.09</v>
      </c>
      <c r="P55" s="22">
        <f t="shared" si="31"/>
        <v>5</v>
      </c>
      <c r="Q55" s="67">
        <f>ROUND((0.8*'Side MDB'!W55+0.2*'Side Pole'!N55),3)</f>
        <v>2.7E-2</v>
      </c>
      <c r="R55" s="68">
        <f t="shared" si="32"/>
        <v>0.18</v>
      </c>
      <c r="S55" s="51">
        <f t="shared" si="33"/>
        <v>5</v>
      </c>
      <c r="T55" s="68">
        <f>ROUND(((0.8*'Side MDB'!W55+0.2*'Side Pole'!N55)+(IF('Side MDB'!X55="N/A",(0.8*'Side MDB'!W55+0.2*'Side Pole'!N55),'Side MDB'!X55)))/2,3)</f>
        <v>5.0999999999999997E-2</v>
      </c>
      <c r="U55" s="68">
        <f t="shared" si="34"/>
        <v>0.34</v>
      </c>
      <c r="V55" s="22">
        <f t="shared" si="35"/>
        <v>5</v>
      </c>
      <c r="W55" s="15"/>
      <c r="X55" s="15"/>
      <c r="Y55" s="53"/>
      <c r="Z55" s="53"/>
      <c r="AA55" s="53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</row>
    <row r="56" spans="1:38" ht="13.9" customHeight="1">
      <c r="A56" s="171">
        <v>10980</v>
      </c>
      <c r="B56" s="171" t="s">
        <v>235</v>
      </c>
      <c r="C56" s="166" t="str">
        <f>Rollover!A56</f>
        <v>Volvo</v>
      </c>
      <c r="D56" s="166" t="str">
        <f>Rollover!B56</f>
        <v>XC60 T5 SUV FWD</v>
      </c>
      <c r="E56" s="89" t="s">
        <v>91</v>
      </c>
      <c r="F56" s="167">
        <f>Rollover!C56</f>
        <v>2020</v>
      </c>
      <c r="G56" s="47">
        <v>237.28700000000001</v>
      </c>
      <c r="H56" s="11">
        <v>18.806999999999999</v>
      </c>
      <c r="I56" s="11">
        <v>29.486999999999998</v>
      </c>
      <c r="J56" s="48">
        <v>25.75</v>
      </c>
      <c r="K56" s="48">
        <v>1825.336</v>
      </c>
      <c r="L56" s="23">
        <f t="shared" si="27"/>
        <v>3.6826951718014812E-3</v>
      </c>
      <c r="M56" s="24">
        <f t="shared" si="28"/>
        <v>1.0053956913077769E-2</v>
      </c>
      <c r="N56" s="23">
        <f t="shared" si="29"/>
        <v>1.4E-2</v>
      </c>
      <c r="O56" s="5">
        <f t="shared" si="30"/>
        <v>0.09</v>
      </c>
      <c r="P56" s="22">
        <f t="shared" si="31"/>
        <v>5</v>
      </c>
      <c r="Q56" s="67">
        <f>ROUND((0.8*'Side MDB'!W56+0.2*'Side Pole'!N56),3)</f>
        <v>2.7E-2</v>
      </c>
      <c r="R56" s="68">
        <f t="shared" si="32"/>
        <v>0.18</v>
      </c>
      <c r="S56" s="51">
        <f t="shared" si="33"/>
        <v>5</v>
      </c>
      <c r="T56" s="68">
        <f>ROUND(((0.8*'Side MDB'!W56+0.2*'Side Pole'!N56)+(IF('Side MDB'!X56="N/A",(0.8*'Side MDB'!W56+0.2*'Side Pole'!N56),'Side MDB'!X56)))/2,3)</f>
        <v>5.0999999999999997E-2</v>
      </c>
      <c r="U56" s="68">
        <f t="shared" si="34"/>
        <v>0.34</v>
      </c>
      <c r="V56" s="22">
        <f t="shared" si="35"/>
        <v>5</v>
      </c>
      <c r="W56" s="15"/>
      <c r="X56" s="15"/>
      <c r="Y56" s="53"/>
      <c r="Z56" s="53"/>
      <c r="AA56" s="53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</row>
    <row r="57" spans="1:38" ht="13.9" customHeight="1">
      <c r="A57" s="171">
        <v>10980</v>
      </c>
      <c r="B57" s="171" t="s">
        <v>235</v>
      </c>
      <c r="C57" s="166" t="str">
        <f>Rollover!A57</f>
        <v>Volvo</v>
      </c>
      <c r="D57" s="166" t="str">
        <f>Rollover!B57</f>
        <v>XC60 T6 SUV AWD</v>
      </c>
      <c r="E57" s="89" t="s">
        <v>91</v>
      </c>
      <c r="F57" s="167">
        <f>Rollover!C57</f>
        <v>2020</v>
      </c>
      <c r="G57" s="47">
        <v>237.28700000000001</v>
      </c>
      <c r="H57" s="11">
        <v>18.806999999999999</v>
      </c>
      <c r="I57" s="11">
        <v>29.486999999999998</v>
      </c>
      <c r="J57" s="48">
        <v>25.75</v>
      </c>
      <c r="K57" s="48">
        <v>1825.336</v>
      </c>
      <c r="L57" s="23">
        <f t="shared" si="27"/>
        <v>3.6826951718014812E-3</v>
      </c>
      <c r="M57" s="24">
        <f t="shared" si="28"/>
        <v>1.0053956913077769E-2</v>
      </c>
      <c r="N57" s="23">
        <f t="shared" si="29"/>
        <v>1.4E-2</v>
      </c>
      <c r="O57" s="5">
        <f t="shared" si="30"/>
        <v>0.09</v>
      </c>
      <c r="P57" s="22">
        <f t="shared" si="31"/>
        <v>5</v>
      </c>
      <c r="Q57" s="67">
        <f>ROUND((0.8*'Side MDB'!W57+0.2*'Side Pole'!N57),3)</f>
        <v>2.7E-2</v>
      </c>
      <c r="R57" s="68">
        <f t="shared" si="32"/>
        <v>0.18</v>
      </c>
      <c r="S57" s="51">
        <f t="shared" si="33"/>
        <v>5</v>
      </c>
      <c r="T57" s="68">
        <f>ROUND(((0.8*'Side MDB'!W57+0.2*'Side Pole'!N57)+(IF('Side MDB'!X57="N/A",(0.8*'Side MDB'!W57+0.2*'Side Pole'!N57),'Side MDB'!X57)))/2,3)</f>
        <v>5.0999999999999997E-2</v>
      </c>
      <c r="U57" s="68">
        <f t="shared" si="34"/>
        <v>0.34</v>
      </c>
      <c r="V57" s="22">
        <f t="shared" si="35"/>
        <v>5</v>
      </c>
      <c r="W57" s="15"/>
      <c r="X57" s="15"/>
      <c r="Y57" s="53"/>
      <c r="Z57" s="53"/>
      <c r="AA57" s="53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</row>
    <row r="58" spans="1:38" ht="13.9" customHeight="1">
      <c r="A58" s="165">
        <v>9559</v>
      </c>
      <c r="B58" s="165" t="s">
        <v>169</v>
      </c>
      <c r="C58" s="172" t="str">
        <f>Rollover!A58</f>
        <v>Volvo</v>
      </c>
      <c r="D58" s="172" t="str">
        <f>Rollover!B58</f>
        <v>XC90 T5 SUV FWD</v>
      </c>
      <c r="E58" s="89" t="s">
        <v>85</v>
      </c>
      <c r="F58" s="167">
        <f>Rollover!C58</f>
        <v>2020</v>
      </c>
      <c r="G58" s="47">
        <v>209.43899999999999</v>
      </c>
      <c r="H58" s="11">
        <v>17.914999999999999</v>
      </c>
      <c r="I58" s="11">
        <v>28.834</v>
      </c>
      <c r="J58" s="48">
        <v>17.562999999999999</v>
      </c>
      <c r="K58" s="48">
        <v>1702.932</v>
      </c>
      <c r="L58" s="23">
        <f t="shared" si="27"/>
        <v>2.1958781641052863E-3</v>
      </c>
      <c r="M58" s="24">
        <f t="shared" si="28"/>
        <v>8.971024223991049E-3</v>
      </c>
      <c r="N58" s="23">
        <f t="shared" si="29"/>
        <v>1.0999999999999999E-2</v>
      </c>
      <c r="O58" s="5">
        <f t="shared" si="30"/>
        <v>7.0000000000000007E-2</v>
      </c>
      <c r="P58" s="22">
        <f t="shared" si="31"/>
        <v>5</v>
      </c>
      <c r="Q58" s="67">
        <f>ROUND((0.8*'Side MDB'!W58+0.2*'Side Pole'!N58),3)</f>
        <v>3.2000000000000001E-2</v>
      </c>
      <c r="R58" s="68">
        <f t="shared" si="32"/>
        <v>0.21</v>
      </c>
      <c r="S58" s="51">
        <f t="shared" si="33"/>
        <v>5</v>
      </c>
      <c r="T58" s="68">
        <f>ROUND(((0.8*'Side MDB'!W58+0.2*'Side Pole'!N58)+(IF('Side MDB'!X58="N/A",(0.8*'Side MDB'!W58+0.2*'Side Pole'!N58),'Side MDB'!X58)))/2,3)</f>
        <v>2.7E-2</v>
      </c>
      <c r="U58" s="68">
        <f t="shared" si="34"/>
        <v>0.18</v>
      </c>
      <c r="V58" s="22">
        <f t="shared" si="35"/>
        <v>5</v>
      </c>
      <c r="W58" s="15"/>
      <c r="X58" s="15"/>
      <c r="Y58" s="53"/>
      <c r="Z58" s="53"/>
      <c r="AA58" s="53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</row>
    <row r="59" spans="1:38" ht="12" customHeight="1">
      <c r="A59" s="165">
        <v>9559</v>
      </c>
      <c r="B59" s="165" t="s">
        <v>169</v>
      </c>
      <c r="C59" s="172" t="str">
        <f>Rollover!A59</f>
        <v>Volvo</v>
      </c>
      <c r="D59" s="172" t="str">
        <f>Rollover!B59</f>
        <v>XC90 (T5/T6) SUV AWD</v>
      </c>
      <c r="E59" s="89" t="s">
        <v>85</v>
      </c>
      <c r="F59" s="167">
        <f>Rollover!C59</f>
        <v>2020</v>
      </c>
      <c r="G59" s="47">
        <v>209.43899999999999</v>
      </c>
      <c r="H59" s="11">
        <v>17.914999999999999</v>
      </c>
      <c r="I59" s="11">
        <v>28.834</v>
      </c>
      <c r="J59" s="48">
        <v>17.562999999999999</v>
      </c>
      <c r="K59" s="48">
        <v>1702.932</v>
      </c>
      <c r="L59" s="23">
        <f t="shared" si="27"/>
        <v>2.1958781641052863E-3</v>
      </c>
      <c r="M59" s="24">
        <f t="shared" si="28"/>
        <v>8.971024223991049E-3</v>
      </c>
      <c r="N59" s="23">
        <f t="shared" si="29"/>
        <v>1.0999999999999999E-2</v>
      </c>
      <c r="O59" s="5">
        <f t="shared" si="30"/>
        <v>7.0000000000000007E-2</v>
      </c>
      <c r="P59" s="22">
        <f t="shared" si="31"/>
        <v>5</v>
      </c>
      <c r="Q59" s="67">
        <f>ROUND((0.8*'Side MDB'!W59+0.2*'Side Pole'!N59),3)</f>
        <v>3.2000000000000001E-2</v>
      </c>
      <c r="R59" s="68">
        <f t="shared" si="32"/>
        <v>0.21</v>
      </c>
      <c r="S59" s="51">
        <f t="shared" si="33"/>
        <v>5</v>
      </c>
      <c r="T59" s="68">
        <f>ROUND(((0.8*'Side MDB'!W59+0.2*'Side Pole'!N59)+(IF('Side MDB'!X59="N/A",(0.8*'Side MDB'!W59+0.2*'Side Pole'!N59),'Side MDB'!X59)))/2,3)</f>
        <v>2.7E-2</v>
      </c>
      <c r="U59" s="68">
        <f t="shared" si="34"/>
        <v>0.18</v>
      </c>
      <c r="V59" s="22">
        <f t="shared" si="35"/>
        <v>5</v>
      </c>
      <c r="W59" s="15"/>
      <c r="X59" s="15"/>
      <c r="Y59" s="53"/>
      <c r="Z59" s="53"/>
      <c r="AA59" s="53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</row>
    <row r="60" spans="1:38" ht="13.9" customHeight="1">
      <c r="N60" s="168"/>
      <c r="O60" s="168"/>
      <c r="P60" s="173"/>
      <c r="Q60" s="168"/>
    </row>
    <row r="61" spans="1:38" ht="13.9" customHeight="1">
      <c r="N61" s="168"/>
      <c r="O61" s="168"/>
      <c r="P61" s="173"/>
      <c r="Q61" s="168"/>
    </row>
    <row r="62" spans="1:38" ht="13.9" customHeight="1">
      <c r="N62" s="168"/>
      <c r="O62" s="168"/>
      <c r="P62" s="173"/>
      <c r="Q62" s="168"/>
    </row>
    <row r="63" spans="1:38" ht="13.9" customHeight="1">
      <c r="N63" s="168"/>
      <c r="O63" s="168"/>
      <c r="P63" s="173"/>
      <c r="Q63" s="168"/>
    </row>
    <row r="64" spans="1:38" ht="13.9" customHeight="1">
      <c r="N64" s="168"/>
      <c r="O64" s="168"/>
      <c r="P64" s="173"/>
      <c r="Q64" s="168"/>
    </row>
    <row r="65" spans="14:17" ht="13.9" customHeight="1">
      <c r="N65" s="168"/>
      <c r="O65" s="168"/>
      <c r="P65" s="173"/>
      <c r="Q65" s="168"/>
    </row>
    <row r="66" spans="14:17" ht="13.9" customHeight="1">
      <c r="N66" s="168"/>
      <c r="O66" s="168"/>
      <c r="P66" s="173"/>
      <c r="Q66" s="168"/>
    </row>
    <row r="67" spans="14:17" ht="13.9" customHeight="1">
      <c r="N67" s="168"/>
      <c r="O67" s="168"/>
      <c r="P67" s="173"/>
      <c r="Q67" s="168"/>
    </row>
    <row r="68" spans="14:17" ht="13.9" customHeight="1">
      <c r="N68" s="168"/>
      <c r="O68" s="168"/>
      <c r="P68" s="173"/>
      <c r="Q68" s="168"/>
    </row>
    <row r="69" spans="14:17" ht="13.9" customHeight="1">
      <c r="N69" s="168"/>
      <c r="O69" s="168"/>
      <c r="P69" s="173"/>
      <c r="Q69" s="168"/>
    </row>
    <row r="70" spans="14:17" ht="13.9" customHeight="1">
      <c r="N70" s="168"/>
      <c r="O70" s="168"/>
      <c r="P70" s="173"/>
      <c r="Q70" s="168"/>
    </row>
    <row r="71" spans="14:17" ht="13.9" customHeight="1">
      <c r="N71" s="168"/>
      <c r="O71" s="168"/>
      <c r="P71" s="173"/>
      <c r="Q71" s="168"/>
    </row>
    <row r="72" spans="14:17" ht="13.9" customHeight="1">
      <c r="N72" s="168"/>
      <c r="O72" s="168"/>
      <c r="P72" s="173"/>
      <c r="Q72" s="168"/>
    </row>
    <row r="73" spans="14:17" ht="13.9" customHeight="1">
      <c r="N73" s="168"/>
      <c r="O73" s="168"/>
      <c r="P73" s="173"/>
      <c r="Q73" s="168"/>
    </row>
    <row r="74" spans="14:17" ht="13.9" customHeight="1">
      <c r="N74" s="168"/>
      <c r="O74" s="168"/>
      <c r="P74" s="173"/>
      <c r="Q74" s="168"/>
    </row>
    <row r="75" spans="14:17" ht="13.9" customHeight="1">
      <c r="N75" s="168"/>
      <c r="O75" s="168"/>
      <c r="P75" s="173"/>
      <c r="Q75" s="168"/>
    </row>
    <row r="76" spans="14:17" ht="13.9" customHeight="1">
      <c r="N76" s="168"/>
      <c r="O76" s="168"/>
      <c r="P76" s="173"/>
      <c r="Q76" s="168"/>
    </row>
    <row r="77" spans="14:17" ht="13.9" customHeight="1">
      <c r="N77" s="168"/>
      <c r="O77" s="168"/>
      <c r="P77" s="173"/>
      <c r="Q77" s="168"/>
    </row>
    <row r="78" spans="14:17" ht="13.9" customHeight="1">
      <c r="N78" s="168"/>
      <c r="O78" s="168"/>
      <c r="P78" s="173"/>
      <c r="Q78" s="168"/>
    </row>
    <row r="79" spans="14:17" ht="13.9" customHeight="1">
      <c r="N79" s="168"/>
      <c r="O79" s="168"/>
      <c r="P79" s="173"/>
      <c r="Q79" s="168"/>
    </row>
    <row r="80" spans="14:17" ht="13.9" customHeight="1">
      <c r="N80" s="168"/>
      <c r="O80" s="168"/>
      <c r="P80" s="173"/>
      <c r="Q80" s="168"/>
    </row>
    <row r="81" spans="14:17" ht="13.9" customHeight="1">
      <c r="N81" s="168"/>
      <c r="O81" s="168"/>
      <c r="P81" s="173"/>
      <c r="Q81" s="168"/>
    </row>
    <row r="82" spans="14:17" ht="13.9" customHeight="1">
      <c r="N82" s="168"/>
      <c r="O82" s="168"/>
      <c r="P82" s="173"/>
      <c r="Q82" s="168"/>
    </row>
    <row r="83" spans="14:17" ht="13.9" customHeight="1">
      <c r="N83" s="168"/>
      <c r="O83" s="168"/>
      <c r="P83" s="173"/>
      <c r="Q83" s="168"/>
    </row>
    <row r="84" spans="14:17" ht="13.9" customHeight="1">
      <c r="N84" s="168"/>
      <c r="O84" s="168"/>
      <c r="P84" s="173"/>
      <c r="Q84" s="168"/>
    </row>
    <row r="85" spans="14:17" ht="13.9" customHeight="1">
      <c r="N85" s="168"/>
      <c r="O85" s="168"/>
      <c r="P85" s="173"/>
      <c r="Q85" s="168"/>
    </row>
    <row r="86" spans="14:17" ht="13.9" customHeight="1">
      <c r="N86" s="168"/>
      <c r="O86" s="168"/>
      <c r="P86" s="173"/>
      <c r="Q86" s="168"/>
    </row>
    <row r="87" spans="14:17" ht="13.9" customHeight="1">
      <c r="N87" s="168"/>
      <c r="O87" s="168"/>
      <c r="P87" s="173"/>
      <c r="Q87" s="168"/>
    </row>
    <row r="88" spans="14:17" ht="13.9" customHeight="1">
      <c r="N88" s="168"/>
      <c r="O88" s="168"/>
      <c r="P88" s="173"/>
      <c r="Q88" s="168"/>
    </row>
    <row r="89" spans="14:17" ht="13.9" customHeight="1">
      <c r="N89" s="168"/>
      <c r="O89" s="168"/>
      <c r="P89" s="173"/>
      <c r="Q89" s="168"/>
    </row>
    <row r="90" spans="14:17" ht="13.9" customHeight="1">
      <c r="N90" s="168"/>
      <c r="O90" s="168"/>
      <c r="P90" s="173"/>
      <c r="Q90" s="168"/>
    </row>
    <row r="91" spans="14:17" ht="13.9" customHeight="1">
      <c r="N91" s="168"/>
      <c r="O91" s="168"/>
      <c r="P91" s="173"/>
      <c r="Q91" s="168"/>
    </row>
    <row r="92" spans="14:17" ht="13.9" customHeight="1">
      <c r="N92" s="168"/>
      <c r="O92" s="168"/>
      <c r="P92" s="173"/>
      <c r="Q92" s="168"/>
    </row>
    <row r="93" spans="14:17" ht="13.9" customHeight="1">
      <c r="N93" s="168"/>
      <c r="O93" s="168"/>
      <c r="P93" s="173"/>
      <c r="Q93" s="168"/>
    </row>
    <row r="94" spans="14:17" ht="13.9" customHeight="1">
      <c r="N94" s="168"/>
      <c r="O94" s="168"/>
      <c r="P94" s="173"/>
      <c r="Q94" s="168"/>
    </row>
    <row r="95" spans="14:17" ht="13.9" customHeight="1">
      <c r="N95" s="168"/>
      <c r="O95" s="168"/>
      <c r="P95" s="173"/>
      <c r="Q95" s="168"/>
    </row>
    <row r="96" spans="14:17" ht="13.9" customHeight="1">
      <c r="N96" s="168"/>
      <c r="O96" s="168"/>
      <c r="P96" s="173"/>
      <c r="Q96" s="168"/>
    </row>
    <row r="97" spans="14:17" ht="13.9" customHeight="1">
      <c r="N97" s="168"/>
      <c r="O97" s="168"/>
      <c r="P97" s="173"/>
      <c r="Q97" s="168"/>
    </row>
    <row r="98" spans="14:17" ht="13.9" customHeight="1">
      <c r="N98" s="168"/>
      <c r="O98" s="168"/>
      <c r="P98" s="173"/>
      <c r="Q98" s="168"/>
    </row>
    <row r="99" spans="14:17" ht="13.9" customHeight="1">
      <c r="N99" s="168"/>
      <c r="O99" s="168"/>
      <c r="P99" s="173"/>
      <c r="Q99" s="168"/>
    </row>
    <row r="100" spans="14:17" ht="13.9" customHeight="1">
      <c r="N100" s="168"/>
      <c r="O100" s="168"/>
      <c r="P100" s="173"/>
      <c r="Q100" s="168"/>
    </row>
    <row r="101" spans="14:17" ht="13.9" customHeight="1">
      <c r="N101" s="168"/>
      <c r="O101" s="168"/>
      <c r="P101" s="173"/>
      <c r="Q101" s="168"/>
    </row>
    <row r="102" spans="14:17" ht="13.9" customHeight="1">
      <c r="N102" s="168"/>
      <c r="O102" s="168"/>
      <c r="P102" s="173"/>
      <c r="Q102" s="168"/>
    </row>
    <row r="103" spans="14:17" ht="13.9" customHeight="1">
      <c r="N103" s="168"/>
      <c r="O103" s="168"/>
      <c r="P103" s="173"/>
      <c r="Q103" s="168"/>
    </row>
    <row r="104" spans="14:17" ht="13.9" customHeight="1">
      <c r="N104" s="168"/>
      <c r="O104" s="168"/>
      <c r="P104" s="173"/>
      <c r="Q104" s="168"/>
    </row>
    <row r="105" spans="14:17" ht="13.9" customHeight="1">
      <c r="N105" s="168"/>
      <c r="O105" s="168"/>
      <c r="P105" s="173"/>
      <c r="Q105" s="168"/>
    </row>
    <row r="106" spans="14:17" ht="13.9" customHeight="1">
      <c r="N106" s="168"/>
      <c r="O106" s="168"/>
      <c r="P106" s="173"/>
      <c r="Q106" s="168"/>
    </row>
    <row r="107" spans="14:17" ht="13.9" customHeight="1">
      <c r="N107" s="168"/>
      <c r="O107" s="168"/>
      <c r="P107" s="173"/>
      <c r="Q107" s="168"/>
    </row>
    <row r="108" spans="14:17" ht="13.9" customHeight="1">
      <c r="N108" s="168"/>
      <c r="O108" s="168"/>
      <c r="P108" s="173"/>
      <c r="Q108" s="168"/>
    </row>
    <row r="109" spans="14:17" ht="13.9" customHeight="1">
      <c r="N109" s="168"/>
      <c r="O109" s="168"/>
      <c r="P109" s="173"/>
      <c r="Q109" s="168"/>
    </row>
    <row r="110" spans="14:17" ht="13.9" customHeight="1">
      <c r="N110" s="168"/>
      <c r="O110" s="168"/>
      <c r="P110" s="173"/>
      <c r="Q110" s="168"/>
    </row>
    <row r="111" spans="14:17" ht="13.9" customHeight="1">
      <c r="N111" s="168"/>
      <c r="O111" s="168"/>
      <c r="P111" s="173"/>
      <c r="Q111" s="168"/>
    </row>
    <row r="112" spans="14:17" ht="13.9" customHeight="1">
      <c r="N112" s="168"/>
      <c r="O112" s="168"/>
      <c r="P112" s="173"/>
      <c r="Q112" s="168"/>
    </row>
    <row r="113" spans="14:17" ht="13.9" customHeight="1">
      <c r="N113" s="168"/>
      <c r="O113" s="168"/>
      <c r="P113" s="173"/>
      <c r="Q113" s="168"/>
    </row>
    <row r="114" spans="14:17" ht="13.9" customHeight="1">
      <c r="N114" s="168"/>
      <c r="O114" s="168"/>
      <c r="P114" s="173"/>
      <c r="Q114" s="168"/>
    </row>
    <row r="115" spans="14:17" ht="13.9" customHeight="1">
      <c r="N115" s="168"/>
      <c r="O115" s="168"/>
      <c r="P115" s="173"/>
      <c r="Q115" s="168"/>
    </row>
    <row r="116" spans="14:17" ht="13.9" customHeight="1">
      <c r="N116" s="168"/>
      <c r="O116" s="168"/>
      <c r="P116" s="173"/>
      <c r="Q116" s="168"/>
    </row>
    <row r="117" spans="14:17" ht="13.9" customHeight="1">
      <c r="N117" s="168"/>
      <c r="O117" s="168"/>
      <c r="P117" s="173"/>
      <c r="Q117" s="168"/>
    </row>
    <row r="118" spans="14:17" ht="13.9" customHeight="1">
      <c r="N118" s="168"/>
      <c r="O118" s="168"/>
      <c r="P118" s="173"/>
      <c r="Q118" s="168"/>
    </row>
    <row r="119" spans="14:17" ht="13.9" customHeight="1">
      <c r="N119" s="168"/>
      <c r="O119" s="168"/>
      <c r="P119" s="173"/>
      <c r="Q119" s="168"/>
    </row>
    <row r="120" spans="14:17" ht="13.9" customHeight="1">
      <c r="N120" s="168"/>
      <c r="O120" s="168"/>
      <c r="P120" s="173"/>
      <c r="Q120" s="168"/>
    </row>
    <row r="121" spans="14:17" ht="13.9" customHeight="1">
      <c r="N121" s="168"/>
      <c r="O121" s="168"/>
      <c r="P121" s="173"/>
      <c r="Q121" s="168"/>
    </row>
    <row r="122" spans="14:17" ht="13.9" customHeight="1">
      <c r="N122" s="168"/>
      <c r="O122" s="168"/>
      <c r="P122" s="173"/>
      <c r="Q122" s="168"/>
    </row>
    <row r="123" spans="14:17" ht="13.9" customHeight="1">
      <c r="N123" s="168"/>
      <c r="O123" s="168"/>
      <c r="P123" s="173"/>
      <c r="Q123" s="168"/>
    </row>
    <row r="124" spans="14:17" ht="13.9" customHeight="1">
      <c r="N124" s="168"/>
      <c r="O124" s="168"/>
      <c r="P124" s="173"/>
      <c r="Q124" s="168"/>
    </row>
    <row r="125" spans="14:17" ht="13.9" customHeight="1">
      <c r="N125" s="168"/>
      <c r="O125" s="168"/>
      <c r="P125" s="173"/>
      <c r="Q125" s="168"/>
    </row>
    <row r="126" spans="14:17" ht="13.9" customHeight="1">
      <c r="N126" s="168"/>
      <c r="O126" s="168"/>
      <c r="P126" s="173"/>
      <c r="Q126" s="168"/>
    </row>
    <row r="127" spans="14:17" ht="13.9" customHeight="1">
      <c r="N127" s="168"/>
      <c r="O127" s="168"/>
      <c r="P127" s="173"/>
      <c r="Q127" s="168"/>
    </row>
    <row r="128" spans="14:17" ht="13.9" customHeight="1">
      <c r="N128" s="168"/>
      <c r="O128" s="168"/>
      <c r="P128" s="173"/>
      <c r="Q128" s="168"/>
    </row>
    <row r="129" spans="14:17" ht="13.9" customHeight="1">
      <c r="N129" s="168"/>
      <c r="O129" s="168"/>
      <c r="P129" s="173"/>
      <c r="Q129" s="168"/>
    </row>
    <row r="130" spans="14:17" ht="13.9" customHeight="1">
      <c r="N130" s="168"/>
      <c r="O130" s="168"/>
      <c r="P130" s="173"/>
      <c r="Q130" s="168"/>
    </row>
    <row r="131" spans="14:17" ht="13.9" customHeight="1">
      <c r="N131" s="168"/>
      <c r="O131" s="168"/>
      <c r="P131" s="173"/>
      <c r="Q131" s="168"/>
    </row>
    <row r="132" spans="14:17" ht="13.9" customHeight="1">
      <c r="N132" s="168"/>
      <c r="O132" s="168"/>
      <c r="P132" s="173"/>
      <c r="Q132" s="168"/>
    </row>
    <row r="133" spans="14:17" ht="13.9" customHeight="1">
      <c r="N133" s="168"/>
      <c r="O133" s="168"/>
      <c r="P133" s="173"/>
      <c r="Q133" s="168"/>
    </row>
    <row r="134" spans="14:17" ht="13.9" customHeight="1">
      <c r="N134" s="168"/>
      <c r="O134" s="168"/>
      <c r="P134" s="173"/>
      <c r="Q134" s="168"/>
    </row>
    <row r="135" spans="14:17" ht="13.9" customHeight="1">
      <c r="N135" s="168"/>
      <c r="O135" s="168"/>
      <c r="P135" s="173"/>
      <c r="Q135" s="168"/>
    </row>
    <row r="136" spans="14:17" ht="13.9" customHeight="1">
      <c r="N136" s="168"/>
      <c r="O136" s="168"/>
      <c r="P136" s="173"/>
      <c r="Q136" s="168"/>
    </row>
    <row r="137" spans="14:17" ht="13.9" customHeight="1">
      <c r="N137" s="168"/>
      <c r="O137" s="168"/>
      <c r="P137" s="173"/>
      <c r="Q137" s="168"/>
    </row>
    <row r="138" spans="14:17" ht="13.9" customHeight="1">
      <c r="N138" s="168"/>
      <c r="O138" s="168"/>
      <c r="P138" s="173"/>
      <c r="Q138" s="168"/>
    </row>
    <row r="139" spans="14:17" ht="13.9" customHeight="1">
      <c r="N139" s="168"/>
      <c r="O139" s="168"/>
      <c r="P139" s="173"/>
      <c r="Q139" s="168"/>
    </row>
    <row r="140" spans="14:17" ht="13.9" customHeight="1">
      <c r="N140" s="168"/>
      <c r="O140" s="168"/>
      <c r="P140" s="173"/>
      <c r="Q140" s="168"/>
    </row>
    <row r="141" spans="14:17" ht="13.9" customHeight="1">
      <c r="N141" s="168"/>
      <c r="O141" s="168"/>
      <c r="P141" s="173"/>
      <c r="Q141" s="168"/>
    </row>
    <row r="142" spans="14:17" ht="13.9" customHeight="1">
      <c r="N142" s="168"/>
      <c r="O142" s="168"/>
      <c r="P142" s="173"/>
      <c r="Q142" s="168"/>
    </row>
    <row r="143" spans="14:17" ht="13.9" customHeight="1">
      <c r="N143" s="168"/>
      <c r="O143" s="168"/>
      <c r="P143" s="173"/>
      <c r="Q143" s="168"/>
    </row>
    <row r="144" spans="14:17" ht="13.9" customHeight="1">
      <c r="N144" s="168"/>
      <c r="O144" s="168"/>
      <c r="P144" s="173"/>
      <c r="Q144" s="168"/>
    </row>
    <row r="145" spans="14:17" ht="13.9" customHeight="1">
      <c r="N145" s="168"/>
      <c r="O145" s="168"/>
      <c r="P145" s="173"/>
      <c r="Q145" s="168"/>
    </row>
    <row r="146" spans="14:17" ht="13.9" customHeight="1">
      <c r="N146" s="168"/>
      <c r="O146" s="168"/>
      <c r="P146" s="173"/>
      <c r="Q146" s="168"/>
    </row>
    <row r="147" spans="14:17" ht="13.9" customHeight="1">
      <c r="N147" s="168"/>
      <c r="O147" s="168"/>
      <c r="P147" s="173"/>
      <c r="Q147" s="168"/>
    </row>
    <row r="148" spans="14:17" ht="13.9" customHeight="1">
      <c r="N148" s="168"/>
      <c r="O148" s="168"/>
      <c r="P148" s="173"/>
      <c r="Q148" s="168"/>
    </row>
    <row r="149" spans="14:17" ht="13.9" customHeight="1">
      <c r="N149" s="168"/>
      <c r="O149" s="168"/>
      <c r="P149" s="173"/>
      <c r="Q149" s="168"/>
    </row>
    <row r="150" spans="14:17" ht="13.9" customHeight="1">
      <c r="N150" s="168"/>
      <c r="O150" s="168"/>
      <c r="P150" s="173"/>
      <c r="Q150" s="168"/>
    </row>
    <row r="151" spans="14:17" ht="13.9" customHeight="1">
      <c r="N151" s="168"/>
      <c r="O151" s="168"/>
      <c r="P151" s="173"/>
      <c r="Q151" s="168"/>
    </row>
    <row r="152" spans="14:17" ht="13.9" customHeight="1">
      <c r="N152" s="168"/>
      <c r="O152" s="168"/>
      <c r="P152" s="173"/>
      <c r="Q152" s="168"/>
    </row>
    <row r="153" spans="14:17" ht="13.9" customHeight="1">
      <c r="N153" s="168"/>
      <c r="O153" s="168"/>
      <c r="P153" s="173"/>
      <c r="Q153" s="168"/>
    </row>
    <row r="154" spans="14:17" ht="13.9" customHeight="1">
      <c r="N154" s="168"/>
      <c r="O154" s="168"/>
      <c r="P154" s="173"/>
      <c r="Q154" s="168"/>
    </row>
    <row r="155" spans="14:17" ht="13.9" customHeight="1">
      <c r="N155" s="168"/>
      <c r="O155" s="168"/>
      <c r="P155" s="173"/>
      <c r="Q155" s="168"/>
    </row>
    <row r="156" spans="14:17" ht="13.9" customHeight="1">
      <c r="N156" s="168"/>
      <c r="O156" s="168"/>
      <c r="P156" s="173"/>
      <c r="Q156" s="168"/>
    </row>
    <row r="157" spans="14:17" ht="13.9" customHeight="1">
      <c r="N157" s="168"/>
      <c r="O157" s="168"/>
      <c r="P157" s="173"/>
      <c r="Q157" s="168"/>
    </row>
    <row r="158" spans="14:17" ht="13.9" customHeight="1">
      <c r="N158" s="168"/>
      <c r="O158" s="168"/>
      <c r="P158" s="173"/>
      <c r="Q158" s="168"/>
    </row>
    <row r="159" spans="14:17" ht="13.9" customHeight="1">
      <c r="N159" s="168"/>
      <c r="O159" s="168"/>
      <c r="P159" s="173"/>
      <c r="Q159" s="168"/>
    </row>
    <row r="160" spans="14:17" ht="13.9" customHeight="1">
      <c r="N160" s="168"/>
      <c r="O160" s="168"/>
      <c r="P160" s="173"/>
      <c r="Q160" s="168"/>
    </row>
    <row r="161" spans="14:17" ht="13.9" customHeight="1">
      <c r="N161" s="168"/>
      <c r="O161" s="168"/>
      <c r="P161" s="173"/>
      <c r="Q161" s="168"/>
    </row>
    <row r="162" spans="14:17" ht="13.9" customHeight="1">
      <c r="N162" s="168"/>
      <c r="O162" s="168"/>
      <c r="P162" s="173"/>
      <c r="Q162" s="168"/>
    </row>
    <row r="163" spans="14:17" ht="13.9" customHeight="1">
      <c r="N163" s="168"/>
      <c r="O163" s="168"/>
      <c r="P163" s="173"/>
      <c r="Q163" s="168"/>
    </row>
    <row r="164" spans="14:17" ht="13.9" customHeight="1">
      <c r="N164" s="168"/>
      <c r="O164" s="168"/>
      <c r="P164" s="173"/>
      <c r="Q164" s="168"/>
    </row>
    <row r="165" spans="14:17" ht="13.9" customHeight="1">
      <c r="N165" s="168"/>
      <c r="O165" s="168"/>
      <c r="P165" s="173"/>
      <c r="Q165" s="168"/>
    </row>
    <row r="166" spans="14:17" ht="13.9" customHeight="1">
      <c r="N166" s="168"/>
      <c r="O166" s="168"/>
      <c r="P166" s="173"/>
      <c r="Q166" s="168"/>
    </row>
  </sheetData>
  <mergeCells count="2">
    <mergeCell ref="G1:K1"/>
    <mergeCell ref="L1:M1"/>
  </mergeCells>
  <phoneticPr fontId="3" type="noConversion"/>
  <conditionalFormatting sqref="H23">
    <cfRule type="cellIs" dxfId="17" priority="23" operator="greaterThan">
      <formula>38*0.8</formula>
    </cfRule>
  </conditionalFormatting>
  <conditionalFormatting sqref="H41">
    <cfRule type="cellIs" dxfId="16" priority="22" operator="greaterThan">
      <formula>38*0.8</formula>
    </cfRule>
  </conditionalFormatting>
  <conditionalFormatting sqref="H21">
    <cfRule type="cellIs" dxfId="15" priority="20" operator="greaterThan">
      <formula>38*0.8</formula>
    </cfRule>
  </conditionalFormatting>
  <conditionalFormatting sqref="H24 H26">
    <cfRule type="cellIs" dxfId="14" priority="18" operator="greaterThan">
      <formula>38*0.8</formula>
    </cfRule>
  </conditionalFormatting>
  <conditionalFormatting sqref="H27:H28 H30">
    <cfRule type="cellIs" dxfId="13" priority="17" operator="greaterThan">
      <formula>38*0.8</formula>
    </cfRule>
  </conditionalFormatting>
  <conditionalFormatting sqref="H14">
    <cfRule type="cellIs" dxfId="8" priority="12" operator="greaterThan">
      <formula>38*0.8</formula>
    </cfRule>
  </conditionalFormatting>
  <conditionalFormatting sqref="H15:H19">
    <cfRule type="cellIs" dxfId="7" priority="11" operator="greaterThan">
      <formula>38*0.8</formula>
    </cfRule>
  </conditionalFormatting>
  <conditionalFormatting sqref="H20">
    <cfRule type="cellIs" dxfId="3" priority="4" operator="greaterThan">
      <formula>38*0.8</formula>
    </cfRule>
  </conditionalFormatting>
  <conditionalFormatting sqref="H29">
    <cfRule type="cellIs" dxfId="2" priority="3" operator="greaterThan">
      <formula>38*0.8</formula>
    </cfRule>
  </conditionalFormatting>
  <conditionalFormatting sqref="H22">
    <cfRule type="cellIs" dxfId="1" priority="2" operator="greaterThan">
      <formula>38*0.8</formula>
    </cfRule>
  </conditionalFormatting>
  <pageMargins left="0.25" right="0.2" top="0.25" bottom="0.25" header="0.3" footer="0.3"/>
  <pageSetup scale="5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tabSelected="1" zoomScaleNormal="100" workbookViewId="0">
      <pane xSplit="4" ySplit="2" topLeftCell="E45" activePane="bottomRight" state="frozen"/>
      <selection activeCell="B62" sqref="B62"/>
      <selection pane="topRight" activeCell="B62" sqref="B62"/>
      <selection pane="bottomLeft" activeCell="B62" sqref="B62"/>
      <selection pane="bottomRight" activeCell="A55" sqref="A55:XFD57"/>
    </sheetView>
  </sheetViews>
  <sheetFormatPr defaultColWidth="9.28515625" defaultRowHeight="14.65" customHeight="1"/>
  <cols>
    <col min="1" max="1" width="9.28515625" style="133" customWidth="1"/>
    <col min="2" max="2" width="12.7109375" style="141" customWidth="1"/>
    <col min="3" max="3" width="38.7109375" style="141" customWidth="1"/>
    <col min="4" max="4" width="5.7109375" style="141" customWidth="1"/>
    <col min="5" max="5" width="6.28515625" style="139" customWidth="1"/>
    <col min="6" max="6" width="5.42578125" style="137" customWidth="1"/>
    <col min="7" max="7" width="6.28515625" style="137" customWidth="1"/>
    <col min="8" max="8" width="6.42578125" style="137" customWidth="1"/>
    <col min="9" max="9" width="5.7109375" style="137" bestFit="1" customWidth="1"/>
    <col min="10" max="10" width="7.28515625" style="137" customWidth="1"/>
    <col min="11" max="11" width="9.28515625" style="138" customWidth="1"/>
    <col min="12" max="12" width="10.28515625" style="138" customWidth="1"/>
    <col min="13" max="13" width="10" style="138" customWidth="1"/>
    <col min="14" max="14" width="7.42578125" style="139" customWidth="1"/>
    <col min="15" max="15" width="9" style="140" customWidth="1"/>
    <col min="16" max="16" width="9.7109375" style="133" customWidth="1"/>
    <col min="17" max="16384" width="9.28515625" style="133"/>
  </cols>
  <sheetData>
    <row r="1" spans="1:16" s="118" customFormat="1" ht="24" customHeight="1">
      <c r="A1" s="106" t="s">
        <v>75</v>
      </c>
      <c r="B1" s="107"/>
      <c r="C1" s="107"/>
      <c r="D1" s="108"/>
      <c r="E1" s="109" t="s">
        <v>50</v>
      </c>
      <c r="F1" s="110"/>
      <c r="G1" s="111"/>
      <c r="H1" s="109" t="s">
        <v>52</v>
      </c>
      <c r="I1" s="112"/>
      <c r="J1" s="113"/>
      <c r="K1" s="114" t="s">
        <v>55</v>
      </c>
      <c r="L1" s="114" t="s">
        <v>87</v>
      </c>
      <c r="M1" s="114" t="s">
        <v>61</v>
      </c>
      <c r="N1" s="115" t="s">
        <v>56</v>
      </c>
      <c r="O1" s="116" t="s">
        <v>49</v>
      </c>
      <c r="P1" s="117" t="s">
        <v>49</v>
      </c>
    </row>
    <row r="2" spans="1:16" s="103" customFormat="1" ht="19.899999999999999" customHeight="1" thickBot="1">
      <c r="A2" s="119"/>
      <c r="B2" s="120" t="s">
        <v>19</v>
      </c>
      <c r="C2" s="120" t="s">
        <v>20</v>
      </c>
      <c r="D2" s="121" t="s">
        <v>21</v>
      </c>
      <c r="E2" s="122" t="s">
        <v>13</v>
      </c>
      <c r="F2" s="120" t="s">
        <v>53</v>
      </c>
      <c r="G2" s="123" t="s">
        <v>54</v>
      </c>
      <c r="H2" s="122" t="s">
        <v>13</v>
      </c>
      <c r="I2" s="120" t="s">
        <v>53</v>
      </c>
      <c r="J2" s="123" t="s">
        <v>54</v>
      </c>
      <c r="K2" s="124" t="s">
        <v>13</v>
      </c>
      <c r="L2" s="124" t="s">
        <v>13</v>
      </c>
      <c r="M2" s="124" t="s">
        <v>49</v>
      </c>
      <c r="N2" s="125"/>
      <c r="O2" s="126" t="s">
        <v>57</v>
      </c>
      <c r="P2" s="127" t="s">
        <v>58</v>
      </c>
    </row>
    <row r="3" spans="1:16" ht="14.65" customHeight="1">
      <c r="A3" s="128">
        <v>43873</v>
      </c>
      <c r="B3" s="45" t="str">
        <f>Rollover!A3</f>
        <v>Cadillac</v>
      </c>
      <c r="C3" s="45" t="str">
        <f>Rollover!B3</f>
        <v>XT5 SUV AWD</v>
      </c>
      <c r="D3" s="9">
        <f>Rollover!C3</f>
        <v>2020</v>
      </c>
      <c r="E3" s="21">
        <f>Front!AW3</f>
        <v>5</v>
      </c>
      <c r="F3" s="45">
        <f>Front!AX3</f>
        <v>5</v>
      </c>
      <c r="G3" s="45">
        <f>Front!AY3</f>
        <v>5</v>
      </c>
      <c r="H3" s="21">
        <f>'Side MDB'!AC3</f>
        <v>5</v>
      </c>
      <c r="I3" s="21">
        <f>'Side MDB'!AD3</f>
        <v>5</v>
      </c>
      <c r="J3" s="21">
        <f>'Side MDB'!AE3</f>
        <v>5</v>
      </c>
      <c r="K3" s="129">
        <f>'Side Pole'!P3</f>
        <v>5</v>
      </c>
      <c r="L3" s="129">
        <f>'Side Pole'!S3</f>
        <v>5</v>
      </c>
      <c r="M3" s="129">
        <f>'Side Pole'!V3</f>
        <v>5</v>
      </c>
      <c r="N3" s="130">
        <f>Rollover!J3</f>
        <v>4</v>
      </c>
      <c r="O3" s="131">
        <f>ROUND(5/12*Front!AV3+4/12*'Side Pole'!U3+3/12*Rollover!I3,2)</f>
        <v>0.62</v>
      </c>
      <c r="P3" s="132">
        <f t="shared" ref="P3:P13" si="0">IF(O3&lt;0.67,5,IF(O3&lt;1,4,IF(O3&lt;1.33,3,IF(O3&lt;2.67,2,1))))</f>
        <v>5</v>
      </c>
    </row>
    <row r="4" spans="1:16" ht="14.65" customHeight="1">
      <c r="A4" s="128">
        <v>43873</v>
      </c>
      <c r="B4" s="45" t="str">
        <f>Rollover!A4</f>
        <v>Cadillac</v>
      </c>
      <c r="C4" s="45" t="str">
        <f>Rollover!B4</f>
        <v>XT5 SUV FWD</v>
      </c>
      <c r="D4" s="9">
        <f>Rollover!C4</f>
        <v>2020</v>
      </c>
      <c r="E4" s="21">
        <f>Front!AW4</f>
        <v>5</v>
      </c>
      <c r="F4" s="45">
        <f>Front!AX4</f>
        <v>5</v>
      </c>
      <c r="G4" s="45">
        <f>Front!AY4</f>
        <v>5</v>
      </c>
      <c r="H4" s="21">
        <f>'Side MDB'!AC4</f>
        <v>5</v>
      </c>
      <c r="I4" s="21">
        <f>'Side MDB'!AD4</f>
        <v>5</v>
      </c>
      <c r="J4" s="21">
        <f>'Side MDB'!AE4</f>
        <v>5</v>
      </c>
      <c r="K4" s="129">
        <f>'Side Pole'!P4</f>
        <v>5</v>
      </c>
      <c r="L4" s="129">
        <f>'Side Pole'!S4</f>
        <v>5</v>
      </c>
      <c r="M4" s="129">
        <f>'Side Pole'!V4</f>
        <v>5</v>
      </c>
      <c r="N4" s="130">
        <f>Rollover!J4</f>
        <v>4</v>
      </c>
      <c r="O4" s="131">
        <f>ROUND(5/12*Front!AV4+4/12*'Side Pole'!U4+3/12*Rollover!I4,2)</f>
        <v>0.65</v>
      </c>
      <c r="P4" s="132">
        <f t="shared" si="0"/>
        <v>5</v>
      </c>
    </row>
    <row r="5" spans="1:16" ht="14.65" customHeight="1">
      <c r="A5" s="128">
        <v>43866</v>
      </c>
      <c r="B5" s="45" t="str">
        <f>Rollover!A5</f>
        <v>Cadillac</v>
      </c>
      <c r="C5" s="45" t="str">
        <f>Rollover!B5</f>
        <v>XT6 SUV AWD</v>
      </c>
      <c r="D5" s="9">
        <f>Rollover!C5</f>
        <v>2020</v>
      </c>
      <c r="E5" s="21">
        <f>Front!AW5</f>
        <v>5</v>
      </c>
      <c r="F5" s="45">
        <f>Front!AX5</f>
        <v>5</v>
      </c>
      <c r="G5" s="45">
        <f>Front!AY5</f>
        <v>5</v>
      </c>
      <c r="H5" s="21">
        <f>'Side MDB'!AC5</f>
        <v>5</v>
      </c>
      <c r="I5" s="21">
        <f>'Side MDB'!AD5</f>
        <v>5</v>
      </c>
      <c r="J5" s="21">
        <f>'Side MDB'!AE5</f>
        <v>5</v>
      </c>
      <c r="K5" s="129">
        <f>'Side Pole'!P5</f>
        <v>5</v>
      </c>
      <c r="L5" s="129">
        <f>'Side Pole'!S5</f>
        <v>5</v>
      </c>
      <c r="M5" s="129">
        <f>'Side Pole'!V5</f>
        <v>5</v>
      </c>
      <c r="N5" s="130">
        <f>Rollover!J5</f>
        <v>4</v>
      </c>
      <c r="O5" s="131">
        <f>ROUND(5/12*Front!AV5+4/12*'Side Pole'!U5+3/12*Rollover!I5,2)</f>
        <v>0.54</v>
      </c>
      <c r="P5" s="132">
        <f t="shared" si="0"/>
        <v>5</v>
      </c>
    </row>
    <row r="6" spans="1:16" ht="14.65" customHeight="1">
      <c r="A6" s="128">
        <v>43866</v>
      </c>
      <c r="B6" s="45" t="str">
        <f>Rollover!A6</f>
        <v>Cadillac</v>
      </c>
      <c r="C6" s="45" t="str">
        <f>Rollover!B6</f>
        <v>XT6 SUV FWD</v>
      </c>
      <c r="D6" s="9">
        <f>Rollover!C6</f>
        <v>2020</v>
      </c>
      <c r="E6" s="21">
        <f>Front!AW6</f>
        <v>5</v>
      </c>
      <c r="F6" s="45">
        <f>Front!AX6</f>
        <v>5</v>
      </c>
      <c r="G6" s="45">
        <f>Front!AY6</f>
        <v>5</v>
      </c>
      <c r="H6" s="21">
        <f>'Side MDB'!AC6</f>
        <v>5</v>
      </c>
      <c r="I6" s="21">
        <f>'Side MDB'!AD6</f>
        <v>5</v>
      </c>
      <c r="J6" s="21">
        <f>'Side MDB'!AE6</f>
        <v>5</v>
      </c>
      <c r="K6" s="129">
        <f>'Side Pole'!P6</f>
        <v>5</v>
      </c>
      <c r="L6" s="129">
        <f>'Side Pole'!S6</f>
        <v>5</v>
      </c>
      <c r="M6" s="129">
        <f>'Side Pole'!V6</f>
        <v>5</v>
      </c>
      <c r="N6" s="130">
        <f>Rollover!J6</f>
        <v>4</v>
      </c>
      <c r="O6" s="131">
        <f>ROUND(5/12*Front!AV6+4/12*'Side Pole'!U6+3/12*Rollover!I6,2)</f>
        <v>0.55000000000000004</v>
      </c>
      <c r="P6" s="132">
        <f t="shared" si="0"/>
        <v>5</v>
      </c>
    </row>
    <row r="7" spans="1:16" ht="14.65" customHeight="1">
      <c r="A7" s="128">
        <v>43472</v>
      </c>
      <c r="B7" s="45" t="str">
        <f>Rollover!A7</f>
        <v>Chevrolet</v>
      </c>
      <c r="C7" s="45" t="str">
        <f>Rollover!B7</f>
        <v>Malibu 4DR FWD</v>
      </c>
      <c r="D7" s="9">
        <f>Rollover!C7</f>
        <v>2020</v>
      </c>
      <c r="E7" s="21">
        <f>Front!AW7</f>
        <v>5</v>
      </c>
      <c r="F7" s="45">
        <f>Front!AX7</f>
        <v>5</v>
      </c>
      <c r="G7" s="45">
        <f>Front!AY7</f>
        <v>5</v>
      </c>
      <c r="H7" s="21">
        <f>'Side MDB'!AC7</f>
        <v>4</v>
      </c>
      <c r="I7" s="21">
        <f>'Side MDB'!AD7</f>
        <v>3</v>
      </c>
      <c r="J7" s="21">
        <f>'Side MDB'!AE7</f>
        <v>4</v>
      </c>
      <c r="K7" s="129">
        <f>'Side Pole'!P7</f>
        <v>5</v>
      </c>
      <c r="L7" s="129">
        <f>'Side Pole'!S7</f>
        <v>5</v>
      </c>
      <c r="M7" s="129">
        <f>'Side Pole'!V7</f>
        <v>4</v>
      </c>
      <c r="N7" s="130">
        <f>Rollover!J7</f>
        <v>4</v>
      </c>
      <c r="O7" s="131">
        <f>ROUND(5/12*Front!AV7+4/12*'Side Pole'!U7+3/12*Rollover!I7,2)</f>
        <v>0.73</v>
      </c>
      <c r="P7" s="132">
        <f t="shared" si="0"/>
        <v>4</v>
      </c>
    </row>
    <row r="8" spans="1:16" ht="14.65" customHeight="1">
      <c r="A8" s="128">
        <v>43903</v>
      </c>
      <c r="B8" s="45" t="str">
        <f>Rollover!A8</f>
        <v>Ford</v>
      </c>
      <c r="C8" s="45" t="str">
        <f>Rollover!B8</f>
        <v>Escape SUV AWD</v>
      </c>
      <c r="D8" s="9">
        <f>Rollover!C8</f>
        <v>2020</v>
      </c>
      <c r="E8" s="21">
        <f>Front!AW8</f>
        <v>5</v>
      </c>
      <c r="F8" s="45">
        <f>Front!AX8</f>
        <v>5</v>
      </c>
      <c r="G8" s="45">
        <f>Front!AY8</f>
        <v>5</v>
      </c>
      <c r="H8" s="21">
        <f>'Side MDB'!AC8</f>
        <v>5</v>
      </c>
      <c r="I8" s="21">
        <f>'Side MDB'!AD8</f>
        <v>5</v>
      </c>
      <c r="J8" s="21">
        <f>'Side MDB'!AE8</f>
        <v>5</v>
      </c>
      <c r="K8" s="129">
        <f>'Side Pole'!P8</f>
        <v>5</v>
      </c>
      <c r="L8" s="129">
        <f>'Side Pole'!S8</f>
        <v>5</v>
      </c>
      <c r="M8" s="129">
        <f>'Side Pole'!V8</f>
        <v>5</v>
      </c>
      <c r="N8" s="130">
        <f>Rollover!J8</f>
        <v>4</v>
      </c>
      <c r="O8" s="131">
        <f>ROUND(5/12*Front!AV8+4/12*'Side Pole'!U8+3/12*Rollover!I8,2)</f>
        <v>0.63</v>
      </c>
      <c r="P8" s="132">
        <f t="shared" si="0"/>
        <v>5</v>
      </c>
    </row>
    <row r="9" spans="1:16" ht="14.65" customHeight="1">
      <c r="A9" s="128">
        <v>43903</v>
      </c>
      <c r="B9" s="45" t="str">
        <f>Rollover!A9</f>
        <v>Ford</v>
      </c>
      <c r="C9" s="45" t="str">
        <f>Rollover!B9</f>
        <v>Escape SUV FWD</v>
      </c>
      <c r="D9" s="9">
        <f>Rollover!C9</f>
        <v>2020</v>
      </c>
      <c r="E9" s="21">
        <f>Front!AW9</f>
        <v>5</v>
      </c>
      <c r="F9" s="45">
        <f>Front!AX9</f>
        <v>5</v>
      </c>
      <c r="G9" s="45">
        <f>Front!AY9</f>
        <v>5</v>
      </c>
      <c r="H9" s="21">
        <f>'Side MDB'!AC9</f>
        <v>5</v>
      </c>
      <c r="I9" s="21">
        <f>'Side MDB'!AD9</f>
        <v>5</v>
      </c>
      <c r="J9" s="21">
        <f>'Side MDB'!AE9</f>
        <v>5</v>
      </c>
      <c r="K9" s="129">
        <f>'Side Pole'!P9</f>
        <v>5</v>
      </c>
      <c r="L9" s="129">
        <f>'Side Pole'!S9</f>
        <v>5</v>
      </c>
      <c r="M9" s="129">
        <f>'Side Pole'!V9</f>
        <v>5</v>
      </c>
      <c r="N9" s="130">
        <f>Rollover!J9</f>
        <v>4</v>
      </c>
      <c r="O9" s="131">
        <f>ROUND(5/12*Front!AV9+4/12*'Side Pole'!U9+3/12*Rollover!I9,2)</f>
        <v>0.62</v>
      </c>
      <c r="P9" s="132">
        <f t="shared" si="0"/>
        <v>5</v>
      </c>
    </row>
    <row r="10" spans="1:16" ht="14.65" customHeight="1">
      <c r="A10" s="128">
        <v>43903</v>
      </c>
      <c r="B10" s="9" t="str">
        <f>Rollover!A10</f>
        <v>Ford</v>
      </c>
      <c r="C10" s="9" t="str">
        <f>Rollover!B10</f>
        <v>Escape HEV SUV AWD</v>
      </c>
      <c r="D10" s="9">
        <f>Rollover!C10</f>
        <v>2020</v>
      </c>
      <c r="E10" s="21">
        <f>Front!AW10</f>
        <v>5</v>
      </c>
      <c r="F10" s="45">
        <f>Front!AX10</f>
        <v>5</v>
      </c>
      <c r="G10" s="45">
        <f>Front!AY10</f>
        <v>5</v>
      </c>
      <c r="H10" s="21">
        <f>'Side MDB'!AC10</f>
        <v>5</v>
      </c>
      <c r="I10" s="21">
        <f>'Side MDB'!AD10</f>
        <v>5</v>
      </c>
      <c r="J10" s="21">
        <f>'Side MDB'!AE10</f>
        <v>5</v>
      </c>
      <c r="K10" s="129">
        <f>'Side Pole'!P10</f>
        <v>5</v>
      </c>
      <c r="L10" s="129">
        <f>'Side Pole'!S10</f>
        <v>5</v>
      </c>
      <c r="M10" s="129">
        <f>'Side Pole'!V10</f>
        <v>5</v>
      </c>
      <c r="N10" s="130">
        <f>Rollover!J10</f>
        <v>4</v>
      </c>
      <c r="O10" s="131">
        <f>ROUND(5/12*Front!AV10+4/12*'Side Pole'!U10+3/12*Rollover!I10,2)</f>
        <v>0.63</v>
      </c>
      <c r="P10" s="132">
        <f t="shared" si="0"/>
        <v>5</v>
      </c>
    </row>
    <row r="11" spans="1:16" ht="14.65" customHeight="1">
      <c r="A11" s="128">
        <v>43903</v>
      </c>
      <c r="B11" s="9" t="str">
        <f>Rollover!A11</f>
        <v>Ford</v>
      </c>
      <c r="C11" s="9" t="str">
        <f>Rollover!B11</f>
        <v>Escape HEV SUV FWD</v>
      </c>
      <c r="D11" s="9">
        <f>Rollover!C11</f>
        <v>2020</v>
      </c>
      <c r="E11" s="21">
        <f>Front!AW11</f>
        <v>5</v>
      </c>
      <c r="F11" s="45">
        <f>Front!AX11</f>
        <v>5</v>
      </c>
      <c r="G11" s="45">
        <f>Front!AY11</f>
        <v>5</v>
      </c>
      <c r="H11" s="21">
        <f>'Side MDB'!AC11</f>
        <v>5</v>
      </c>
      <c r="I11" s="21">
        <f>'Side MDB'!AD11</f>
        <v>5</v>
      </c>
      <c r="J11" s="21">
        <f>'Side MDB'!AE11</f>
        <v>5</v>
      </c>
      <c r="K11" s="129">
        <f>'Side Pole'!P11</f>
        <v>5</v>
      </c>
      <c r="L11" s="129">
        <f>'Side Pole'!S11</f>
        <v>5</v>
      </c>
      <c r="M11" s="129">
        <f>'Side Pole'!V11</f>
        <v>5</v>
      </c>
      <c r="N11" s="130">
        <f>Rollover!J11</f>
        <v>4</v>
      </c>
      <c r="O11" s="131">
        <f>ROUND(5/12*Front!AV11+4/12*'Side Pole'!U11+3/12*Rollover!I11,2)</f>
        <v>0.62</v>
      </c>
      <c r="P11" s="132">
        <f t="shared" si="0"/>
        <v>5</v>
      </c>
    </row>
    <row r="12" spans="1:16" ht="14.65" customHeight="1">
      <c r="A12" s="128">
        <v>43903</v>
      </c>
      <c r="B12" s="9" t="str">
        <f>Rollover!A12</f>
        <v>Lincoln</v>
      </c>
      <c r="C12" s="9" t="str">
        <f>Rollover!B12</f>
        <v>Corsair SUV AWD</v>
      </c>
      <c r="D12" s="9">
        <f>Rollover!C12</f>
        <v>2020</v>
      </c>
      <c r="E12" s="21">
        <f>Front!AW12</f>
        <v>5</v>
      </c>
      <c r="F12" s="45">
        <f>Front!AX12</f>
        <v>5</v>
      </c>
      <c r="G12" s="45">
        <f>Front!AY12</f>
        <v>5</v>
      </c>
      <c r="H12" s="21">
        <f>'Side MDB'!AC12</f>
        <v>5</v>
      </c>
      <c r="I12" s="21">
        <f>'Side MDB'!AD12</f>
        <v>5</v>
      </c>
      <c r="J12" s="21">
        <f>'Side MDB'!AE12</f>
        <v>5</v>
      </c>
      <c r="K12" s="129">
        <f>'Side Pole'!P12</f>
        <v>5</v>
      </c>
      <c r="L12" s="129">
        <f>'Side Pole'!S12</f>
        <v>5</v>
      </c>
      <c r="M12" s="129">
        <f>'Side Pole'!V12</f>
        <v>5</v>
      </c>
      <c r="N12" s="130">
        <f>Rollover!J12</f>
        <v>4</v>
      </c>
      <c r="O12" s="131">
        <f>ROUND(5/12*Front!AV12+4/12*'Side Pole'!U12+3/12*Rollover!I12,2)</f>
        <v>0.63</v>
      </c>
      <c r="P12" s="132">
        <f t="shared" si="0"/>
        <v>5</v>
      </c>
    </row>
    <row r="13" spans="1:16" ht="14.65" customHeight="1">
      <c r="A13" s="128">
        <v>43903</v>
      </c>
      <c r="B13" s="9" t="str">
        <f>Rollover!A13</f>
        <v>Lincoln</v>
      </c>
      <c r="C13" s="9" t="str">
        <f>Rollover!B13</f>
        <v>Corsair SUV FWD</v>
      </c>
      <c r="D13" s="9">
        <f>Rollover!C13</f>
        <v>2020</v>
      </c>
      <c r="E13" s="21">
        <f>Front!AW13</f>
        <v>5</v>
      </c>
      <c r="F13" s="45">
        <f>Front!AX13</f>
        <v>5</v>
      </c>
      <c r="G13" s="45">
        <f>Front!AY13</f>
        <v>5</v>
      </c>
      <c r="H13" s="21">
        <f>'Side MDB'!AC13</f>
        <v>5</v>
      </c>
      <c r="I13" s="21">
        <f>'Side MDB'!AD13</f>
        <v>5</v>
      </c>
      <c r="J13" s="21">
        <f>'Side MDB'!AE13</f>
        <v>5</v>
      </c>
      <c r="K13" s="129">
        <f>'Side Pole'!P13</f>
        <v>5</v>
      </c>
      <c r="L13" s="129">
        <f>'Side Pole'!S13</f>
        <v>5</v>
      </c>
      <c r="M13" s="129">
        <f>'Side Pole'!V13</f>
        <v>5</v>
      </c>
      <c r="N13" s="130">
        <f>Rollover!J13</f>
        <v>4</v>
      </c>
      <c r="O13" s="131">
        <f>ROUND(5/12*Front!AV13+4/12*'Side Pole'!U13+3/12*Rollover!I13,2)</f>
        <v>0.62</v>
      </c>
      <c r="P13" s="132">
        <f t="shared" si="0"/>
        <v>5</v>
      </c>
    </row>
    <row r="14" spans="1:16" ht="14.65" customHeight="1">
      <c r="A14" s="128">
        <v>43894</v>
      </c>
      <c r="B14" s="45" t="str">
        <f>Rollover!A14</f>
        <v>Ford</v>
      </c>
      <c r="C14" s="45" t="str">
        <f>Rollover!B14</f>
        <v>Transit Wagon High Roof (8,10,12 Pass) RWD</v>
      </c>
      <c r="D14" s="9">
        <f>Rollover!C14</f>
        <v>2020</v>
      </c>
      <c r="E14" s="21">
        <f>Front!AW14</f>
        <v>4</v>
      </c>
      <c r="F14" s="45">
        <f>Front!AX14</f>
        <v>2</v>
      </c>
      <c r="G14" s="45">
        <f>Front!AY14</f>
        <v>3</v>
      </c>
      <c r="H14" s="21">
        <f>'Side MDB'!AC14</f>
        <v>5</v>
      </c>
      <c r="I14" s="21">
        <f>'Side MDB'!AD14</f>
        <v>5</v>
      </c>
      <c r="J14" s="21">
        <f>'Side MDB'!AE14</f>
        <v>5</v>
      </c>
      <c r="K14" s="129">
        <f>'Side Pole'!P14</f>
        <v>5</v>
      </c>
      <c r="L14" s="129">
        <f>'Side Pole'!S14</f>
        <v>5</v>
      </c>
      <c r="M14" s="129">
        <f>'Side Pole'!V14</f>
        <v>5</v>
      </c>
      <c r="N14" s="130" t="e">
        <f>Rollover!J14</f>
        <v>#NUM!</v>
      </c>
      <c r="O14" s="131" t="e">
        <f>ROUND(5/12*Front!AV14+4/12*'Side Pole'!U14+3/12*Rollover!I14,2)</f>
        <v>#NUM!</v>
      </c>
      <c r="P14" s="132" t="e">
        <f t="shared" ref="P14:P59" si="1">IF(O14&lt;0.67,5,IF(O14&lt;1,4,IF(O14&lt;1.33,3,IF(O14&lt;2.67,2,1))))</f>
        <v>#NUM!</v>
      </c>
    </row>
    <row r="15" spans="1:16" ht="14.65" customHeight="1">
      <c r="A15" s="128">
        <v>43894</v>
      </c>
      <c r="B15" s="45" t="str">
        <f>Rollover!A15</f>
        <v>Ford</v>
      </c>
      <c r="C15" s="45" t="str">
        <f>Rollover!B15</f>
        <v>Transit Wagon High Roof (15 Pass) RWD</v>
      </c>
      <c r="D15" s="9">
        <f>Rollover!C16</f>
        <v>2020</v>
      </c>
      <c r="E15" s="21">
        <f>Front!AW15</f>
        <v>4</v>
      </c>
      <c r="F15" s="45">
        <f>Front!AX15</f>
        <v>2</v>
      </c>
      <c r="G15" s="45">
        <f>Front!AY15</f>
        <v>3</v>
      </c>
      <c r="H15" s="21">
        <f>'Side MDB'!AC15</f>
        <v>5</v>
      </c>
      <c r="I15" s="21">
        <f>'Side MDB'!AD15</f>
        <v>5</v>
      </c>
      <c r="J15" s="21">
        <f>'Side MDB'!AE15</f>
        <v>5</v>
      </c>
      <c r="K15" s="129">
        <f>'Side Pole'!P15</f>
        <v>5</v>
      </c>
      <c r="L15" s="129">
        <f>'Side Pole'!S15</f>
        <v>5</v>
      </c>
      <c r="M15" s="129">
        <f>'Side Pole'!V15</f>
        <v>5</v>
      </c>
      <c r="N15" s="130">
        <f>Rollover!J15</f>
        <v>1</v>
      </c>
      <c r="O15" s="131">
        <f>ROUND(5/12*Front!AV15+4/12*'Side Pole'!U15+3/12*Rollover!I15,2)</f>
        <v>1.26</v>
      </c>
      <c r="P15" s="132">
        <f t="shared" si="1"/>
        <v>3</v>
      </c>
    </row>
    <row r="16" spans="1:16" ht="14.65" customHeight="1">
      <c r="A16" s="128">
        <v>43894</v>
      </c>
      <c r="B16" s="45" t="str">
        <f>Rollover!A16</f>
        <v>Ford</v>
      </c>
      <c r="C16" s="45" t="str">
        <f>Rollover!B16</f>
        <v>Transit Wagon Medium Roof (8,10,12 Pass) RWD</v>
      </c>
      <c r="D16" s="9">
        <f>Rollover!C17</f>
        <v>2020</v>
      </c>
      <c r="E16" s="21">
        <f>Front!AW16</f>
        <v>4</v>
      </c>
      <c r="F16" s="45">
        <f>Front!AX16</f>
        <v>2</v>
      </c>
      <c r="G16" s="45">
        <f>Front!AY16</f>
        <v>3</v>
      </c>
      <c r="H16" s="21">
        <f>'Side MDB'!AC16</f>
        <v>5</v>
      </c>
      <c r="I16" s="21">
        <f>'Side MDB'!AD16</f>
        <v>5</v>
      </c>
      <c r="J16" s="21">
        <f>'Side MDB'!AE16</f>
        <v>5</v>
      </c>
      <c r="K16" s="129">
        <f>'Side Pole'!P16</f>
        <v>5</v>
      </c>
      <c r="L16" s="129">
        <f>'Side Pole'!S16</f>
        <v>5</v>
      </c>
      <c r="M16" s="129">
        <f>'Side Pole'!V16</f>
        <v>5</v>
      </c>
      <c r="N16" s="130">
        <f>Rollover!J16</f>
        <v>2</v>
      </c>
      <c r="O16" s="131">
        <f>ROUND(5/12*Front!AV16+4/12*'Side Pole'!U16+3/12*Rollover!I16,2)</f>
        <v>1.1399999999999999</v>
      </c>
      <c r="P16" s="132">
        <f t="shared" si="1"/>
        <v>3</v>
      </c>
    </row>
    <row r="17" spans="1:16" ht="14.65" customHeight="1">
      <c r="A17" s="128">
        <v>43894</v>
      </c>
      <c r="B17" s="45" t="str">
        <f>Rollover!A17</f>
        <v>Ford</v>
      </c>
      <c r="C17" s="45" t="str">
        <f>Rollover!B17</f>
        <v>Transit Wagon Medium Roof (15 Pass) RWD</v>
      </c>
      <c r="D17" s="9">
        <f>Rollover!C17</f>
        <v>2020</v>
      </c>
      <c r="E17" s="21">
        <f>Front!AW17</f>
        <v>4</v>
      </c>
      <c r="F17" s="45">
        <f>Front!AX17</f>
        <v>2</v>
      </c>
      <c r="G17" s="45">
        <f>Front!AY17</f>
        <v>3</v>
      </c>
      <c r="H17" s="21">
        <f>'Side MDB'!AC17</f>
        <v>5</v>
      </c>
      <c r="I17" s="21">
        <f>'Side MDB'!AD17</f>
        <v>5</v>
      </c>
      <c r="J17" s="21">
        <f>'Side MDB'!AE17</f>
        <v>5</v>
      </c>
      <c r="K17" s="129">
        <f>'Side Pole'!P17</f>
        <v>5</v>
      </c>
      <c r="L17" s="129">
        <f>'Side Pole'!S17</f>
        <v>5</v>
      </c>
      <c r="M17" s="129">
        <f>'Side Pole'!V17</f>
        <v>5</v>
      </c>
      <c r="N17" s="130">
        <f>Rollover!J17</f>
        <v>2</v>
      </c>
      <c r="O17" s="131">
        <f>ROUND(5/12*Front!AV17+4/12*'Side Pole'!U17+3/12*Rollover!I17,2)</f>
        <v>1.1399999999999999</v>
      </c>
      <c r="P17" s="132">
        <f t="shared" si="1"/>
        <v>3</v>
      </c>
    </row>
    <row r="18" spans="1:16" ht="14.65" customHeight="1">
      <c r="A18" s="128">
        <v>43894</v>
      </c>
      <c r="B18" s="45" t="str">
        <f>Rollover!A18</f>
        <v>Ford</v>
      </c>
      <c r="C18" s="45" t="str">
        <f>Rollover!B18</f>
        <v>Transit Wagon Low Roof (8,10,12 Pass) RWD</v>
      </c>
      <c r="D18" s="9">
        <f>Rollover!C18</f>
        <v>2020</v>
      </c>
      <c r="E18" s="21">
        <f>Front!AW18</f>
        <v>4</v>
      </c>
      <c r="F18" s="45">
        <f>Front!AX18</f>
        <v>2</v>
      </c>
      <c r="G18" s="45">
        <f>Front!AY18</f>
        <v>3</v>
      </c>
      <c r="H18" s="21">
        <f>'Side MDB'!AC18</f>
        <v>5</v>
      </c>
      <c r="I18" s="21">
        <f>'Side MDB'!AD18</f>
        <v>5</v>
      </c>
      <c r="J18" s="21">
        <f>'Side MDB'!AE18</f>
        <v>5</v>
      </c>
      <c r="K18" s="129">
        <f>'Side Pole'!P18</f>
        <v>5</v>
      </c>
      <c r="L18" s="129">
        <f>'Side Pole'!S18</f>
        <v>5</v>
      </c>
      <c r="M18" s="129">
        <f>'Side Pole'!V18</f>
        <v>5</v>
      </c>
      <c r="N18" s="130">
        <f>Rollover!J18</f>
        <v>3</v>
      </c>
      <c r="O18" s="131">
        <f>ROUND(5/12*Front!AV18+4/12*'Side Pole'!U18+3/12*Rollover!I18,2)</f>
        <v>0.95</v>
      </c>
      <c r="P18" s="132">
        <f t="shared" si="1"/>
        <v>4</v>
      </c>
    </row>
    <row r="19" spans="1:16" ht="14.65" customHeight="1">
      <c r="A19" s="128">
        <v>43894</v>
      </c>
      <c r="B19" s="45" t="str">
        <f>Rollover!A19</f>
        <v>Ford</v>
      </c>
      <c r="C19" s="45" t="str">
        <f>Rollover!B19</f>
        <v>Transit Wagon Low Roof (15 Pass) RWD</v>
      </c>
      <c r="D19" s="9">
        <f>Rollover!C19</f>
        <v>2020</v>
      </c>
      <c r="E19" s="21">
        <f>Front!AW19</f>
        <v>4</v>
      </c>
      <c r="F19" s="45">
        <f>Front!AX19</f>
        <v>2</v>
      </c>
      <c r="G19" s="45">
        <f>Front!AY19</f>
        <v>3</v>
      </c>
      <c r="H19" s="21">
        <f>'Side MDB'!AC19</f>
        <v>5</v>
      </c>
      <c r="I19" s="21">
        <f>'Side MDB'!AD19</f>
        <v>5</v>
      </c>
      <c r="J19" s="21">
        <f>'Side MDB'!AE19</f>
        <v>5</v>
      </c>
      <c r="K19" s="129">
        <f>'Side Pole'!P19</f>
        <v>5</v>
      </c>
      <c r="L19" s="129">
        <f>'Side Pole'!S19</f>
        <v>5</v>
      </c>
      <c r="M19" s="129">
        <f>'Side Pole'!V19</f>
        <v>5</v>
      </c>
      <c r="N19" s="130">
        <f>Rollover!J19</f>
        <v>2</v>
      </c>
      <c r="O19" s="131">
        <f>ROUND(5/12*Front!AV19+4/12*'Side Pole'!U19+3/12*Rollover!I19,2)</f>
        <v>1.07</v>
      </c>
      <c r="P19" s="132">
        <f t="shared" ref="P19:P32" si="2">IF(O19&lt;0.67,5,IF(O19&lt;1,4,IF(O19&lt;1.33,3,IF(O19&lt;2.67,2,1))))</f>
        <v>3</v>
      </c>
    </row>
    <row r="20" spans="1:16" ht="14.65" customHeight="1">
      <c r="A20" s="128">
        <v>43894</v>
      </c>
      <c r="B20" s="45" t="str">
        <f>Rollover!A20</f>
        <v>Ford</v>
      </c>
      <c r="C20" s="45" t="str">
        <f>Rollover!B20</f>
        <v>Transit Van RWD</v>
      </c>
      <c r="D20" s="9">
        <f>Rollover!C20</f>
        <v>2020</v>
      </c>
      <c r="E20" s="21">
        <f>Front!AW20</f>
        <v>4</v>
      </c>
      <c r="F20" s="45">
        <f>Front!AX20</f>
        <v>2</v>
      </c>
      <c r="G20" s="45">
        <f>Front!AY20</f>
        <v>3</v>
      </c>
      <c r="H20" s="21" t="e">
        <f>'Side MDB'!AC20</f>
        <v>#NUM!</v>
      </c>
      <c r="I20" s="21" t="e">
        <f>'Side MDB'!AD20</f>
        <v>#NUM!</v>
      </c>
      <c r="J20" s="21" t="e">
        <f>'Side MDB'!AE20</f>
        <v>#NUM!</v>
      </c>
      <c r="K20" s="129" t="e">
        <f>'Side Pole'!P20</f>
        <v>#NUM!</v>
      </c>
      <c r="L20" s="129" t="e">
        <f>'Side Pole'!S20</f>
        <v>#NUM!</v>
      </c>
      <c r="M20" s="129" t="e">
        <f>'Side Pole'!V20</f>
        <v>#NUM!</v>
      </c>
      <c r="N20" s="130" t="e">
        <f>Rollover!J20</f>
        <v>#NUM!</v>
      </c>
      <c r="O20" s="131" t="e">
        <f>ROUND(5/12*Front!AV20+4/12*'Side Pole'!U20+3/12*Rollover!I20,2)</f>
        <v>#NUM!</v>
      </c>
      <c r="P20" s="132" t="e">
        <f t="shared" si="2"/>
        <v>#NUM!</v>
      </c>
    </row>
    <row r="21" spans="1:16" ht="14.65" customHeight="1">
      <c r="A21" s="128">
        <v>43937</v>
      </c>
      <c r="B21" s="45" t="str">
        <f>Rollover!A21</f>
        <v xml:space="preserve">GMC </v>
      </c>
      <c r="C21" s="45" t="str">
        <f>Rollover!B21</f>
        <v>Acadia SUV AWD</v>
      </c>
      <c r="D21" s="9">
        <f>Rollover!C21</f>
        <v>2020</v>
      </c>
      <c r="E21" s="21">
        <f>Front!AW21</f>
        <v>5</v>
      </c>
      <c r="F21" s="45">
        <f>Front!AX21</f>
        <v>4</v>
      </c>
      <c r="G21" s="45">
        <f>Front!AY21</f>
        <v>5</v>
      </c>
      <c r="H21" s="21">
        <f>'Side MDB'!AC21</f>
        <v>5</v>
      </c>
      <c r="I21" s="21">
        <f>'Side MDB'!AD21</f>
        <v>5</v>
      </c>
      <c r="J21" s="21">
        <f>'Side MDB'!AE21</f>
        <v>5</v>
      </c>
      <c r="K21" s="129">
        <f>'Side Pole'!P21</f>
        <v>5</v>
      </c>
      <c r="L21" s="129">
        <f>'Side Pole'!S21</f>
        <v>5</v>
      </c>
      <c r="M21" s="129">
        <f>'Side Pole'!V21</f>
        <v>5</v>
      </c>
      <c r="N21" s="130">
        <f>Rollover!J21</f>
        <v>4</v>
      </c>
      <c r="O21" s="131">
        <f>ROUND(5/12*Front!AV21+4/12*'Side Pole'!U21+3/12*Rollover!I21,2)</f>
        <v>0.64</v>
      </c>
      <c r="P21" s="132">
        <f t="shared" si="2"/>
        <v>5</v>
      </c>
    </row>
    <row r="22" spans="1:16" ht="14.65" customHeight="1">
      <c r="A22" s="128">
        <v>43937</v>
      </c>
      <c r="B22" s="45" t="str">
        <f>Rollover!A22</f>
        <v xml:space="preserve">GMC </v>
      </c>
      <c r="C22" s="45" t="str">
        <f>Rollover!B22</f>
        <v>Acadia SUV FWD</v>
      </c>
      <c r="D22" s="9">
        <f>Rollover!C22</f>
        <v>2020</v>
      </c>
      <c r="E22" s="21">
        <f>Front!AW22</f>
        <v>5</v>
      </c>
      <c r="F22" s="45">
        <f>Front!AX22</f>
        <v>4</v>
      </c>
      <c r="G22" s="45">
        <f>Front!AY22</f>
        <v>5</v>
      </c>
      <c r="H22" s="21">
        <f>'Side MDB'!AC22</f>
        <v>5</v>
      </c>
      <c r="I22" s="21">
        <f>'Side MDB'!AD22</f>
        <v>5</v>
      </c>
      <c r="J22" s="21">
        <f>'Side MDB'!AE22</f>
        <v>5</v>
      </c>
      <c r="K22" s="129">
        <f>'Side Pole'!P22</f>
        <v>5</v>
      </c>
      <c r="L22" s="129">
        <f>'Side Pole'!S22</f>
        <v>5</v>
      </c>
      <c r="M22" s="129">
        <f>'Side Pole'!V22</f>
        <v>5</v>
      </c>
      <c r="N22" s="130">
        <f>Rollover!J22</f>
        <v>4</v>
      </c>
      <c r="O22" s="131">
        <f>ROUND(5/12*Front!AV22+4/12*'Side Pole'!U22+3/12*Rollover!I22,2)</f>
        <v>0.66</v>
      </c>
      <c r="P22" s="132">
        <f t="shared" si="2"/>
        <v>5</v>
      </c>
    </row>
    <row r="23" spans="1:16" ht="14.65" customHeight="1">
      <c r="A23" s="44">
        <v>43881</v>
      </c>
      <c r="B23" s="45" t="str">
        <f>Rollover!A23</f>
        <v>Hyundai</v>
      </c>
      <c r="C23" s="45" t="str">
        <f>Rollover!B23</f>
        <v>Accent 4DR FWD</v>
      </c>
      <c r="D23" s="9">
        <f>Rollover!C23</f>
        <v>2020</v>
      </c>
      <c r="E23" s="21">
        <f>Front!AW23</f>
        <v>5</v>
      </c>
      <c r="F23" s="45">
        <f>Front!AX23</f>
        <v>4</v>
      </c>
      <c r="G23" s="45">
        <f>Front!AY23</f>
        <v>4</v>
      </c>
      <c r="H23" s="21">
        <f>'Side MDB'!AC23</f>
        <v>4</v>
      </c>
      <c r="I23" s="21">
        <f>'Side MDB'!AD23</f>
        <v>5</v>
      </c>
      <c r="J23" s="21">
        <f>'Side MDB'!AE23</f>
        <v>5</v>
      </c>
      <c r="K23" s="129">
        <f>'Side Pole'!P23</f>
        <v>5</v>
      </c>
      <c r="L23" s="129">
        <f>'Side Pole'!S23</f>
        <v>4</v>
      </c>
      <c r="M23" s="129">
        <f>'Side Pole'!V23</f>
        <v>5</v>
      </c>
      <c r="N23" s="130">
        <f>Rollover!J23</f>
        <v>4</v>
      </c>
      <c r="O23" s="131">
        <f>ROUND(5/12*Front!AV23+4/12*'Side Pole'!U23+3/12*Rollover!I23,2)</f>
        <v>0.7</v>
      </c>
      <c r="P23" s="132">
        <f t="shared" si="2"/>
        <v>4</v>
      </c>
    </row>
    <row r="24" spans="1:16" ht="14.65" customHeight="1">
      <c r="A24" s="44">
        <v>43930</v>
      </c>
      <c r="B24" s="45" t="str">
        <f>Rollover!A24</f>
        <v>Hyundai</v>
      </c>
      <c r="C24" s="45" t="str">
        <f>Rollover!B24</f>
        <v>Palisade SUV FWD</v>
      </c>
      <c r="D24" s="9">
        <f>Rollover!C24</f>
        <v>2020</v>
      </c>
      <c r="E24" s="21">
        <f>Front!AW24</f>
        <v>5</v>
      </c>
      <c r="F24" s="45">
        <f>Front!AX24</f>
        <v>5</v>
      </c>
      <c r="G24" s="45">
        <f>Front!AY24</f>
        <v>5</v>
      </c>
      <c r="H24" s="21">
        <f>'Side MDB'!AC24</f>
        <v>5</v>
      </c>
      <c r="I24" s="21">
        <f>'Side MDB'!AD24</f>
        <v>5</v>
      </c>
      <c r="J24" s="21">
        <f>'Side MDB'!AE24</f>
        <v>5</v>
      </c>
      <c r="K24" s="129">
        <f>'Side Pole'!P24</f>
        <v>5</v>
      </c>
      <c r="L24" s="129">
        <f>'Side Pole'!S24</f>
        <v>5</v>
      </c>
      <c r="M24" s="129">
        <f>'Side Pole'!V24</f>
        <v>5</v>
      </c>
      <c r="N24" s="130">
        <f>Rollover!J24</f>
        <v>4</v>
      </c>
      <c r="O24" s="131">
        <f>ROUND(5/12*Front!AV24+4/12*'Side Pole'!U24+3/12*Rollover!I24,2)</f>
        <v>0.55000000000000004</v>
      </c>
      <c r="P24" s="132">
        <f t="shared" si="2"/>
        <v>5</v>
      </c>
    </row>
    <row r="25" spans="1:16" ht="14.65" customHeight="1">
      <c r="A25" s="44">
        <v>43930</v>
      </c>
      <c r="B25" s="45" t="str">
        <f>Rollover!A25</f>
        <v>Hyundai</v>
      </c>
      <c r="C25" s="45" t="str">
        <f>Rollover!B25</f>
        <v>Palisade SUV AWD</v>
      </c>
      <c r="D25" s="9">
        <f>Rollover!C25</f>
        <v>2020</v>
      </c>
      <c r="E25" s="21">
        <f>Front!AW25</f>
        <v>5</v>
      </c>
      <c r="F25" s="45">
        <f>Front!AX25</f>
        <v>5</v>
      </c>
      <c r="G25" s="45">
        <f>Front!AY25</f>
        <v>5</v>
      </c>
      <c r="H25" s="21">
        <f>'Side MDB'!AC25</f>
        <v>5</v>
      </c>
      <c r="I25" s="21">
        <f>'Side MDB'!AD25</f>
        <v>5</v>
      </c>
      <c r="J25" s="21">
        <f>'Side MDB'!AE25</f>
        <v>5</v>
      </c>
      <c r="K25" s="129">
        <f>'Side Pole'!P25</f>
        <v>5</v>
      </c>
      <c r="L25" s="129">
        <f>'Side Pole'!S25</f>
        <v>5</v>
      </c>
      <c r="M25" s="129">
        <f>'Side Pole'!V25</f>
        <v>5</v>
      </c>
      <c r="N25" s="130">
        <f>Rollover!J25</f>
        <v>4</v>
      </c>
      <c r="O25" s="131">
        <f>ROUND(5/12*Front!AV25+4/12*'Side Pole'!U25+3/12*Rollover!I25,2)</f>
        <v>0.52</v>
      </c>
      <c r="P25" s="132">
        <f t="shared" si="2"/>
        <v>5</v>
      </c>
    </row>
    <row r="26" spans="1:16" ht="14.65" customHeight="1">
      <c r="A26" s="44">
        <v>43910</v>
      </c>
      <c r="B26" s="45" t="str">
        <f>Rollover!A26</f>
        <v>Hyundai</v>
      </c>
      <c r="C26" s="45" t="str">
        <f>Rollover!B26</f>
        <v>Venue 5HB FWD</v>
      </c>
      <c r="D26" s="9">
        <f>Rollover!C26</f>
        <v>2020</v>
      </c>
      <c r="E26" s="21">
        <f>Front!AW26</f>
        <v>4</v>
      </c>
      <c r="F26" s="45">
        <f>Front!AX26</f>
        <v>4</v>
      </c>
      <c r="G26" s="45">
        <f>Front!AY26</f>
        <v>4</v>
      </c>
      <c r="H26" s="21">
        <f>'Side MDB'!AC26</f>
        <v>5</v>
      </c>
      <c r="I26" s="21">
        <f>'Side MDB'!AD26</f>
        <v>5</v>
      </c>
      <c r="J26" s="21">
        <f>'Side MDB'!AE26</f>
        <v>5</v>
      </c>
      <c r="K26" s="129">
        <f>'Side Pole'!P26</f>
        <v>5</v>
      </c>
      <c r="L26" s="129">
        <f>'Side Pole'!S26</f>
        <v>5</v>
      </c>
      <c r="M26" s="129">
        <f>'Side Pole'!V26</f>
        <v>5</v>
      </c>
      <c r="N26" s="130">
        <f>Rollover!J26</f>
        <v>4</v>
      </c>
      <c r="O26" s="131">
        <f>ROUND(5/12*Front!AV26+4/12*'Side Pole'!U26+3/12*Rollover!I26,2)</f>
        <v>0.75</v>
      </c>
      <c r="P26" s="132">
        <f t="shared" si="2"/>
        <v>4</v>
      </c>
    </row>
    <row r="27" spans="1:16" ht="14.65" customHeight="1">
      <c r="A27" s="44">
        <v>43802</v>
      </c>
      <c r="B27" s="45" t="str">
        <f>Rollover!A27</f>
        <v>Jeep</v>
      </c>
      <c r="C27" s="45" t="str">
        <f>Rollover!B27</f>
        <v>Gladiator PU/CC 4WD</v>
      </c>
      <c r="D27" s="9">
        <f>Rollover!C27</f>
        <v>2020</v>
      </c>
      <c r="E27" s="21">
        <f>Front!AW27</f>
        <v>4</v>
      </c>
      <c r="F27" s="45">
        <f>Front!AX27</f>
        <v>5</v>
      </c>
      <c r="G27" s="45">
        <f>Front!AY27</f>
        <v>4</v>
      </c>
      <c r="H27" s="21" t="e">
        <f>'Side MDB'!AC27</f>
        <v>#NUM!</v>
      </c>
      <c r="I27" s="21" t="e">
        <f>'Side MDB'!AD27</f>
        <v>#NUM!</v>
      </c>
      <c r="J27" s="21" t="e">
        <f>'Side MDB'!AE27</f>
        <v>#NUM!</v>
      </c>
      <c r="K27" s="129" t="e">
        <f>'Side Pole'!P27</f>
        <v>#NUM!</v>
      </c>
      <c r="L27" s="129" t="e">
        <f>'Side Pole'!S27</f>
        <v>#NUM!</v>
      </c>
      <c r="M27" s="129" t="e">
        <f>'Side Pole'!V27</f>
        <v>#NUM!</v>
      </c>
      <c r="N27" s="130">
        <f>Rollover!J27</f>
        <v>3</v>
      </c>
      <c r="O27" s="131" t="e">
        <f>ROUND(5/12*Front!AV27+4/12*'Side Pole'!U27+3/12*Rollover!I27,2)</f>
        <v>#NUM!</v>
      </c>
      <c r="P27" s="132" t="e">
        <f t="shared" si="2"/>
        <v>#NUM!</v>
      </c>
    </row>
    <row r="28" spans="1:16" ht="14.65" customHeight="1">
      <c r="A28" s="44">
        <v>43868</v>
      </c>
      <c r="B28" s="45" t="str">
        <f>Rollover!A28</f>
        <v>Jeep</v>
      </c>
      <c r="C28" s="45" t="str">
        <f>Rollover!B28</f>
        <v>Renegade SUV AWD</v>
      </c>
      <c r="D28" s="9">
        <f>Rollover!C28</f>
        <v>2020</v>
      </c>
      <c r="E28" s="21">
        <f>Front!AW28</f>
        <v>4</v>
      </c>
      <c r="F28" s="45">
        <f>Front!AX28</f>
        <v>4</v>
      </c>
      <c r="G28" s="45">
        <f>Front!AY28</f>
        <v>4</v>
      </c>
      <c r="H28" s="21">
        <f>'Side MDB'!AC28</f>
        <v>5</v>
      </c>
      <c r="I28" s="21">
        <f>'Side MDB'!AD28</f>
        <v>3</v>
      </c>
      <c r="J28" s="21">
        <f>'Side MDB'!AE28</f>
        <v>4</v>
      </c>
      <c r="K28" s="129">
        <f>'Side Pole'!P28</f>
        <v>5</v>
      </c>
      <c r="L28" s="129">
        <f>'Side Pole'!S28</f>
        <v>5</v>
      </c>
      <c r="M28" s="129">
        <f>'Side Pole'!V28</f>
        <v>4</v>
      </c>
      <c r="N28" s="130">
        <f>Rollover!J28</f>
        <v>3</v>
      </c>
      <c r="O28" s="131">
        <f>ROUND(5/12*Front!AV28+4/12*'Side Pole'!U28+3/12*Rollover!I28,2)</f>
        <v>0.96</v>
      </c>
      <c r="P28" s="132">
        <f t="shared" si="2"/>
        <v>4</v>
      </c>
    </row>
    <row r="29" spans="1:16" ht="14.65" customHeight="1">
      <c r="A29" s="44">
        <v>43868</v>
      </c>
      <c r="B29" s="45" t="str">
        <f>Rollover!A29</f>
        <v>Jeep</v>
      </c>
      <c r="C29" s="45" t="str">
        <f>Rollover!B29</f>
        <v>Renegade SUV FWD</v>
      </c>
      <c r="D29" s="9">
        <f>Rollover!C29</f>
        <v>2020</v>
      </c>
      <c r="E29" s="21">
        <f>Front!AW29</f>
        <v>4</v>
      </c>
      <c r="F29" s="45">
        <f>Front!AX29</f>
        <v>4</v>
      </c>
      <c r="G29" s="45">
        <f>Front!AY29</f>
        <v>4</v>
      </c>
      <c r="H29" s="21">
        <f>'Side MDB'!AC29</f>
        <v>5</v>
      </c>
      <c r="I29" s="21">
        <f>'Side MDB'!AD29</f>
        <v>3</v>
      </c>
      <c r="J29" s="21">
        <f>'Side MDB'!AE29</f>
        <v>4</v>
      </c>
      <c r="K29" s="129">
        <f>'Side Pole'!P29</f>
        <v>5</v>
      </c>
      <c r="L29" s="129">
        <f>'Side Pole'!S29</f>
        <v>5</v>
      </c>
      <c r="M29" s="129">
        <f>'Side Pole'!V29</f>
        <v>4</v>
      </c>
      <c r="N29" s="130">
        <f>Rollover!J29</f>
        <v>4</v>
      </c>
      <c r="O29" s="131">
        <f>ROUND(5/12*Front!AV29+4/12*'Side Pole'!U29+3/12*Rollover!I29,2)</f>
        <v>0.88</v>
      </c>
      <c r="P29" s="132">
        <f t="shared" si="2"/>
        <v>4</v>
      </c>
    </row>
    <row r="30" spans="1:16" ht="14.65" customHeight="1">
      <c r="A30" s="128">
        <v>43472</v>
      </c>
      <c r="B30" s="45" t="str">
        <f>Rollover!A30</f>
        <v>Jeep</v>
      </c>
      <c r="C30" s="45" t="str">
        <f>Rollover!B30</f>
        <v>Wrangler 4WD</v>
      </c>
      <c r="D30" s="9">
        <f>Rollover!C30</f>
        <v>2020</v>
      </c>
      <c r="E30" s="21">
        <f>Front!AW30</f>
        <v>4</v>
      </c>
      <c r="F30" s="45">
        <f>Front!AX30</f>
        <v>4</v>
      </c>
      <c r="G30" s="45">
        <f>Front!AY30</f>
        <v>4</v>
      </c>
      <c r="H30" s="21" t="e">
        <f>'Side MDB'!AC30</f>
        <v>#NUM!</v>
      </c>
      <c r="I30" s="21" t="e">
        <f>'Side MDB'!AD30</f>
        <v>#NUM!</v>
      </c>
      <c r="J30" s="21" t="e">
        <f>'Side MDB'!AE30</f>
        <v>#NUM!</v>
      </c>
      <c r="K30" s="129" t="e">
        <f>'Side Pole'!P30</f>
        <v>#NUM!</v>
      </c>
      <c r="L30" s="129" t="e">
        <f>'Side Pole'!S30</f>
        <v>#NUM!</v>
      </c>
      <c r="M30" s="129" t="e">
        <f>'Side Pole'!V30</f>
        <v>#NUM!</v>
      </c>
      <c r="N30" s="130">
        <f>Rollover!J30</f>
        <v>3</v>
      </c>
      <c r="O30" s="131" t="e">
        <f>ROUND(5/12*Front!AV30+4/12*'Side Pole'!U30+3/12*Rollover!I30,2)</f>
        <v>#NUM!</v>
      </c>
      <c r="P30" s="132" t="e">
        <f t="shared" si="2"/>
        <v>#NUM!</v>
      </c>
    </row>
    <row r="31" spans="1:16" ht="14.65" customHeight="1">
      <c r="A31" s="44">
        <v>43921</v>
      </c>
      <c r="B31" s="45" t="str">
        <f>Rollover!A31</f>
        <v>Kia</v>
      </c>
      <c r="C31" s="45" t="str">
        <f>Rollover!B31</f>
        <v>Soul SUV FWD</v>
      </c>
      <c r="D31" s="9">
        <f>Rollover!C31</f>
        <v>2020</v>
      </c>
      <c r="E31" s="21">
        <f>Front!AW31</f>
        <v>5</v>
      </c>
      <c r="F31" s="45">
        <f>Front!AX31</f>
        <v>4</v>
      </c>
      <c r="G31" s="45">
        <f>Front!AY31</f>
        <v>4</v>
      </c>
      <c r="H31" s="21">
        <f>'Side MDB'!AC31</f>
        <v>5</v>
      </c>
      <c r="I31" s="21">
        <f>'Side MDB'!AD31</f>
        <v>5</v>
      </c>
      <c r="J31" s="21">
        <f>'Side MDB'!AE31</f>
        <v>5</v>
      </c>
      <c r="K31" s="129">
        <f>'Side Pole'!P31</f>
        <v>3</v>
      </c>
      <c r="L31" s="129">
        <f>'Side Pole'!S31</f>
        <v>5</v>
      </c>
      <c r="M31" s="129">
        <f>'Side Pole'!V31</f>
        <v>5</v>
      </c>
      <c r="N31" s="130">
        <f>Rollover!J31</f>
        <v>4</v>
      </c>
      <c r="O31" s="131">
        <f>ROUND(5/12*Front!AV31+4/12*'Side Pole'!U31+3/12*Rollover!I31,2)</f>
        <v>0.7</v>
      </c>
      <c r="P31" s="132">
        <f t="shared" si="2"/>
        <v>4</v>
      </c>
    </row>
    <row r="32" spans="1:16" ht="14.65" customHeight="1">
      <c r="A32" s="44">
        <v>43817</v>
      </c>
      <c r="B32" s="45" t="str">
        <f>Rollover!A32</f>
        <v>Kia</v>
      </c>
      <c r="C32" s="45" t="str">
        <f>Rollover!B32</f>
        <v>Telluride SUV AWD</v>
      </c>
      <c r="D32" s="9">
        <f>Rollover!C32</f>
        <v>2020</v>
      </c>
      <c r="E32" s="21">
        <f>Front!AW32</f>
        <v>4</v>
      </c>
      <c r="F32" s="45">
        <f>Front!AX32</f>
        <v>4</v>
      </c>
      <c r="G32" s="45">
        <f>Front!AY32</f>
        <v>4</v>
      </c>
      <c r="H32" s="21">
        <f>'Side MDB'!AC32</f>
        <v>5</v>
      </c>
      <c r="I32" s="21">
        <f>'Side MDB'!AD32</f>
        <v>5</v>
      </c>
      <c r="J32" s="21">
        <f>'Side MDB'!AE32</f>
        <v>5</v>
      </c>
      <c r="K32" s="129">
        <f>'Side Pole'!P32</f>
        <v>5</v>
      </c>
      <c r="L32" s="129">
        <f>'Side Pole'!S32</f>
        <v>5</v>
      </c>
      <c r="M32" s="129">
        <f>'Side Pole'!V32</f>
        <v>5</v>
      </c>
      <c r="N32" s="130">
        <f>Rollover!J32</f>
        <v>4</v>
      </c>
      <c r="O32" s="131">
        <f>ROUND(5/12*Front!AV32+4/12*'Side Pole'!U32+3/12*Rollover!I32,2)</f>
        <v>0.6</v>
      </c>
      <c r="P32" s="132">
        <f t="shared" si="2"/>
        <v>5</v>
      </c>
    </row>
    <row r="33" spans="1:16" ht="14.65" customHeight="1">
      <c r="A33" s="44">
        <v>43817</v>
      </c>
      <c r="B33" s="45" t="str">
        <f>Rollover!A33</f>
        <v>Kia</v>
      </c>
      <c r="C33" s="45" t="str">
        <f>Rollover!B33</f>
        <v>Telluride SUV FWD</v>
      </c>
      <c r="D33" s="9">
        <f>Rollover!C33</f>
        <v>2020</v>
      </c>
      <c r="E33" s="21">
        <f>Front!AW33</f>
        <v>4</v>
      </c>
      <c r="F33" s="45">
        <f>Front!AX33</f>
        <v>4</v>
      </c>
      <c r="G33" s="45">
        <f>Front!AY33</f>
        <v>4</v>
      </c>
      <c r="H33" s="21">
        <f>'Side MDB'!AC33</f>
        <v>5</v>
      </c>
      <c r="I33" s="21">
        <f>'Side MDB'!AD33</f>
        <v>5</v>
      </c>
      <c r="J33" s="21">
        <f>'Side MDB'!AE33</f>
        <v>5</v>
      </c>
      <c r="K33" s="129">
        <f>'Side Pole'!P33</f>
        <v>5</v>
      </c>
      <c r="L33" s="129">
        <f>'Side Pole'!S33</f>
        <v>5</v>
      </c>
      <c r="M33" s="129">
        <f>'Side Pole'!V33</f>
        <v>5</v>
      </c>
      <c r="N33" s="130">
        <f>Rollover!J33</f>
        <v>4</v>
      </c>
      <c r="O33" s="131">
        <f>ROUND(5/12*Front!AV33+4/12*'Side Pole'!U33+3/12*Rollover!I33,2)</f>
        <v>0.62</v>
      </c>
      <c r="P33" s="132">
        <f t="shared" si="1"/>
        <v>5</v>
      </c>
    </row>
    <row r="34" spans="1:16" ht="14.65" customHeight="1">
      <c r="A34" s="44">
        <v>43922</v>
      </c>
      <c r="B34" s="45" t="str">
        <f>Rollover!A34</f>
        <v>Mazda</v>
      </c>
      <c r="C34" s="45" t="str">
        <f>Rollover!B34</f>
        <v>CX-30 SUV AWD</v>
      </c>
      <c r="D34" s="9">
        <f>Rollover!C34</f>
        <v>2020</v>
      </c>
      <c r="E34" s="21">
        <f>Front!AW34</f>
        <v>5</v>
      </c>
      <c r="F34" s="45">
        <f>Front!AX34</f>
        <v>5</v>
      </c>
      <c r="G34" s="45">
        <f>Front!AY34</f>
        <v>5</v>
      </c>
      <c r="H34" s="21">
        <f>'Side MDB'!AC34</f>
        <v>5</v>
      </c>
      <c r="I34" s="21">
        <f>'Side MDB'!AD34</f>
        <v>5</v>
      </c>
      <c r="J34" s="21">
        <f>'Side MDB'!AE34</f>
        <v>5</v>
      </c>
      <c r="K34" s="129">
        <f>'Side Pole'!P34</f>
        <v>5</v>
      </c>
      <c r="L34" s="129">
        <f>'Side Pole'!S34</f>
        <v>5</v>
      </c>
      <c r="M34" s="129">
        <f>'Side Pole'!V34</f>
        <v>5</v>
      </c>
      <c r="N34" s="130">
        <f>Rollover!J34</f>
        <v>4</v>
      </c>
      <c r="O34" s="131">
        <f>ROUND(5/12*Front!AV34+4/12*'Side Pole'!U34+3/12*Rollover!I34,2)</f>
        <v>0.56000000000000005</v>
      </c>
      <c r="P34" s="132">
        <f t="shared" si="1"/>
        <v>5</v>
      </c>
    </row>
    <row r="35" spans="1:16" ht="14.65" customHeight="1">
      <c r="A35" s="44">
        <v>43922</v>
      </c>
      <c r="B35" s="45" t="str">
        <f>Rollover!A35</f>
        <v>Mazda</v>
      </c>
      <c r="C35" s="45" t="str">
        <f>Rollover!B35</f>
        <v>CX-30 SUV FWD</v>
      </c>
      <c r="D35" s="9">
        <f>Rollover!C35</f>
        <v>2020</v>
      </c>
      <c r="E35" s="21">
        <f>Front!AW35</f>
        <v>5</v>
      </c>
      <c r="F35" s="45">
        <f>Front!AX35</f>
        <v>5</v>
      </c>
      <c r="G35" s="45">
        <f>Front!AY35</f>
        <v>5</v>
      </c>
      <c r="H35" s="21">
        <f>'Side MDB'!AC35</f>
        <v>5</v>
      </c>
      <c r="I35" s="21">
        <f>'Side MDB'!AD35</f>
        <v>5</v>
      </c>
      <c r="J35" s="21">
        <f>'Side MDB'!AE35</f>
        <v>5</v>
      </c>
      <c r="K35" s="129">
        <f>'Side Pole'!P35</f>
        <v>5</v>
      </c>
      <c r="L35" s="129">
        <f>'Side Pole'!S35</f>
        <v>5</v>
      </c>
      <c r="M35" s="129">
        <f>'Side Pole'!V35</f>
        <v>5</v>
      </c>
      <c r="N35" s="130">
        <f>Rollover!J35</f>
        <v>4</v>
      </c>
      <c r="O35" s="131">
        <f>ROUND(5/12*Front!AV35+4/12*'Side Pole'!U35+3/12*Rollover!I35,2)</f>
        <v>0.56999999999999995</v>
      </c>
      <c r="P35" s="132">
        <f t="shared" si="1"/>
        <v>5</v>
      </c>
    </row>
    <row r="36" spans="1:16" ht="14.65" customHeight="1">
      <c r="A36" s="44">
        <v>43887</v>
      </c>
      <c r="B36" s="45" t="str">
        <f>Rollover!A36</f>
        <v>Mazda</v>
      </c>
      <c r="C36" s="45" t="str">
        <f>Rollover!B36</f>
        <v>Mazda3 4DR AWD</v>
      </c>
      <c r="D36" s="9">
        <f>Rollover!C36</f>
        <v>2020</v>
      </c>
      <c r="E36" s="21">
        <f>Front!AW36</f>
        <v>5</v>
      </c>
      <c r="F36" s="45">
        <f>Front!AX36</f>
        <v>5</v>
      </c>
      <c r="G36" s="45">
        <f>Front!AY36</f>
        <v>5</v>
      </c>
      <c r="H36" s="21">
        <f>'Side MDB'!AC36</f>
        <v>5</v>
      </c>
      <c r="I36" s="21">
        <f>'Side MDB'!AD36</f>
        <v>5</v>
      </c>
      <c r="J36" s="21">
        <f>'Side MDB'!AE36</f>
        <v>5</v>
      </c>
      <c r="K36" s="129">
        <f>'Side Pole'!P36</f>
        <v>5</v>
      </c>
      <c r="L36" s="129">
        <f>'Side Pole'!S36</f>
        <v>5</v>
      </c>
      <c r="M36" s="129">
        <f>'Side Pole'!V36</f>
        <v>5</v>
      </c>
      <c r="N36" s="130">
        <f>Rollover!J36</f>
        <v>5</v>
      </c>
      <c r="O36" s="131">
        <f>ROUND(5/12*Front!AV36+4/12*'Side Pole'!U36+3/12*Rollover!I36,2)</f>
        <v>0.47</v>
      </c>
      <c r="P36" s="132">
        <f t="shared" si="1"/>
        <v>5</v>
      </c>
    </row>
    <row r="37" spans="1:16" ht="14.65" customHeight="1">
      <c r="A37" s="44">
        <v>43887</v>
      </c>
      <c r="B37" s="45" t="str">
        <f>Rollover!A37</f>
        <v>Mazda</v>
      </c>
      <c r="C37" s="45" t="str">
        <f>Rollover!B37</f>
        <v>Mazda3 4DR FWD</v>
      </c>
      <c r="D37" s="9">
        <f>Rollover!C37</f>
        <v>2020</v>
      </c>
      <c r="E37" s="21">
        <f>Front!AW37</f>
        <v>5</v>
      </c>
      <c r="F37" s="45">
        <f>Front!AX37</f>
        <v>5</v>
      </c>
      <c r="G37" s="45">
        <f>Front!AY37</f>
        <v>5</v>
      </c>
      <c r="H37" s="21">
        <f>'Side MDB'!AC37</f>
        <v>5</v>
      </c>
      <c r="I37" s="21">
        <f>'Side MDB'!AD37</f>
        <v>5</v>
      </c>
      <c r="J37" s="21">
        <f>'Side MDB'!AE37</f>
        <v>5</v>
      </c>
      <c r="K37" s="129">
        <f>'Side Pole'!P37</f>
        <v>5</v>
      </c>
      <c r="L37" s="129">
        <f>'Side Pole'!S37</f>
        <v>5</v>
      </c>
      <c r="M37" s="129">
        <f>'Side Pole'!V37</f>
        <v>5</v>
      </c>
      <c r="N37" s="130">
        <f>Rollover!J37</f>
        <v>5</v>
      </c>
      <c r="O37" s="131">
        <f>ROUND(5/12*Front!AV37+4/12*'Side Pole'!U37+3/12*Rollover!I37,2)</f>
        <v>0.47</v>
      </c>
      <c r="P37" s="132">
        <f t="shared" si="1"/>
        <v>5</v>
      </c>
    </row>
    <row r="38" spans="1:16" ht="14.65" customHeight="1">
      <c r="A38" s="44">
        <v>43887</v>
      </c>
      <c r="B38" s="9" t="str">
        <f>Rollover!A38</f>
        <v>Mazda</v>
      </c>
      <c r="C38" s="9" t="str">
        <f>Rollover!B38</f>
        <v>Mazda3 5HB AWD</v>
      </c>
      <c r="D38" s="9">
        <f>Rollover!C38</f>
        <v>2020</v>
      </c>
      <c r="E38" s="21">
        <f>Front!AW38</f>
        <v>5</v>
      </c>
      <c r="F38" s="45">
        <f>Front!AX38</f>
        <v>5</v>
      </c>
      <c r="G38" s="45">
        <f>Front!AY38</f>
        <v>5</v>
      </c>
      <c r="H38" s="21">
        <f>'Side MDB'!AC38</f>
        <v>5</v>
      </c>
      <c r="I38" s="21">
        <f>'Side MDB'!AD38</f>
        <v>5</v>
      </c>
      <c r="J38" s="21">
        <f>'Side MDB'!AE38</f>
        <v>5</v>
      </c>
      <c r="K38" s="129">
        <f>'Side Pole'!P38</f>
        <v>5</v>
      </c>
      <c r="L38" s="129">
        <f>'Side Pole'!S38</f>
        <v>5</v>
      </c>
      <c r="M38" s="129">
        <f>'Side Pole'!V38</f>
        <v>5</v>
      </c>
      <c r="N38" s="130">
        <f>Rollover!J38</f>
        <v>5</v>
      </c>
      <c r="O38" s="131">
        <f>ROUND(5/12*Front!AV38+4/12*'Side Pole'!U38+3/12*Rollover!I38,2)</f>
        <v>0.47</v>
      </c>
      <c r="P38" s="132">
        <f t="shared" si="1"/>
        <v>5</v>
      </c>
    </row>
    <row r="39" spans="1:16" ht="14.65" customHeight="1">
      <c r="A39" s="44">
        <v>43887</v>
      </c>
      <c r="B39" s="9" t="str">
        <f>Rollover!A39</f>
        <v>Mazda</v>
      </c>
      <c r="C39" s="9" t="str">
        <f>Rollover!B39</f>
        <v>Mazda3 5HB FWD</v>
      </c>
      <c r="D39" s="9">
        <f>Rollover!C39</f>
        <v>2020</v>
      </c>
      <c r="E39" s="21">
        <f>Front!AW39</f>
        <v>5</v>
      </c>
      <c r="F39" s="45">
        <f>Front!AX39</f>
        <v>5</v>
      </c>
      <c r="G39" s="45">
        <f>Front!AY39</f>
        <v>5</v>
      </c>
      <c r="H39" s="21">
        <f>'Side MDB'!AC39</f>
        <v>5</v>
      </c>
      <c r="I39" s="21">
        <f>'Side MDB'!AD39</f>
        <v>5</v>
      </c>
      <c r="J39" s="21">
        <f>'Side MDB'!AE39</f>
        <v>5</v>
      </c>
      <c r="K39" s="129">
        <f>'Side Pole'!P39</f>
        <v>5</v>
      </c>
      <c r="L39" s="129">
        <f>'Side Pole'!S39</f>
        <v>5</v>
      </c>
      <c r="M39" s="129">
        <f>'Side Pole'!V39</f>
        <v>5</v>
      </c>
      <c r="N39" s="130">
        <f>Rollover!J39</f>
        <v>5</v>
      </c>
      <c r="O39" s="131">
        <f>ROUND(5/12*Front!AV39+4/12*'Side Pole'!U39+3/12*Rollover!I39,2)</f>
        <v>0.47</v>
      </c>
      <c r="P39" s="132">
        <f t="shared" si="1"/>
        <v>5</v>
      </c>
    </row>
    <row r="40" spans="1:16" ht="14.65" customHeight="1">
      <c r="A40" s="44">
        <v>43817</v>
      </c>
      <c r="B40" s="45" t="str">
        <f>Rollover!A40</f>
        <v>Mitsubishi</v>
      </c>
      <c r="C40" s="45" t="str">
        <f>Rollover!B40</f>
        <v>Eclipse Cross SUV AWD</v>
      </c>
      <c r="D40" s="9">
        <f>Rollover!C40</f>
        <v>2020</v>
      </c>
      <c r="E40" s="21">
        <f>Front!AW40</f>
        <v>4</v>
      </c>
      <c r="F40" s="45">
        <f>Front!AX40</f>
        <v>5</v>
      </c>
      <c r="G40" s="45">
        <f>Front!AY40</f>
        <v>5</v>
      </c>
      <c r="H40" s="21">
        <f>'Side MDB'!AC40</f>
        <v>5</v>
      </c>
      <c r="I40" s="21">
        <f>'Side MDB'!AD40</f>
        <v>5</v>
      </c>
      <c r="J40" s="21">
        <f>'Side MDB'!AE40</f>
        <v>5</v>
      </c>
      <c r="K40" s="129">
        <f>'Side Pole'!P40</f>
        <v>5</v>
      </c>
      <c r="L40" s="129">
        <f>'Side Pole'!S40</f>
        <v>5</v>
      </c>
      <c r="M40" s="129">
        <f>'Side Pole'!V40</f>
        <v>5</v>
      </c>
      <c r="N40" s="130">
        <f>Rollover!J40</f>
        <v>4</v>
      </c>
      <c r="O40" s="131">
        <f>ROUND(5/12*Front!AV40+4/12*'Side Pole'!U40+3/12*Rollover!I40,2)</f>
        <v>0.62</v>
      </c>
      <c r="P40" s="132">
        <f t="shared" si="1"/>
        <v>5</v>
      </c>
    </row>
    <row r="41" spans="1:16" ht="14.65" customHeight="1">
      <c r="A41" s="44">
        <v>43817</v>
      </c>
      <c r="B41" s="45" t="str">
        <f>Rollover!A41</f>
        <v>Mitsubishi</v>
      </c>
      <c r="C41" s="45" t="str">
        <f>Rollover!B41</f>
        <v>Eclipse Cross SUV FWD</v>
      </c>
      <c r="D41" s="9">
        <f>Rollover!C41</f>
        <v>2020</v>
      </c>
      <c r="E41" s="21">
        <f>Front!AW41</f>
        <v>4</v>
      </c>
      <c r="F41" s="45">
        <f>Front!AX41</f>
        <v>5</v>
      </c>
      <c r="G41" s="45">
        <f>Front!AY41</f>
        <v>5</v>
      </c>
      <c r="H41" s="21">
        <f>'Side MDB'!AC41</f>
        <v>5</v>
      </c>
      <c r="I41" s="21">
        <f>'Side MDB'!AD41</f>
        <v>5</v>
      </c>
      <c r="J41" s="21">
        <f>'Side MDB'!AE41</f>
        <v>5</v>
      </c>
      <c r="K41" s="129">
        <f>'Side Pole'!P41</f>
        <v>5</v>
      </c>
      <c r="L41" s="129">
        <f>'Side Pole'!S41</f>
        <v>5</v>
      </c>
      <c r="M41" s="129">
        <f>'Side Pole'!V41</f>
        <v>5</v>
      </c>
      <c r="N41" s="130">
        <f>Rollover!J41</f>
        <v>4</v>
      </c>
      <c r="O41" s="131">
        <f>ROUND(5/12*Front!AV41+4/12*'Side Pole'!U41+3/12*Rollover!I41,2)</f>
        <v>0.62</v>
      </c>
      <c r="P41" s="132">
        <f t="shared" si="1"/>
        <v>5</v>
      </c>
    </row>
    <row r="42" spans="1:16" ht="14.65" customHeight="1">
      <c r="A42" s="44">
        <v>43875</v>
      </c>
      <c r="B42" s="45" t="str">
        <f>Rollover!A42</f>
        <v>Nissan</v>
      </c>
      <c r="C42" s="45" t="str">
        <f>Rollover!B42</f>
        <v>Maxima 4DR FWD</v>
      </c>
      <c r="D42" s="9">
        <f>Rollover!C42</f>
        <v>2020</v>
      </c>
      <c r="E42" s="21">
        <f>Front!AW42</f>
        <v>5</v>
      </c>
      <c r="F42" s="45">
        <f>Front!AX42</f>
        <v>5</v>
      </c>
      <c r="G42" s="45">
        <f>Front!AY42</f>
        <v>5</v>
      </c>
      <c r="H42" s="21">
        <f>'Side MDB'!AC42</f>
        <v>5</v>
      </c>
      <c r="I42" s="21">
        <f>'Side MDB'!AD42</f>
        <v>5</v>
      </c>
      <c r="J42" s="21">
        <f>'Side MDB'!AE42</f>
        <v>5</v>
      </c>
      <c r="K42" s="129">
        <f>'Side Pole'!P42</f>
        <v>4</v>
      </c>
      <c r="L42" s="129">
        <f>'Side Pole'!S42</f>
        <v>4</v>
      </c>
      <c r="M42" s="129">
        <f>'Side Pole'!V42</f>
        <v>5</v>
      </c>
      <c r="N42" s="130">
        <f>Rollover!J42</f>
        <v>5</v>
      </c>
      <c r="O42" s="131">
        <f>ROUND(5/12*Front!AV42+4/12*'Side Pole'!U42+3/12*Rollover!I42,2)</f>
        <v>0.54</v>
      </c>
      <c r="P42" s="132">
        <f t="shared" si="1"/>
        <v>5</v>
      </c>
    </row>
    <row r="43" spans="1:16" ht="14.65" customHeight="1">
      <c r="A43" s="44">
        <v>43867</v>
      </c>
      <c r="B43" s="45" t="str">
        <f>Rollover!A43</f>
        <v>Nissan</v>
      </c>
      <c r="C43" s="45" t="str">
        <f>Rollover!B43</f>
        <v>Versa 4DR FWD</v>
      </c>
      <c r="D43" s="9">
        <f>Rollover!C43</f>
        <v>2020</v>
      </c>
      <c r="E43" s="21">
        <f>Front!AW43</f>
        <v>5</v>
      </c>
      <c r="F43" s="45">
        <f>Front!AX43</f>
        <v>4</v>
      </c>
      <c r="G43" s="45">
        <f>Front!AY43</f>
        <v>5</v>
      </c>
      <c r="H43" s="21">
        <f>'Side MDB'!AC43</f>
        <v>5</v>
      </c>
      <c r="I43" s="21">
        <f>'Side MDB'!AD43</f>
        <v>5</v>
      </c>
      <c r="J43" s="21">
        <f>'Side MDB'!AE43</f>
        <v>5</v>
      </c>
      <c r="K43" s="129">
        <f>'Side Pole'!P43</f>
        <v>5</v>
      </c>
      <c r="L43" s="129">
        <f>'Side Pole'!S43</f>
        <v>5</v>
      </c>
      <c r="M43" s="129">
        <f>'Side Pole'!V43</f>
        <v>5</v>
      </c>
      <c r="N43" s="130">
        <f>Rollover!J43</f>
        <v>4</v>
      </c>
      <c r="O43" s="131">
        <f>ROUND(5/12*Front!AV43+4/12*'Side Pole'!U43+3/12*Rollover!I43,2)</f>
        <v>0.56000000000000005</v>
      </c>
      <c r="P43" s="132">
        <f t="shared" si="1"/>
        <v>5</v>
      </c>
    </row>
    <row r="44" spans="1:16" ht="14.65" customHeight="1">
      <c r="A44" s="44">
        <v>43865</v>
      </c>
      <c r="B44" s="45" t="str">
        <f>Rollover!A44</f>
        <v>Subaru</v>
      </c>
      <c r="C44" s="45" t="str">
        <f>Rollover!B44</f>
        <v>Legacy 4DR AWD</v>
      </c>
      <c r="D44" s="9">
        <f>Rollover!C44</f>
        <v>2020</v>
      </c>
      <c r="E44" s="21">
        <f>Front!AW44</f>
        <v>5</v>
      </c>
      <c r="F44" s="45">
        <f>Front!AX44</f>
        <v>5</v>
      </c>
      <c r="G44" s="45">
        <f>Front!AY44</f>
        <v>5</v>
      </c>
      <c r="H44" s="21">
        <f>'Side MDB'!AC44</f>
        <v>5</v>
      </c>
      <c r="I44" s="21">
        <f>'Side MDB'!AD44</f>
        <v>5</v>
      </c>
      <c r="J44" s="21">
        <f>'Side MDB'!AE44</f>
        <v>5</v>
      </c>
      <c r="K44" s="129">
        <f>'Side Pole'!P44</f>
        <v>5</v>
      </c>
      <c r="L44" s="129">
        <f>'Side Pole'!S44</f>
        <v>5</v>
      </c>
      <c r="M44" s="129">
        <f>'Side Pole'!V44</f>
        <v>5</v>
      </c>
      <c r="N44" s="130">
        <f>Rollover!J44</f>
        <v>5</v>
      </c>
      <c r="O44" s="131">
        <f>ROUND(5/12*Front!AV44+4/12*'Side Pole'!U44+3/12*Rollover!I44,2)</f>
        <v>0.47</v>
      </c>
      <c r="P44" s="132">
        <f t="shared" si="1"/>
        <v>5</v>
      </c>
    </row>
    <row r="45" spans="1:16" ht="14.65" customHeight="1">
      <c r="A45" s="44">
        <v>43865</v>
      </c>
      <c r="B45" s="45" t="str">
        <f>Rollover!A45</f>
        <v>Subaru</v>
      </c>
      <c r="C45" s="45" t="str">
        <f>Rollover!B45</f>
        <v>Outback SW AWD</v>
      </c>
      <c r="D45" s="9">
        <f>Rollover!C45</f>
        <v>2020</v>
      </c>
      <c r="E45" s="21">
        <f>Front!AW45</f>
        <v>5</v>
      </c>
      <c r="F45" s="45">
        <f>Front!AX45</f>
        <v>5</v>
      </c>
      <c r="G45" s="45">
        <f>Front!AY45</f>
        <v>5</v>
      </c>
      <c r="H45" s="21">
        <f>'Side MDB'!AC45</f>
        <v>5</v>
      </c>
      <c r="I45" s="21">
        <f>'Side MDB'!AD45</f>
        <v>5</v>
      </c>
      <c r="J45" s="21">
        <f>'Side MDB'!AE45</f>
        <v>5</v>
      </c>
      <c r="K45" s="129">
        <f>'Side Pole'!P45</f>
        <v>5</v>
      </c>
      <c r="L45" s="129">
        <f>'Side Pole'!S45</f>
        <v>5</v>
      </c>
      <c r="M45" s="129">
        <f>'Side Pole'!V45</f>
        <v>5</v>
      </c>
      <c r="N45" s="130">
        <f>Rollover!J45</f>
        <v>4</v>
      </c>
      <c r="O45" s="131">
        <f>ROUND(5/12*Front!AV45+4/12*'Side Pole'!U45+3/12*Rollover!I45,2)</f>
        <v>0.59</v>
      </c>
      <c r="P45" s="132">
        <f t="shared" si="1"/>
        <v>5</v>
      </c>
    </row>
    <row r="46" spans="1:16" ht="14.65" customHeight="1">
      <c r="A46" s="44">
        <v>43852</v>
      </c>
      <c r="B46" s="45" t="str">
        <f>Rollover!A46</f>
        <v>Subaru</v>
      </c>
      <c r="C46" s="45" t="str">
        <f>Rollover!B46</f>
        <v>WRX 4DR AWD</v>
      </c>
      <c r="D46" s="9">
        <f>Rollover!C46</f>
        <v>2020</v>
      </c>
      <c r="E46" s="21">
        <f>Front!AW46</f>
        <v>4</v>
      </c>
      <c r="F46" s="45">
        <f>Front!AX46</f>
        <v>5</v>
      </c>
      <c r="G46" s="45">
        <f>Front!AY46</f>
        <v>5</v>
      </c>
      <c r="H46" s="21">
        <f>'Side MDB'!AC46</f>
        <v>5</v>
      </c>
      <c r="I46" s="21">
        <f>'Side MDB'!AD46</f>
        <v>5</v>
      </c>
      <c r="J46" s="21">
        <f>'Side MDB'!AE46</f>
        <v>5</v>
      </c>
      <c r="K46" s="129">
        <f>'Side Pole'!P46</f>
        <v>5</v>
      </c>
      <c r="L46" s="129">
        <f>'Side Pole'!S46</f>
        <v>5</v>
      </c>
      <c r="M46" s="129">
        <f>'Side Pole'!V46</f>
        <v>5</v>
      </c>
      <c r="N46" s="130">
        <f>Rollover!J46</f>
        <v>5</v>
      </c>
      <c r="O46" s="131">
        <f>ROUND(5/12*Front!AV46+4/12*'Side Pole'!U46+3/12*Rollover!I46,2)</f>
        <v>0.54</v>
      </c>
      <c r="P46" s="132">
        <f t="shared" si="1"/>
        <v>5</v>
      </c>
    </row>
    <row r="47" spans="1:16" ht="14.65" customHeight="1">
      <c r="A47" s="44">
        <v>43719</v>
      </c>
      <c r="B47" s="45" t="str">
        <f>Rollover!A47</f>
        <v>Toyota</v>
      </c>
      <c r="C47" s="45" t="str">
        <f>Rollover!B47</f>
        <v>Corolla 4DR FWD</v>
      </c>
      <c r="D47" s="9">
        <f>Rollover!C47</f>
        <v>2020</v>
      </c>
      <c r="E47" s="21">
        <f>Front!AW47</f>
        <v>5</v>
      </c>
      <c r="F47" s="45">
        <f>Front!AX47</f>
        <v>5</v>
      </c>
      <c r="G47" s="45">
        <f>Front!AY47</f>
        <v>5</v>
      </c>
      <c r="H47" s="21">
        <f>'Side MDB'!AC47</f>
        <v>5</v>
      </c>
      <c r="I47" s="21">
        <f>'Side MDB'!AD47</f>
        <v>5</v>
      </c>
      <c r="J47" s="21">
        <f>'Side MDB'!AE47</f>
        <v>5</v>
      </c>
      <c r="K47" s="129">
        <f>'Side Pole'!P47</f>
        <v>5</v>
      </c>
      <c r="L47" s="129">
        <f>'Side Pole'!S47</f>
        <v>5</v>
      </c>
      <c r="M47" s="129">
        <f>'Side Pole'!V47</f>
        <v>5</v>
      </c>
      <c r="N47" s="130">
        <f>Rollover!J47</f>
        <v>4</v>
      </c>
      <c r="O47" s="131">
        <f>ROUND(5/12*Front!AV47+4/12*'Side Pole'!U47+3/12*Rollover!I47,2)</f>
        <v>0.5</v>
      </c>
      <c r="P47" s="132">
        <f t="shared" si="1"/>
        <v>5</v>
      </c>
    </row>
    <row r="48" spans="1:16" ht="14.65" customHeight="1">
      <c r="A48" s="44">
        <v>43719</v>
      </c>
      <c r="B48" s="45" t="str">
        <f>Rollover!A48</f>
        <v>Toyota</v>
      </c>
      <c r="C48" s="45" t="str">
        <f>Rollover!B48</f>
        <v>Corolla Hybrid 4DR FWD</v>
      </c>
      <c r="D48" s="9">
        <f>Rollover!C48</f>
        <v>2020</v>
      </c>
      <c r="E48" s="21">
        <f>Front!AW48</f>
        <v>5</v>
      </c>
      <c r="F48" s="45">
        <f>Front!AX48</f>
        <v>5</v>
      </c>
      <c r="G48" s="45">
        <f>Front!AY48</f>
        <v>5</v>
      </c>
      <c r="H48" s="21">
        <f>'Side MDB'!AC48</f>
        <v>5</v>
      </c>
      <c r="I48" s="21">
        <f>'Side MDB'!AD48</f>
        <v>5</v>
      </c>
      <c r="J48" s="21">
        <f>'Side MDB'!AE48</f>
        <v>5</v>
      </c>
      <c r="K48" s="129">
        <f>'Side Pole'!P48</f>
        <v>5</v>
      </c>
      <c r="L48" s="129">
        <f>'Side Pole'!S48</f>
        <v>5</v>
      </c>
      <c r="M48" s="129">
        <f>'Side Pole'!V48</f>
        <v>5</v>
      </c>
      <c r="N48" s="130">
        <f>Rollover!J48</f>
        <v>4</v>
      </c>
      <c r="O48" s="131">
        <f>ROUND(5/12*Front!AV48+4/12*'Side Pole'!U48+3/12*Rollover!I48,2)</f>
        <v>0.5</v>
      </c>
      <c r="P48" s="132">
        <f t="shared" si="1"/>
        <v>5</v>
      </c>
    </row>
    <row r="49" spans="1:16" ht="14.65" customHeight="1">
      <c r="A49" s="128">
        <v>43936</v>
      </c>
      <c r="B49" s="45" t="str">
        <f>Rollover!A49</f>
        <v>Volvo</v>
      </c>
      <c r="C49" s="45" t="str">
        <f>Rollover!B49</f>
        <v>S60 T6 4DR AWD</v>
      </c>
      <c r="D49" s="9">
        <f>Rollover!C49</f>
        <v>2020</v>
      </c>
      <c r="E49" s="21">
        <f>Front!AW49</f>
        <v>5</v>
      </c>
      <c r="F49" s="45">
        <f>Front!AX49</f>
        <v>4</v>
      </c>
      <c r="G49" s="45">
        <f>Front!AY49</f>
        <v>4</v>
      </c>
      <c r="H49" s="21">
        <f>'Side MDB'!AC49</f>
        <v>5</v>
      </c>
      <c r="I49" s="21">
        <f>'Side MDB'!AD49</f>
        <v>5</v>
      </c>
      <c r="J49" s="21">
        <f>'Side MDB'!AE49</f>
        <v>5</v>
      </c>
      <c r="K49" s="129">
        <f>'Side Pole'!P49</f>
        <v>5</v>
      </c>
      <c r="L49" s="129">
        <f>'Side Pole'!S49</f>
        <v>5</v>
      </c>
      <c r="M49" s="129">
        <f>'Side Pole'!V49</f>
        <v>5</v>
      </c>
      <c r="N49" s="130">
        <f>Rollover!J49</f>
        <v>5</v>
      </c>
      <c r="O49" s="131">
        <f>ROUND(5/12*Front!AV49+4/12*'Side Pole'!U49+3/12*Rollover!I49,2)</f>
        <v>0.53</v>
      </c>
      <c r="P49" s="132">
        <f t="shared" si="1"/>
        <v>5</v>
      </c>
    </row>
    <row r="50" spans="1:16" ht="14.65" customHeight="1">
      <c r="A50" s="128">
        <v>43936</v>
      </c>
      <c r="B50" s="45" t="str">
        <f>Rollover!A50</f>
        <v>Volvo</v>
      </c>
      <c r="C50" s="45" t="str">
        <f>Rollover!B50</f>
        <v>S60 T5 4DR FWD</v>
      </c>
      <c r="D50" s="9">
        <f>Rollover!C50</f>
        <v>2020</v>
      </c>
      <c r="E50" s="21">
        <f>Front!AW50</f>
        <v>5</v>
      </c>
      <c r="F50" s="45">
        <f>Front!AX50</f>
        <v>4</v>
      </c>
      <c r="G50" s="45">
        <f>Front!AY50</f>
        <v>4</v>
      </c>
      <c r="H50" s="21">
        <f>'Side MDB'!AC50</f>
        <v>5</v>
      </c>
      <c r="I50" s="21">
        <f>'Side MDB'!AD50</f>
        <v>5</v>
      </c>
      <c r="J50" s="21">
        <f>'Side MDB'!AE50</f>
        <v>5</v>
      </c>
      <c r="K50" s="129">
        <f>'Side Pole'!P50</f>
        <v>5</v>
      </c>
      <c r="L50" s="129">
        <f>'Side Pole'!S50</f>
        <v>5</v>
      </c>
      <c r="M50" s="129">
        <f>'Side Pole'!V50</f>
        <v>5</v>
      </c>
      <c r="N50" s="130">
        <f>Rollover!J50</f>
        <v>5</v>
      </c>
      <c r="O50" s="131">
        <f>ROUND(5/12*Front!AV50+4/12*'Side Pole'!U50+3/12*Rollover!I50,2)</f>
        <v>0.53</v>
      </c>
      <c r="P50" s="132">
        <f t="shared" si="1"/>
        <v>5</v>
      </c>
    </row>
    <row r="51" spans="1:16" ht="14.65" customHeight="1">
      <c r="A51" s="128">
        <v>43936</v>
      </c>
      <c r="B51" s="9" t="str">
        <f>Rollover!A51</f>
        <v>Volvo</v>
      </c>
      <c r="C51" s="9" t="str">
        <f>Rollover!B51</f>
        <v>V60 T5 SW FWD</v>
      </c>
      <c r="D51" s="9">
        <f>Rollover!C51</f>
        <v>2020</v>
      </c>
      <c r="E51" s="21">
        <f>Front!AW51</f>
        <v>5</v>
      </c>
      <c r="F51" s="45">
        <f>Front!AX51</f>
        <v>4</v>
      </c>
      <c r="G51" s="45">
        <f>Front!AY51</f>
        <v>4</v>
      </c>
      <c r="H51" s="21">
        <f>'Side MDB'!AC51</f>
        <v>5</v>
      </c>
      <c r="I51" s="21">
        <f>'Side MDB'!AD51</f>
        <v>5</v>
      </c>
      <c r="J51" s="21">
        <f>'Side MDB'!AE51</f>
        <v>5</v>
      </c>
      <c r="K51" s="129">
        <f>'Side Pole'!P51</f>
        <v>5</v>
      </c>
      <c r="L51" s="129">
        <f>'Side Pole'!S51</f>
        <v>5</v>
      </c>
      <c r="M51" s="129">
        <f>'Side Pole'!V51</f>
        <v>5</v>
      </c>
      <c r="N51" s="130">
        <f>Rollover!J51</f>
        <v>5</v>
      </c>
      <c r="O51" s="131">
        <f>ROUND(5/12*Front!AV51+4/12*'Side Pole'!U51+3/12*Rollover!I51,2)</f>
        <v>0.53</v>
      </c>
      <c r="P51" s="132">
        <f t="shared" ref="P51:P52" si="3">IF(O51&lt;0.67,5,IF(O51&lt;1,4,IF(O51&lt;1.33,3,IF(O51&lt;2.67,2,1))))</f>
        <v>5</v>
      </c>
    </row>
    <row r="52" spans="1:16" ht="14.65" customHeight="1">
      <c r="A52" s="128">
        <v>43936</v>
      </c>
      <c r="B52" s="9" t="str">
        <f>Rollover!A52</f>
        <v>Volvo</v>
      </c>
      <c r="C52" s="9" t="str">
        <f>Rollover!B52</f>
        <v>V60 CC T5 SW AWD</v>
      </c>
      <c r="D52" s="9">
        <f>Rollover!C52</f>
        <v>2020</v>
      </c>
      <c r="E52" s="21">
        <f>Front!AW52</f>
        <v>5</v>
      </c>
      <c r="F52" s="45">
        <f>Front!AX52</f>
        <v>4</v>
      </c>
      <c r="G52" s="45">
        <f>Front!AY52</f>
        <v>4</v>
      </c>
      <c r="H52" s="21">
        <f>'Side MDB'!AC52</f>
        <v>5</v>
      </c>
      <c r="I52" s="21">
        <f>'Side MDB'!AD52</f>
        <v>5</v>
      </c>
      <c r="J52" s="21">
        <f>'Side MDB'!AE52</f>
        <v>5</v>
      </c>
      <c r="K52" s="129">
        <f>'Side Pole'!P52</f>
        <v>5</v>
      </c>
      <c r="L52" s="129">
        <f>'Side Pole'!S52</f>
        <v>5</v>
      </c>
      <c r="M52" s="129">
        <f>'Side Pole'!V52</f>
        <v>5</v>
      </c>
      <c r="N52" s="130">
        <f>Rollover!J52</f>
        <v>5</v>
      </c>
      <c r="O52" s="131">
        <f>ROUND(5/12*Front!AV52+4/12*'Side Pole'!U52+3/12*Rollover!I52,2)</f>
        <v>0.53</v>
      </c>
      <c r="P52" s="132">
        <f t="shared" si="3"/>
        <v>5</v>
      </c>
    </row>
    <row r="53" spans="1:16" ht="14.65" customHeight="1">
      <c r="A53" s="128">
        <v>43866</v>
      </c>
      <c r="B53" s="45" t="str">
        <f>Rollover!A53</f>
        <v>Volvo</v>
      </c>
      <c r="C53" s="45" t="str">
        <f>Rollover!B53</f>
        <v>XC40 T5 SUV AWD</v>
      </c>
      <c r="D53" s="9">
        <f>Rollover!C53</f>
        <v>2020</v>
      </c>
      <c r="E53" s="21">
        <f>Front!AW53</f>
        <v>5</v>
      </c>
      <c r="F53" s="45">
        <f>Front!AX53</f>
        <v>5</v>
      </c>
      <c r="G53" s="45">
        <f>Front!AY53</f>
        <v>5</v>
      </c>
      <c r="H53" s="21">
        <f>'Side MDB'!AC53</f>
        <v>5</v>
      </c>
      <c r="I53" s="21">
        <f>'Side MDB'!AD53</f>
        <v>5</v>
      </c>
      <c r="J53" s="21">
        <f>'Side MDB'!AE53</f>
        <v>5</v>
      </c>
      <c r="K53" s="129">
        <f>'Side Pole'!P53</f>
        <v>5</v>
      </c>
      <c r="L53" s="129">
        <f>'Side Pole'!S53</f>
        <v>5</v>
      </c>
      <c r="M53" s="129">
        <f>'Side Pole'!V53</f>
        <v>5</v>
      </c>
      <c r="N53" s="130">
        <f>Rollover!J53</f>
        <v>4</v>
      </c>
      <c r="O53" s="131">
        <f>ROUND(5/12*Front!AV53+4/12*'Side Pole'!U53+3/12*Rollover!I53,2)</f>
        <v>0.63</v>
      </c>
      <c r="P53" s="132">
        <f t="shared" si="1"/>
        <v>5</v>
      </c>
    </row>
    <row r="54" spans="1:16" ht="14.65" customHeight="1">
      <c r="A54" s="128">
        <v>43866</v>
      </c>
      <c r="B54" s="45" t="str">
        <f>Rollover!A54</f>
        <v>Volvo</v>
      </c>
      <c r="C54" s="45" t="str">
        <f>Rollover!B54</f>
        <v>XC40 T4 4DR FWD</v>
      </c>
      <c r="D54" s="9">
        <f>Rollover!C54</f>
        <v>2020</v>
      </c>
      <c r="E54" s="21">
        <f>Front!AW54</f>
        <v>5</v>
      </c>
      <c r="F54" s="45">
        <f>Front!AX54</f>
        <v>5</v>
      </c>
      <c r="G54" s="45">
        <f>Front!AY54</f>
        <v>5</v>
      </c>
      <c r="H54" s="21">
        <f>'Side MDB'!AC54</f>
        <v>5</v>
      </c>
      <c r="I54" s="21">
        <f>'Side MDB'!AD54</f>
        <v>5</v>
      </c>
      <c r="J54" s="21">
        <f>'Side MDB'!AE54</f>
        <v>5</v>
      </c>
      <c r="K54" s="129">
        <f>'Side Pole'!P54</f>
        <v>5</v>
      </c>
      <c r="L54" s="129">
        <f>'Side Pole'!S54</f>
        <v>5</v>
      </c>
      <c r="M54" s="129">
        <f>'Side Pole'!V54</f>
        <v>5</v>
      </c>
      <c r="N54" s="130">
        <f>Rollover!J54</f>
        <v>4</v>
      </c>
      <c r="O54" s="131">
        <f>ROUND(5/12*Front!AV54+4/12*'Side Pole'!U54+3/12*Rollover!I54,2)</f>
        <v>0.61</v>
      </c>
      <c r="P54" s="132">
        <f t="shared" si="1"/>
        <v>5</v>
      </c>
    </row>
    <row r="55" spans="1:16" ht="14.65" customHeight="1">
      <c r="A55" s="128">
        <v>43943</v>
      </c>
      <c r="B55" s="45" t="str">
        <f>Rollover!A55</f>
        <v>Volvo</v>
      </c>
      <c r="C55" s="45" t="str">
        <f>Rollover!B55</f>
        <v>XC60 T5 SUV AWD</v>
      </c>
      <c r="D55" s="9">
        <f>Rollover!C55</f>
        <v>2020</v>
      </c>
      <c r="E55" s="21">
        <f>Front!AW55</f>
        <v>5</v>
      </c>
      <c r="F55" s="45">
        <f>Front!AX55</f>
        <v>5</v>
      </c>
      <c r="G55" s="45">
        <f>Front!AY55</f>
        <v>5</v>
      </c>
      <c r="H55" s="21">
        <f>'Side MDB'!AC55</f>
        <v>5</v>
      </c>
      <c r="I55" s="21">
        <f>'Side MDB'!AD55</f>
        <v>5</v>
      </c>
      <c r="J55" s="21">
        <f>'Side MDB'!AE55</f>
        <v>5</v>
      </c>
      <c r="K55" s="129">
        <f>'Side Pole'!P55</f>
        <v>5</v>
      </c>
      <c r="L55" s="129">
        <f>'Side Pole'!S55</f>
        <v>5</v>
      </c>
      <c r="M55" s="129">
        <f>'Side Pole'!V55</f>
        <v>5</v>
      </c>
      <c r="N55" s="130">
        <f>Rollover!J55</f>
        <v>4</v>
      </c>
      <c r="O55" s="131">
        <f>ROUND(5/12*Front!AV55+4/12*'Side Pole'!U55+3/12*Rollover!I55,2)</f>
        <v>0.57999999999999996</v>
      </c>
      <c r="P55" s="132">
        <f t="shared" si="1"/>
        <v>5</v>
      </c>
    </row>
    <row r="56" spans="1:16" ht="14.65" customHeight="1">
      <c r="A56" s="128">
        <v>43943</v>
      </c>
      <c r="B56" s="45" t="str">
        <f>Rollover!A56</f>
        <v>Volvo</v>
      </c>
      <c r="C56" s="45" t="str">
        <f>Rollover!B56</f>
        <v>XC60 T5 SUV FWD</v>
      </c>
      <c r="D56" s="9">
        <f>Rollover!C56</f>
        <v>2020</v>
      </c>
      <c r="E56" s="21">
        <f>Front!AW56</f>
        <v>5</v>
      </c>
      <c r="F56" s="45">
        <f>Front!AX56</f>
        <v>5</v>
      </c>
      <c r="G56" s="45">
        <f>Front!AY56</f>
        <v>5</v>
      </c>
      <c r="H56" s="21">
        <f>'Side MDB'!AC56</f>
        <v>5</v>
      </c>
      <c r="I56" s="21">
        <f>'Side MDB'!AD56</f>
        <v>5</v>
      </c>
      <c r="J56" s="21">
        <f>'Side MDB'!AE56</f>
        <v>5</v>
      </c>
      <c r="K56" s="129">
        <f>'Side Pole'!P56</f>
        <v>5</v>
      </c>
      <c r="L56" s="129">
        <f>'Side Pole'!S56</f>
        <v>5</v>
      </c>
      <c r="M56" s="129">
        <f>'Side Pole'!V56</f>
        <v>5</v>
      </c>
      <c r="N56" s="130">
        <f>Rollover!J56</f>
        <v>4</v>
      </c>
      <c r="O56" s="131">
        <f>ROUND(5/12*Front!AV56+4/12*'Side Pole'!U56+3/12*Rollover!I56,2)</f>
        <v>0.59</v>
      </c>
      <c r="P56" s="132">
        <f t="shared" ref="P56" si="4">IF(O56&lt;0.67,5,IF(O56&lt;1,4,IF(O56&lt;1.33,3,IF(O56&lt;2.67,2,1))))</f>
        <v>5</v>
      </c>
    </row>
    <row r="57" spans="1:16" ht="14.65" customHeight="1">
      <c r="A57" s="128">
        <v>43943</v>
      </c>
      <c r="B57" s="9" t="str">
        <f>Rollover!A57</f>
        <v>Volvo</v>
      </c>
      <c r="C57" s="9" t="str">
        <f>Rollover!B57</f>
        <v>XC60 T6 SUV AWD</v>
      </c>
      <c r="D57" s="9">
        <f>Rollover!C57</f>
        <v>2020</v>
      </c>
      <c r="E57" s="21">
        <f>Front!AW57</f>
        <v>5</v>
      </c>
      <c r="F57" s="45">
        <f>Front!AX57</f>
        <v>5</v>
      </c>
      <c r="G57" s="45">
        <f>Front!AY57</f>
        <v>5</v>
      </c>
      <c r="H57" s="21">
        <f>'Side MDB'!AC57</f>
        <v>5</v>
      </c>
      <c r="I57" s="21">
        <f>'Side MDB'!AD57</f>
        <v>5</v>
      </c>
      <c r="J57" s="21">
        <f>'Side MDB'!AE57</f>
        <v>5</v>
      </c>
      <c r="K57" s="129">
        <f>'Side Pole'!P57</f>
        <v>5</v>
      </c>
      <c r="L57" s="129">
        <f>'Side Pole'!S57</f>
        <v>5</v>
      </c>
      <c r="M57" s="129">
        <f>'Side Pole'!V57</f>
        <v>5</v>
      </c>
      <c r="N57" s="130">
        <f>Rollover!J57</f>
        <v>4</v>
      </c>
      <c r="O57" s="131">
        <f>ROUND(5/12*Front!AV57+4/12*'Side Pole'!U57+3/12*Rollover!I57,2)</f>
        <v>0.57999999999999996</v>
      </c>
      <c r="P57" s="132">
        <f t="shared" si="1"/>
        <v>5</v>
      </c>
    </row>
    <row r="58" spans="1:16" ht="14.65" customHeight="1">
      <c r="A58" s="128">
        <v>43943</v>
      </c>
      <c r="B58" s="45" t="str">
        <f>Rollover!A58</f>
        <v>Volvo</v>
      </c>
      <c r="C58" s="45" t="str">
        <f>Rollover!B58</f>
        <v>XC90 T5 SUV FWD</v>
      </c>
      <c r="D58" s="9">
        <f>Rollover!C58</f>
        <v>2020</v>
      </c>
      <c r="E58" s="21">
        <f>Front!AW58</f>
        <v>5</v>
      </c>
      <c r="F58" s="45">
        <f>Front!AX58</f>
        <v>5</v>
      </c>
      <c r="G58" s="45">
        <f>Front!AY58</f>
        <v>5</v>
      </c>
      <c r="H58" s="21">
        <f>'Side MDB'!AC58</f>
        <v>5</v>
      </c>
      <c r="I58" s="21">
        <f>'Side MDB'!AD58</f>
        <v>5</v>
      </c>
      <c r="J58" s="21">
        <f>'Side MDB'!AE58</f>
        <v>5</v>
      </c>
      <c r="K58" s="129">
        <f>'Side Pole'!P58</f>
        <v>5</v>
      </c>
      <c r="L58" s="129">
        <f>'Side Pole'!S58</f>
        <v>5</v>
      </c>
      <c r="M58" s="129">
        <f>'Side Pole'!V58</f>
        <v>5</v>
      </c>
      <c r="N58" s="130">
        <f>Rollover!J58</f>
        <v>4</v>
      </c>
      <c r="O58" s="131">
        <f>ROUND(5/12*Front!AV58+4/12*'Side Pole'!U58+3/12*Rollover!I58,2)</f>
        <v>0.62</v>
      </c>
      <c r="P58" s="132">
        <f t="shared" si="1"/>
        <v>5</v>
      </c>
    </row>
    <row r="59" spans="1:16" ht="14.65" customHeight="1">
      <c r="A59" s="128">
        <v>43943</v>
      </c>
      <c r="B59" s="9" t="str">
        <f>Rollover!A59</f>
        <v>Volvo</v>
      </c>
      <c r="C59" s="9" t="str">
        <f>Rollover!B59</f>
        <v>XC90 (T5/T6) SUV AWD</v>
      </c>
      <c r="D59" s="9">
        <f>Rollover!C59</f>
        <v>2020</v>
      </c>
      <c r="E59" s="21">
        <f>Front!AW59</f>
        <v>5</v>
      </c>
      <c r="F59" s="45">
        <f>Front!AX59</f>
        <v>5</v>
      </c>
      <c r="G59" s="45">
        <f>Front!AY59</f>
        <v>5</v>
      </c>
      <c r="H59" s="21">
        <f>'Side MDB'!AC59</f>
        <v>5</v>
      </c>
      <c r="I59" s="21">
        <f>'Side MDB'!AD59</f>
        <v>5</v>
      </c>
      <c r="J59" s="21">
        <f>'Side MDB'!AE59</f>
        <v>5</v>
      </c>
      <c r="K59" s="129">
        <f>'Side Pole'!P59</f>
        <v>5</v>
      </c>
      <c r="L59" s="129">
        <f>'Side Pole'!S59</f>
        <v>5</v>
      </c>
      <c r="M59" s="129">
        <f>'Side Pole'!V59</f>
        <v>5</v>
      </c>
      <c r="N59" s="130">
        <f>Rollover!J59</f>
        <v>4</v>
      </c>
      <c r="O59" s="131">
        <f>ROUND(5/12*Front!AV59+4/12*'Side Pole'!U59+3/12*Rollover!I59,2)</f>
        <v>0.6</v>
      </c>
      <c r="P59" s="132">
        <f t="shared" si="1"/>
        <v>5</v>
      </c>
    </row>
    <row r="60" spans="1:16" ht="14.65" customHeight="1">
      <c r="B60" s="134"/>
      <c r="C60" s="134"/>
      <c r="D60" s="134"/>
      <c r="E60" s="135"/>
      <c r="F60" s="136"/>
    </row>
    <row r="61" spans="1:16" ht="14.65" customHeight="1">
      <c r="E61" s="135"/>
      <c r="F61" s="136"/>
    </row>
    <row r="62" spans="1:16" ht="14.65" customHeight="1">
      <c r="E62" s="135"/>
      <c r="F62" s="136"/>
    </row>
    <row r="63" spans="1:16" ht="14.65" customHeight="1">
      <c r="B63" s="134"/>
      <c r="C63" s="134"/>
      <c r="D63" s="134"/>
      <c r="E63" s="135"/>
      <c r="F63" s="136"/>
    </row>
    <row r="64" spans="1:16" ht="14.65" customHeight="1">
      <c r="B64" s="134"/>
      <c r="C64" s="134"/>
      <c r="D64" s="134"/>
      <c r="E64" s="135"/>
      <c r="F64" s="136"/>
    </row>
    <row r="65" spans="2:10" ht="14.65" customHeight="1">
      <c r="B65" s="134"/>
      <c r="C65" s="134"/>
      <c r="D65" s="134"/>
      <c r="E65" s="135"/>
      <c r="F65" s="136"/>
    </row>
    <row r="66" spans="2:10" ht="14.65" customHeight="1">
      <c r="B66" s="134"/>
      <c r="C66" s="134"/>
      <c r="D66" s="134"/>
      <c r="E66" s="135"/>
      <c r="F66" s="136"/>
      <c r="H66" s="142"/>
      <c r="I66" s="142"/>
      <c r="J66" s="142"/>
    </row>
    <row r="67" spans="2:10" ht="14.65" customHeight="1">
      <c r="B67" s="134"/>
      <c r="C67" s="134"/>
      <c r="D67" s="134"/>
      <c r="F67" s="138"/>
      <c r="G67" s="138"/>
      <c r="H67" s="142"/>
      <c r="I67" s="142"/>
      <c r="J67" s="142"/>
    </row>
    <row r="68" spans="2:10" ht="14.65" customHeight="1">
      <c r="B68" s="134"/>
      <c r="C68" s="134"/>
      <c r="D68" s="134"/>
      <c r="F68" s="138"/>
      <c r="G68" s="138"/>
      <c r="H68" s="142"/>
      <c r="I68" s="142"/>
      <c r="J68" s="142"/>
    </row>
    <row r="69" spans="2:10" ht="14.65" customHeight="1">
      <c r="B69" s="143"/>
      <c r="C69" s="143"/>
      <c r="D69" s="143"/>
      <c r="E69" s="144"/>
      <c r="F69" s="138"/>
      <c r="G69" s="138"/>
      <c r="H69" s="142"/>
      <c r="I69" s="142"/>
      <c r="J69" s="142"/>
    </row>
    <row r="70" spans="2:10" ht="14.65" customHeight="1">
      <c r="B70" s="136"/>
      <c r="C70" s="136"/>
      <c r="D70" s="136"/>
      <c r="F70" s="138"/>
      <c r="G70" s="138"/>
      <c r="H70" s="142"/>
      <c r="I70" s="142"/>
      <c r="J70" s="142"/>
    </row>
    <row r="71" spans="2:10" ht="14.65" customHeight="1">
      <c r="B71" s="134"/>
      <c r="C71" s="134"/>
      <c r="D71" s="134"/>
      <c r="F71" s="138"/>
      <c r="G71" s="138"/>
      <c r="H71" s="142"/>
      <c r="I71" s="142"/>
      <c r="J71" s="142"/>
    </row>
    <row r="72" spans="2:10" ht="14.65" customHeight="1">
      <c r="B72" s="134"/>
      <c r="C72" s="134"/>
      <c r="D72" s="134"/>
      <c r="F72" s="138"/>
      <c r="G72" s="138"/>
      <c r="H72" s="142"/>
      <c r="I72" s="142"/>
      <c r="J72" s="142"/>
    </row>
    <row r="73" spans="2:10" ht="14.65" customHeight="1">
      <c r="B73" s="134"/>
      <c r="C73" s="134"/>
      <c r="D73" s="134"/>
      <c r="F73" s="138"/>
      <c r="G73" s="138"/>
      <c r="H73" s="142"/>
      <c r="I73" s="142"/>
      <c r="J73" s="142"/>
    </row>
    <row r="74" spans="2:10" ht="14.65" customHeight="1">
      <c r="B74" s="134"/>
      <c r="C74" s="134"/>
      <c r="D74" s="134"/>
      <c r="F74" s="138"/>
      <c r="G74" s="138"/>
      <c r="H74" s="142"/>
      <c r="I74" s="142"/>
      <c r="J74" s="142"/>
    </row>
    <row r="75" spans="2:10" ht="14.65" customHeight="1">
      <c r="B75" s="136"/>
      <c r="C75" s="136"/>
      <c r="D75" s="136"/>
      <c r="F75" s="138"/>
      <c r="G75" s="138"/>
      <c r="H75" s="142"/>
      <c r="I75" s="142"/>
      <c r="J75" s="142"/>
    </row>
    <row r="76" spans="2:10" ht="14.65" customHeight="1">
      <c r="F76" s="138"/>
      <c r="G76" s="138"/>
      <c r="H76" s="142"/>
      <c r="I76" s="142"/>
      <c r="J76" s="142"/>
    </row>
    <row r="77" spans="2:10" ht="14.65" customHeight="1">
      <c r="F77" s="138"/>
      <c r="G77" s="138"/>
      <c r="H77" s="142"/>
      <c r="I77" s="142"/>
      <c r="J77" s="142"/>
    </row>
  </sheetData>
  <mergeCells count="3">
    <mergeCell ref="E1:G1"/>
    <mergeCell ref="H1:J1"/>
    <mergeCell ref="A1:A2"/>
  </mergeCells>
  <phoneticPr fontId="3" type="noConversion"/>
  <pageMargins left="0.25" right="0.2" top="0.25" bottom="0.2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Rollover</vt:lpstr>
      <vt:lpstr>Front</vt:lpstr>
      <vt:lpstr>Side MDB</vt:lpstr>
      <vt:lpstr>Side Pole</vt:lpstr>
      <vt:lpstr>Comb VSS+Overall Ratings</vt:lpstr>
      <vt:lpstr>'Comb VSS+Overall Ratings'!Print_Area</vt:lpstr>
      <vt:lpstr>Front!Print_Area</vt:lpstr>
      <vt:lpstr>'Side MDB'!Print_Area</vt:lpstr>
      <vt:lpstr>'Side Pole'!Print_Area</vt:lpstr>
      <vt:lpstr>'Comb VSS+Overall Ratings'!Print_Titles</vt:lpstr>
      <vt:lpstr>Front!Print_Titles</vt:lpstr>
      <vt:lpstr>Rollover!Print_Titles</vt:lpstr>
      <vt:lpstr>'Side MDB'!Print_Titles</vt:lpstr>
      <vt:lpstr>'Side Pole'!Print_Titles</vt:lpstr>
    </vt:vector>
  </TitlesOfParts>
  <Company>USDOT\NHTSA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 McKoy</dc:creator>
  <cp:lastModifiedBy>USDOT_User</cp:lastModifiedBy>
  <cp:lastPrinted>2012-05-02T13:38:27Z</cp:lastPrinted>
  <dcterms:created xsi:type="dcterms:W3CDTF">2007-06-14T17:31:50Z</dcterms:created>
  <dcterms:modified xsi:type="dcterms:W3CDTF">2020-04-22T11:58:33Z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