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Rulemaking\NCAPDATA\Web Database and media files\2020 web and docket data\"/>
    </mc:Choice>
  </mc:AlternateContent>
  <bookViews>
    <workbookView xWindow="8955" yWindow="735" windowWidth="11535" windowHeight="6945"/>
  </bookViews>
  <sheets>
    <sheet name="Rollover" sheetId="24" r:id="rId1"/>
    <sheet name="Front" sheetId="21" r:id="rId2"/>
    <sheet name="Side MDB" sheetId="22" r:id="rId3"/>
    <sheet name="Side Pole" sheetId="29" r:id="rId4"/>
    <sheet name="Comb VSS+Overall Ratings" sheetId="31" r:id="rId5"/>
  </sheets>
  <definedNames>
    <definedName name="_xlnm.Print_Area" localSheetId="4">'Comb VSS+Overall Ratings'!$B$1:$P$2</definedName>
    <definedName name="_xlnm.Print_Area" localSheetId="1">Front!$A$2:$V$2</definedName>
    <definedName name="_xlnm.Print_Area" localSheetId="2">'Side MDB'!$A$2:$P$2</definedName>
    <definedName name="_xlnm.Print_Area" localSheetId="3">'Side Pole'!$A$2:$K$2</definedName>
    <definedName name="_xlnm.Print_Titles" localSheetId="4">'Comb VSS+Overall Ratings'!$B:$C,'Comb VSS+Overall Ratings'!$1:$2</definedName>
    <definedName name="_xlnm.Print_Titles" localSheetId="1">Front!$A:$D,Front!$2:$2</definedName>
    <definedName name="_xlnm.Print_Titles" localSheetId="0">Rollover!$2:$2</definedName>
    <definedName name="_xlnm.Print_Titles" localSheetId="2">'Side MDB'!$A:$D,'Side MDB'!$2:$2</definedName>
    <definedName name="_xlnm.Print_Titles" localSheetId="3">'Side Pole'!$A:$D,'Side Pole'!$2:$2</definedName>
  </definedNames>
  <calcPr calcId="171027"/>
</workbook>
</file>

<file path=xl/calcChain.xml><?xml version="1.0" encoding="utf-8"?>
<calcChain xmlns="http://schemas.openxmlformats.org/spreadsheetml/2006/main">
  <c r="G3" i="24" l="1"/>
  <c r="H3" i="24" s="1"/>
  <c r="I3" i="24" s="1"/>
  <c r="J3" i="24" s="1"/>
  <c r="N3" i="31" s="1"/>
  <c r="G4" i="24"/>
  <c r="H4" i="24" s="1"/>
  <c r="I4" i="24" s="1"/>
  <c r="J4" i="24" s="1"/>
  <c r="N4" i="31" s="1"/>
  <c r="G5" i="24"/>
  <c r="H5" i="24" s="1"/>
  <c r="I5" i="24" s="1"/>
  <c r="J5" i="24" s="1"/>
  <c r="N5" i="31" s="1"/>
  <c r="B3" i="31"/>
  <c r="C3" i="31"/>
  <c r="D3" i="31"/>
  <c r="B4" i="31"/>
  <c r="C4" i="31"/>
  <c r="D4" i="31"/>
  <c r="B5" i="31"/>
  <c r="C5" i="31"/>
  <c r="D5" i="31"/>
  <c r="C3" i="29"/>
  <c r="D3" i="29"/>
  <c r="F3" i="29"/>
  <c r="L3" i="29"/>
  <c r="M3" i="29"/>
  <c r="C4" i="29"/>
  <c r="D4" i="29"/>
  <c r="F4" i="29"/>
  <c r="L4" i="29"/>
  <c r="M4" i="29"/>
  <c r="C5" i="29"/>
  <c r="D5" i="29"/>
  <c r="F5" i="29"/>
  <c r="L5" i="29"/>
  <c r="M5" i="29"/>
  <c r="C3" i="22"/>
  <c r="D3" i="22"/>
  <c r="F3" i="22"/>
  <c r="Q3" i="22"/>
  <c r="R3" i="22"/>
  <c r="S3" i="22"/>
  <c r="T3" i="22"/>
  <c r="U3" i="22"/>
  <c r="V3" i="22"/>
  <c r="C4" i="22"/>
  <c r="D4" i="22"/>
  <c r="F4" i="22"/>
  <c r="Q4" i="22"/>
  <c r="R4" i="22"/>
  <c r="S4" i="22"/>
  <c r="T4" i="22"/>
  <c r="U4" i="22"/>
  <c r="X4" i="22" s="1"/>
  <c r="AA4" i="22" s="1"/>
  <c r="AD4" i="22" s="1"/>
  <c r="I4" i="31" s="1"/>
  <c r="V4" i="22"/>
  <c r="C5" i="22"/>
  <c r="D5" i="22"/>
  <c r="F5" i="22"/>
  <c r="Q5" i="22"/>
  <c r="R5" i="22"/>
  <c r="S5" i="22"/>
  <c r="T5" i="22"/>
  <c r="U5" i="22"/>
  <c r="V5" i="22"/>
  <c r="C3" i="21"/>
  <c r="D3" i="21"/>
  <c r="F3" i="21"/>
  <c r="W3" i="21"/>
  <c r="X3" i="21"/>
  <c r="Y3" i="21"/>
  <c r="Z3" i="21"/>
  <c r="AB3" i="21"/>
  <c r="AC3" i="21" s="1"/>
  <c r="AD3" i="21"/>
  <c r="AE3" i="21"/>
  <c r="AG3" i="21"/>
  <c r="AH3" i="21"/>
  <c r="AI3" i="21"/>
  <c r="AJ3" i="21"/>
  <c r="AL3" i="21"/>
  <c r="AM3" i="21" s="1"/>
  <c r="AN3" i="21"/>
  <c r="AO3" i="21"/>
  <c r="C4" i="21"/>
  <c r="D4" i="21"/>
  <c r="F4" i="21"/>
  <c r="W4" i="21"/>
  <c r="X4" i="21"/>
  <c r="Y4" i="21"/>
  <c r="Z4" i="21"/>
  <c r="AB4" i="21"/>
  <c r="AC4" i="21" s="1"/>
  <c r="AD4" i="21"/>
  <c r="AE4" i="21"/>
  <c r="AG4" i="21"/>
  <c r="AH4" i="21"/>
  <c r="AI4" i="21"/>
  <c r="AJ4" i="21"/>
  <c r="AL4" i="21"/>
  <c r="AM4" i="21" s="1"/>
  <c r="AN4" i="21"/>
  <c r="AO4" i="21"/>
  <c r="C5" i="21"/>
  <c r="D5" i="21"/>
  <c r="F5" i="21"/>
  <c r="W5" i="21"/>
  <c r="X5" i="21"/>
  <c r="Y5" i="21"/>
  <c r="Z5" i="21"/>
  <c r="AB5" i="21"/>
  <c r="AC5" i="21" s="1"/>
  <c r="AD5" i="21"/>
  <c r="AE5" i="21"/>
  <c r="AG5" i="21"/>
  <c r="AH5" i="21"/>
  <c r="AI5" i="21"/>
  <c r="AJ5" i="21"/>
  <c r="AL5" i="21"/>
  <c r="AM5" i="21" s="1"/>
  <c r="AN5" i="21"/>
  <c r="AO5" i="21"/>
  <c r="G6" i="24"/>
  <c r="H6" i="24" s="1"/>
  <c r="I6" i="24" s="1"/>
  <c r="J6" i="24" s="1"/>
  <c r="N6" i="31" s="1"/>
  <c r="G7" i="24"/>
  <c r="H7" i="24" s="1"/>
  <c r="I7" i="24" s="1"/>
  <c r="J7" i="24" s="1"/>
  <c r="N7" i="31" s="1"/>
  <c r="B6" i="31"/>
  <c r="C6" i="31"/>
  <c r="D6" i="31"/>
  <c r="B7" i="31"/>
  <c r="C7" i="31"/>
  <c r="D7" i="31"/>
  <c r="C6" i="29"/>
  <c r="D6" i="29"/>
  <c r="F6" i="29"/>
  <c r="L6" i="29"/>
  <c r="M6" i="29"/>
  <c r="C7" i="29"/>
  <c r="D7" i="29"/>
  <c r="F7" i="29"/>
  <c r="L7" i="29"/>
  <c r="M7" i="29"/>
  <c r="C6" i="22"/>
  <c r="D6" i="22"/>
  <c r="F6" i="22"/>
  <c r="Q6" i="22"/>
  <c r="R6" i="22"/>
  <c r="S6" i="22"/>
  <c r="T6" i="22"/>
  <c r="U6" i="22"/>
  <c r="V6" i="22"/>
  <c r="C7" i="22"/>
  <c r="D7" i="22"/>
  <c r="F7" i="22"/>
  <c r="Q7" i="22"/>
  <c r="R7" i="22"/>
  <c r="S7" i="22"/>
  <c r="T7" i="22"/>
  <c r="U7" i="22"/>
  <c r="V7" i="22"/>
  <c r="C6" i="21"/>
  <c r="D6" i="21"/>
  <c r="F6" i="21"/>
  <c r="W6" i="21"/>
  <c r="X6" i="21"/>
  <c r="Y6" i="21"/>
  <c r="Z6" i="21"/>
  <c r="AB6" i="21"/>
  <c r="AC6" i="21" s="1"/>
  <c r="AD6" i="21"/>
  <c r="AE6" i="21"/>
  <c r="AG6" i="21"/>
  <c r="AH6" i="21"/>
  <c r="AI6" i="21"/>
  <c r="AJ6" i="21"/>
  <c r="AL6" i="21"/>
  <c r="AM6" i="21" s="1"/>
  <c r="AN6" i="21"/>
  <c r="AO6" i="21"/>
  <c r="C7" i="21"/>
  <c r="D7" i="21"/>
  <c r="F7" i="21"/>
  <c r="W7" i="21"/>
  <c r="X7" i="21"/>
  <c r="Y7" i="21"/>
  <c r="Z7" i="21"/>
  <c r="AB7" i="21"/>
  <c r="AC7" i="21" s="1"/>
  <c r="AD7" i="21"/>
  <c r="AE7" i="21"/>
  <c r="AG7" i="21"/>
  <c r="AH7" i="21"/>
  <c r="AI7" i="21"/>
  <c r="AJ7" i="21"/>
  <c r="AL7" i="21"/>
  <c r="AM7" i="21" s="1"/>
  <c r="AN7" i="21"/>
  <c r="AO7" i="21"/>
  <c r="G12" i="24"/>
  <c r="H12" i="24" s="1"/>
  <c r="I12" i="24" s="1"/>
  <c r="J12" i="24" s="1"/>
  <c r="N12" i="31" s="1"/>
  <c r="G13" i="24"/>
  <c r="H13" i="24" s="1"/>
  <c r="I13" i="24" s="1"/>
  <c r="J13" i="24" s="1"/>
  <c r="N13" i="31" s="1"/>
  <c r="G14" i="24"/>
  <c r="H14" i="24" s="1"/>
  <c r="I14" i="24" s="1"/>
  <c r="J14" i="24" s="1"/>
  <c r="N14" i="31" s="1"/>
  <c r="B12" i="31"/>
  <c r="C12" i="31"/>
  <c r="D12" i="31"/>
  <c r="B13" i="31"/>
  <c r="C13" i="31"/>
  <c r="D13" i="31"/>
  <c r="B14" i="31"/>
  <c r="C14" i="31"/>
  <c r="D14" i="31"/>
  <c r="C12" i="29"/>
  <c r="D12" i="29"/>
  <c r="F12" i="29"/>
  <c r="L12" i="29"/>
  <c r="M12" i="29"/>
  <c r="C13" i="29"/>
  <c r="D13" i="29"/>
  <c r="F13" i="29"/>
  <c r="L13" i="29"/>
  <c r="M13" i="29"/>
  <c r="C14" i="29"/>
  <c r="D14" i="29"/>
  <c r="F14" i="29"/>
  <c r="L14" i="29"/>
  <c r="M14" i="29"/>
  <c r="C12" i="22"/>
  <c r="D12" i="22"/>
  <c r="F12" i="22"/>
  <c r="Q12" i="22"/>
  <c r="R12" i="22"/>
  <c r="S12" i="22"/>
  <c r="T12" i="22"/>
  <c r="U12" i="22"/>
  <c r="V12" i="22"/>
  <c r="C13" i="22"/>
  <c r="D13" i="22"/>
  <c r="F13" i="22"/>
  <c r="Q13" i="22"/>
  <c r="R13" i="22"/>
  <c r="S13" i="22"/>
  <c r="T13" i="22"/>
  <c r="U13" i="22"/>
  <c r="V13" i="22"/>
  <c r="C14" i="22"/>
  <c r="D14" i="22"/>
  <c r="F14" i="22"/>
  <c r="Q14" i="22"/>
  <c r="R14" i="22"/>
  <c r="S14" i="22"/>
  <c r="T14" i="22"/>
  <c r="U14" i="22"/>
  <c r="V14" i="22"/>
  <c r="C12" i="21"/>
  <c r="D12" i="21"/>
  <c r="F12" i="21"/>
  <c r="W12" i="21"/>
  <c r="X12" i="21"/>
  <c r="Y12" i="21"/>
  <c r="Z12" i="21"/>
  <c r="AB12" i="21"/>
  <c r="AC12" i="21" s="1"/>
  <c r="AD12" i="21"/>
  <c r="AE12" i="21"/>
  <c r="AG12" i="21"/>
  <c r="AH12" i="21"/>
  <c r="AI12" i="21"/>
  <c r="AJ12" i="21"/>
  <c r="AL12" i="21"/>
  <c r="AM12" i="21" s="1"/>
  <c r="AN12" i="21"/>
  <c r="AO12" i="21"/>
  <c r="C13" i="21"/>
  <c r="D13" i="21"/>
  <c r="F13" i="21"/>
  <c r="W13" i="21"/>
  <c r="X13" i="21"/>
  <c r="Y13" i="21"/>
  <c r="Z13" i="21"/>
  <c r="AB13" i="21"/>
  <c r="AC13" i="21" s="1"/>
  <c r="AD13" i="21"/>
  <c r="AE13" i="21"/>
  <c r="AG13" i="21"/>
  <c r="AH13" i="21"/>
  <c r="AI13" i="21"/>
  <c r="AJ13" i="21"/>
  <c r="AL13" i="21"/>
  <c r="AM13" i="21" s="1"/>
  <c r="AN13" i="21"/>
  <c r="AO13" i="21"/>
  <c r="C14" i="21"/>
  <c r="D14" i="21"/>
  <c r="F14" i="21"/>
  <c r="W14" i="21"/>
  <c r="X14" i="21"/>
  <c r="Y14" i="21"/>
  <c r="Z14" i="21"/>
  <c r="AB14" i="21"/>
  <c r="AC14" i="21" s="1"/>
  <c r="AD14" i="21"/>
  <c r="AE14" i="21"/>
  <c r="AG14" i="21"/>
  <c r="AH14" i="21"/>
  <c r="AI14" i="21"/>
  <c r="AJ14" i="21"/>
  <c r="AL14" i="21"/>
  <c r="AM14" i="21" s="1"/>
  <c r="AN14" i="21"/>
  <c r="AO14" i="21"/>
  <c r="G17" i="24"/>
  <c r="H17" i="24" s="1"/>
  <c r="I17" i="24" s="1"/>
  <c r="J17" i="24" s="1"/>
  <c r="N17" i="31" s="1"/>
  <c r="G18" i="24"/>
  <c r="H18" i="24" s="1"/>
  <c r="I18" i="24" s="1"/>
  <c r="J18" i="24" s="1"/>
  <c r="N18" i="31" s="1"/>
  <c r="B17" i="31"/>
  <c r="C17" i="31"/>
  <c r="D17" i="31"/>
  <c r="B18" i="31"/>
  <c r="C18" i="31"/>
  <c r="D18" i="31"/>
  <c r="C17" i="29"/>
  <c r="D17" i="29"/>
  <c r="F17" i="29"/>
  <c r="L17" i="29"/>
  <c r="M17" i="29"/>
  <c r="C18" i="29"/>
  <c r="D18" i="29"/>
  <c r="F18" i="29"/>
  <c r="L18" i="29"/>
  <c r="M18" i="29"/>
  <c r="C17" i="22"/>
  <c r="D17" i="22"/>
  <c r="F17" i="22"/>
  <c r="Q17" i="22"/>
  <c r="R17" i="22"/>
  <c r="S17" i="22"/>
  <c r="T17" i="22"/>
  <c r="U17" i="22"/>
  <c r="V17" i="22"/>
  <c r="C18" i="22"/>
  <c r="D18" i="22"/>
  <c r="F18" i="22"/>
  <c r="Q18" i="22"/>
  <c r="R18" i="22"/>
  <c r="S18" i="22"/>
  <c r="T18" i="22"/>
  <c r="U18" i="22"/>
  <c r="V18" i="22"/>
  <c r="C17" i="21"/>
  <c r="D17" i="21"/>
  <c r="F17" i="21"/>
  <c r="W17" i="21"/>
  <c r="X17" i="21"/>
  <c r="Y17" i="21"/>
  <c r="Z17" i="21"/>
  <c r="AB17" i="21"/>
  <c r="AC17" i="21" s="1"/>
  <c r="AD17" i="21"/>
  <c r="AE17" i="21"/>
  <c r="AG17" i="21"/>
  <c r="AH17" i="21"/>
  <c r="AI17" i="21"/>
  <c r="AJ17" i="21"/>
  <c r="AL17" i="21"/>
  <c r="AM17" i="21" s="1"/>
  <c r="AN17" i="21"/>
  <c r="AO17" i="21"/>
  <c r="C18" i="21"/>
  <c r="D18" i="21"/>
  <c r="F18" i="21"/>
  <c r="W18" i="21"/>
  <c r="X18" i="21"/>
  <c r="Y18" i="21"/>
  <c r="Z18" i="21"/>
  <c r="AB18" i="21"/>
  <c r="AC18" i="21" s="1"/>
  <c r="AD18" i="21"/>
  <c r="AE18" i="21"/>
  <c r="AG18" i="21"/>
  <c r="AH18" i="21"/>
  <c r="AI18" i="21"/>
  <c r="AJ18" i="21"/>
  <c r="AL18" i="21"/>
  <c r="AM18" i="21" s="1"/>
  <c r="AN18" i="21"/>
  <c r="AO18" i="21"/>
  <c r="X17" i="22" l="1"/>
  <c r="AA17" i="22" s="1"/>
  <c r="AD17" i="22" s="1"/>
  <c r="I17" i="31" s="1"/>
  <c r="N4" i="29"/>
  <c r="O4" i="29" s="1"/>
  <c r="P4" i="29" s="1"/>
  <c r="K4" i="31" s="1"/>
  <c r="W3" i="22"/>
  <c r="AP7" i="21"/>
  <c r="AA17" i="21"/>
  <c r="X6" i="22"/>
  <c r="AA6" i="22" s="1"/>
  <c r="AD6" i="22" s="1"/>
  <c r="I6" i="31" s="1"/>
  <c r="AK4" i="21"/>
  <c r="AK5" i="21"/>
  <c r="AK3" i="21"/>
  <c r="W5" i="22"/>
  <c r="X18" i="22"/>
  <c r="AA18" i="22" s="1"/>
  <c r="AD18" i="22" s="1"/>
  <c r="I18" i="31" s="1"/>
  <c r="X13" i="22"/>
  <c r="AA13" i="22" s="1"/>
  <c r="AD13" i="22" s="1"/>
  <c r="I13" i="31" s="1"/>
  <c r="X5" i="22"/>
  <c r="AA5" i="22" s="1"/>
  <c r="AD5" i="22" s="1"/>
  <c r="I5" i="31" s="1"/>
  <c r="N3" i="29"/>
  <c r="O3" i="29" s="1"/>
  <c r="P3" i="29" s="1"/>
  <c r="K3" i="31" s="1"/>
  <c r="X7" i="22"/>
  <c r="AA7" i="22" s="1"/>
  <c r="AD7" i="22" s="1"/>
  <c r="I7" i="31" s="1"/>
  <c r="W7" i="22"/>
  <c r="Y7" i="22" s="1"/>
  <c r="AB7" i="22" s="1"/>
  <c r="AE7" i="22" s="1"/>
  <c r="J7" i="31" s="1"/>
  <c r="AP5" i="21"/>
  <c r="AF5" i="21"/>
  <c r="AF4" i="21"/>
  <c r="AP3" i="21"/>
  <c r="AF3" i="21"/>
  <c r="X3" i="22"/>
  <c r="AA3" i="22" s="1"/>
  <c r="AD3" i="22" s="1"/>
  <c r="I3" i="31" s="1"/>
  <c r="AA5" i="21"/>
  <c r="AA4" i="21"/>
  <c r="AA3" i="21"/>
  <c r="AQ3" i="21" s="1"/>
  <c r="AT3" i="21" s="1"/>
  <c r="AW3" i="21" s="1"/>
  <c r="E3" i="31" s="1"/>
  <c r="W4" i="22"/>
  <c r="Y4" i="22" s="1"/>
  <c r="AB4" i="22" s="1"/>
  <c r="AE4" i="22" s="1"/>
  <c r="J4" i="31" s="1"/>
  <c r="AF12" i="21"/>
  <c r="AK7" i="21"/>
  <c r="AR7" i="21" s="1"/>
  <c r="AF6" i="21"/>
  <c r="AA6" i="21"/>
  <c r="AF14" i="21"/>
  <c r="AF13" i="21"/>
  <c r="N13" i="29"/>
  <c r="O13" i="29" s="1"/>
  <c r="P13" i="29" s="1"/>
  <c r="K13" i="31" s="1"/>
  <c r="W13" i="22"/>
  <c r="Z13" i="22" s="1"/>
  <c r="AC13" i="22" s="1"/>
  <c r="H13" i="31" s="1"/>
  <c r="N7" i="29"/>
  <c r="O7" i="29" s="1"/>
  <c r="P7" i="29" s="1"/>
  <c r="K7" i="31" s="1"/>
  <c r="Z3" i="22"/>
  <c r="AC3" i="22" s="1"/>
  <c r="H3" i="31" s="1"/>
  <c r="AF7" i="21"/>
  <c r="AA7" i="21"/>
  <c r="AP6" i="21"/>
  <c r="AK6" i="21"/>
  <c r="AP4" i="21"/>
  <c r="N5" i="29"/>
  <c r="O5" i="29" s="1"/>
  <c r="P5" i="29" s="1"/>
  <c r="K5" i="31" s="1"/>
  <c r="W6" i="22"/>
  <c r="N18" i="29"/>
  <c r="O18" i="29" s="1"/>
  <c r="P18" i="29" s="1"/>
  <c r="K18" i="31" s="1"/>
  <c r="AK12" i="21"/>
  <c r="AP14" i="21"/>
  <c r="AK14" i="21"/>
  <c r="AA14" i="21"/>
  <c r="AA12" i="21"/>
  <c r="N6" i="29"/>
  <c r="O6" i="29" s="1"/>
  <c r="P6" i="29" s="1"/>
  <c r="K6" i="31" s="1"/>
  <c r="X12" i="22"/>
  <c r="AA12" i="22" s="1"/>
  <c r="AD12" i="22" s="1"/>
  <c r="I12" i="31" s="1"/>
  <c r="W12" i="22"/>
  <c r="Z12" i="22" s="1"/>
  <c r="AC12" i="22" s="1"/>
  <c r="H12" i="31" s="1"/>
  <c r="AA18" i="21"/>
  <c r="N17" i="29"/>
  <c r="O17" i="29" s="1"/>
  <c r="P17" i="29" s="1"/>
  <c r="K17" i="31" s="1"/>
  <c r="AP12" i="21"/>
  <c r="X14" i="22"/>
  <c r="AA14" i="22" s="1"/>
  <c r="AD14" i="22" s="1"/>
  <c r="I14" i="31" s="1"/>
  <c r="W14" i="22"/>
  <c r="AP18" i="21"/>
  <c r="AP13" i="21"/>
  <c r="AK13" i="21"/>
  <c r="N14" i="29"/>
  <c r="O14" i="29" s="1"/>
  <c r="P14" i="29" s="1"/>
  <c r="K14" i="31" s="1"/>
  <c r="AA13" i="21"/>
  <c r="N12" i="29"/>
  <c r="O12" i="29" s="1"/>
  <c r="P12" i="29" s="1"/>
  <c r="K12" i="31" s="1"/>
  <c r="AK17" i="21"/>
  <c r="AP17" i="21"/>
  <c r="AF18" i="21"/>
  <c r="W18" i="22"/>
  <c r="Z18" i="22" s="1"/>
  <c r="AC18" i="22" s="1"/>
  <c r="H18" i="31" s="1"/>
  <c r="AK18" i="21"/>
  <c r="W17" i="22"/>
  <c r="AF17" i="21"/>
  <c r="AQ17" i="21" s="1"/>
  <c r="AT17" i="21" s="1"/>
  <c r="AW17" i="21" s="1"/>
  <c r="E17" i="31" s="1"/>
  <c r="AR5" i="21" l="1"/>
  <c r="AQ14" i="21"/>
  <c r="AT14" i="21" s="1"/>
  <c r="AW14" i="21" s="1"/>
  <c r="E14" i="31" s="1"/>
  <c r="AQ6" i="21"/>
  <c r="AT6" i="21" s="1"/>
  <c r="AW6" i="21" s="1"/>
  <c r="E6" i="31" s="1"/>
  <c r="AR18" i="21"/>
  <c r="AU18" i="21" s="1"/>
  <c r="AX18" i="21" s="1"/>
  <c r="F18" i="31" s="1"/>
  <c r="Q4" i="29"/>
  <c r="R4" i="29" s="1"/>
  <c r="S4" i="29" s="1"/>
  <c r="L4" i="31" s="1"/>
  <c r="AQ4" i="21"/>
  <c r="AT4" i="21" s="1"/>
  <c r="AW4" i="21" s="1"/>
  <c r="E4" i="31" s="1"/>
  <c r="Q7" i="29"/>
  <c r="R7" i="29" s="1"/>
  <c r="S7" i="29" s="1"/>
  <c r="L7" i="31" s="1"/>
  <c r="Z7" i="22"/>
  <c r="AC7" i="22" s="1"/>
  <c r="H7" i="31" s="1"/>
  <c r="AR4" i="21"/>
  <c r="Y3" i="22"/>
  <c r="AB3" i="22" s="1"/>
  <c r="AE3" i="22" s="1"/>
  <c r="J3" i="31" s="1"/>
  <c r="Z4" i="22"/>
  <c r="AC4" i="22" s="1"/>
  <c r="H4" i="31" s="1"/>
  <c r="AR3" i="21"/>
  <c r="AU3" i="21" s="1"/>
  <c r="AX3" i="21" s="1"/>
  <c r="F3" i="31" s="1"/>
  <c r="T4" i="29"/>
  <c r="U4" i="29" s="1"/>
  <c r="V4" i="29" s="1"/>
  <c r="M4" i="31" s="1"/>
  <c r="AQ5" i="21"/>
  <c r="AT5" i="21" s="1"/>
  <c r="AW5" i="21" s="1"/>
  <c r="E5" i="31" s="1"/>
  <c r="Y5" i="22"/>
  <c r="AB5" i="22" s="1"/>
  <c r="AE5" i="22" s="1"/>
  <c r="J5" i="31" s="1"/>
  <c r="T13" i="29"/>
  <c r="U13" i="29" s="1"/>
  <c r="V13" i="29" s="1"/>
  <c r="M13" i="31" s="1"/>
  <c r="Z5" i="22"/>
  <c r="AC5" i="22" s="1"/>
  <c r="H5" i="31" s="1"/>
  <c r="Q13" i="29"/>
  <c r="R13" i="29" s="1"/>
  <c r="S13" i="29" s="1"/>
  <c r="L13" i="31" s="1"/>
  <c r="AQ7" i="21"/>
  <c r="AT7" i="21" s="1"/>
  <c r="AW7" i="21" s="1"/>
  <c r="E7" i="31" s="1"/>
  <c r="Y13" i="22"/>
  <c r="AB13" i="22" s="1"/>
  <c r="AE13" i="22" s="1"/>
  <c r="J13" i="31" s="1"/>
  <c r="AQ13" i="21"/>
  <c r="AT13" i="21" s="1"/>
  <c r="AW13" i="21" s="1"/>
  <c r="E13" i="31" s="1"/>
  <c r="AQ12" i="21"/>
  <c r="AT12" i="21" s="1"/>
  <c r="AW12" i="21" s="1"/>
  <c r="E12" i="31" s="1"/>
  <c r="Y18" i="22"/>
  <c r="AB18" i="22" s="1"/>
  <c r="AE18" i="22" s="1"/>
  <c r="J18" i="31" s="1"/>
  <c r="T14" i="29"/>
  <c r="U14" i="29" s="1"/>
  <c r="V14" i="29" s="1"/>
  <c r="M14" i="31" s="1"/>
  <c r="T7" i="29"/>
  <c r="U7" i="29" s="1"/>
  <c r="V7" i="29" s="1"/>
  <c r="M7" i="31" s="1"/>
  <c r="Q5" i="29"/>
  <c r="R5" i="29" s="1"/>
  <c r="S5" i="29" s="1"/>
  <c r="L5" i="31" s="1"/>
  <c r="T3" i="29"/>
  <c r="U3" i="29" s="1"/>
  <c r="V3" i="29" s="1"/>
  <c r="M3" i="31" s="1"/>
  <c r="T18" i="29"/>
  <c r="U18" i="29" s="1"/>
  <c r="V18" i="29" s="1"/>
  <c r="M18" i="31" s="1"/>
  <c r="Q14" i="29"/>
  <c r="R14" i="29" s="1"/>
  <c r="S14" i="29" s="1"/>
  <c r="L14" i="31" s="1"/>
  <c r="AR6" i="21"/>
  <c r="AU6" i="21" s="1"/>
  <c r="AX6" i="21" s="1"/>
  <c r="F6" i="31" s="1"/>
  <c r="Q3" i="29"/>
  <c r="R3" i="29" s="1"/>
  <c r="S3" i="29" s="1"/>
  <c r="L3" i="31" s="1"/>
  <c r="AU4" i="21"/>
  <c r="AX4" i="21" s="1"/>
  <c r="F4" i="31" s="1"/>
  <c r="AR17" i="21"/>
  <c r="AU17" i="21" s="1"/>
  <c r="AX17" i="21" s="1"/>
  <c r="F17" i="31" s="1"/>
  <c r="AR14" i="21"/>
  <c r="AU14" i="21" s="1"/>
  <c r="AX14" i="21" s="1"/>
  <c r="F14" i="31" s="1"/>
  <c r="Q18" i="29"/>
  <c r="R18" i="29" s="1"/>
  <c r="S18" i="29" s="1"/>
  <c r="L18" i="31" s="1"/>
  <c r="AU5" i="21"/>
  <c r="AX5" i="21" s="1"/>
  <c r="F5" i="31" s="1"/>
  <c r="T5" i="29"/>
  <c r="U5" i="29" s="1"/>
  <c r="V5" i="29" s="1"/>
  <c r="M5" i="31" s="1"/>
  <c r="T12" i="29"/>
  <c r="U12" i="29" s="1"/>
  <c r="V12" i="29" s="1"/>
  <c r="M12" i="31" s="1"/>
  <c r="Y12" i="22"/>
  <c r="AB12" i="22" s="1"/>
  <c r="AE12" i="22" s="1"/>
  <c r="J12" i="31" s="1"/>
  <c r="AR12" i="21"/>
  <c r="AU12" i="21" s="1"/>
  <c r="AX12" i="21" s="1"/>
  <c r="F12" i="31" s="1"/>
  <c r="AR13" i="21"/>
  <c r="AU13" i="21" s="1"/>
  <c r="AX13" i="21" s="1"/>
  <c r="F13" i="31" s="1"/>
  <c r="Y14" i="22"/>
  <c r="AB14" i="22" s="1"/>
  <c r="AE14" i="22" s="1"/>
  <c r="J14" i="31" s="1"/>
  <c r="AQ18" i="21"/>
  <c r="AT18" i="21" s="1"/>
  <c r="AW18" i="21" s="1"/>
  <c r="E18" i="31" s="1"/>
  <c r="Q6" i="29"/>
  <c r="R6" i="29" s="1"/>
  <c r="S6" i="29" s="1"/>
  <c r="L6" i="31" s="1"/>
  <c r="T6" i="29"/>
  <c r="U6" i="29" s="1"/>
  <c r="V6" i="29" s="1"/>
  <c r="M6" i="31" s="1"/>
  <c r="Y6" i="22"/>
  <c r="AB6" i="22" s="1"/>
  <c r="AE6" i="22" s="1"/>
  <c r="J6" i="31" s="1"/>
  <c r="Z6" i="22"/>
  <c r="AC6" i="22" s="1"/>
  <c r="H6" i="31" s="1"/>
  <c r="AU7" i="21"/>
  <c r="AX7" i="21" s="1"/>
  <c r="F7" i="31" s="1"/>
  <c r="Z14" i="22"/>
  <c r="AC14" i="22" s="1"/>
  <c r="H14" i="31" s="1"/>
  <c r="Q12" i="29"/>
  <c r="R12" i="29" s="1"/>
  <c r="S12" i="29" s="1"/>
  <c r="L12" i="31" s="1"/>
  <c r="T17" i="29"/>
  <c r="U17" i="29" s="1"/>
  <c r="V17" i="29" s="1"/>
  <c r="M17" i="31" s="1"/>
  <c r="Z17" i="22"/>
  <c r="AC17" i="22" s="1"/>
  <c r="H17" i="31" s="1"/>
  <c r="Q17" i="29"/>
  <c r="R17" i="29" s="1"/>
  <c r="S17" i="29" s="1"/>
  <c r="L17" i="31" s="1"/>
  <c r="Y17" i="22"/>
  <c r="AB17" i="22" s="1"/>
  <c r="AE17" i="22" s="1"/>
  <c r="J17" i="31" s="1"/>
  <c r="AS4" i="21" l="1"/>
  <c r="AV4" i="21" s="1"/>
  <c r="O4" i="31" s="1"/>
  <c r="P4" i="31" s="1"/>
  <c r="AS3" i="21"/>
  <c r="AV3" i="21" s="1"/>
  <c r="O3" i="31" s="1"/>
  <c r="P3" i="31" s="1"/>
  <c r="AS7" i="21"/>
  <c r="AV7" i="21" s="1"/>
  <c r="O7" i="31" s="1"/>
  <c r="P7" i="31" s="1"/>
  <c r="AS12" i="21"/>
  <c r="AV12" i="21" s="1"/>
  <c r="O12" i="31" s="1"/>
  <c r="P12" i="31" s="1"/>
  <c r="AS5" i="21"/>
  <c r="AV5" i="21" s="1"/>
  <c r="O5" i="31" s="1"/>
  <c r="P5" i="31" s="1"/>
  <c r="AS17" i="21"/>
  <c r="AV17" i="21" s="1"/>
  <c r="O17" i="31" s="1"/>
  <c r="P17" i="31" s="1"/>
  <c r="AS6" i="21"/>
  <c r="AV6" i="21" s="1"/>
  <c r="O6" i="31" s="1"/>
  <c r="P6" i="31" s="1"/>
  <c r="AS18" i="21"/>
  <c r="AV18" i="21" s="1"/>
  <c r="AY18" i="21" s="1"/>
  <c r="G18" i="31" s="1"/>
  <c r="AS14" i="21"/>
  <c r="AV14" i="21" s="1"/>
  <c r="O14" i="31" s="1"/>
  <c r="P14" i="31" s="1"/>
  <c r="AS13" i="21"/>
  <c r="AV13" i="21" s="1"/>
  <c r="O13" i="31" s="1"/>
  <c r="P13" i="31" s="1"/>
  <c r="O18" i="31" l="1"/>
  <c r="P18" i="31" s="1"/>
  <c r="AY6" i="21"/>
  <c r="G6" i="31" s="1"/>
  <c r="AY5" i="21"/>
  <c r="G5" i="31" s="1"/>
  <c r="AY14" i="21"/>
  <c r="G14" i="31" s="1"/>
  <c r="AY7" i="21"/>
  <c r="G7" i="31" s="1"/>
  <c r="AY4" i="21"/>
  <c r="G4" i="31" s="1"/>
  <c r="AY12" i="21"/>
  <c r="G12" i="31" s="1"/>
  <c r="AY3" i="21"/>
  <c r="G3" i="31" s="1"/>
  <c r="AY17" i="21"/>
  <c r="G17" i="31" s="1"/>
  <c r="AY13" i="21"/>
  <c r="G13" i="31" s="1"/>
  <c r="C8" i="29" l="1"/>
  <c r="D8" i="29"/>
  <c r="F8" i="29"/>
  <c r="L8" i="29"/>
  <c r="M8" i="29"/>
  <c r="N8" i="29" l="1"/>
  <c r="O8" i="29" s="1"/>
  <c r="P8" i="29" s="1"/>
  <c r="D11" i="31" l="1"/>
  <c r="C11" i="31"/>
  <c r="B11" i="31"/>
  <c r="M11" i="29"/>
  <c r="L11" i="29"/>
  <c r="F11" i="29"/>
  <c r="D11" i="29"/>
  <c r="C11" i="29"/>
  <c r="V11" i="22"/>
  <c r="U11" i="22"/>
  <c r="T11" i="22"/>
  <c r="S11" i="22"/>
  <c r="R11" i="22"/>
  <c r="Q11" i="22"/>
  <c r="F11" i="22"/>
  <c r="D11" i="22"/>
  <c r="C11" i="22"/>
  <c r="AO11" i="21"/>
  <c r="AN11" i="21"/>
  <c r="AL11" i="21"/>
  <c r="AM11" i="21" s="1"/>
  <c r="AJ11" i="21"/>
  <c r="AI11" i="21"/>
  <c r="AH11" i="21"/>
  <c r="AG11" i="21"/>
  <c r="AE11" i="21"/>
  <c r="AD11" i="21"/>
  <c r="AB11" i="21"/>
  <c r="AC11" i="21" s="1"/>
  <c r="Z11" i="21"/>
  <c r="Y11" i="21"/>
  <c r="X11" i="21"/>
  <c r="W11" i="21"/>
  <c r="F11" i="21"/>
  <c r="D11" i="21"/>
  <c r="C11" i="21"/>
  <c r="G11" i="24"/>
  <c r="H11" i="24" s="1"/>
  <c r="I11" i="24" s="1"/>
  <c r="J11" i="24" s="1"/>
  <c r="N11" i="31" s="1"/>
  <c r="X11" i="22" l="1"/>
  <c r="AA11" i="22" s="1"/>
  <c r="AD11" i="22" s="1"/>
  <c r="I11" i="31" s="1"/>
  <c r="N11" i="29"/>
  <c r="W11" i="22"/>
  <c r="AF11" i="21"/>
  <c r="AP11" i="21"/>
  <c r="AA11" i="21"/>
  <c r="AK11" i="21"/>
  <c r="AR11" i="21" l="1"/>
  <c r="AU11" i="21" s="1"/>
  <c r="AX11" i="21" s="1"/>
  <c r="F11" i="31" s="1"/>
  <c r="AQ11" i="21"/>
  <c r="AT11" i="21" s="1"/>
  <c r="AW11" i="21" s="1"/>
  <c r="E11" i="31" s="1"/>
  <c r="T11" i="29"/>
  <c r="U11" i="29" s="1"/>
  <c r="V11" i="29" s="1"/>
  <c r="M11" i="31" s="1"/>
  <c r="O11" i="29"/>
  <c r="P11" i="29" s="1"/>
  <c r="K11" i="31" s="1"/>
  <c r="Q11" i="29"/>
  <c r="R11" i="29" s="1"/>
  <c r="S11" i="29" s="1"/>
  <c r="L11" i="31" s="1"/>
  <c r="Y11" i="22"/>
  <c r="AB11" i="22" s="1"/>
  <c r="AE11" i="22" s="1"/>
  <c r="J11" i="31" s="1"/>
  <c r="Z11" i="22"/>
  <c r="AC11" i="22" s="1"/>
  <c r="H11" i="31" s="1"/>
  <c r="AS11" i="21" l="1"/>
  <c r="AV11" i="21" s="1"/>
  <c r="AY11" i="21" s="1"/>
  <c r="G11" i="31" s="1"/>
  <c r="O11" i="31" l="1"/>
  <c r="P11" i="31" s="1"/>
  <c r="D16" i="31" l="1"/>
  <c r="C16" i="31"/>
  <c r="B16" i="31"/>
  <c r="D15" i="31"/>
  <c r="C15" i="31"/>
  <c r="B15" i="31"/>
  <c r="M16" i="29"/>
  <c r="L16" i="29"/>
  <c r="F16" i="29"/>
  <c r="D16" i="29"/>
  <c r="C16" i="29"/>
  <c r="M15" i="29"/>
  <c r="L15" i="29"/>
  <c r="F15" i="29"/>
  <c r="D15" i="29"/>
  <c r="C15" i="29"/>
  <c r="V16" i="22"/>
  <c r="U16" i="22"/>
  <c r="T16" i="22"/>
  <c r="S16" i="22"/>
  <c r="R16" i="22"/>
  <c r="Q16" i="22"/>
  <c r="F16" i="22"/>
  <c r="D16" i="22"/>
  <c r="C16" i="22"/>
  <c r="V15" i="22"/>
  <c r="U15" i="22"/>
  <c r="T15" i="22"/>
  <c r="S15" i="22"/>
  <c r="R15" i="22"/>
  <c r="Q15" i="22"/>
  <c r="F15" i="22"/>
  <c r="D15" i="22"/>
  <c r="C15" i="22"/>
  <c r="AO16" i="21"/>
  <c r="AN16" i="21"/>
  <c r="AL16" i="21"/>
  <c r="AM16" i="21" s="1"/>
  <c r="AJ16" i="21"/>
  <c r="AI16" i="21"/>
  <c r="AH16" i="21"/>
  <c r="AG16" i="21"/>
  <c r="AE16" i="21"/>
  <c r="AD16" i="21"/>
  <c r="AB16" i="21"/>
  <c r="AC16" i="21" s="1"/>
  <c r="Z16" i="21"/>
  <c r="Y16" i="21"/>
  <c r="X16" i="21"/>
  <c r="W16" i="21"/>
  <c r="F16" i="21"/>
  <c r="D16" i="21"/>
  <c r="C16" i="21"/>
  <c r="AO15" i="21"/>
  <c r="AN15" i="21"/>
  <c r="AL15" i="21"/>
  <c r="AM15" i="21" s="1"/>
  <c r="AJ15" i="21"/>
  <c r="AI15" i="21"/>
  <c r="AH15" i="21"/>
  <c r="AG15" i="21"/>
  <c r="AE15" i="21"/>
  <c r="AD15" i="21"/>
  <c r="AB15" i="21"/>
  <c r="AC15" i="21" s="1"/>
  <c r="Z15" i="21"/>
  <c r="Y15" i="21"/>
  <c r="X15" i="21"/>
  <c r="W15" i="21"/>
  <c r="F15" i="21"/>
  <c r="D15" i="21"/>
  <c r="C15" i="21"/>
  <c r="G16" i="24"/>
  <c r="H16" i="24" s="1"/>
  <c r="I16" i="24" s="1"/>
  <c r="J16" i="24" s="1"/>
  <c r="N16" i="31" s="1"/>
  <c r="G15" i="24"/>
  <c r="H15" i="24" s="1"/>
  <c r="I15" i="24" s="1"/>
  <c r="J15" i="24" s="1"/>
  <c r="N15" i="31" s="1"/>
  <c r="AF16" i="21" l="1"/>
  <c r="N16" i="29"/>
  <c r="O16" i="29" s="1"/>
  <c r="P16" i="29" s="1"/>
  <c r="K16" i="31" s="1"/>
  <c r="X16" i="22"/>
  <c r="AA16" i="22" s="1"/>
  <c r="AD16" i="22" s="1"/>
  <c r="I16" i="31" s="1"/>
  <c r="AF15" i="21"/>
  <c r="AK16" i="21"/>
  <c r="AA16" i="21"/>
  <c r="AP16" i="21"/>
  <c r="AK15" i="21"/>
  <c r="AA15" i="21"/>
  <c r="AP15" i="21"/>
  <c r="W16" i="22"/>
  <c r="X15" i="22"/>
  <c r="AA15" i="22" s="1"/>
  <c r="AD15" i="22" s="1"/>
  <c r="I15" i="31" s="1"/>
  <c r="W15" i="22"/>
  <c r="N15" i="29"/>
  <c r="O15" i="29" s="1"/>
  <c r="P15" i="29" s="1"/>
  <c r="K15" i="31" s="1"/>
  <c r="AQ16" i="21" l="1"/>
  <c r="AT16" i="21" s="1"/>
  <c r="AW16" i="21" s="1"/>
  <c r="E16" i="31" s="1"/>
  <c r="AQ15" i="21"/>
  <c r="AT15" i="21" s="1"/>
  <c r="AW15" i="21" s="1"/>
  <c r="E15" i="31" s="1"/>
  <c r="Y16" i="22"/>
  <c r="AB16" i="22" s="1"/>
  <c r="AE16" i="22" s="1"/>
  <c r="J16" i="31" s="1"/>
  <c r="T16" i="29"/>
  <c r="U16" i="29" s="1"/>
  <c r="V16" i="29" s="1"/>
  <c r="M16" i="31" s="1"/>
  <c r="AR15" i="21"/>
  <c r="AU15" i="21" s="1"/>
  <c r="AX15" i="21" s="1"/>
  <c r="F15" i="31" s="1"/>
  <c r="AR16" i="21"/>
  <c r="Z16" i="22"/>
  <c r="AC16" i="22" s="1"/>
  <c r="H16" i="31" s="1"/>
  <c r="Q15" i="29"/>
  <c r="R15" i="29" s="1"/>
  <c r="S15" i="29" s="1"/>
  <c r="L15" i="31" s="1"/>
  <c r="Z15" i="22"/>
  <c r="AC15" i="22" s="1"/>
  <c r="H15" i="31" s="1"/>
  <c r="Q16" i="29"/>
  <c r="R16" i="29" s="1"/>
  <c r="S16" i="29" s="1"/>
  <c r="L16" i="31" s="1"/>
  <c r="Y15" i="22"/>
  <c r="AB15" i="22" s="1"/>
  <c r="AE15" i="22" s="1"/>
  <c r="J15" i="31" s="1"/>
  <c r="T15" i="29"/>
  <c r="U15" i="29" s="1"/>
  <c r="V15" i="29" s="1"/>
  <c r="M15" i="31" s="1"/>
  <c r="AS16" i="21" l="1"/>
  <c r="AV16" i="21" s="1"/>
  <c r="AY16" i="21" s="1"/>
  <c r="G16" i="31" s="1"/>
  <c r="AS15" i="21"/>
  <c r="AV15" i="21" s="1"/>
  <c r="AY15" i="21" s="1"/>
  <c r="G15" i="31" s="1"/>
  <c r="AU16" i="21"/>
  <c r="AX16" i="21" s="1"/>
  <c r="F16" i="31" s="1"/>
  <c r="O16" i="31" l="1"/>
  <c r="P16" i="31" s="1"/>
  <c r="O15" i="31"/>
  <c r="P15" i="31" s="1"/>
  <c r="F10" i="22" l="1"/>
  <c r="D10" i="31"/>
  <c r="C10" i="31"/>
  <c r="B10" i="31"/>
  <c r="M10" i="29"/>
  <c r="L10" i="29"/>
  <c r="F10" i="29"/>
  <c r="D10" i="29"/>
  <c r="C10" i="29"/>
  <c r="V10" i="22"/>
  <c r="U10" i="22"/>
  <c r="T10" i="22"/>
  <c r="S10" i="22"/>
  <c r="R10" i="22"/>
  <c r="Q10" i="22"/>
  <c r="D10" i="22"/>
  <c r="C10" i="22"/>
  <c r="AO10" i="21"/>
  <c r="AN10" i="21"/>
  <c r="AL10" i="21"/>
  <c r="AM10" i="21" s="1"/>
  <c r="AJ10" i="21"/>
  <c r="AI10" i="21"/>
  <c r="AH10" i="21"/>
  <c r="AG10" i="21"/>
  <c r="AE10" i="21"/>
  <c r="AD10" i="21"/>
  <c r="AB10" i="21"/>
  <c r="AC10" i="21" s="1"/>
  <c r="Z10" i="21"/>
  <c r="Y10" i="21"/>
  <c r="X10" i="21"/>
  <c r="W10" i="21"/>
  <c r="F10" i="21"/>
  <c r="D10" i="21"/>
  <c r="C10" i="21"/>
  <c r="G10" i="24"/>
  <c r="H10" i="24" s="1"/>
  <c r="I10" i="24" s="1"/>
  <c r="J10" i="24" s="1"/>
  <c r="N10" i="31" s="1"/>
  <c r="AP10" i="21" l="1"/>
  <c r="X10" i="22"/>
  <c r="AA10" i="22" s="1"/>
  <c r="AD10" i="22" s="1"/>
  <c r="I10" i="31" s="1"/>
  <c r="N10" i="29"/>
  <c r="O10" i="29" s="1"/>
  <c r="P10" i="29" s="1"/>
  <c r="K10" i="31" s="1"/>
  <c r="W10" i="22"/>
  <c r="AA10" i="21"/>
  <c r="AF10" i="21"/>
  <c r="AK10" i="21"/>
  <c r="AR10" i="21" l="1"/>
  <c r="AU10" i="21" s="1"/>
  <c r="AX10" i="21" s="1"/>
  <c r="F10" i="31" s="1"/>
  <c r="AQ10" i="21"/>
  <c r="AT10" i="21" s="1"/>
  <c r="AW10" i="21" s="1"/>
  <c r="E10" i="31" s="1"/>
  <c r="Q10" i="29"/>
  <c r="R10" i="29" s="1"/>
  <c r="S10" i="29" s="1"/>
  <c r="L10" i="31" s="1"/>
  <c r="Z10" i="22"/>
  <c r="AC10" i="22" s="1"/>
  <c r="H10" i="31" s="1"/>
  <c r="T10" i="29"/>
  <c r="U10" i="29" s="1"/>
  <c r="V10" i="29" s="1"/>
  <c r="M10" i="31" s="1"/>
  <c r="Y10" i="22"/>
  <c r="AB10" i="22" s="1"/>
  <c r="AE10" i="22" s="1"/>
  <c r="J10" i="31" s="1"/>
  <c r="AS10" i="21" l="1"/>
  <c r="AV10" i="21" s="1"/>
  <c r="AY10" i="21" s="1"/>
  <c r="G10" i="31" s="1"/>
  <c r="O10" i="31" l="1"/>
  <c r="P10" i="31" s="1"/>
  <c r="C8" i="21" l="1"/>
  <c r="C9" i="21"/>
  <c r="D8" i="31" l="1"/>
  <c r="C8" i="31"/>
  <c r="B8" i="31"/>
  <c r="V8" i="22"/>
  <c r="U8" i="22"/>
  <c r="T8" i="22"/>
  <c r="S8" i="22"/>
  <c r="R8" i="22"/>
  <c r="Q8" i="22"/>
  <c r="F8" i="22"/>
  <c r="D8" i="22"/>
  <c r="C8" i="22"/>
  <c r="AO8" i="21"/>
  <c r="AN8" i="21"/>
  <c r="AL8" i="21"/>
  <c r="AM8" i="21" s="1"/>
  <c r="AJ8" i="21"/>
  <c r="AI8" i="21"/>
  <c r="AH8" i="21"/>
  <c r="AG8" i="21"/>
  <c r="AE8" i="21"/>
  <c r="AD8" i="21"/>
  <c r="AB8" i="21"/>
  <c r="AC8" i="21" s="1"/>
  <c r="Z8" i="21"/>
  <c r="Y8" i="21"/>
  <c r="X8" i="21"/>
  <c r="W8" i="21"/>
  <c r="F8" i="21"/>
  <c r="D8" i="21"/>
  <c r="G8" i="24"/>
  <c r="H8" i="24" s="1"/>
  <c r="I8" i="24" s="1"/>
  <c r="J8" i="24" s="1"/>
  <c r="N8" i="31" s="1"/>
  <c r="G9" i="24"/>
  <c r="H9" i="24" s="1"/>
  <c r="I9" i="24" s="1"/>
  <c r="J9" i="24" s="1"/>
  <c r="N9" i="31" s="1"/>
  <c r="D9" i="21"/>
  <c r="C9" i="22"/>
  <c r="D9" i="22"/>
  <c r="F9" i="22"/>
  <c r="Q9" i="22"/>
  <c r="R9" i="22"/>
  <c r="S9" i="22"/>
  <c r="T9" i="22"/>
  <c r="U9" i="22"/>
  <c r="V9" i="22"/>
  <c r="F9" i="21"/>
  <c r="W9" i="21"/>
  <c r="X9" i="21"/>
  <c r="Y9" i="21"/>
  <c r="Z9" i="21"/>
  <c r="AB9" i="21"/>
  <c r="AC9" i="21" s="1"/>
  <c r="AD9" i="21"/>
  <c r="AE9" i="21"/>
  <c r="AG9" i="21"/>
  <c r="AH9" i="21"/>
  <c r="AI9" i="21"/>
  <c r="AJ9" i="21"/>
  <c r="AL9" i="21"/>
  <c r="AM9" i="21" s="1"/>
  <c r="AN9" i="21"/>
  <c r="AO9" i="21"/>
  <c r="D9" i="31"/>
  <c r="C9" i="31"/>
  <c r="B9" i="31"/>
  <c r="M9" i="29"/>
  <c r="L9" i="29"/>
  <c r="F9" i="29"/>
  <c r="D9" i="29"/>
  <c r="C9" i="29"/>
  <c r="X8" i="22" l="1"/>
  <c r="AA8" i="21"/>
  <c r="AF8" i="21"/>
  <c r="K8" i="31"/>
  <c r="AP9" i="21"/>
  <c r="AK9" i="21"/>
  <c r="AF9" i="21"/>
  <c r="X9" i="22"/>
  <c r="AA9" i="22" s="1"/>
  <c r="AD9" i="22" s="1"/>
  <c r="I9" i="31" s="1"/>
  <c r="AK8" i="21"/>
  <c r="AP8" i="21"/>
  <c r="W8" i="22"/>
  <c r="N9" i="29"/>
  <c r="O9" i="29" s="1"/>
  <c r="P9" i="29" s="1"/>
  <c r="K9" i="31" s="1"/>
  <c r="W9" i="22"/>
  <c r="AA9" i="21"/>
  <c r="Z8" i="22" l="1"/>
  <c r="AC8" i="22" s="1"/>
  <c r="H8" i="31" s="1"/>
  <c r="Q8" i="29"/>
  <c r="R8" i="29" s="1"/>
  <c r="S8" i="29" s="1"/>
  <c r="L8" i="31" s="1"/>
  <c r="T8" i="29"/>
  <c r="U8" i="29" s="1"/>
  <c r="V8" i="29" s="1"/>
  <c r="M8" i="31" s="1"/>
  <c r="T9" i="29"/>
  <c r="U9" i="29" s="1"/>
  <c r="V9" i="29" s="1"/>
  <c r="M9" i="31" s="1"/>
  <c r="Y8" i="22"/>
  <c r="AB8" i="22" s="1"/>
  <c r="AE8" i="22" s="1"/>
  <c r="J8" i="31" s="1"/>
  <c r="Z9" i="22"/>
  <c r="AC9" i="22" s="1"/>
  <c r="H9" i="31" s="1"/>
  <c r="AQ8" i="21"/>
  <c r="AT8" i="21" s="1"/>
  <c r="AW8" i="21" s="1"/>
  <c r="E8" i="31" s="1"/>
  <c r="AA8" i="22"/>
  <c r="AD8" i="22" s="1"/>
  <c r="I8" i="31" s="1"/>
  <c r="AR9" i="21"/>
  <c r="AU9" i="21" s="1"/>
  <c r="AX9" i="21" s="1"/>
  <c r="F9" i="31" s="1"/>
  <c r="AQ9" i="21"/>
  <c r="AT9" i="21" s="1"/>
  <c r="AW9" i="21" s="1"/>
  <c r="E9" i="31" s="1"/>
  <c r="AR8" i="21"/>
  <c r="Y9" i="22"/>
  <c r="AB9" i="22" s="1"/>
  <c r="AE9" i="22" s="1"/>
  <c r="J9" i="31" s="1"/>
  <c r="Q9" i="29"/>
  <c r="R9" i="29" s="1"/>
  <c r="S9" i="29" s="1"/>
  <c r="L9" i="31" s="1"/>
  <c r="AS9" i="21" l="1"/>
  <c r="AV9" i="21" s="1"/>
  <c r="O9" i="31" s="1"/>
  <c r="P9" i="31" s="1"/>
  <c r="AU8" i="21"/>
  <c r="AX8" i="21" s="1"/>
  <c r="F8" i="31" s="1"/>
  <c r="AS8" i="21"/>
  <c r="AV8" i="21" s="1"/>
  <c r="AY9" i="21" l="1"/>
  <c r="G9" i="31" s="1"/>
  <c r="AY8" i="21"/>
  <c r="G8" i="31" s="1"/>
  <c r="O8" i="31"/>
  <c r="P8" i="31" s="1"/>
</calcChain>
</file>

<file path=xl/sharedStrings.xml><?xml version="1.0" encoding="utf-8"?>
<sst xmlns="http://schemas.openxmlformats.org/spreadsheetml/2006/main" count="327" uniqueCount="146">
  <si>
    <t>Nij</t>
  </si>
  <si>
    <t>P(head)</t>
  </si>
  <si>
    <t>P(Nij)</t>
  </si>
  <si>
    <t>P(chest)</t>
  </si>
  <si>
    <t>P(femur)</t>
  </si>
  <si>
    <t>P(Ntension)</t>
  </si>
  <si>
    <t>P(Neck)</t>
  </si>
  <si>
    <t>p(AIS 3+)</t>
  </si>
  <si>
    <t>P(AIS3+)</t>
  </si>
  <si>
    <t>Average</t>
  </si>
  <si>
    <t>Lower Spine (G's)</t>
  </si>
  <si>
    <t>Abd'm Force (N)</t>
  </si>
  <si>
    <t>Pubic Force (N)</t>
  </si>
  <si>
    <t>Driver</t>
  </si>
  <si>
    <t>P(abdm)</t>
  </si>
  <si>
    <t>P(pelvs)</t>
  </si>
  <si>
    <t>Passenger</t>
  </si>
  <si>
    <t>P(AIS 3+)</t>
  </si>
  <si>
    <t>rollover</t>
  </si>
  <si>
    <t>Make</t>
  </si>
  <si>
    <t>Model</t>
  </si>
  <si>
    <t>Year</t>
  </si>
  <si>
    <t>SSF</t>
  </si>
  <si>
    <t>P(Lfemur)</t>
  </si>
  <si>
    <t>P(Rfemur)</t>
  </si>
  <si>
    <t>HIC15</t>
  </si>
  <si>
    <t>P(HIC15)</t>
  </si>
  <si>
    <t>Test No.</t>
  </si>
  <si>
    <t>Driver HIII 50M</t>
  </si>
  <si>
    <t>Front Passenger HIII 5F</t>
  </si>
  <si>
    <t>Driver AIS 3+ injury to different body regions</t>
  </si>
  <si>
    <t>Front Passenger AIS 3+ injury to different body regions</t>
  </si>
  <si>
    <t>Stars</t>
  </si>
  <si>
    <t>Rib Defl
(mm)</t>
  </si>
  <si>
    <t>Neck Tension N</t>
  </si>
  <si>
    <t>Chest Deflection mm</t>
  </si>
  <si>
    <t>3 ms clip gs</t>
  </si>
  <si>
    <t>Left Femur Force N</t>
  </si>
  <si>
    <t>Right Femur Force N</t>
  </si>
  <si>
    <t>Abd'm defl (mm)</t>
  </si>
  <si>
    <t>Iliac+acet Force (N)</t>
  </si>
  <si>
    <t>Driver ES-2re</t>
  </si>
  <si>
    <t>Rear Passenger SID-IIs</t>
  </si>
  <si>
    <t>Driver Es-2re</t>
  </si>
  <si>
    <t>Side MDB</t>
  </si>
  <si>
    <t>stars</t>
  </si>
  <si>
    <t>Side pole</t>
  </si>
  <si>
    <t>Driver SID-IIs</t>
  </si>
  <si>
    <t>P(roll)</t>
  </si>
  <si>
    <t>Combined</t>
  </si>
  <si>
    <t>Front (STARS)</t>
  </si>
  <si>
    <t>comb.</t>
  </si>
  <si>
    <t>Side MDB (STARS)</t>
  </si>
  <si>
    <t>Pass</t>
  </si>
  <si>
    <t>Comb.</t>
  </si>
  <si>
    <t>Side Pole (STARS)</t>
  </si>
  <si>
    <t>Rollover (STARS)</t>
  </si>
  <si>
    <t>VSS</t>
  </si>
  <si>
    <t>STARS</t>
  </si>
  <si>
    <t>HIC36</t>
  </si>
  <si>
    <t>Overall Side</t>
  </si>
  <si>
    <t>Overall Side Star</t>
  </si>
  <si>
    <t>Neck Comprsn N</t>
  </si>
  <si>
    <t>P(Ncomprsn)</t>
  </si>
  <si>
    <t>P(NComprsn)</t>
  </si>
  <si>
    <t>RRS (front)</t>
  </si>
  <si>
    <t>RRS (MDB)</t>
  </si>
  <si>
    <t>RRS(pole)</t>
  </si>
  <si>
    <t>RRS(roll)</t>
  </si>
  <si>
    <t>Passenger*</t>
  </si>
  <si>
    <t>Dynamic Test (Y or N)</t>
  </si>
  <si>
    <t>TIP UP? (Y or N)</t>
  </si>
  <si>
    <t>Max. Abd'm rib defl (mm)</t>
  </si>
  <si>
    <t>Max. Thor. rib defl
(mm)</t>
  </si>
  <si>
    <t>Lower Spine result. (G's)</t>
  </si>
  <si>
    <t>Date on Web</t>
  </si>
  <si>
    <t>Lab</t>
  </si>
  <si>
    <t xml:space="preserve">RRS </t>
  </si>
  <si>
    <t>RRS(Overall side)</t>
  </si>
  <si>
    <t>P(Overall side)</t>
  </si>
  <si>
    <t>P(Overall MDB+pole Driver)</t>
  </si>
  <si>
    <t>RRS(Overall MDB+pole Driver)</t>
  </si>
  <si>
    <t>overall Driver stars</t>
  </si>
  <si>
    <t>Overall Side stars</t>
  </si>
  <si>
    <t>NHTSA No.</t>
  </si>
  <si>
    <t>MGA</t>
  </si>
  <si>
    <t>Toyota</t>
  </si>
  <si>
    <t>Overall Side Driver Star</t>
  </si>
  <si>
    <t>O20205100</t>
  </si>
  <si>
    <t>Y</t>
  </si>
  <si>
    <t>N</t>
  </si>
  <si>
    <t>KARCO</t>
  </si>
  <si>
    <t>Chevrolet</t>
  </si>
  <si>
    <t>Cadillac</t>
  </si>
  <si>
    <t>CAL</t>
  </si>
  <si>
    <t>Calspan</t>
  </si>
  <si>
    <t>XT6 SUV AWD</t>
  </si>
  <si>
    <t>XT6 SUV FWD</t>
  </si>
  <si>
    <t>Malibu 4DR FWD</t>
  </si>
  <si>
    <t>M20190118</t>
  </si>
  <si>
    <t>TRC</t>
  </si>
  <si>
    <t>Jeep</t>
  </si>
  <si>
    <t>Gladiator PU/CC 4WD</t>
  </si>
  <si>
    <t>Wrangler 4WD</t>
  </si>
  <si>
    <t>Kia</t>
  </si>
  <si>
    <t>Telluride SUV AWD</t>
  </si>
  <si>
    <t>Telluride SUV FWD</t>
  </si>
  <si>
    <t>Mitsubishi</t>
  </si>
  <si>
    <t>Eclipse Cross SUV AWD</t>
  </si>
  <si>
    <t>Eclipse Cross SUV FWD</t>
  </si>
  <si>
    <t>Subaru</t>
  </si>
  <si>
    <t>Legacy 4DR AWD</t>
  </si>
  <si>
    <t>Outback SW AWD</t>
  </si>
  <si>
    <t>WRX 4DR AWD</t>
  </si>
  <si>
    <t>Corolla 4DR FWD</t>
  </si>
  <si>
    <t>Corolla Hybrid 4DR FWD</t>
  </si>
  <si>
    <t>O20195100</t>
  </si>
  <si>
    <t>O20195101</t>
  </si>
  <si>
    <t>Volvo</t>
  </si>
  <si>
    <t>XC40 T5 SUV AWD</t>
  </si>
  <si>
    <t>XC40 T4 4DR FWD</t>
  </si>
  <si>
    <t>M20200307</t>
  </si>
  <si>
    <t>M20205602</t>
  </si>
  <si>
    <t>M20205601</t>
  </si>
  <si>
    <t>M20204219</t>
  </si>
  <si>
    <t>M20205600</t>
  </si>
  <si>
    <t>M20190121</t>
  </si>
  <si>
    <t>M20204220</t>
  </si>
  <si>
    <t>M20204218</t>
  </si>
  <si>
    <t>M20200310</t>
  </si>
  <si>
    <t>O20205501</t>
  </si>
  <si>
    <t>O20205500</t>
  </si>
  <si>
    <t>O20205504</t>
  </si>
  <si>
    <t>O20205503</t>
  </si>
  <si>
    <t>O20205902</t>
  </si>
  <si>
    <t>M20200110</t>
  </si>
  <si>
    <t>O20205901</t>
  </si>
  <si>
    <t>M20200107</t>
  </si>
  <si>
    <t>M20200109</t>
  </si>
  <si>
    <t>M20200108</t>
  </si>
  <si>
    <t>O20205900</t>
  </si>
  <si>
    <t>M20205501</t>
  </si>
  <si>
    <t>M20205502</t>
  </si>
  <si>
    <t>M20205500</t>
  </si>
  <si>
    <t>Karco</t>
  </si>
  <si>
    <t>O20205502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</si>
</sst>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[$-409]d\-mmm;@"/>
    <numFmt numFmtId="167" formatCode="[$-409]mmmm\-yy;@"/>
    <numFmt numFmtId="168" formatCode="_-* #,##0_-;\-* #,##0_-;_-* &quot;-&quot;_-;_-@_-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1"/>
      <name val="ＭＳ Ｐゴシック"/>
      <family val="3"/>
      <charset val="128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16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1" fillId="0" borderId="0"/>
  </cellStyleXfs>
  <cellXfs count="229">
    <xf numFmtId="0" fontId="0" fillId="0" borderId="0" xfId="0"/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5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3" fillId="0" borderId="1" xfId="1" applyFont="1" applyFill="1" applyBorder="1" applyAlignment="1" applyProtection="1">
      <alignment horizontal="center"/>
      <protection locked="0"/>
    </xf>
    <xf numFmtId="164" fontId="3" fillId="0" borderId="4" xfId="1" applyNumberFormat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 applyProtection="1">
      <alignment horizontal="center"/>
      <protection locked="0"/>
    </xf>
    <xf numFmtId="164" fontId="3" fillId="0" borderId="5" xfId="1" applyNumberFormat="1" applyFont="1" applyFill="1" applyBorder="1" applyAlignment="1" applyProtection="1">
      <alignment horizontal="center"/>
      <protection locked="0"/>
    </xf>
    <xf numFmtId="1" fontId="5" fillId="0" borderId="4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5" fillId="0" borderId="31" xfId="0" applyNumberFormat="1" applyFont="1" applyFill="1" applyBorder="1" applyAlignment="1">
      <alignment horizontal="center"/>
    </xf>
    <xf numFmtId="1" fontId="5" fillId="0" borderId="32" xfId="0" applyNumberFormat="1" applyFont="1" applyFill="1" applyBorder="1" applyAlignment="1">
      <alignment horizontal="center"/>
    </xf>
    <xf numFmtId="1" fontId="5" fillId="0" borderId="33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2" fontId="5" fillId="0" borderId="33" xfId="0" applyNumberFormat="1" applyFont="1" applyFill="1" applyBorder="1" applyAlignment="1">
      <alignment horizontal="center"/>
    </xf>
    <xf numFmtId="2" fontId="5" fillId="0" borderId="23" xfId="0" applyNumberFormat="1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2" fontId="5" fillId="0" borderId="33" xfId="0" applyNumberFormat="1" applyFont="1" applyFill="1" applyBorder="1" applyAlignment="1">
      <alignment horizontal="center" wrapText="1"/>
    </xf>
    <xf numFmtId="1" fontId="5" fillId="0" borderId="23" xfId="0" applyNumberFormat="1" applyFont="1" applyFill="1" applyBorder="1" applyAlignment="1">
      <alignment horizontal="center"/>
    </xf>
    <xf numFmtId="1" fontId="5" fillId="0" borderId="24" xfId="0" applyNumberFormat="1" applyFont="1" applyFill="1" applyBorder="1" applyAlignment="1">
      <alignment horizontal="center"/>
    </xf>
    <xf numFmtId="1" fontId="5" fillId="0" borderId="25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4" fontId="5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165" fontId="6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3" fillId="0" borderId="6" xfId="0" applyNumberFormat="1" applyFont="1" applyFill="1" applyBorder="1" applyAlignment="1" applyProtection="1">
      <alignment horizontal="center"/>
      <protection locked="0"/>
    </xf>
    <xf numFmtId="164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1" xfId="16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6" fillId="0" borderId="0" xfId="0" applyNumberFormat="1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/>
    </xf>
    <xf numFmtId="164" fontId="5" fillId="0" borderId="39" xfId="0" applyNumberFormat="1" applyFont="1" applyFill="1" applyBorder="1" applyAlignment="1">
      <alignment horizontal="center"/>
    </xf>
    <xf numFmtId="164" fontId="5" fillId="0" borderId="32" xfId="0" applyNumberFormat="1" applyFont="1" applyFill="1" applyBorder="1" applyAlignment="1">
      <alignment horizontal="center"/>
    </xf>
    <xf numFmtId="164" fontId="5" fillId="0" borderId="37" xfId="0" applyNumberFormat="1" applyFont="1" applyFill="1" applyBorder="1" applyAlignment="1">
      <alignment horizontal="center" wrapText="1"/>
    </xf>
    <xf numFmtId="164" fontId="5" fillId="0" borderId="32" xfId="0" applyNumberFormat="1" applyFont="1" applyFill="1" applyBorder="1" applyAlignment="1">
      <alignment horizontal="center" wrapText="1"/>
    </xf>
    <xf numFmtId="1" fontId="5" fillId="0" borderId="32" xfId="0" applyNumberFormat="1" applyFont="1" applyFill="1" applyBorder="1" applyAlignment="1">
      <alignment horizontal="center" wrapText="1"/>
    </xf>
    <xf numFmtId="1" fontId="5" fillId="0" borderId="3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 wrapText="1"/>
    </xf>
    <xf numFmtId="2" fontId="5" fillId="0" borderId="32" xfId="0" applyNumberFormat="1" applyFont="1" applyFill="1" applyBorder="1" applyAlignment="1">
      <alignment horizontal="center" wrapText="1"/>
    </xf>
    <xf numFmtId="1" fontId="5" fillId="0" borderId="3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 applyProtection="1">
      <alignment horizontal="center"/>
    </xf>
    <xf numFmtId="2" fontId="5" fillId="0" borderId="14" xfId="0" applyNumberFormat="1" applyFont="1" applyFill="1" applyBorder="1" applyAlignment="1" applyProtection="1">
      <alignment horizontal="center"/>
    </xf>
    <xf numFmtId="0" fontId="4" fillId="0" borderId="0" xfId="0" applyFont="1" applyFill="1"/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2" fontId="5" fillId="0" borderId="24" xfId="0" applyNumberFormat="1" applyFont="1" applyFill="1" applyBorder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>
      <alignment horizontal="center"/>
    </xf>
    <xf numFmtId="164" fontId="3" fillId="0" borderId="4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6" fillId="0" borderId="0" xfId="0" applyFont="1" applyFill="1"/>
    <xf numFmtId="0" fontId="5" fillId="0" borderId="4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5" fillId="0" borderId="1" xfId="17" applyFont="1" applyFill="1" applyBorder="1" applyAlignment="1">
      <alignment horizontal="center"/>
    </xf>
    <xf numFmtId="0" fontId="5" fillId="0" borderId="1" xfId="17" applyFont="1" applyFill="1" applyBorder="1" applyAlignment="1">
      <alignment horizontal="center" wrapText="1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" xfId="17" applyFont="1" applyFill="1" applyBorder="1" applyAlignment="1">
      <alignment horizontal="center"/>
    </xf>
    <xf numFmtId="0" fontId="3" fillId="0" borderId="1" xfId="17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Protection="1"/>
    <xf numFmtId="2" fontId="6" fillId="0" borderId="0" xfId="0" applyNumberFormat="1" applyFont="1" applyFill="1" applyProtection="1"/>
    <xf numFmtId="0" fontId="4" fillId="0" borderId="26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1" fontId="5" fillId="0" borderId="41" xfId="0" applyNumberFormat="1" applyFont="1" applyFill="1" applyBorder="1" applyAlignment="1">
      <alignment horizontal="center" wrapText="1"/>
    </xf>
    <xf numFmtId="2" fontId="5" fillId="0" borderId="18" xfId="0" applyNumberFormat="1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4" fillId="0" borderId="3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1" fontId="5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wrapText="1"/>
    </xf>
    <xf numFmtId="0" fontId="5" fillId="0" borderId="42" xfId="0" applyFont="1" applyFill="1" applyBorder="1" applyAlignment="1">
      <alignment horizontal="center"/>
    </xf>
    <xf numFmtId="1" fontId="5" fillId="0" borderId="42" xfId="0" applyNumberFormat="1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wrapText="1"/>
    </xf>
    <xf numFmtId="16" fontId="6" fillId="0" borderId="1" xfId="0" applyNumberFormat="1" applyFont="1" applyFill="1" applyBorder="1" applyAlignment="1"/>
    <xf numFmtId="3" fontId="5" fillId="0" borderId="7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0" xfId="0" applyFont="1" applyFill="1" applyAlignment="1"/>
    <xf numFmtId="0" fontId="3" fillId="0" borderId="0" xfId="0" applyFont="1" applyFill="1" applyAlignment="1"/>
    <xf numFmtId="1" fontId="5" fillId="0" borderId="0" xfId="0" applyNumberFormat="1" applyFont="1" applyFill="1" applyAlignment="1"/>
    <xf numFmtId="0" fontId="5" fillId="0" borderId="0" xfId="0" applyFont="1" applyFill="1" applyAlignment="1"/>
    <xf numFmtId="0" fontId="4" fillId="0" borderId="0" xfId="0" applyFont="1" applyFill="1" applyAlignment="1"/>
    <xf numFmtId="2" fontId="6" fillId="0" borderId="0" xfId="0" applyNumberFormat="1" applyFont="1" applyFill="1" applyAlignment="1"/>
    <xf numFmtId="1" fontId="5" fillId="0" borderId="26" xfId="0" applyNumberFormat="1" applyFont="1" applyFill="1" applyBorder="1" applyAlignment="1">
      <alignment horizontal="center"/>
    </xf>
    <xf numFmtId="1" fontId="5" fillId="0" borderId="27" xfId="0" applyNumberFormat="1" applyFont="1" applyFill="1" applyBorder="1" applyAlignment="1">
      <alignment horizontal="center"/>
    </xf>
    <xf numFmtId="0" fontId="5" fillId="0" borderId="27" xfId="0" applyNumberFormat="1" applyFont="1" applyFill="1" applyBorder="1" applyAlignment="1" applyProtection="1">
      <alignment horizontal="center"/>
    </xf>
    <xf numFmtId="164" fontId="5" fillId="0" borderId="28" xfId="0" applyNumberFormat="1" applyFont="1" applyFill="1" applyBorder="1" applyAlignment="1" applyProtection="1">
      <alignment horizontal="center"/>
    </xf>
    <xf numFmtId="1" fontId="5" fillId="0" borderId="28" xfId="0" applyNumberFormat="1" applyFont="1" applyFill="1" applyBorder="1" applyAlignment="1" applyProtection="1">
      <alignment horizontal="center"/>
    </xf>
    <xf numFmtId="164" fontId="5" fillId="0" borderId="34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/>
    </xf>
    <xf numFmtId="164" fontId="4" fillId="0" borderId="36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>
      <alignment horizontal="center"/>
    </xf>
    <xf numFmtId="164" fontId="5" fillId="0" borderId="38" xfId="0" applyNumberFormat="1" applyFont="1" applyFill="1" applyBorder="1" applyAlignment="1">
      <alignment horizontal="center"/>
    </xf>
    <xf numFmtId="164" fontId="4" fillId="0" borderId="0" xfId="0" applyNumberFormat="1" applyFont="1" applyFill="1"/>
    <xf numFmtId="0" fontId="5" fillId="0" borderId="24" xfId="0" applyNumberFormat="1" applyFont="1" applyFill="1" applyBorder="1" applyAlignment="1" applyProtection="1">
      <alignment horizontal="center"/>
    </xf>
    <xf numFmtId="164" fontId="5" fillId="0" borderId="30" xfId="0" applyNumberFormat="1" applyFont="1" applyFill="1" applyBorder="1" applyAlignment="1" applyProtection="1">
      <alignment horizontal="center"/>
    </xf>
    <xf numFmtId="1" fontId="5" fillId="0" borderId="25" xfId="0" applyNumberFormat="1" applyFont="1" applyFill="1" applyBorder="1" applyAlignment="1" applyProtection="1">
      <alignment horizontal="center"/>
    </xf>
    <xf numFmtId="164" fontId="5" fillId="0" borderId="31" xfId="0" applyNumberFormat="1" applyFont="1" applyFill="1" applyBorder="1" applyAlignment="1">
      <alignment horizontal="center" wrapText="1"/>
    </xf>
    <xf numFmtId="164" fontId="5" fillId="0" borderId="39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Alignment="1"/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/>
    <xf numFmtId="0" fontId="3" fillId="0" borderId="1" xfId="0" applyNumberFormat="1" applyFont="1" applyFill="1" applyBorder="1" applyAlignment="1" applyProtection="1">
      <alignment horizontal="center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/>
    <xf numFmtId="0" fontId="6" fillId="0" borderId="0" xfId="0" applyNumberFormat="1" applyFont="1" applyFill="1" applyProtection="1"/>
    <xf numFmtId="164" fontId="6" fillId="0" borderId="0" xfId="0" applyNumberFormat="1" applyFont="1" applyFill="1" applyProtection="1"/>
    <xf numFmtId="1" fontId="6" fillId="0" borderId="0" xfId="0" applyNumberFormat="1" applyFont="1" applyFill="1" applyProtection="1"/>
    <xf numFmtId="164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5" fillId="0" borderId="26" xfId="0" applyFont="1" applyFill="1" applyBorder="1" applyAlignment="1" applyProtection="1">
      <alignment horizontal="center"/>
      <protection locked="0"/>
    </xf>
    <xf numFmtId="0" fontId="5" fillId="0" borderId="27" xfId="0" applyFont="1" applyFill="1" applyBorder="1" applyAlignment="1" applyProtection="1">
      <alignment horizontal="center"/>
      <protection locked="0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/>
    </xf>
    <xf numFmtId="164" fontId="5" fillId="0" borderId="27" xfId="0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3" xfId="0" applyFont="1" applyFill="1" applyBorder="1" applyAlignment="1" applyProtection="1">
      <alignment horizontal="center"/>
      <protection locked="0"/>
    </xf>
    <xf numFmtId="0" fontId="5" fillId="0" borderId="30" xfId="0" applyFont="1" applyFill="1" applyBorder="1" applyAlignment="1" applyProtection="1">
      <alignment horizontal="center"/>
      <protection locked="0"/>
    </xf>
    <xf numFmtId="164" fontId="5" fillId="0" borderId="23" xfId="0" applyNumberFormat="1" applyFont="1" applyFill="1" applyBorder="1" applyAlignment="1">
      <alignment horizontal="center" wrapText="1"/>
    </xf>
    <xf numFmtId="164" fontId="5" fillId="0" borderId="24" xfId="0" applyNumberFormat="1" applyFont="1" applyFill="1" applyBorder="1" applyAlignment="1">
      <alignment horizontal="center" wrapText="1"/>
    </xf>
    <xf numFmtId="164" fontId="5" fillId="0" borderId="25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/>
    <xf numFmtId="0" fontId="5" fillId="0" borderId="28" xfId="0" applyFont="1" applyFill="1" applyBorder="1" applyAlignment="1"/>
    <xf numFmtId="164" fontId="4" fillId="0" borderId="35" xfId="0" applyNumberFormat="1" applyFont="1" applyFill="1" applyBorder="1" applyAlignment="1">
      <alignment horizontal="center"/>
    </xf>
    <xf numFmtId="2" fontId="5" fillId="0" borderId="34" xfId="0" applyNumberFormat="1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" fontId="5" fillId="0" borderId="38" xfId="0" applyNumberFormat="1" applyFont="1" applyFill="1" applyBorder="1" applyAlignment="1">
      <alignment horizontal="center"/>
    </xf>
    <xf numFmtId="1" fontId="5" fillId="0" borderId="30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center" wrapText="1"/>
    </xf>
    <xf numFmtId="2" fontId="5" fillId="0" borderId="37" xfId="0" applyNumberFormat="1" applyFont="1" applyFill="1" applyBorder="1" applyAlignment="1">
      <alignment horizontal="center"/>
    </xf>
    <xf numFmtId="2" fontId="9" fillId="0" borderId="32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" fontId="5" fillId="0" borderId="39" xfId="0" applyNumberFormat="1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5" xfId="1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/>
      <protection locked="0"/>
    </xf>
    <xf numFmtId="164" fontId="3" fillId="0" borderId="22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164" fontId="3" fillId="0" borderId="4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/>
    <xf numFmtId="2" fontId="6" fillId="0" borderId="0" xfId="0" applyNumberFormat="1" applyFont="1" applyFill="1"/>
    <xf numFmtId="1" fontId="4" fillId="0" borderId="0" xfId="0" applyNumberFormat="1" applyFont="1" applyFill="1"/>
    <xf numFmtId="1" fontId="4" fillId="0" borderId="0" xfId="0" applyNumberFormat="1" applyFont="1" applyFill="1" applyAlignment="1">
      <alignment horizontal="center"/>
    </xf>
  </cellXfs>
  <cellStyles count="18">
    <cellStyle name="Normal" xfId="0" builtinId="0"/>
    <cellStyle name="Normal 10 2" xfId="8"/>
    <cellStyle name="Normal 141" xfId="17"/>
    <cellStyle name="Normal 2" xfId="1"/>
    <cellStyle name="Normal 3" xfId="2"/>
    <cellStyle name="Normal 3 2" xfId="3"/>
    <cellStyle name="Normal 71" xfId="9"/>
    <cellStyle name="Normal 74" xfId="15"/>
    <cellStyle name="Normal 75" xfId="5"/>
    <cellStyle name="Normal 76" xfId="16"/>
    <cellStyle name="Normal 77" xfId="13"/>
    <cellStyle name="Normal 78" xfId="4"/>
    <cellStyle name="Normal 81" xfId="6"/>
    <cellStyle name="Normal 82" xfId="10"/>
    <cellStyle name="Standard 3 3" xfId="14"/>
    <cellStyle name="쉼표 [0] 2 4" xfId="12"/>
    <cellStyle name="표준 10" xfId="7"/>
    <cellStyle name="표준_Sheet1" xf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00080"/>
      <color rgb="FF0000FF"/>
      <color rgb="FF990099"/>
      <color rgb="FFB3B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2" sqref="A2"/>
    </sheetView>
  </sheetViews>
  <sheetFormatPr defaultColWidth="9.140625" defaultRowHeight="13.15" customHeight="1"/>
  <cols>
    <col min="1" max="1" width="13.5703125" style="98" customWidth="1"/>
    <col min="2" max="2" width="43.85546875" style="98" customWidth="1"/>
    <col min="3" max="3" width="4.5703125" style="90" bestFit="1" customWidth="1"/>
    <col min="4" max="4" width="4.42578125" style="90" bestFit="1" customWidth="1"/>
    <col min="5" max="5" width="18" style="90" bestFit="1" customWidth="1"/>
    <col min="6" max="6" width="13.140625" style="90" bestFit="1" customWidth="1"/>
    <col min="7" max="7" width="7.7109375" style="99" customWidth="1"/>
    <col min="8" max="8" width="7.42578125" style="99" bestFit="1" customWidth="1"/>
    <col min="9" max="9" width="7.7109375" style="100" bestFit="1" customWidth="1"/>
    <col min="10" max="10" width="7.140625" style="99" bestFit="1" customWidth="1"/>
    <col min="11" max="16384" width="9.140625" style="90"/>
  </cols>
  <sheetData>
    <row r="1" spans="1:10" s="76" customFormat="1" ht="13.15" customHeight="1" thickBot="1">
      <c r="A1" s="73"/>
      <c r="B1" s="73"/>
      <c r="C1" s="73"/>
      <c r="D1" s="73"/>
      <c r="E1" s="73"/>
      <c r="F1" s="73"/>
      <c r="G1" s="74"/>
      <c r="H1" s="74"/>
      <c r="I1" s="75"/>
      <c r="J1" s="74" t="s">
        <v>18</v>
      </c>
    </row>
    <row r="2" spans="1:10" s="76" customFormat="1" ht="13.15" customHeight="1" thickBot="1">
      <c r="A2" s="54" t="s">
        <v>19</v>
      </c>
      <c r="B2" s="77" t="s">
        <v>20</v>
      </c>
      <c r="C2" s="77" t="s">
        <v>21</v>
      </c>
      <c r="D2" s="77" t="s">
        <v>22</v>
      </c>
      <c r="E2" s="77" t="s">
        <v>70</v>
      </c>
      <c r="F2" s="78" t="s">
        <v>71</v>
      </c>
      <c r="G2" s="79" t="s">
        <v>48</v>
      </c>
      <c r="H2" s="80" t="s">
        <v>8</v>
      </c>
      <c r="I2" s="81" t="s">
        <v>68</v>
      </c>
      <c r="J2" s="82" t="s">
        <v>45</v>
      </c>
    </row>
    <row r="3" spans="1:10" ht="13.15" customHeight="1">
      <c r="A3" s="83" t="s">
        <v>93</v>
      </c>
      <c r="B3" s="49" t="s">
        <v>96</v>
      </c>
      <c r="C3" s="84">
        <v>2020</v>
      </c>
      <c r="D3" s="17">
        <v>1.26</v>
      </c>
      <c r="E3" s="9" t="s">
        <v>89</v>
      </c>
      <c r="F3" s="85" t="s">
        <v>90</v>
      </c>
      <c r="G3" s="86">
        <f t="shared" ref="G3:G5" si="0">IF(F3="Y",((1/(1+EXP(2.6968+(1.1686*LN(D3-0.9)))))),((1/(1+EXP(2.8891+(1.1686*(LN(D3-0.9))))))))</f>
        <v>0.15509342889208913</v>
      </c>
      <c r="H3" s="87">
        <f t="shared" ref="H3:H5" si="1">ROUND(G3,3)</f>
        <v>0.155</v>
      </c>
      <c r="I3" s="88">
        <f t="shared" ref="I3:I5" si="2">ROUND(H3/0.15,2)</f>
        <v>1.03</v>
      </c>
      <c r="J3" s="89">
        <f t="shared" ref="J3:J5" si="3">IF(I3&lt;0.673,5,IF(I3&lt;1.33,4,IF(I3&lt;2,3,IF(I3&lt;2.67,2,1))))</f>
        <v>4</v>
      </c>
    </row>
    <row r="4" spans="1:10" ht="13.15" customHeight="1">
      <c r="A4" s="83" t="s">
        <v>93</v>
      </c>
      <c r="B4" s="49" t="s">
        <v>97</v>
      </c>
      <c r="C4" s="84">
        <v>2020</v>
      </c>
      <c r="D4" s="17">
        <v>1.24</v>
      </c>
      <c r="E4" s="9" t="s">
        <v>89</v>
      </c>
      <c r="F4" s="85" t="s">
        <v>90</v>
      </c>
      <c r="G4" s="86">
        <f t="shared" si="0"/>
        <v>0.1640492476036079</v>
      </c>
      <c r="H4" s="87">
        <f t="shared" si="1"/>
        <v>0.16400000000000001</v>
      </c>
      <c r="I4" s="88">
        <f t="shared" si="2"/>
        <v>1.0900000000000001</v>
      </c>
      <c r="J4" s="89">
        <f t="shared" si="3"/>
        <v>4</v>
      </c>
    </row>
    <row r="5" spans="1:10" ht="13.15" customHeight="1">
      <c r="A5" s="91" t="s">
        <v>92</v>
      </c>
      <c r="B5" s="8" t="s">
        <v>98</v>
      </c>
      <c r="C5" s="84">
        <v>2020</v>
      </c>
      <c r="D5" s="92">
        <v>1.44</v>
      </c>
      <c r="E5" s="92" t="s">
        <v>90</v>
      </c>
      <c r="F5" s="92" t="s">
        <v>90</v>
      </c>
      <c r="G5" s="86">
        <f t="shared" si="0"/>
        <v>0.10256675558990924</v>
      </c>
      <c r="H5" s="87">
        <f t="shared" si="1"/>
        <v>0.10299999999999999</v>
      </c>
      <c r="I5" s="88">
        <f t="shared" si="2"/>
        <v>0.69</v>
      </c>
      <c r="J5" s="89">
        <f t="shared" si="3"/>
        <v>4</v>
      </c>
    </row>
    <row r="6" spans="1:10" ht="12.75" customHeight="1">
      <c r="A6" s="93" t="s">
        <v>101</v>
      </c>
      <c r="B6" s="94" t="s">
        <v>102</v>
      </c>
      <c r="C6" s="84">
        <v>2020</v>
      </c>
      <c r="D6" s="92">
        <v>1.1000000000000001</v>
      </c>
      <c r="E6" s="92" t="s">
        <v>89</v>
      </c>
      <c r="F6" s="92" t="s">
        <v>90</v>
      </c>
      <c r="G6" s="86">
        <f t="shared" ref="G6:G8" si="4">IF(F6="Y",((1/(1+EXP(2.6968+(1.1686*LN(D6-0.9)))))),((1/(1+EXP(2.8891+(1.1686*(LN(D6-0.9))))))))</f>
        <v>0.26731054913942764</v>
      </c>
      <c r="H6" s="87">
        <f t="shared" ref="H6:H8" si="5">ROUND(G6,3)</f>
        <v>0.26700000000000002</v>
      </c>
      <c r="I6" s="88">
        <f t="shared" ref="I6:I8" si="6">ROUND(H6/0.15,2)</f>
        <v>1.78</v>
      </c>
      <c r="J6" s="89">
        <f t="shared" ref="J6:J8" si="7">IF(I6&lt;0.673,5,IF(I6&lt;1.33,4,IF(I6&lt;2,3,IF(I6&lt;2.67,2,1))))</f>
        <v>3</v>
      </c>
    </row>
    <row r="7" spans="1:10" ht="13.15" customHeight="1">
      <c r="A7" s="93" t="s">
        <v>101</v>
      </c>
      <c r="B7" s="94" t="s">
        <v>103</v>
      </c>
      <c r="C7" s="84">
        <v>2020</v>
      </c>
      <c r="D7" s="92">
        <v>1.0900000000000001</v>
      </c>
      <c r="E7" s="92" t="s">
        <v>89</v>
      </c>
      <c r="F7" s="92" t="s">
        <v>90</v>
      </c>
      <c r="G7" s="86">
        <f t="shared" si="4"/>
        <v>0.27921284453167022</v>
      </c>
      <c r="H7" s="87">
        <f t="shared" si="5"/>
        <v>0.27900000000000003</v>
      </c>
      <c r="I7" s="88">
        <f t="shared" si="6"/>
        <v>1.86</v>
      </c>
      <c r="J7" s="89">
        <f t="shared" si="7"/>
        <v>3</v>
      </c>
    </row>
    <row r="8" spans="1:10" ht="13.15" customHeight="1">
      <c r="A8" s="93" t="s">
        <v>104</v>
      </c>
      <c r="B8" s="94" t="s">
        <v>105</v>
      </c>
      <c r="C8" s="84">
        <v>2020</v>
      </c>
      <c r="D8" s="17">
        <v>1.29</v>
      </c>
      <c r="E8" s="92" t="s">
        <v>89</v>
      </c>
      <c r="F8" s="92" t="s">
        <v>90</v>
      </c>
      <c r="G8" s="86">
        <f t="shared" si="4"/>
        <v>0.14322773155168095</v>
      </c>
      <c r="H8" s="87">
        <f t="shared" si="5"/>
        <v>0.14299999999999999</v>
      </c>
      <c r="I8" s="88">
        <f t="shared" si="6"/>
        <v>0.95</v>
      </c>
      <c r="J8" s="89">
        <f t="shared" si="7"/>
        <v>4</v>
      </c>
    </row>
    <row r="9" spans="1:10" ht="13.15" customHeight="1">
      <c r="A9" s="93" t="s">
        <v>104</v>
      </c>
      <c r="B9" s="94" t="s">
        <v>106</v>
      </c>
      <c r="C9" s="84">
        <v>2020</v>
      </c>
      <c r="D9" s="92">
        <v>1.26</v>
      </c>
      <c r="E9" s="92" t="s">
        <v>89</v>
      </c>
      <c r="F9" s="92" t="s">
        <v>90</v>
      </c>
      <c r="G9" s="86">
        <f t="shared" ref="G9:G16" si="8">IF(F9="Y",((1/(1+EXP(2.6968+(1.1686*LN(D9-0.9)))))),((1/(1+EXP(2.8891+(1.1686*(LN(D9-0.9))))))))</f>
        <v>0.15509342889208913</v>
      </c>
      <c r="H9" s="87">
        <f t="shared" ref="H9:H16" si="9">ROUND(G9,3)</f>
        <v>0.155</v>
      </c>
      <c r="I9" s="88">
        <f t="shared" ref="I9:I16" si="10">ROUND(H9/0.15,2)</f>
        <v>1.03</v>
      </c>
      <c r="J9" s="89">
        <f t="shared" ref="J9:J16" si="11">IF(I9&lt;0.673,5,IF(I9&lt;1.33,4,IF(I9&lt;2,3,IF(I9&lt;2.67,2,1))))</f>
        <v>4</v>
      </c>
    </row>
    <row r="10" spans="1:10" ht="13.15" customHeight="1">
      <c r="A10" s="93" t="s">
        <v>107</v>
      </c>
      <c r="B10" s="94" t="s">
        <v>108</v>
      </c>
      <c r="C10" s="84">
        <v>2020</v>
      </c>
      <c r="D10" s="92">
        <v>1.2</v>
      </c>
      <c r="E10" s="92" t="s">
        <v>89</v>
      </c>
      <c r="F10" s="92" t="s">
        <v>90</v>
      </c>
      <c r="G10" s="86">
        <f t="shared" si="8"/>
        <v>0.1851047975833634</v>
      </c>
      <c r="H10" s="87">
        <f t="shared" si="9"/>
        <v>0.185</v>
      </c>
      <c r="I10" s="88">
        <f t="shared" si="10"/>
        <v>1.23</v>
      </c>
      <c r="J10" s="89">
        <f t="shared" si="11"/>
        <v>4</v>
      </c>
    </row>
    <row r="11" spans="1:10" ht="13.15" customHeight="1">
      <c r="A11" s="93" t="s">
        <v>107</v>
      </c>
      <c r="B11" s="94" t="s">
        <v>109</v>
      </c>
      <c r="C11" s="84">
        <v>2020</v>
      </c>
      <c r="D11" s="92">
        <v>1.2</v>
      </c>
      <c r="E11" s="92" t="s">
        <v>89</v>
      </c>
      <c r="F11" s="92" t="s">
        <v>90</v>
      </c>
      <c r="G11" s="86">
        <f t="shared" si="8"/>
        <v>0.1851047975833634</v>
      </c>
      <c r="H11" s="87">
        <f t="shared" si="9"/>
        <v>0.185</v>
      </c>
      <c r="I11" s="88">
        <f t="shared" si="10"/>
        <v>1.23</v>
      </c>
      <c r="J11" s="89">
        <f t="shared" si="11"/>
        <v>4</v>
      </c>
    </row>
    <row r="12" spans="1:10" ht="13.15" customHeight="1">
      <c r="A12" s="93" t="s">
        <v>110</v>
      </c>
      <c r="B12" s="94" t="s">
        <v>111</v>
      </c>
      <c r="C12" s="84">
        <v>2020</v>
      </c>
      <c r="D12" s="92">
        <v>1.45</v>
      </c>
      <c r="E12" s="92" t="s">
        <v>90</v>
      </c>
      <c r="F12" s="95" t="s">
        <v>90</v>
      </c>
      <c r="G12" s="86">
        <f t="shared" si="8"/>
        <v>0.10060976640917974</v>
      </c>
      <c r="H12" s="87">
        <f t="shared" si="9"/>
        <v>0.10100000000000001</v>
      </c>
      <c r="I12" s="88">
        <f t="shared" si="10"/>
        <v>0.67</v>
      </c>
      <c r="J12" s="89">
        <f t="shared" si="11"/>
        <v>5</v>
      </c>
    </row>
    <row r="13" spans="1:10" ht="13.15" customHeight="1">
      <c r="A13" s="93" t="s">
        <v>110</v>
      </c>
      <c r="B13" s="94" t="s">
        <v>112</v>
      </c>
      <c r="C13" s="84">
        <v>2020</v>
      </c>
      <c r="D13" s="92">
        <v>1.2</v>
      </c>
      <c r="E13" s="92" t="s">
        <v>89</v>
      </c>
      <c r="F13" s="95" t="s">
        <v>90</v>
      </c>
      <c r="G13" s="86">
        <f t="shared" si="8"/>
        <v>0.1851047975833634</v>
      </c>
      <c r="H13" s="87">
        <f t="shared" si="9"/>
        <v>0.185</v>
      </c>
      <c r="I13" s="88">
        <f t="shared" si="10"/>
        <v>1.23</v>
      </c>
      <c r="J13" s="89">
        <f t="shared" si="11"/>
        <v>4</v>
      </c>
    </row>
    <row r="14" spans="1:10" ht="13.15" customHeight="1">
      <c r="A14" s="93" t="s">
        <v>110</v>
      </c>
      <c r="B14" s="94" t="s">
        <v>113</v>
      </c>
      <c r="C14" s="84">
        <v>2020</v>
      </c>
      <c r="D14" s="92">
        <v>1.45</v>
      </c>
      <c r="E14" s="92" t="s">
        <v>90</v>
      </c>
      <c r="F14" s="92" t="s">
        <v>90</v>
      </c>
      <c r="G14" s="86">
        <f t="shared" si="8"/>
        <v>0.10060976640917974</v>
      </c>
      <c r="H14" s="87">
        <f t="shared" si="9"/>
        <v>0.10100000000000001</v>
      </c>
      <c r="I14" s="88">
        <f t="shared" si="10"/>
        <v>0.67</v>
      </c>
      <c r="J14" s="89">
        <f t="shared" si="11"/>
        <v>5</v>
      </c>
    </row>
    <row r="15" spans="1:10" ht="13.15" customHeight="1">
      <c r="A15" s="93" t="s">
        <v>86</v>
      </c>
      <c r="B15" s="94" t="s">
        <v>114</v>
      </c>
      <c r="C15" s="84">
        <v>2020</v>
      </c>
      <c r="D15" s="17">
        <v>1.43</v>
      </c>
      <c r="E15" s="92" t="s">
        <v>90</v>
      </c>
      <c r="F15" s="95" t="s">
        <v>90</v>
      </c>
      <c r="G15" s="86">
        <f t="shared" si="8"/>
        <v>0.10459491849361911</v>
      </c>
      <c r="H15" s="87">
        <f t="shared" si="9"/>
        <v>0.105</v>
      </c>
      <c r="I15" s="88">
        <f t="shared" si="10"/>
        <v>0.7</v>
      </c>
      <c r="J15" s="89">
        <f t="shared" si="11"/>
        <v>4</v>
      </c>
    </row>
    <row r="16" spans="1:10" ht="13.15" customHeight="1">
      <c r="A16" s="96" t="s">
        <v>86</v>
      </c>
      <c r="B16" s="97" t="s">
        <v>115</v>
      </c>
      <c r="C16" s="84">
        <v>2020</v>
      </c>
      <c r="D16" s="17">
        <v>1.43</v>
      </c>
      <c r="E16" s="92" t="s">
        <v>90</v>
      </c>
      <c r="F16" s="95" t="s">
        <v>90</v>
      </c>
      <c r="G16" s="86">
        <f t="shared" si="8"/>
        <v>0.10459491849361911</v>
      </c>
      <c r="H16" s="87">
        <f t="shared" si="9"/>
        <v>0.105</v>
      </c>
      <c r="I16" s="88">
        <f t="shared" si="10"/>
        <v>0.7</v>
      </c>
      <c r="J16" s="89">
        <f t="shared" si="11"/>
        <v>4</v>
      </c>
    </row>
    <row r="17" spans="1:10" ht="13.15" customHeight="1">
      <c r="A17" s="93" t="s">
        <v>118</v>
      </c>
      <c r="B17" s="94" t="s">
        <v>119</v>
      </c>
      <c r="C17" s="84">
        <v>2020</v>
      </c>
      <c r="D17" s="17">
        <v>1.24</v>
      </c>
      <c r="E17" s="92" t="s">
        <v>89</v>
      </c>
      <c r="F17" s="92" t="s">
        <v>90</v>
      </c>
      <c r="G17" s="86">
        <f t="shared" ref="G17:G18" si="12">IF(F17="Y",((1/(1+EXP(2.6968+(1.1686*LN(D17-0.9)))))),((1/(1+EXP(2.8891+(1.1686*(LN(D17-0.9))))))))</f>
        <v>0.1640492476036079</v>
      </c>
      <c r="H17" s="87">
        <f t="shared" ref="H17:H18" si="13">ROUND(G17,3)</f>
        <v>0.16400000000000001</v>
      </c>
      <c r="I17" s="88">
        <f t="shared" ref="I17:I18" si="14">ROUND(H17/0.15,2)</f>
        <v>1.0900000000000001</v>
      </c>
      <c r="J17" s="89">
        <f t="shared" ref="J17:J18" si="15">IF(I17&lt;0.673,5,IF(I17&lt;1.33,4,IF(I17&lt;2,3,IF(I17&lt;2.67,2,1))))</f>
        <v>4</v>
      </c>
    </row>
    <row r="18" spans="1:10" ht="13.15" customHeight="1">
      <c r="A18" s="93" t="s">
        <v>118</v>
      </c>
      <c r="B18" s="94" t="s">
        <v>120</v>
      </c>
      <c r="C18" s="84">
        <v>2020</v>
      </c>
      <c r="D18" s="17">
        <v>1.26</v>
      </c>
      <c r="E18" s="92" t="s">
        <v>89</v>
      </c>
      <c r="F18" s="92" t="s">
        <v>90</v>
      </c>
      <c r="G18" s="86">
        <f t="shared" si="12"/>
        <v>0.15509342889208913</v>
      </c>
      <c r="H18" s="87">
        <f t="shared" si="13"/>
        <v>0.155</v>
      </c>
      <c r="I18" s="88">
        <f t="shared" si="14"/>
        <v>1.03</v>
      </c>
      <c r="J18" s="89">
        <f t="shared" si="15"/>
        <v>4</v>
      </c>
    </row>
  </sheetData>
  <phoneticPr fontId="3" type="noConversion"/>
  <pageMargins left="0.25" right="0.2" top="0.25" bottom="0.2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workbookViewId="0">
      <pane xSplit="6" ySplit="2" topLeftCell="G3" activePane="bottomRight" state="frozen"/>
      <selection activeCell="B24" sqref="B24"/>
      <selection pane="topRight" activeCell="B24" sqref="B24"/>
      <selection pane="bottomLeft" activeCell="B24" sqref="B24"/>
      <selection pane="bottomRight" activeCell="A2" sqref="A2"/>
    </sheetView>
  </sheetViews>
  <sheetFormatPr defaultRowHeight="12.75"/>
  <cols>
    <col min="1" max="1" width="8.140625" style="223" customWidth="1"/>
    <col min="2" max="2" width="9.85546875" style="223" bestFit="1" customWidth="1"/>
    <col min="3" max="3" width="13.5703125" style="224" bestFit="1" customWidth="1"/>
    <col min="4" max="4" width="36.140625" style="224" bestFit="1" customWidth="1"/>
    <col min="5" max="5" width="7.42578125" style="224" customWidth="1"/>
    <col min="6" max="6" width="8.28515625" style="224" customWidth="1"/>
    <col min="7" max="7" width="6.5703125" style="225" bestFit="1" customWidth="1"/>
    <col min="8" max="8" width="4.85546875" style="225" bestFit="1" customWidth="1"/>
    <col min="9" max="9" width="7.42578125" style="225" bestFit="1" customWidth="1"/>
    <col min="10" max="10" width="8.42578125" style="225" bestFit="1" customWidth="1"/>
    <col min="11" max="11" width="7.85546875" style="225" bestFit="1" customWidth="1"/>
    <col min="12" max="12" width="8" style="225" bestFit="1" customWidth="1"/>
    <col min="13" max="13" width="8.85546875" style="225" customWidth="1"/>
    <col min="14" max="14" width="8.28515625" style="225" bestFit="1" customWidth="1"/>
    <col min="15" max="15" width="6.5703125" style="225" bestFit="1" customWidth="1"/>
    <col min="16" max="16" width="4.85546875" style="225" bestFit="1" customWidth="1"/>
    <col min="17" max="17" width="8.7109375" style="225" customWidth="1"/>
    <col min="18" max="18" width="8.42578125" style="225" bestFit="1" customWidth="1"/>
    <col min="19" max="19" width="7.85546875" style="225" bestFit="1" customWidth="1"/>
    <col min="20" max="20" width="8" style="225" bestFit="1" customWidth="1"/>
    <col min="21" max="21" width="7.42578125" style="225" bestFit="1" customWidth="1"/>
    <col min="22" max="22" width="8.7109375" style="225" customWidth="1"/>
    <col min="23" max="23" width="7.42578125" style="226" bestFit="1" customWidth="1"/>
    <col min="24" max="24" width="5.28515625" style="226" bestFit="1" customWidth="1"/>
    <col min="25" max="25" width="10.140625" style="226" bestFit="1" customWidth="1"/>
    <col min="26" max="26" width="11.28515625" style="226" bestFit="1" customWidth="1"/>
    <col min="27" max="27" width="7.28515625" style="226" customWidth="1"/>
    <col min="28" max="28" width="7.5703125" style="226" bestFit="1" customWidth="1"/>
    <col min="29" max="29" width="7.5703125" style="90" bestFit="1" customWidth="1"/>
    <col min="30" max="31" width="9" style="90" bestFit="1" customWidth="1"/>
    <col min="32" max="32" width="8" style="90" bestFit="1" customWidth="1"/>
    <col min="33" max="33" width="7.42578125" style="90" bestFit="1" customWidth="1"/>
    <col min="34" max="34" width="5" style="90" bestFit="1" customWidth="1"/>
    <col min="35" max="35" width="10.140625" style="90" bestFit="1" customWidth="1"/>
    <col min="36" max="36" width="11.5703125" style="90" bestFit="1" customWidth="1"/>
    <col min="37" max="37" width="7" style="90" bestFit="1" customWidth="1"/>
    <col min="38" max="39" width="7.5703125" style="90" bestFit="1" customWidth="1"/>
    <col min="40" max="41" width="9" style="90" bestFit="1" customWidth="1"/>
    <col min="42" max="42" width="8" style="90" bestFit="1" customWidth="1"/>
    <col min="43" max="43" width="7.5703125" style="90" customWidth="1"/>
    <col min="44" max="44" width="9.5703125" style="90" bestFit="1" customWidth="1"/>
    <col min="45" max="45" width="7.140625" style="90" bestFit="1" customWidth="1"/>
    <col min="46" max="46" width="5.7109375" style="226" bestFit="1" customWidth="1"/>
    <col min="47" max="47" width="9.5703125" style="226" bestFit="1" customWidth="1"/>
    <col min="48" max="48" width="5.85546875" style="226" bestFit="1" customWidth="1"/>
    <col min="49" max="49" width="5.7109375" style="227" bestFit="1" customWidth="1"/>
    <col min="50" max="50" width="9.5703125" style="227" bestFit="1" customWidth="1"/>
    <col min="51" max="51" width="5.85546875" style="228" bestFit="1" customWidth="1"/>
    <col min="52" max="16384" width="9.140625" style="90"/>
  </cols>
  <sheetData>
    <row r="1" spans="1:51" s="132" customFormat="1" ht="13.5" thickBot="1">
      <c r="A1" s="188"/>
      <c r="B1" s="169"/>
      <c r="C1" s="189"/>
      <c r="D1" s="189"/>
      <c r="E1" s="190"/>
      <c r="F1" s="190"/>
      <c r="G1" s="142" t="s">
        <v>28</v>
      </c>
      <c r="H1" s="191"/>
      <c r="I1" s="191"/>
      <c r="J1" s="191"/>
      <c r="K1" s="191"/>
      <c r="L1" s="191"/>
      <c r="M1" s="191"/>
      <c r="N1" s="143"/>
      <c r="O1" s="142" t="s">
        <v>29</v>
      </c>
      <c r="P1" s="191"/>
      <c r="Q1" s="191"/>
      <c r="R1" s="191"/>
      <c r="S1" s="191"/>
      <c r="T1" s="191"/>
      <c r="U1" s="191"/>
      <c r="V1" s="143"/>
      <c r="W1" s="192" t="s">
        <v>30</v>
      </c>
      <c r="X1" s="193"/>
      <c r="Y1" s="193"/>
      <c r="Z1" s="193"/>
      <c r="AA1" s="193"/>
      <c r="AB1" s="193"/>
      <c r="AC1" s="193"/>
      <c r="AD1" s="193"/>
      <c r="AE1" s="193"/>
      <c r="AF1" s="194"/>
      <c r="AG1" s="192" t="s">
        <v>31</v>
      </c>
      <c r="AH1" s="193"/>
      <c r="AI1" s="193"/>
      <c r="AJ1" s="193"/>
      <c r="AK1" s="193"/>
      <c r="AL1" s="193"/>
      <c r="AM1" s="193"/>
      <c r="AN1" s="193"/>
      <c r="AO1" s="193"/>
      <c r="AP1" s="194"/>
      <c r="AQ1" s="195" t="s">
        <v>13</v>
      </c>
      <c r="AR1" s="196" t="s">
        <v>16</v>
      </c>
      <c r="AS1" s="197" t="s">
        <v>9</v>
      </c>
      <c r="AT1" s="34" t="s">
        <v>13</v>
      </c>
      <c r="AU1" s="35" t="s">
        <v>16</v>
      </c>
      <c r="AV1" s="36" t="s">
        <v>51</v>
      </c>
      <c r="AW1" s="198" t="s">
        <v>13</v>
      </c>
      <c r="AX1" s="39" t="s">
        <v>16</v>
      </c>
      <c r="AY1" s="199" t="s">
        <v>51</v>
      </c>
    </row>
    <row r="2" spans="1:51" s="6" customFormat="1" ht="34.5" thickBot="1">
      <c r="A2" s="54" t="s">
        <v>27</v>
      </c>
      <c r="B2" s="200" t="s">
        <v>84</v>
      </c>
      <c r="C2" s="54" t="s">
        <v>19</v>
      </c>
      <c r="D2" s="77" t="s">
        <v>20</v>
      </c>
      <c r="E2" s="200" t="s">
        <v>76</v>
      </c>
      <c r="F2" s="78" t="s">
        <v>21</v>
      </c>
      <c r="G2" s="58" t="s">
        <v>25</v>
      </c>
      <c r="H2" s="60" t="s">
        <v>0</v>
      </c>
      <c r="I2" s="62" t="s">
        <v>34</v>
      </c>
      <c r="J2" s="62" t="s">
        <v>62</v>
      </c>
      <c r="K2" s="62" t="s">
        <v>35</v>
      </c>
      <c r="L2" s="62" t="s">
        <v>36</v>
      </c>
      <c r="M2" s="62" t="s">
        <v>37</v>
      </c>
      <c r="N2" s="201" t="s">
        <v>38</v>
      </c>
      <c r="O2" s="58" t="s">
        <v>25</v>
      </c>
      <c r="P2" s="60" t="s">
        <v>0</v>
      </c>
      <c r="Q2" s="62" t="s">
        <v>34</v>
      </c>
      <c r="R2" s="62" t="s">
        <v>62</v>
      </c>
      <c r="S2" s="62" t="s">
        <v>35</v>
      </c>
      <c r="T2" s="62" t="s">
        <v>36</v>
      </c>
      <c r="U2" s="62" t="s">
        <v>37</v>
      </c>
      <c r="V2" s="201" t="s">
        <v>38</v>
      </c>
      <c r="W2" s="202" t="s">
        <v>26</v>
      </c>
      <c r="X2" s="203" t="s">
        <v>2</v>
      </c>
      <c r="Y2" s="32" t="s">
        <v>5</v>
      </c>
      <c r="Z2" s="32" t="s">
        <v>63</v>
      </c>
      <c r="AA2" s="203" t="s">
        <v>6</v>
      </c>
      <c r="AB2" s="32" t="s">
        <v>3</v>
      </c>
      <c r="AC2" s="204" t="s">
        <v>3</v>
      </c>
      <c r="AD2" s="204" t="s">
        <v>23</v>
      </c>
      <c r="AE2" s="204" t="s">
        <v>24</v>
      </c>
      <c r="AF2" s="205" t="s">
        <v>4</v>
      </c>
      <c r="AG2" s="58" t="s">
        <v>26</v>
      </c>
      <c r="AH2" s="60" t="s">
        <v>2</v>
      </c>
      <c r="AI2" s="60" t="s">
        <v>5</v>
      </c>
      <c r="AJ2" s="60" t="s">
        <v>64</v>
      </c>
      <c r="AK2" s="60" t="s">
        <v>6</v>
      </c>
      <c r="AL2" s="60" t="s">
        <v>3</v>
      </c>
      <c r="AM2" s="60" t="s">
        <v>3</v>
      </c>
      <c r="AN2" s="60" t="s">
        <v>23</v>
      </c>
      <c r="AO2" s="60" t="s">
        <v>24</v>
      </c>
      <c r="AP2" s="206" t="s">
        <v>4</v>
      </c>
      <c r="AQ2" s="41" t="s">
        <v>7</v>
      </c>
      <c r="AR2" s="115" t="s">
        <v>8</v>
      </c>
      <c r="AS2" s="207" t="s">
        <v>8</v>
      </c>
      <c r="AT2" s="67" t="s">
        <v>65</v>
      </c>
      <c r="AU2" s="68" t="s">
        <v>65</v>
      </c>
      <c r="AV2" s="37" t="s">
        <v>65</v>
      </c>
      <c r="AW2" s="69" t="s">
        <v>45</v>
      </c>
      <c r="AX2" s="63" t="s">
        <v>45</v>
      </c>
      <c r="AY2" s="208" t="s">
        <v>32</v>
      </c>
    </row>
    <row r="3" spans="1:51" ht="13.15" customHeight="1">
      <c r="A3" s="209">
        <v>10918</v>
      </c>
      <c r="B3" s="210" t="s">
        <v>137</v>
      </c>
      <c r="C3" s="211" t="str">
        <f>Rollover!A3</f>
        <v>Cadillac</v>
      </c>
      <c r="D3" s="212" t="str">
        <f>Rollover!B3</f>
        <v>XT6 SUV AWD</v>
      </c>
      <c r="E3" s="184" t="s">
        <v>100</v>
      </c>
      <c r="F3" s="213">
        <f>Rollover!C3</f>
        <v>2020</v>
      </c>
      <c r="G3" s="18">
        <v>166.70500000000001</v>
      </c>
      <c r="H3" s="19">
        <v>0.25</v>
      </c>
      <c r="I3" s="19">
        <v>830.36900000000003</v>
      </c>
      <c r="J3" s="19">
        <v>125.55200000000001</v>
      </c>
      <c r="K3" s="19">
        <v>13.05</v>
      </c>
      <c r="L3" s="19">
        <v>43.848999999999997</v>
      </c>
      <c r="M3" s="19">
        <v>716.2</v>
      </c>
      <c r="N3" s="20">
        <v>1591.5889999999999</v>
      </c>
      <c r="O3" s="18">
        <v>305.12599999999998</v>
      </c>
      <c r="P3" s="19">
        <v>0.378</v>
      </c>
      <c r="Q3" s="19">
        <v>688.63900000000001</v>
      </c>
      <c r="R3" s="19">
        <v>314.57100000000003</v>
      </c>
      <c r="S3" s="19">
        <v>15.186</v>
      </c>
      <c r="T3" s="19">
        <v>43.725000000000001</v>
      </c>
      <c r="U3" s="19">
        <v>41.113</v>
      </c>
      <c r="V3" s="20">
        <v>24.457999999999998</v>
      </c>
      <c r="W3" s="214">
        <f t="shared" ref="W3:W5" si="0">NORMDIST(LN(G3),7.45231,0.73998,1)</f>
        <v>7.9712731409580938E-4</v>
      </c>
      <c r="X3" s="5">
        <f t="shared" ref="X3:X5" si="1">1/(1+EXP(3.2269-1.9688*H3))</f>
        <v>6.0956574927221202E-2</v>
      </c>
      <c r="Y3" s="5">
        <f t="shared" ref="Y3:Y5" si="2">1/(1+EXP(10.9745-2.375*I3/1000))</f>
        <v>1.2310206688226865E-4</v>
      </c>
      <c r="Z3" s="5">
        <f t="shared" ref="Z3:Z5" si="3">1/(1+EXP(10.9745-2.375*J3/1000))</f>
        <v>2.308477877658359E-5</v>
      </c>
      <c r="AA3" s="5">
        <f t="shared" ref="AA3:AA5" si="4">MAX(X3,Y3,Z3)</f>
        <v>6.0956574927221202E-2</v>
      </c>
      <c r="AB3" s="5">
        <f t="shared" ref="AB3:AB5" si="5">1/(1+EXP(12.597-0.05861*35-1.568*(K3^0.4612)))</f>
        <v>4.4136812246547193E-3</v>
      </c>
      <c r="AC3" s="5">
        <f t="shared" ref="AC3:AC5" si="6">AB3</f>
        <v>4.4136812246547193E-3</v>
      </c>
      <c r="AD3" s="5">
        <f t="shared" ref="AD3:AD5" si="7">1/(1+EXP(5.7949-0.5196*M3/1000))</f>
        <v>4.3955276578112826E-3</v>
      </c>
      <c r="AE3" s="5">
        <f t="shared" ref="AE3:AE5" si="8">1/(1+EXP(5.7949-0.5196*N3/1000))</f>
        <v>6.909597204331765E-3</v>
      </c>
      <c r="AF3" s="24">
        <f t="shared" ref="AF3:AF5" si="9">MAX(AD3,AE3)</f>
        <v>6.909597204331765E-3</v>
      </c>
      <c r="AG3" s="23">
        <f t="shared" ref="AG3:AG5" si="10">NORMDIST(LN(O3),7.45231,0.73998,1)</f>
        <v>9.6407537903774199E-3</v>
      </c>
      <c r="AH3" s="5">
        <f t="shared" ref="AH3:AH5" si="11">1/(1+EXP(3.2269-1.9688*P3))</f>
        <v>7.7080363754934419E-2</v>
      </c>
      <c r="AI3" s="5">
        <f t="shared" ref="AI3:AI5" si="12">1/(1+EXP(10.958-3.77*Q3/1000))</f>
        <v>2.3356163390628759E-4</v>
      </c>
      <c r="AJ3" s="5">
        <f t="shared" ref="AJ3:AJ5" si="13">1/(1+EXP(10.958-3.77*R3/1000))</f>
        <v>5.7019094743944377E-5</v>
      </c>
      <c r="AK3" s="5">
        <f t="shared" ref="AK3:AK5" si="14">MAX(AH3,AI3,AJ3)</f>
        <v>7.7080363754934419E-2</v>
      </c>
      <c r="AL3" s="5">
        <f t="shared" ref="AL3:AL5" si="15">1/(1+EXP(12.597-0.05861*35-1.568*((S3/0.817)^0.4612)))</f>
        <v>1.0876850032178224E-2</v>
      </c>
      <c r="AM3" s="5">
        <f t="shared" ref="AM3:AM5" si="16">AL3</f>
        <v>1.0876850032178224E-2</v>
      </c>
      <c r="AN3" s="5">
        <f t="shared" ref="AN3:AN5" si="17">1/(1+EXP(5.7949-0.7619*U3/1000))</f>
        <v>3.1300354470633045E-3</v>
      </c>
      <c r="AO3" s="5">
        <f t="shared" ref="AO3:AO5" si="18">1/(1+EXP(5.7949-0.7619*V3/1000))</f>
        <v>3.090689957428601E-3</v>
      </c>
      <c r="AP3" s="24">
        <f t="shared" ref="AP3:AP5" si="19">MAX(AN3,AO3)</f>
        <v>3.1300354470633045E-3</v>
      </c>
      <c r="AQ3" s="214">
        <f t="shared" ref="AQ3:AQ5" si="20">ROUND(1-(1-W3)*(1-AA3)*(1-AC3)*(1-AF3),3)</f>
        <v>7.1999999999999995E-2</v>
      </c>
      <c r="AR3" s="5">
        <f t="shared" ref="AR3:AR5" si="21">ROUND(1-(1-AG3)*(1-AK3)*(1-AM3)*(1-AP3),3)</f>
        <v>9.9000000000000005E-2</v>
      </c>
      <c r="AS3" s="5">
        <f t="shared" ref="AS3:AS5" si="22">ROUND(AVERAGE(AR3,AQ3),3)</f>
        <v>8.5999999999999993E-2</v>
      </c>
      <c r="AT3" s="185">
        <f t="shared" ref="AT3:AT5" si="23">ROUND(AQ3/0.15,2)</f>
        <v>0.48</v>
      </c>
      <c r="AU3" s="185">
        <f t="shared" ref="AU3:AU5" si="24">ROUND(AR3/0.15,2)</f>
        <v>0.66</v>
      </c>
      <c r="AV3" s="185">
        <f t="shared" ref="AV3:AV5" si="25">ROUND(AS3/0.15,2)</f>
        <v>0.56999999999999995</v>
      </c>
      <c r="AW3" s="50">
        <f t="shared" ref="AW3:AW5" si="26">IF(AT3&lt;0.67,5,IF(AT3&lt;1,4,IF(AT3&lt;1.33,3,IF(AT3&lt;2.67,2,1))))</f>
        <v>5</v>
      </c>
      <c r="AX3" s="50">
        <f t="shared" ref="AX3:AX5" si="27">IF(AU3&lt;0.67,5,IF(AU3&lt;1,4,IF(AU3&lt;1.33,3,IF(AU3&lt;2.67,2,1))))</f>
        <v>5</v>
      </c>
      <c r="AY3" s="215">
        <f t="shared" ref="AY3:AY5" si="28">IF(AV3&lt;0.67,5,IF(AV3&lt;1,4,IF(AV3&lt;1.33,3,IF(AV3&lt;2.67,2,1))))</f>
        <v>5</v>
      </c>
    </row>
    <row r="4" spans="1:51" ht="13.15" customHeight="1">
      <c r="A4" s="209">
        <v>10918</v>
      </c>
      <c r="B4" s="210" t="s">
        <v>137</v>
      </c>
      <c r="C4" s="211" t="str">
        <f>Rollover!A4</f>
        <v>Cadillac</v>
      </c>
      <c r="D4" s="212" t="str">
        <f>Rollover!B4</f>
        <v>XT6 SUV FWD</v>
      </c>
      <c r="E4" s="184" t="s">
        <v>100</v>
      </c>
      <c r="F4" s="213">
        <f>Rollover!C4</f>
        <v>2020</v>
      </c>
      <c r="G4" s="10">
        <v>166.70500000000001</v>
      </c>
      <c r="H4" s="11">
        <v>0.25</v>
      </c>
      <c r="I4" s="11">
        <v>830.36900000000003</v>
      </c>
      <c r="J4" s="11">
        <v>125.55200000000001</v>
      </c>
      <c r="K4" s="11">
        <v>13.05</v>
      </c>
      <c r="L4" s="11">
        <v>43.848999999999997</v>
      </c>
      <c r="M4" s="11">
        <v>716.2</v>
      </c>
      <c r="N4" s="12">
        <v>1591.5889999999999</v>
      </c>
      <c r="O4" s="10">
        <v>305.12599999999998</v>
      </c>
      <c r="P4" s="11">
        <v>0.378</v>
      </c>
      <c r="Q4" s="11">
        <v>688.63900000000001</v>
      </c>
      <c r="R4" s="11">
        <v>314.57100000000003</v>
      </c>
      <c r="S4" s="11">
        <v>15.186</v>
      </c>
      <c r="T4" s="11">
        <v>43.725000000000001</v>
      </c>
      <c r="U4" s="11">
        <v>41.113</v>
      </c>
      <c r="V4" s="12">
        <v>24.457999999999998</v>
      </c>
      <c r="W4" s="214">
        <f t="shared" si="0"/>
        <v>7.9712731409580938E-4</v>
      </c>
      <c r="X4" s="5">
        <f t="shared" si="1"/>
        <v>6.0956574927221202E-2</v>
      </c>
      <c r="Y4" s="5">
        <f t="shared" si="2"/>
        <v>1.2310206688226865E-4</v>
      </c>
      <c r="Z4" s="5">
        <f t="shared" si="3"/>
        <v>2.308477877658359E-5</v>
      </c>
      <c r="AA4" s="5">
        <f t="shared" si="4"/>
        <v>6.0956574927221202E-2</v>
      </c>
      <c r="AB4" s="5">
        <f t="shared" si="5"/>
        <v>4.4136812246547193E-3</v>
      </c>
      <c r="AC4" s="5">
        <f t="shared" si="6"/>
        <v>4.4136812246547193E-3</v>
      </c>
      <c r="AD4" s="5">
        <f t="shared" si="7"/>
        <v>4.3955276578112826E-3</v>
      </c>
      <c r="AE4" s="5">
        <f t="shared" si="8"/>
        <v>6.909597204331765E-3</v>
      </c>
      <c r="AF4" s="24">
        <f t="shared" si="9"/>
        <v>6.909597204331765E-3</v>
      </c>
      <c r="AG4" s="23">
        <f t="shared" si="10"/>
        <v>9.6407537903774199E-3</v>
      </c>
      <c r="AH4" s="5">
        <f t="shared" si="11"/>
        <v>7.7080363754934419E-2</v>
      </c>
      <c r="AI4" s="5">
        <f t="shared" si="12"/>
        <v>2.3356163390628759E-4</v>
      </c>
      <c r="AJ4" s="5">
        <f t="shared" si="13"/>
        <v>5.7019094743944377E-5</v>
      </c>
      <c r="AK4" s="5">
        <f t="shared" si="14"/>
        <v>7.7080363754934419E-2</v>
      </c>
      <c r="AL4" s="5">
        <f t="shared" si="15"/>
        <v>1.0876850032178224E-2</v>
      </c>
      <c r="AM4" s="5">
        <f t="shared" si="16"/>
        <v>1.0876850032178224E-2</v>
      </c>
      <c r="AN4" s="5">
        <f t="shared" si="17"/>
        <v>3.1300354470633045E-3</v>
      </c>
      <c r="AO4" s="5">
        <f t="shared" si="18"/>
        <v>3.090689957428601E-3</v>
      </c>
      <c r="AP4" s="24">
        <f t="shared" si="19"/>
        <v>3.1300354470633045E-3</v>
      </c>
      <c r="AQ4" s="214">
        <f t="shared" si="20"/>
        <v>7.1999999999999995E-2</v>
      </c>
      <c r="AR4" s="5">
        <f t="shared" si="21"/>
        <v>9.9000000000000005E-2</v>
      </c>
      <c r="AS4" s="5">
        <f t="shared" si="22"/>
        <v>8.5999999999999993E-2</v>
      </c>
      <c r="AT4" s="185">
        <f t="shared" si="23"/>
        <v>0.48</v>
      </c>
      <c r="AU4" s="185">
        <f t="shared" si="24"/>
        <v>0.66</v>
      </c>
      <c r="AV4" s="185">
        <f t="shared" si="25"/>
        <v>0.56999999999999995</v>
      </c>
      <c r="AW4" s="50">
        <f t="shared" si="26"/>
        <v>5</v>
      </c>
      <c r="AX4" s="50">
        <f t="shared" si="27"/>
        <v>5</v>
      </c>
      <c r="AY4" s="215">
        <f t="shared" si="28"/>
        <v>5</v>
      </c>
    </row>
    <row r="5" spans="1:51" ht="13.15" customHeight="1">
      <c r="A5" s="209">
        <v>10914</v>
      </c>
      <c r="B5" s="210" t="s">
        <v>135</v>
      </c>
      <c r="C5" s="211" t="str">
        <f>Rollover!A5</f>
        <v>Chevrolet</v>
      </c>
      <c r="D5" s="212" t="str">
        <f>Rollover!B5</f>
        <v>Malibu 4DR FWD</v>
      </c>
      <c r="E5" s="184" t="s">
        <v>95</v>
      </c>
      <c r="F5" s="213">
        <f>Rollover!C5</f>
        <v>2020</v>
      </c>
      <c r="G5" s="10">
        <v>172.315</v>
      </c>
      <c r="H5" s="11">
        <v>0.184</v>
      </c>
      <c r="I5" s="11">
        <v>962.66600000000005</v>
      </c>
      <c r="J5" s="11">
        <v>131.17599999999999</v>
      </c>
      <c r="K5" s="11">
        <v>24.292999999999999</v>
      </c>
      <c r="L5" s="11">
        <v>40.183999999999997</v>
      </c>
      <c r="M5" s="11">
        <v>1122.665</v>
      </c>
      <c r="N5" s="12">
        <v>1362.2950000000001</v>
      </c>
      <c r="O5" s="10">
        <v>272.27499999999998</v>
      </c>
      <c r="P5" s="11">
        <v>0.35699999999999998</v>
      </c>
      <c r="Q5" s="11">
        <v>751.23500000000001</v>
      </c>
      <c r="R5" s="11">
        <v>113.578</v>
      </c>
      <c r="S5" s="11">
        <v>16.568000000000001</v>
      </c>
      <c r="T5" s="11">
        <v>37.012</v>
      </c>
      <c r="U5" s="11">
        <v>720.04200000000003</v>
      </c>
      <c r="V5" s="12">
        <v>1032.6310000000001</v>
      </c>
      <c r="W5" s="214">
        <f t="shared" si="0"/>
        <v>9.2840802460904118E-4</v>
      </c>
      <c r="X5" s="5">
        <f t="shared" si="1"/>
        <v>5.3929431252127603E-2</v>
      </c>
      <c r="Y5" s="5">
        <f t="shared" si="2"/>
        <v>1.6854010842302418E-4</v>
      </c>
      <c r="Z5" s="5">
        <f t="shared" si="3"/>
        <v>2.3395183375151424E-5</v>
      </c>
      <c r="AA5" s="5">
        <f t="shared" si="4"/>
        <v>5.3929431252127603E-2</v>
      </c>
      <c r="AB5" s="5">
        <f t="shared" si="5"/>
        <v>2.3728198772365618E-2</v>
      </c>
      <c r="AC5" s="5">
        <f t="shared" si="6"/>
        <v>2.3728198772365618E-2</v>
      </c>
      <c r="AD5" s="5">
        <f t="shared" si="7"/>
        <v>5.4235668272747482E-3</v>
      </c>
      <c r="AE5" s="5">
        <f t="shared" si="8"/>
        <v>6.1382921503910469E-3</v>
      </c>
      <c r="AF5" s="24">
        <f t="shared" si="9"/>
        <v>6.1382921503910469E-3</v>
      </c>
      <c r="AG5" s="23">
        <f t="shared" si="10"/>
        <v>6.3159327213084208E-3</v>
      </c>
      <c r="AH5" s="5">
        <f t="shared" si="11"/>
        <v>7.4190086530912136E-2</v>
      </c>
      <c r="AI5" s="5">
        <f t="shared" si="12"/>
        <v>2.9570749014203913E-4</v>
      </c>
      <c r="AJ5" s="5">
        <f t="shared" si="13"/>
        <v>2.6726962588584445E-5</v>
      </c>
      <c r="AK5" s="5">
        <f t="shared" si="14"/>
        <v>7.4190086530912136E-2</v>
      </c>
      <c r="AL5" s="5">
        <f t="shared" si="15"/>
        <v>1.3887227579987383E-2</v>
      </c>
      <c r="AM5" s="5">
        <f t="shared" si="16"/>
        <v>1.3887227579987383E-2</v>
      </c>
      <c r="AN5" s="5">
        <f t="shared" si="17"/>
        <v>5.2393745502925925E-3</v>
      </c>
      <c r="AO5" s="5">
        <f t="shared" si="18"/>
        <v>6.6389627516809987E-3</v>
      </c>
      <c r="AP5" s="24">
        <f t="shared" si="19"/>
        <v>6.6389627516809987E-3</v>
      </c>
      <c r="AQ5" s="214">
        <f t="shared" si="20"/>
        <v>8.3000000000000004E-2</v>
      </c>
      <c r="AR5" s="5">
        <f t="shared" si="21"/>
        <v>9.9000000000000005E-2</v>
      </c>
      <c r="AS5" s="5">
        <f t="shared" si="22"/>
        <v>9.0999999999999998E-2</v>
      </c>
      <c r="AT5" s="185">
        <f t="shared" si="23"/>
        <v>0.55000000000000004</v>
      </c>
      <c r="AU5" s="185">
        <f t="shared" si="24"/>
        <v>0.66</v>
      </c>
      <c r="AV5" s="185">
        <f t="shared" si="25"/>
        <v>0.61</v>
      </c>
      <c r="AW5" s="50">
        <f t="shared" si="26"/>
        <v>5</v>
      </c>
      <c r="AX5" s="50">
        <f t="shared" si="27"/>
        <v>5</v>
      </c>
      <c r="AY5" s="215">
        <f t="shared" si="28"/>
        <v>5</v>
      </c>
    </row>
    <row r="6" spans="1:51" ht="13.15" customHeight="1">
      <c r="A6" s="216">
        <v>10831</v>
      </c>
      <c r="B6" s="95" t="s">
        <v>121</v>
      </c>
      <c r="C6" s="211" t="str">
        <f>Rollover!A6</f>
        <v>Jeep</v>
      </c>
      <c r="D6" s="212" t="str">
        <f>Rollover!B6</f>
        <v>Gladiator PU/CC 4WD</v>
      </c>
      <c r="E6" s="184" t="s">
        <v>95</v>
      </c>
      <c r="F6" s="213">
        <f>Rollover!C6</f>
        <v>2020</v>
      </c>
      <c r="G6" s="10">
        <v>219.53299999999999</v>
      </c>
      <c r="H6" s="11">
        <v>0.34899999999999998</v>
      </c>
      <c r="I6" s="11">
        <v>1298.864</v>
      </c>
      <c r="J6" s="11">
        <v>403.39600000000002</v>
      </c>
      <c r="K6" s="11">
        <v>27.29</v>
      </c>
      <c r="L6" s="11">
        <v>50.99</v>
      </c>
      <c r="M6" s="11">
        <v>2563.8000000000002</v>
      </c>
      <c r="N6" s="12">
        <v>3145.9349999999999</v>
      </c>
      <c r="O6" s="10">
        <v>179.84700000000001</v>
      </c>
      <c r="P6" s="11">
        <v>0.30099999999999999</v>
      </c>
      <c r="Q6" s="11">
        <v>1081.3920000000001</v>
      </c>
      <c r="R6" s="11">
        <v>373.596</v>
      </c>
      <c r="S6" s="11">
        <v>17.792000000000002</v>
      </c>
      <c r="T6" s="11">
        <v>42.445</v>
      </c>
      <c r="U6" s="11">
        <v>1227.1369999999999</v>
      </c>
      <c r="V6" s="12">
        <v>1515.0450000000001</v>
      </c>
      <c r="W6" s="214">
        <f t="shared" ref="W6:W8" si="29">NORMDIST(LN(G6),7.45231,0.73998,1)</f>
        <v>2.6767973662873944E-3</v>
      </c>
      <c r="X6" s="5">
        <f t="shared" ref="X6:X8" si="30">1/(1+EXP(3.2269-1.9688*H6))</f>
        <v>7.3115485073840497E-2</v>
      </c>
      <c r="Y6" s="5">
        <f t="shared" ref="Y6:Y8" si="31">1/(1+EXP(10.9745-2.375*I6/1000))</f>
        <v>3.7444242222927759E-4</v>
      </c>
      <c r="Z6" s="5">
        <f t="shared" ref="Z6:Z8" si="32">1/(1+EXP(10.9745-2.375*J6/1000))</f>
        <v>4.4657907846231211E-5</v>
      </c>
      <c r="AA6" s="5">
        <f t="shared" ref="AA6:AA8" si="33">MAX(X6,Y6,Z6)</f>
        <v>7.3115485073840497E-2</v>
      </c>
      <c r="AB6" s="5">
        <f t="shared" ref="AB6:AB8" si="34">1/(1+EXP(12.597-0.05861*35-1.568*(K6^0.4612)))</f>
        <v>3.4200983130128253E-2</v>
      </c>
      <c r="AC6" s="5">
        <f t="shared" ref="AC6:AC8" si="35">AB6</f>
        <v>3.4200983130128253E-2</v>
      </c>
      <c r="AD6" s="5">
        <f t="shared" ref="AD6:AD8" si="36">1/(1+EXP(5.7949-0.5196*M6/1000))</f>
        <v>1.1399176476554694E-2</v>
      </c>
      <c r="AE6" s="5">
        <f t="shared" ref="AE6:AE8" si="37">1/(1+EXP(5.7949-0.5196*N6/1000))</f>
        <v>1.5363587696917803E-2</v>
      </c>
      <c r="AF6" s="24">
        <f t="shared" ref="AF6:AF8" si="38">MAX(AD6,AE6)</f>
        <v>1.5363587696917803E-2</v>
      </c>
      <c r="AG6" s="23">
        <f t="shared" ref="AG6:AG8" si="39">NORMDIST(LN(O6),7.45231,0.73998,1)</f>
        <v>1.1275122311838423E-3</v>
      </c>
      <c r="AH6" s="5">
        <f t="shared" ref="AH6:AH8" si="40">1/(1+EXP(3.2269-1.9688*P6))</f>
        <v>6.6963839037062337E-2</v>
      </c>
      <c r="AI6" s="5">
        <f t="shared" ref="AI6:AI8" si="41">1/(1+EXP(10.958-3.77*Q6/1000))</f>
        <v>1.0259065757246481E-3</v>
      </c>
      <c r="AJ6" s="5">
        <f t="shared" ref="AJ6:AJ8" si="42">1/(1+EXP(10.958-3.77*R6/1000))</f>
        <v>7.1228729888340417E-5</v>
      </c>
      <c r="AK6" s="5">
        <f t="shared" ref="AK6:AK8" si="43">MAX(AH6,AI6,AJ6)</f>
        <v>6.6963839037062337E-2</v>
      </c>
      <c r="AL6" s="5">
        <f t="shared" ref="AL6:AL8" si="44">1/(1+EXP(12.597-0.05861*35-1.568*((S6/0.817)^0.4612)))</f>
        <v>1.7076353414938451E-2</v>
      </c>
      <c r="AM6" s="5">
        <f t="shared" ref="AM6:AM8" si="45">AL6</f>
        <v>1.7076353414938451E-2</v>
      </c>
      <c r="AN6" s="5">
        <f t="shared" ref="AN6:AN8" si="46">1/(1+EXP(5.7949-0.7619*U6/1000))</f>
        <v>7.6913008299673144E-3</v>
      </c>
      <c r="AO6" s="5">
        <f t="shared" ref="AO6:AO8" si="47">1/(1+EXP(5.7949-0.7619*V6/1000))</f>
        <v>9.5597571074864298E-3</v>
      </c>
      <c r="AP6" s="24">
        <f t="shared" ref="AP6:AP8" si="48">MAX(AN6,AO6)</f>
        <v>9.5597571074864298E-3</v>
      </c>
      <c r="AQ6" s="214">
        <f t="shared" ref="AQ6:AQ8" si="49">ROUND(1-(1-W6)*(1-AA6)*(1-AC6)*(1-AF6),3)</f>
        <v>0.121</v>
      </c>
      <c r="AR6" s="5">
        <f t="shared" ref="AR6:AR8" si="50">ROUND(1-(1-AG6)*(1-AK6)*(1-AM6)*(1-AP6),3)</f>
        <v>9.2999999999999999E-2</v>
      </c>
      <c r="AS6" s="5">
        <f t="shared" ref="AS6:AS8" si="51">ROUND(AVERAGE(AR6,AQ6),3)</f>
        <v>0.107</v>
      </c>
      <c r="AT6" s="185">
        <f t="shared" ref="AT6:AT8" si="52">ROUND(AQ6/0.15,2)</f>
        <v>0.81</v>
      </c>
      <c r="AU6" s="185">
        <f t="shared" ref="AU6:AU8" si="53">ROUND(AR6/0.15,2)</f>
        <v>0.62</v>
      </c>
      <c r="AV6" s="185">
        <f t="shared" ref="AV6:AV8" si="54">ROUND(AS6/0.15,2)</f>
        <v>0.71</v>
      </c>
      <c r="AW6" s="50">
        <f t="shared" ref="AW6:AW8" si="55">IF(AT6&lt;0.67,5,IF(AT6&lt;1,4,IF(AT6&lt;1.33,3,IF(AT6&lt;2.67,2,1))))</f>
        <v>4</v>
      </c>
      <c r="AX6" s="50">
        <f t="shared" ref="AX6:AX8" si="56">IF(AU6&lt;0.67,5,IF(AU6&lt;1,4,IF(AU6&lt;1.33,3,IF(AU6&lt;2.67,2,1))))</f>
        <v>5</v>
      </c>
      <c r="AY6" s="215">
        <f t="shared" ref="AY6:AY8" si="57">IF(AV6&lt;0.67,5,IF(AV6&lt;1,4,IF(AV6&lt;1.33,3,IF(AV6&lt;2.67,2,1))))</f>
        <v>4</v>
      </c>
    </row>
    <row r="7" spans="1:51" ht="13.15" customHeight="1">
      <c r="A7" s="216">
        <v>10865</v>
      </c>
      <c r="B7" s="95" t="s">
        <v>129</v>
      </c>
      <c r="C7" s="217" t="str">
        <f>Rollover!A7</f>
        <v>Jeep</v>
      </c>
      <c r="D7" s="218" t="str">
        <f>Rollover!B7</f>
        <v>Wrangler 4WD</v>
      </c>
      <c r="E7" s="184" t="s">
        <v>95</v>
      </c>
      <c r="F7" s="213">
        <f>Rollover!C7</f>
        <v>2020</v>
      </c>
      <c r="G7" s="10">
        <v>187.00299999999999</v>
      </c>
      <c r="H7" s="11">
        <v>0.31</v>
      </c>
      <c r="I7" s="11">
        <v>1331.4169999999999</v>
      </c>
      <c r="J7" s="11">
        <v>318.87700000000001</v>
      </c>
      <c r="K7" s="11">
        <v>25.997</v>
      </c>
      <c r="L7" s="11">
        <v>41.121000000000002</v>
      </c>
      <c r="M7" s="11">
        <v>4119.027</v>
      </c>
      <c r="N7" s="12">
        <v>3250.422</v>
      </c>
      <c r="O7" s="10">
        <v>202.30799999999999</v>
      </c>
      <c r="P7" s="11">
        <v>0.311</v>
      </c>
      <c r="Q7" s="11">
        <v>835.03</v>
      </c>
      <c r="R7" s="11">
        <v>360.83100000000002</v>
      </c>
      <c r="S7" s="11">
        <v>14.83</v>
      </c>
      <c r="T7" s="11">
        <v>37.841000000000001</v>
      </c>
      <c r="U7" s="11">
        <v>1692.4190000000001</v>
      </c>
      <c r="V7" s="12">
        <v>3300.0329999999999</v>
      </c>
      <c r="W7" s="214">
        <f t="shared" si="29"/>
        <v>1.3424583055520395E-3</v>
      </c>
      <c r="X7" s="5">
        <f t="shared" si="30"/>
        <v>6.8079460073053988E-2</v>
      </c>
      <c r="Y7" s="5">
        <f t="shared" si="31"/>
        <v>4.0452814870787764E-4</v>
      </c>
      <c r="Z7" s="5">
        <f t="shared" si="32"/>
        <v>3.6536322252297157E-5</v>
      </c>
      <c r="AA7" s="5">
        <f t="shared" si="33"/>
        <v>6.8079460073053988E-2</v>
      </c>
      <c r="AB7" s="5">
        <f t="shared" si="34"/>
        <v>2.9306502282404914E-2</v>
      </c>
      <c r="AC7" s="5">
        <f t="shared" si="35"/>
        <v>2.9306502282404914E-2</v>
      </c>
      <c r="AD7" s="5">
        <f t="shared" si="36"/>
        <v>2.5218055560495976E-2</v>
      </c>
      <c r="AE7" s="5">
        <f t="shared" si="37"/>
        <v>1.6206864993388734E-2</v>
      </c>
      <c r="AF7" s="24">
        <f t="shared" si="38"/>
        <v>2.5218055560495976E-2</v>
      </c>
      <c r="AG7" s="23">
        <f t="shared" si="39"/>
        <v>1.8935363015998164E-3</v>
      </c>
      <c r="AH7" s="5">
        <f t="shared" si="40"/>
        <v>6.8204476163385666E-2</v>
      </c>
      <c r="AI7" s="5">
        <f t="shared" si="41"/>
        <v>4.0551913317025154E-4</v>
      </c>
      <c r="AJ7" s="5">
        <f t="shared" si="42"/>
        <v>6.7882314949700568E-5</v>
      </c>
      <c r="AK7" s="5">
        <f t="shared" si="43"/>
        <v>6.8204476163385666E-2</v>
      </c>
      <c r="AL7" s="5">
        <f t="shared" si="44"/>
        <v>1.019255112192758E-2</v>
      </c>
      <c r="AM7" s="5">
        <f t="shared" si="45"/>
        <v>1.019255112192758E-2</v>
      </c>
      <c r="AN7" s="5">
        <f t="shared" si="46"/>
        <v>1.0927922860018622E-2</v>
      </c>
      <c r="AO7" s="5">
        <f t="shared" si="47"/>
        <v>3.6242583351312536E-2</v>
      </c>
      <c r="AP7" s="24">
        <f t="shared" si="48"/>
        <v>3.6242583351312536E-2</v>
      </c>
      <c r="AQ7" s="214">
        <f t="shared" si="49"/>
        <v>0.11899999999999999</v>
      </c>
      <c r="AR7" s="5">
        <f t="shared" si="50"/>
        <v>0.113</v>
      </c>
      <c r="AS7" s="5">
        <f t="shared" si="51"/>
        <v>0.11600000000000001</v>
      </c>
      <c r="AT7" s="185">
        <f t="shared" si="52"/>
        <v>0.79</v>
      </c>
      <c r="AU7" s="185">
        <f t="shared" si="53"/>
        <v>0.75</v>
      </c>
      <c r="AV7" s="185">
        <f t="shared" si="54"/>
        <v>0.77</v>
      </c>
      <c r="AW7" s="50">
        <f t="shared" si="55"/>
        <v>4</v>
      </c>
      <c r="AX7" s="50">
        <f t="shared" si="56"/>
        <v>4</v>
      </c>
      <c r="AY7" s="215">
        <f t="shared" si="57"/>
        <v>4</v>
      </c>
    </row>
    <row r="8" spans="1:51" ht="13.15" customHeight="1">
      <c r="A8" s="216">
        <v>10837</v>
      </c>
      <c r="B8" s="95" t="s">
        <v>128</v>
      </c>
      <c r="C8" s="211" t="str">
        <f>Rollover!A8</f>
        <v>Kia</v>
      </c>
      <c r="D8" s="212" t="str">
        <f>Rollover!B8</f>
        <v>Telluride SUV AWD</v>
      </c>
      <c r="E8" s="184" t="s">
        <v>85</v>
      </c>
      <c r="F8" s="213">
        <f>Rollover!C8</f>
        <v>2020</v>
      </c>
      <c r="G8" s="219">
        <v>281.31299999999999</v>
      </c>
      <c r="H8" s="11">
        <v>0.26600000000000001</v>
      </c>
      <c r="I8" s="11">
        <v>1224.4970000000001</v>
      </c>
      <c r="J8" s="11">
        <v>142.03299999999999</v>
      </c>
      <c r="K8" s="11">
        <v>23.268999999999998</v>
      </c>
      <c r="L8" s="11">
        <v>41.252000000000002</v>
      </c>
      <c r="M8" s="11">
        <v>727.70299999999997</v>
      </c>
      <c r="N8" s="12">
        <v>4438.2209999999995</v>
      </c>
      <c r="O8" s="10">
        <v>377.92200000000003</v>
      </c>
      <c r="P8" s="11">
        <v>0.36399999999999999</v>
      </c>
      <c r="Q8" s="11">
        <v>583.77</v>
      </c>
      <c r="R8" s="11">
        <v>404.86900000000003</v>
      </c>
      <c r="S8" s="11">
        <v>9.2579999999999991</v>
      </c>
      <c r="T8" s="11">
        <v>45.195999999999998</v>
      </c>
      <c r="U8" s="11">
        <v>1561.1189999999999</v>
      </c>
      <c r="V8" s="12">
        <v>1639.8420000000001</v>
      </c>
      <c r="W8" s="214">
        <f t="shared" si="29"/>
        <v>7.1457314110356272E-3</v>
      </c>
      <c r="X8" s="5">
        <f t="shared" si="30"/>
        <v>6.2784842311788214E-2</v>
      </c>
      <c r="Y8" s="5">
        <f t="shared" si="31"/>
        <v>3.1383803655059338E-4</v>
      </c>
      <c r="Z8" s="5">
        <f t="shared" si="32"/>
        <v>2.4006267123590222E-5</v>
      </c>
      <c r="AA8" s="5">
        <f t="shared" si="33"/>
        <v>6.2784842311788214E-2</v>
      </c>
      <c r="AB8" s="5">
        <f t="shared" si="34"/>
        <v>2.0808433560233069E-2</v>
      </c>
      <c r="AC8" s="5">
        <f t="shared" si="35"/>
        <v>2.0808433560233069E-2</v>
      </c>
      <c r="AD8" s="5">
        <f t="shared" si="36"/>
        <v>4.4217616992931865E-3</v>
      </c>
      <c r="AE8" s="5">
        <f t="shared" si="37"/>
        <v>2.9632579516231126E-2</v>
      </c>
      <c r="AF8" s="24">
        <f t="shared" si="38"/>
        <v>2.9632579516231126E-2</v>
      </c>
      <c r="AG8" s="23">
        <f t="shared" si="39"/>
        <v>2.0138527831967033E-2</v>
      </c>
      <c r="AH8" s="5">
        <f t="shared" si="40"/>
        <v>7.5142260987360876E-2</v>
      </c>
      <c r="AI8" s="5">
        <f t="shared" si="41"/>
        <v>1.5730178280803594E-4</v>
      </c>
      <c r="AJ8" s="5">
        <f t="shared" si="42"/>
        <v>8.0140916696900695E-5</v>
      </c>
      <c r="AK8" s="5">
        <f t="shared" si="43"/>
        <v>7.5142260987360876E-2</v>
      </c>
      <c r="AL8" s="5">
        <f t="shared" si="44"/>
        <v>3.1986351106765092E-3</v>
      </c>
      <c r="AM8" s="5">
        <f t="shared" si="45"/>
        <v>3.1986351106765092E-3</v>
      </c>
      <c r="AN8" s="5">
        <f t="shared" si="46"/>
        <v>9.8979198134876017E-3</v>
      </c>
      <c r="AO8" s="5">
        <f t="shared" si="47"/>
        <v>1.0503326567807447E-2</v>
      </c>
      <c r="AP8" s="24">
        <f t="shared" si="48"/>
        <v>1.0503326567807447E-2</v>
      </c>
      <c r="AQ8" s="214">
        <f t="shared" si="49"/>
        <v>0.11600000000000001</v>
      </c>
      <c r="AR8" s="5">
        <f t="shared" si="50"/>
        <v>0.106</v>
      </c>
      <c r="AS8" s="5">
        <f t="shared" si="51"/>
        <v>0.111</v>
      </c>
      <c r="AT8" s="185">
        <f t="shared" si="52"/>
        <v>0.77</v>
      </c>
      <c r="AU8" s="185">
        <f t="shared" si="53"/>
        <v>0.71</v>
      </c>
      <c r="AV8" s="185">
        <f t="shared" si="54"/>
        <v>0.74</v>
      </c>
      <c r="AW8" s="50">
        <f t="shared" si="55"/>
        <v>4</v>
      </c>
      <c r="AX8" s="50">
        <f t="shared" si="56"/>
        <v>4</v>
      </c>
      <c r="AY8" s="215">
        <f t="shared" si="57"/>
        <v>4</v>
      </c>
    </row>
    <row r="9" spans="1:51" ht="13.15" customHeight="1">
      <c r="A9" s="216">
        <v>10837</v>
      </c>
      <c r="B9" s="95" t="s">
        <v>128</v>
      </c>
      <c r="C9" s="211" t="str">
        <f>Rollover!A9</f>
        <v>Kia</v>
      </c>
      <c r="D9" s="212" t="str">
        <f>Rollover!B9</f>
        <v>Telluride SUV FWD</v>
      </c>
      <c r="E9" s="184" t="s">
        <v>85</v>
      </c>
      <c r="F9" s="213">
        <f>Rollover!C9</f>
        <v>2020</v>
      </c>
      <c r="G9" s="219">
        <v>281.31299999999999</v>
      </c>
      <c r="H9" s="11">
        <v>0.26600000000000001</v>
      </c>
      <c r="I9" s="11">
        <v>1224.4970000000001</v>
      </c>
      <c r="J9" s="11">
        <v>142.03299999999999</v>
      </c>
      <c r="K9" s="11">
        <v>23.268999999999998</v>
      </c>
      <c r="L9" s="11">
        <v>41.252000000000002</v>
      </c>
      <c r="M9" s="11">
        <v>727.70299999999997</v>
      </c>
      <c r="N9" s="12">
        <v>4438.2209999999995</v>
      </c>
      <c r="O9" s="10">
        <v>377.92200000000003</v>
      </c>
      <c r="P9" s="11">
        <v>0.36399999999999999</v>
      </c>
      <c r="Q9" s="11">
        <v>583.77</v>
      </c>
      <c r="R9" s="11">
        <v>404.86900000000003</v>
      </c>
      <c r="S9" s="11">
        <v>9.2579999999999991</v>
      </c>
      <c r="T9" s="11">
        <v>45.195999999999998</v>
      </c>
      <c r="U9" s="11">
        <v>1561.1189999999999</v>
      </c>
      <c r="V9" s="12">
        <v>1639.8420000000001</v>
      </c>
      <c r="W9" s="214">
        <f t="shared" ref="W9:W16" si="58">NORMDIST(LN(G9),7.45231,0.73998,1)</f>
        <v>7.1457314110356272E-3</v>
      </c>
      <c r="X9" s="5">
        <f t="shared" ref="X9:X16" si="59">1/(1+EXP(3.2269-1.9688*H9))</f>
        <v>6.2784842311788214E-2</v>
      </c>
      <c r="Y9" s="5">
        <f t="shared" ref="Y9:Y16" si="60">1/(1+EXP(10.9745-2.375*I9/1000))</f>
        <v>3.1383803655059338E-4</v>
      </c>
      <c r="Z9" s="5">
        <f t="shared" ref="Z9:Z16" si="61">1/(1+EXP(10.9745-2.375*J9/1000))</f>
        <v>2.4006267123590222E-5</v>
      </c>
      <c r="AA9" s="5">
        <f t="shared" ref="AA9:AA16" si="62">MAX(X9,Y9,Z9)</f>
        <v>6.2784842311788214E-2</v>
      </c>
      <c r="AB9" s="5">
        <f t="shared" ref="AB9:AB16" si="63">1/(1+EXP(12.597-0.05861*35-1.568*(K9^0.4612)))</f>
        <v>2.0808433560233069E-2</v>
      </c>
      <c r="AC9" s="5">
        <f t="shared" ref="AC9:AC16" si="64">AB9</f>
        <v>2.0808433560233069E-2</v>
      </c>
      <c r="AD9" s="5">
        <f t="shared" ref="AD9:AD16" si="65">1/(1+EXP(5.7949-0.5196*M9/1000))</f>
        <v>4.4217616992931865E-3</v>
      </c>
      <c r="AE9" s="5">
        <f t="shared" ref="AE9:AE16" si="66">1/(1+EXP(5.7949-0.5196*N9/1000))</f>
        <v>2.9632579516231126E-2</v>
      </c>
      <c r="AF9" s="24">
        <f t="shared" ref="AF9:AF16" si="67">MAX(AD9,AE9)</f>
        <v>2.9632579516231126E-2</v>
      </c>
      <c r="AG9" s="23">
        <f t="shared" ref="AG9:AG16" si="68">NORMDIST(LN(O9),7.45231,0.73998,1)</f>
        <v>2.0138527831967033E-2</v>
      </c>
      <c r="AH9" s="5">
        <f t="shared" ref="AH9:AH16" si="69">1/(1+EXP(3.2269-1.9688*P9))</f>
        <v>7.5142260987360876E-2</v>
      </c>
      <c r="AI9" s="5">
        <f t="shared" ref="AI9:AI16" si="70">1/(1+EXP(10.958-3.77*Q9/1000))</f>
        <v>1.5730178280803594E-4</v>
      </c>
      <c r="AJ9" s="5">
        <f t="shared" ref="AJ9:AJ16" si="71">1/(1+EXP(10.958-3.77*R9/1000))</f>
        <v>8.0140916696900695E-5</v>
      </c>
      <c r="AK9" s="5">
        <f t="shared" ref="AK9:AK16" si="72">MAX(AH9,AI9,AJ9)</f>
        <v>7.5142260987360876E-2</v>
      </c>
      <c r="AL9" s="5">
        <f t="shared" ref="AL9:AL16" si="73">1/(1+EXP(12.597-0.05861*35-1.568*((S9/0.817)^0.4612)))</f>
        <v>3.1986351106765092E-3</v>
      </c>
      <c r="AM9" s="5">
        <f t="shared" ref="AM9:AM16" si="74">AL9</f>
        <v>3.1986351106765092E-3</v>
      </c>
      <c r="AN9" s="5">
        <f t="shared" ref="AN9:AN16" si="75">1/(1+EXP(5.7949-0.7619*U9/1000))</f>
        <v>9.8979198134876017E-3</v>
      </c>
      <c r="AO9" s="5">
        <f t="shared" ref="AO9:AO16" si="76">1/(1+EXP(5.7949-0.7619*V9/1000))</f>
        <v>1.0503326567807447E-2</v>
      </c>
      <c r="AP9" s="24">
        <f t="shared" ref="AP9:AP16" si="77">MAX(AN9,AO9)</f>
        <v>1.0503326567807447E-2</v>
      </c>
      <c r="AQ9" s="214">
        <f t="shared" ref="AQ9:AQ16" si="78">ROUND(1-(1-W9)*(1-AA9)*(1-AC9)*(1-AF9),3)</f>
        <v>0.11600000000000001</v>
      </c>
      <c r="AR9" s="5">
        <f t="shared" ref="AR9:AR16" si="79">ROUND(1-(1-AG9)*(1-AK9)*(1-AM9)*(1-AP9),3)</f>
        <v>0.106</v>
      </c>
      <c r="AS9" s="5">
        <f t="shared" ref="AS9:AS16" si="80">ROUND(AVERAGE(AR9,AQ9),3)</f>
        <v>0.111</v>
      </c>
      <c r="AT9" s="185">
        <f t="shared" ref="AT9:AT16" si="81">ROUND(AQ9/0.15,2)</f>
        <v>0.77</v>
      </c>
      <c r="AU9" s="185">
        <f t="shared" ref="AU9:AU16" si="82">ROUND(AR9/0.15,2)</f>
        <v>0.71</v>
      </c>
      <c r="AV9" s="185">
        <f t="shared" ref="AV9:AV16" si="83">ROUND(AS9/0.15,2)</f>
        <v>0.74</v>
      </c>
      <c r="AW9" s="50">
        <f t="shared" ref="AW9:AW16" si="84">IF(AT9&lt;0.67,5,IF(AT9&lt;1,4,IF(AT9&lt;1.33,3,IF(AT9&lt;2.67,2,1))))</f>
        <v>4</v>
      </c>
      <c r="AX9" s="50">
        <f t="shared" ref="AX9:AX16" si="85">IF(AU9&lt;0.67,5,IF(AU9&lt;1,4,IF(AU9&lt;1.33,3,IF(AU9&lt;2.67,2,1))))</f>
        <v>4</v>
      </c>
      <c r="AY9" s="215">
        <f t="shared" ref="AY9:AY16" si="86">IF(AV9&lt;0.67,5,IF(AV9&lt;1,4,IF(AV9&lt;1.33,3,IF(AV9&lt;2.67,2,1))))</f>
        <v>4</v>
      </c>
    </row>
    <row r="10" spans="1:51" ht="13.15" customHeight="1">
      <c r="A10" s="216">
        <v>10836</v>
      </c>
      <c r="B10" s="92" t="s">
        <v>125</v>
      </c>
      <c r="C10" s="217" t="str">
        <f>Rollover!A10</f>
        <v>Mitsubishi</v>
      </c>
      <c r="D10" s="218" t="str">
        <f>Rollover!B10</f>
        <v>Eclipse Cross SUV AWD</v>
      </c>
      <c r="E10" s="184" t="s">
        <v>95</v>
      </c>
      <c r="F10" s="213">
        <f>Rollover!C10</f>
        <v>2020</v>
      </c>
      <c r="G10" s="18">
        <v>289.98099999999999</v>
      </c>
      <c r="H10" s="19">
        <v>0.35099999999999998</v>
      </c>
      <c r="I10" s="19">
        <v>2076.4569999999999</v>
      </c>
      <c r="J10" s="19">
        <v>290.44</v>
      </c>
      <c r="K10" s="19">
        <v>21.638000000000002</v>
      </c>
      <c r="L10" s="19">
        <v>42.337000000000003</v>
      </c>
      <c r="M10" s="19">
        <v>1061.777</v>
      </c>
      <c r="N10" s="20">
        <v>1215.3889999999999</v>
      </c>
      <c r="O10" s="18">
        <v>244.035</v>
      </c>
      <c r="P10" s="19">
        <v>0.30299999999999999</v>
      </c>
      <c r="Q10" s="19">
        <v>722.55899999999997</v>
      </c>
      <c r="R10" s="19">
        <v>637.49900000000002</v>
      </c>
      <c r="S10" s="19">
        <v>13.968</v>
      </c>
      <c r="T10" s="19">
        <v>43.274999999999999</v>
      </c>
      <c r="U10" s="19">
        <v>1396.232</v>
      </c>
      <c r="V10" s="20">
        <v>755.31899999999996</v>
      </c>
      <c r="W10" s="214">
        <f t="shared" si="58"/>
        <v>8.001621323410207E-3</v>
      </c>
      <c r="X10" s="5">
        <f t="shared" si="59"/>
        <v>7.3382783650721664E-2</v>
      </c>
      <c r="Y10" s="5">
        <f t="shared" si="60"/>
        <v>2.36900217026545E-3</v>
      </c>
      <c r="Z10" s="5">
        <f t="shared" si="61"/>
        <v>3.4150301240633461E-5</v>
      </c>
      <c r="AA10" s="5">
        <f t="shared" si="62"/>
        <v>7.3382783650721664E-2</v>
      </c>
      <c r="AB10" s="5">
        <f t="shared" si="63"/>
        <v>1.6757411285885034E-2</v>
      </c>
      <c r="AC10" s="5">
        <f t="shared" si="64"/>
        <v>1.6757411285885034E-2</v>
      </c>
      <c r="AD10" s="5">
        <f t="shared" si="65"/>
        <v>5.2555528132620447E-3</v>
      </c>
      <c r="AE10" s="5">
        <f t="shared" si="66"/>
        <v>5.6897448781015663E-3</v>
      </c>
      <c r="AF10" s="24">
        <f t="shared" si="67"/>
        <v>5.6897448781015663E-3</v>
      </c>
      <c r="AG10" s="23">
        <f t="shared" si="68"/>
        <v>4.1213766505447677E-3</v>
      </c>
      <c r="AH10" s="5">
        <f t="shared" si="69"/>
        <v>6.7210278929979619E-2</v>
      </c>
      <c r="AI10" s="5">
        <f t="shared" si="70"/>
        <v>2.654144425041883E-4</v>
      </c>
      <c r="AJ10" s="5">
        <f t="shared" si="71"/>
        <v>1.9261418664130839E-4</v>
      </c>
      <c r="AK10" s="5">
        <f t="shared" si="72"/>
        <v>6.7210278929979619E-2</v>
      </c>
      <c r="AL10" s="5">
        <f t="shared" si="73"/>
        <v>8.6760774391208707E-3</v>
      </c>
      <c r="AM10" s="5">
        <f t="shared" si="74"/>
        <v>8.6760774391208707E-3</v>
      </c>
      <c r="AN10" s="5">
        <f t="shared" si="75"/>
        <v>8.7396173564961415E-3</v>
      </c>
      <c r="AO10" s="5">
        <f t="shared" si="76"/>
        <v>5.3813375364226293E-3</v>
      </c>
      <c r="AP10" s="24">
        <f t="shared" si="77"/>
        <v>8.7396173564961415E-3</v>
      </c>
      <c r="AQ10" s="214">
        <f t="shared" si="78"/>
        <v>0.10100000000000001</v>
      </c>
      <c r="AR10" s="5">
        <f t="shared" si="79"/>
        <v>8.6999999999999994E-2</v>
      </c>
      <c r="AS10" s="5">
        <f t="shared" si="80"/>
        <v>9.4E-2</v>
      </c>
      <c r="AT10" s="185">
        <f t="shared" si="81"/>
        <v>0.67</v>
      </c>
      <c r="AU10" s="185">
        <f t="shared" si="82"/>
        <v>0.57999999999999996</v>
      </c>
      <c r="AV10" s="185">
        <f t="shared" si="83"/>
        <v>0.63</v>
      </c>
      <c r="AW10" s="50">
        <f t="shared" si="84"/>
        <v>4</v>
      </c>
      <c r="AX10" s="50">
        <f t="shared" si="85"/>
        <v>5</v>
      </c>
      <c r="AY10" s="215">
        <f t="shared" si="86"/>
        <v>5</v>
      </c>
    </row>
    <row r="11" spans="1:51" ht="13.15" customHeight="1">
      <c r="A11" s="216">
        <v>10836</v>
      </c>
      <c r="B11" s="95" t="s">
        <v>125</v>
      </c>
      <c r="C11" s="211" t="str">
        <f>Rollover!A11</f>
        <v>Mitsubishi</v>
      </c>
      <c r="D11" s="212" t="str">
        <f>Rollover!B11</f>
        <v>Eclipse Cross SUV FWD</v>
      </c>
      <c r="E11" s="184" t="s">
        <v>95</v>
      </c>
      <c r="F11" s="213">
        <f>Rollover!C11</f>
        <v>2020</v>
      </c>
      <c r="G11" s="10">
        <v>289.98099999999999</v>
      </c>
      <c r="H11" s="11">
        <v>0.35099999999999998</v>
      </c>
      <c r="I11" s="11">
        <v>2076.4569999999999</v>
      </c>
      <c r="J11" s="11">
        <v>290.44</v>
      </c>
      <c r="K11" s="11">
        <v>21.638000000000002</v>
      </c>
      <c r="L11" s="11">
        <v>42.337000000000003</v>
      </c>
      <c r="M11" s="11">
        <v>1061.777</v>
      </c>
      <c r="N11" s="12">
        <v>1215.3889999999999</v>
      </c>
      <c r="O11" s="10">
        <v>244.035</v>
      </c>
      <c r="P11" s="11">
        <v>0.30299999999999999</v>
      </c>
      <c r="Q11" s="11">
        <v>722.55899999999997</v>
      </c>
      <c r="R11" s="11">
        <v>637.49900000000002</v>
      </c>
      <c r="S11" s="11">
        <v>13.968</v>
      </c>
      <c r="T11" s="11">
        <v>43.274999999999999</v>
      </c>
      <c r="U11" s="11">
        <v>1396.232</v>
      </c>
      <c r="V11" s="12">
        <v>755.31899999999996</v>
      </c>
      <c r="W11" s="214">
        <f t="shared" si="58"/>
        <v>8.001621323410207E-3</v>
      </c>
      <c r="X11" s="5">
        <f t="shared" si="59"/>
        <v>7.3382783650721664E-2</v>
      </c>
      <c r="Y11" s="5">
        <f t="shared" si="60"/>
        <v>2.36900217026545E-3</v>
      </c>
      <c r="Z11" s="5">
        <f t="shared" si="61"/>
        <v>3.4150301240633461E-5</v>
      </c>
      <c r="AA11" s="5">
        <f t="shared" si="62"/>
        <v>7.3382783650721664E-2</v>
      </c>
      <c r="AB11" s="5">
        <f t="shared" si="63"/>
        <v>1.6757411285885034E-2</v>
      </c>
      <c r="AC11" s="5">
        <f t="shared" si="64"/>
        <v>1.6757411285885034E-2</v>
      </c>
      <c r="AD11" s="5">
        <f t="shared" si="65"/>
        <v>5.2555528132620447E-3</v>
      </c>
      <c r="AE11" s="5">
        <f t="shared" si="66"/>
        <v>5.6897448781015663E-3</v>
      </c>
      <c r="AF11" s="24">
        <f t="shared" si="67"/>
        <v>5.6897448781015663E-3</v>
      </c>
      <c r="AG11" s="23">
        <f t="shared" si="68"/>
        <v>4.1213766505447677E-3</v>
      </c>
      <c r="AH11" s="5">
        <f t="shared" si="69"/>
        <v>6.7210278929979619E-2</v>
      </c>
      <c r="AI11" s="5">
        <f t="shared" si="70"/>
        <v>2.654144425041883E-4</v>
      </c>
      <c r="AJ11" s="5">
        <f t="shared" si="71"/>
        <v>1.9261418664130839E-4</v>
      </c>
      <c r="AK11" s="5">
        <f t="shared" si="72"/>
        <v>6.7210278929979619E-2</v>
      </c>
      <c r="AL11" s="5">
        <f t="shared" si="73"/>
        <v>8.6760774391208707E-3</v>
      </c>
      <c r="AM11" s="5">
        <f t="shared" si="74"/>
        <v>8.6760774391208707E-3</v>
      </c>
      <c r="AN11" s="5">
        <f t="shared" si="75"/>
        <v>8.7396173564961415E-3</v>
      </c>
      <c r="AO11" s="5">
        <f t="shared" si="76"/>
        <v>5.3813375364226293E-3</v>
      </c>
      <c r="AP11" s="24">
        <f t="shared" si="77"/>
        <v>8.7396173564961415E-3</v>
      </c>
      <c r="AQ11" s="214">
        <f t="shared" si="78"/>
        <v>0.10100000000000001</v>
      </c>
      <c r="AR11" s="5">
        <f t="shared" si="79"/>
        <v>8.6999999999999994E-2</v>
      </c>
      <c r="AS11" s="5">
        <f t="shared" si="80"/>
        <v>9.4E-2</v>
      </c>
      <c r="AT11" s="185">
        <f t="shared" si="81"/>
        <v>0.67</v>
      </c>
      <c r="AU11" s="185">
        <f t="shared" si="82"/>
        <v>0.57999999999999996</v>
      </c>
      <c r="AV11" s="185">
        <f t="shared" si="83"/>
        <v>0.63</v>
      </c>
      <c r="AW11" s="50">
        <f t="shared" si="84"/>
        <v>4</v>
      </c>
      <c r="AX11" s="50">
        <f t="shared" si="85"/>
        <v>5</v>
      </c>
      <c r="AY11" s="215">
        <f t="shared" si="86"/>
        <v>5</v>
      </c>
    </row>
    <row r="12" spans="1:51" ht="13.15" customHeight="1">
      <c r="A12" s="216">
        <v>10962</v>
      </c>
      <c r="B12" s="95" t="s">
        <v>145</v>
      </c>
      <c r="C12" s="211" t="str">
        <f>Rollover!A12</f>
        <v>Subaru</v>
      </c>
      <c r="D12" s="212" t="str">
        <f>Rollover!B12</f>
        <v>Legacy 4DR AWD</v>
      </c>
      <c r="E12" s="184" t="s">
        <v>144</v>
      </c>
      <c r="F12" s="213">
        <f>Rollover!C12</f>
        <v>2020</v>
      </c>
      <c r="G12" s="220">
        <v>101.179</v>
      </c>
      <c r="H12" s="221">
        <v>0.249</v>
      </c>
      <c r="I12" s="221">
        <v>1107.491</v>
      </c>
      <c r="J12" s="221">
        <v>254.07300000000001</v>
      </c>
      <c r="K12" s="221">
        <v>18.829999999999998</v>
      </c>
      <c r="L12" s="221">
        <v>39.628</v>
      </c>
      <c r="M12" s="221">
        <v>896.50900000000001</v>
      </c>
      <c r="N12" s="222">
        <v>1304.6289999999999</v>
      </c>
      <c r="O12" s="10">
        <v>166.499</v>
      </c>
      <c r="P12" s="11">
        <v>0.38300000000000001</v>
      </c>
      <c r="Q12" s="11">
        <v>902.24300000000005</v>
      </c>
      <c r="R12" s="11">
        <v>394.23500000000001</v>
      </c>
      <c r="S12" s="11">
        <v>10.302</v>
      </c>
      <c r="T12" s="11">
        <v>43.052999999999997</v>
      </c>
      <c r="U12" s="11">
        <v>849.649</v>
      </c>
      <c r="V12" s="12">
        <v>288.48700000000002</v>
      </c>
      <c r="W12" s="214">
        <f t="shared" si="58"/>
        <v>6.3617354331515908E-5</v>
      </c>
      <c r="X12" s="5">
        <f t="shared" si="59"/>
        <v>6.0843976465800663E-2</v>
      </c>
      <c r="Y12" s="5">
        <f t="shared" si="60"/>
        <v>2.3771297101748157E-4</v>
      </c>
      <c r="Z12" s="5">
        <f t="shared" si="61"/>
        <v>3.1324564808767173E-5</v>
      </c>
      <c r="AA12" s="5">
        <f t="shared" si="62"/>
        <v>6.0843976465800663E-2</v>
      </c>
      <c r="AB12" s="5">
        <f t="shared" si="63"/>
        <v>1.1273132930408693E-2</v>
      </c>
      <c r="AC12" s="5">
        <f t="shared" si="64"/>
        <v>1.1273132930408693E-2</v>
      </c>
      <c r="AD12" s="5">
        <f t="shared" si="65"/>
        <v>4.8251629860579836E-3</v>
      </c>
      <c r="AE12" s="5">
        <f t="shared" si="66"/>
        <v>5.958176690946634E-3</v>
      </c>
      <c r="AF12" s="24">
        <f t="shared" si="67"/>
        <v>5.958176690946634E-3</v>
      </c>
      <c r="AG12" s="23">
        <f t="shared" si="68"/>
        <v>7.9257154069067122E-4</v>
      </c>
      <c r="AH12" s="5">
        <f t="shared" si="69"/>
        <v>7.7783577843529988E-2</v>
      </c>
      <c r="AI12" s="5">
        <f t="shared" si="70"/>
        <v>5.2240551029927396E-4</v>
      </c>
      <c r="AJ12" s="5">
        <f t="shared" si="71"/>
        <v>7.6991845462010875E-5</v>
      </c>
      <c r="AK12" s="5">
        <f t="shared" si="72"/>
        <v>7.7783577843529988E-2</v>
      </c>
      <c r="AL12" s="5">
        <f t="shared" si="73"/>
        <v>4.0735085751660146E-3</v>
      </c>
      <c r="AM12" s="5">
        <f t="shared" si="74"/>
        <v>4.0735085751660146E-3</v>
      </c>
      <c r="AN12" s="5">
        <f t="shared" si="75"/>
        <v>5.7800137950007021E-3</v>
      </c>
      <c r="AO12" s="5">
        <f t="shared" si="76"/>
        <v>3.7767717205642974E-3</v>
      </c>
      <c r="AP12" s="24">
        <f t="shared" si="77"/>
        <v>5.7800137950007021E-3</v>
      </c>
      <c r="AQ12" s="214">
        <f t="shared" si="78"/>
        <v>7.6999999999999999E-2</v>
      </c>
      <c r="AR12" s="5">
        <f t="shared" si="79"/>
        <v>8.7999999999999995E-2</v>
      </c>
      <c r="AS12" s="5">
        <f t="shared" si="80"/>
        <v>8.3000000000000004E-2</v>
      </c>
      <c r="AT12" s="185">
        <f t="shared" si="81"/>
        <v>0.51</v>
      </c>
      <c r="AU12" s="185">
        <f t="shared" si="82"/>
        <v>0.59</v>
      </c>
      <c r="AV12" s="185">
        <f t="shared" si="83"/>
        <v>0.55000000000000004</v>
      </c>
      <c r="AW12" s="50">
        <f t="shared" si="84"/>
        <v>5</v>
      </c>
      <c r="AX12" s="50">
        <f t="shared" si="85"/>
        <v>5</v>
      </c>
      <c r="AY12" s="215">
        <f t="shared" si="86"/>
        <v>5</v>
      </c>
    </row>
    <row r="13" spans="1:51" ht="13.15" customHeight="1">
      <c r="A13" s="216">
        <v>10962</v>
      </c>
      <c r="B13" s="95" t="s">
        <v>145</v>
      </c>
      <c r="C13" s="211" t="str">
        <f>Rollover!A13</f>
        <v>Subaru</v>
      </c>
      <c r="D13" s="212" t="str">
        <f>Rollover!B13</f>
        <v>Outback SW AWD</v>
      </c>
      <c r="E13" s="184" t="s">
        <v>144</v>
      </c>
      <c r="F13" s="213">
        <f>Rollover!C13</f>
        <v>2020</v>
      </c>
      <c r="G13" s="220">
        <v>101.179</v>
      </c>
      <c r="H13" s="221">
        <v>0.249</v>
      </c>
      <c r="I13" s="221">
        <v>1107.491</v>
      </c>
      <c r="J13" s="221">
        <v>254.07300000000001</v>
      </c>
      <c r="K13" s="221">
        <v>18.829999999999998</v>
      </c>
      <c r="L13" s="221">
        <v>39.628</v>
      </c>
      <c r="M13" s="221">
        <v>896.50900000000001</v>
      </c>
      <c r="N13" s="222">
        <v>1304.6289999999999</v>
      </c>
      <c r="O13" s="10">
        <v>166.499</v>
      </c>
      <c r="P13" s="11">
        <v>0.38300000000000001</v>
      </c>
      <c r="Q13" s="11">
        <v>902.24300000000005</v>
      </c>
      <c r="R13" s="11">
        <v>394.23500000000001</v>
      </c>
      <c r="S13" s="11">
        <v>10.302</v>
      </c>
      <c r="T13" s="11">
        <v>43.052999999999997</v>
      </c>
      <c r="U13" s="11">
        <v>849.649</v>
      </c>
      <c r="V13" s="12">
        <v>288.48700000000002</v>
      </c>
      <c r="W13" s="214">
        <f t="shared" si="58"/>
        <v>6.3617354331515908E-5</v>
      </c>
      <c r="X13" s="5">
        <f t="shared" si="59"/>
        <v>6.0843976465800663E-2</v>
      </c>
      <c r="Y13" s="5">
        <f t="shared" si="60"/>
        <v>2.3771297101748157E-4</v>
      </c>
      <c r="Z13" s="5">
        <f t="shared" si="61"/>
        <v>3.1324564808767173E-5</v>
      </c>
      <c r="AA13" s="5">
        <f t="shared" si="62"/>
        <v>6.0843976465800663E-2</v>
      </c>
      <c r="AB13" s="5">
        <f t="shared" si="63"/>
        <v>1.1273132930408693E-2</v>
      </c>
      <c r="AC13" s="5">
        <f t="shared" si="64"/>
        <v>1.1273132930408693E-2</v>
      </c>
      <c r="AD13" s="5">
        <f t="shared" si="65"/>
        <v>4.8251629860579836E-3</v>
      </c>
      <c r="AE13" s="5">
        <f t="shared" si="66"/>
        <v>5.958176690946634E-3</v>
      </c>
      <c r="AF13" s="24">
        <f t="shared" si="67"/>
        <v>5.958176690946634E-3</v>
      </c>
      <c r="AG13" s="23">
        <f t="shared" si="68"/>
        <v>7.9257154069067122E-4</v>
      </c>
      <c r="AH13" s="5">
        <f t="shared" si="69"/>
        <v>7.7783577843529988E-2</v>
      </c>
      <c r="AI13" s="5">
        <f t="shared" si="70"/>
        <v>5.2240551029927396E-4</v>
      </c>
      <c r="AJ13" s="5">
        <f t="shared" si="71"/>
        <v>7.6991845462010875E-5</v>
      </c>
      <c r="AK13" s="5">
        <f t="shared" si="72"/>
        <v>7.7783577843529988E-2</v>
      </c>
      <c r="AL13" s="5">
        <f t="shared" si="73"/>
        <v>4.0735085751660146E-3</v>
      </c>
      <c r="AM13" s="5">
        <f t="shared" si="74"/>
        <v>4.0735085751660146E-3</v>
      </c>
      <c r="AN13" s="5">
        <f t="shared" si="75"/>
        <v>5.7800137950007021E-3</v>
      </c>
      <c r="AO13" s="5">
        <f t="shared" si="76"/>
        <v>3.7767717205642974E-3</v>
      </c>
      <c r="AP13" s="24">
        <f t="shared" si="77"/>
        <v>5.7800137950007021E-3</v>
      </c>
      <c r="AQ13" s="214">
        <f t="shared" si="78"/>
        <v>7.6999999999999999E-2</v>
      </c>
      <c r="AR13" s="5">
        <f t="shared" si="79"/>
        <v>8.7999999999999995E-2</v>
      </c>
      <c r="AS13" s="5">
        <f t="shared" si="80"/>
        <v>8.3000000000000004E-2</v>
      </c>
      <c r="AT13" s="185">
        <f t="shared" si="81"/>
        <v>0.51</v>
      </c>
      <c r="AU13" s="185">
        <f t="shared" si="82"/>
        <v>0.59</v>
      </c>
      <c r="AV13" s="185">
        <f t="shared" si="83"/>
        <v>0.55000000000000004</v>
      </c>
      <c r="AW13" s="50">
        <f t="shared" si="84"/>
        <v>5</v>
      </c>
      <c r="AX13" s="50">
        <f t="shared" si="85"/>
        <v>5</v>
      </c>
      <c r="AY13" s="215">
        <f t="shared" si="86"/>
        <v>5</v>
      </c>
    </row>
    <row r="14" spans="1:51" ht="13.15" customHeight="1">
      <c r="A14" s="216">
        <v>10924</v>
      </c>
      <c r="B14" s="95" t="s">
        <v>143</v>
      </c>
      <c r="C14" s="211" t="str">
        <f>Rollover!A14</f>
        <v>Subaru</v>
      </c>
      <c r="D14" s="212" t="str">
        <f>Rollover!B14</f>
        <v>WRX 4DR AWD</v>
      </c>
      <c r="E14" s="184" t="s">
        <v>95</v>
      </c>
      <c r="F14" s="213">
        <f>Rollover!C14</f>
        <v>2020</v>
      </c>
      <c r="G14" s="10">
        <v>308.125</v>
      </c>
      <c r="H14" s="11">
        <v>0.27600000000000002</v>
      </c>
      <c r="I14" s="11">
        <v>1393.077</v>
      </c>
      <c r="J14" s="11">
        <v>90.724999999999994</v>
      </c>
      <c r="K14" s="11">
        <v>22.155999999999999</v>
      </c>
      <c r="L14" s="11">
        <v>49.927</v>
      </c>
      <c r="M14" s="11">
        <v>1191.77</v>
      </c>
      <c r="N14" s="12">
        <v>2621.433</v>
      </c>
      <c r="O14" s="10">
        <v>208.02099999999999</v>
      </c>
      <c r="P14" s="11">
        <v>0.32</v>
      </c>
      <c r="Q14" s="11">
        <v>732.64200000000005</v>
      </c>
      <c r="R14" s="11">
        <v>553.23800000000006</v>
      </c>
      <c r="S14" s="11">
        <v>14.951000000000001</v>
      </c>
      <c r="T14" s="11">
        <v>46.508000000000003</v>
      </c>
      <c r="U14" s="11">
        <v>1783.0550000000001</v>
      </c>
      <c r="V14" s="12">
        <v>510.82299999999998</v>
      </c>
      <c r="W14" s="214">
        <f t="shared" si="58"/>
        <v>9.9872729361347203E-3</v>
      </c>
      <c r="X14" s="5">
        <f t="shared" si="59"/>
        <v>6.3953362191218263E-2</v>
      </c>
      <c r="Y14" s="5">
        <f t="shared" si="60"/>
        <v>4.6829574380280361E-4</v>
      </c>
      <c r="Z14" s="5">
        <f t="shared" si="61"/>
        <v>2.1252216175031695E-5</v>
      </c>
      <c r="AA14" s="5">
        <f t="shared" si="62"/>
        <v>6.3953362191218263E-2</v>
      </c>
      <c r="AB14" s="5">
        <f t="shared" si="63"/>
        <v>1.7968621179845223E-2</v>
      </c>
      <c r="AC14" s="5">
        <f t="shared" si="64"/>
        <v>1.7968621179845223E-2</v>
      </c>
      <c r="AD14" s="5">
        <f t="shared" si="65"/>
        <v>5.6207346754764027E-3</v>
      </c>
      <c r="AE14" s="5">
        <f t="shared" si="66"/>
        <v>1.1741631301108186E-2</v>
      </c>
      <c r="AF14" s="24">
        <f t="shared" si="67"/>
        <v>1.1741631301108186E-2</v>
      </c>
      <c r="AG14" s="23">
        <f t="shared" si="68"/>
        <v>2.1333444774005094E-3</v>
      </c>
      <c r="AH14" s="5">
        <f t="shared" si="69"/>
        <v>6.9339230241375907E-2</v>
      </c>
      <c r="AI14" s="5">
        <f t="shared" si="70"/>
        <v>2.7569499524359337E-4</v>
      </c>
      <c r="AJ14" s="5">
        <f t="shared" si="71"/>
        <v>1.4020107007562329E-4</v>
      </c>
      <c r="AK14" s="5">
        <f t="shared" si="72"/>
        <v>6.9339230241375907E-2</v>
      </c>
      <c r="AL14" s="5">
        <f t="shared" si="73"/>
        <v>1.0421190561579577E-2</v>
      </c>
      <c r="AM14" s="5">
        <f t="shared" si="74"/>
        <v>1.0421190561579577E-2</v>
      </c>
      <c r="AN14" s="5">
        <f t="shared" si="75"/>
        <v>1.1700081613618525E-2</v>
      </c>
      <c r="AO14" s="5">
        <f t="shared" si="76"/>
        <v>4.4708139543796765E-3</v>
      </c>
      <c r="AP14" s="24">
        <f t="shared" si="77"/>
        <v>1.1700081613618525E-2</v>
      </c>
      <c r="AQ14" s="214">
        <f t="shared" si="78"/>
        <v>0.10100000000000001</v>
      </c>
      <c r="AR14" s="5">
        <f t="shared" si="79"/>
        <v>9.1999999999999998E-2</v>
      </c>
      <c r="AS14" s="5">
        <f t="shared" si="80"/>
        <v>9.7000000000000003E-2</v>
      </c>
      <c r="AT14" s="185">
        <f t="shared" si="81"/>
        <v>0.67</v>
      </c>
      <c r="AU14" s="185">
        <f t="shared" si="82"/>
        <v>0.61</v>
      </c>
      <c r="AV14" s="185">
        <f t="shared" si="83"/>
        <v>0.65</v>
      </c>
      <c r="AW14" s="50">
        <f t="shared" si="84"/>
        <v>4</v>
      </c>
      <c r="AX14" s="50">
        <f t="shared" si="85"/>
        <v>5</v>
      </c>
      <c r="AY14" s="215">
        <f t="shared" si="86"/>
        <v>5</v>
      </c>
    </row>
    <row r="15" spans="1:51" ht="13.15" customHeight="1">
      <c r="A15" s="209">
        <v>10651</v>
      </c>
      <c r="B15" s="210" t="s">
        <v>116</v>
      </c>
      <c r="C15" s="211" t="str">
        <f>Rollover!A15</f>
        <v>Toyota</v>
      </c>
      <c r="D15" s="212" t="str">
        <f>Rollover!B15</f>
        <v>Corolla 4DR FWD</v>
      </c>
      <c r="E15" s="184" t="s">
        <v>85</v>
      </c>
      <c r="F15" s="213">
        <f>Rollover!C15</f>
        <v>2020</v>
      </c>
      <c r="G15" s="10">
        <v>186.548</v>
      </c>
      <c r="H15" s="11">
        <v>0.27300000000000002</v>
      </c>
      <c r="I15" s="11">
        <v>1080.8340000000001</v>
      </c>
      <c r="J15" s="11">
        <v>221.012</v>
      </c>
      <c r="K15" s="11">
        <v>24.053999999999998</v>
      </c>
      <c r="L15" s="11">
        <v>45.079000000000001</v>
      </c>
      <c r="M15" s="11">
        <v>1468.2719999999999</v>
      </c>
      <c r="N15" s="12">
        <v>1380.788</v>
      </c>
      <c r="O15" s="10">
        <v>356.32299999999998</v>
      </c>
      <c r="P15" s="11">
        <v>0.27100000000000002</v>
      </c>
      <c r="Q15" s="11">
        <v>733.971</v>
      </c>
      <c r="R15" s="11">
        <v>381.9</v>
      </c>
      <c r="S15" s="11">
        <v>13.587999999999999</v>
      </c>
      <c r="T15" s="11">
        <v>48.542000000000002</v>
      </c>
      <c r="U15" s="11">
        <v>1337.059</v>
      </c>
      <c r="V15" s="12">
        <v>693.72799999999995</v>
      </c>
      <c r="W15" s="214">
        <f t="shared" si="58"/>
        <v>1.3280132735441646E-3</v>
      </c>
      <c r="X15" s="5">
        <f t="shared" si="59"/>
        <v>6.3600694729198576E-2</v>
      </c>
      <c r="Y15" s="5">
        <f t="shared" si="60"/>
        <v>2.231330320868445E-4</v>
      </c>
      <c r="Z15" s="5">
        <f t="shared" si="61"/>
        <v>2.8959117628590589E-5</v>
      </c>
      <c r="AA15" s="5">
        <f t="shared" si="62"/>
        <v>6.3600694729198576E-2</v>
      </c>
      <c r="AB15" s="5">
        <f t="shared" si="63"/>
        <v>2.3019088613042766E-2</v>
      </c>
      <c r="AC15" s="5">
        <f t="shared" si="64"/>
        <v>2.3019088613042766E-2</v>
      </c>
      <c r="AD15" s="5">
        <f t="shared" si="65"/>
        <v>6.4835277820869067E-3</v>
      </c>
      <c r="AE15" s="5">
        <f t="shared" si="66"/>
        <v>6.1971917736574752E-3</v>
      </c>
      <c r="AF15" s="24">
        <f t="shared" si="67"/>
        <v>6.4835277820869067E-3</v>
      </c>
      <c r="AG15" s="23">
        <f t="shared" si="68"/>
        <v>1.6568243756006254E-2</v>
      </c>
      <c r="AH15" s="5">
        <f t="shared" si="69"/>
        <v>6.3366590994446123E-2</v>
      </c>
      <c r="AI15" s="5">
        <f t="shared" si="70"/>
        <v>2.7707940068093061E-4</v>
      </c>
      <c r="AJ15" s="5">
        <f t="shared" si="71"/>
        <v>7.3493727433486964E-5</v>
      </c>
      <c r="AK15" s="5">
        <f t="shared" si="72"/>
        <v>6.3366590994446123E-2</v>
      </c>
      <c r="AL15" s="5">
        <f t="shared" si="73"/>
        <v>8.066984148380035E-3</v>
      </c>
      <c r="AM15" s="5">
        <f t="shared" si="74"/>
        <v>8.066984148380035E-3</v>
      </c>
      <c r="AN15" s="5">
        <f t="shared" si="75"/>
        <v>8.3575710425069869E-3</v>
      </c>
      <c r="AO15" s="5">
        <f t="shared" si="76"/>
        <v>5.1359123258313873E-3</v>
      </c>
      <c r="AP15" s="24">
        <f t="shared" si="77"/>
        <v>8.3575710425069869E-3</v>
      </c>
      <c r="AQ15" s="214">
        <f t="shared" si="78"/>
        <v>9.1999999999999998E-2</v>
      </c>
      <c r="AR15" s="5">
        <f t="shared" si="79"/>
        <v>9.4E-2</v>
      </c>
      <c r="AS15" s="5">
        <f t="shared" si="80"/>
        <v>9.2999999999999999E-2</v>
      </c>
      <c r="AT15" s="185">
        <f t="shared" si="81"/>
        <v>0.61</v>
      </c>
      <c r="AU15" s="185">
        <f t="shared" si="82"/>
        <v>0.63</v>
      </c>
      <c r="AV15" s="185">
        <f t="shared" si="83"/>
        <v>0.62</v>
      </c>
      <c r="AW15" s="50">
        <f t="shared" si="84"/>
        <v>5</v>
      </c>
      <c r="AX15" s="50">
        <f t="shared" si="85"/>
        <v>5</v>
      </c>
      <c r="AY15" s="215">
        <f t="shared" si="86"/>
        <v>5</v>
      </c>
    </row>
    <row r="16" spans="1:51" ht="13.15" customHeight="1">
      <c r="A16" s="209">
        <v>10651</v>
      </c>
      <c r="B16" s="210" t="s">
        <v>116</v>
      </c>
      <c r="C16" s="211" t="str">
        <f>Rollover!A16</f>
        <v>Toyota</v>
      </c>
      <c r="D16" s="212" t="str">
        <f>Rollover!B16</f>
        <v>Corolla Hybrid 4DR FWD</v>
      </c>
      <c r="E16" s="184" t="s">
        <v>85</v>
      </c>
      <c r="F16" s="213">
        <f>Rollover!C16</f>
        <v>2020</v>
      </c>
      <c r="G16" s="10">
        <v>186.548</v>
      </c>
      <c r="H16" s="11">
        <v>0.27300000000000002</v>
      </c>
      <c r="I16" s="11">
        <v>1080.8340000000001</v>
      </c>
      <c r="J16" s="11">
        <v>221.012</v>
      </c>
      <c r="K16" s="11">
        <v>24.053999999999998</v>
      </c>
      <c r="L16" s="11">
        <v>45.079000000000001</v>
      </c>
      <c r="M16" s="11">
        <v>1468.2719999999999</v>
      </c>
      <c r="N16" s="12">
        <v>1380.788</v>
      </c>
      <c r="O16" s="10">
        <v>356.32299999999998</v>
      </c>
      <c r="P16" s="11">
        <v>0.27100000000000002</v>
      </c>
      <c r="Q16" s="11">
        <v>733.971</v>
      </c>
      <c r="R16" s="11">
        <v>381.9</v>
      </c>
      <c r="S16" s="11">
        <v>13.587999999999999</v>
      </c>
      <c r="T16" s="11">
        <v>48.542000000000002</v>
      </c>
      <c r="U16" s="11">
        <v>1337.059</v>
      </c>
      <c r="V16" s="12">
        <v>693.72799999999995</v>
      </c>
      <c r="W16" s="214">
        <f t="shared" si="58"/>
        <v>1.3280132735441646E-3</v>
      </c>
      <c r="X16" s="5">
        <f t="shared" si="59"/>
        <v>6.3600694729198576E-2</v>
      </c>
      <c r="Y16" s="5">
        <f t="shared" si="60"/>
        <v>2.231330320868445E-4</v>
      </c>
      <c r="Z16" s="5">
        <f t="shared" si="61"/>
        <v>2.8959117628590589E-5</v>
      </c>
      <c r="AA16" s="5">
        <f t="shared" si="62"/>
        <v>6.3600694729198576E-2</v>
      </c>
      <c r="AB16" s="5">
        <f t="shared" si="63"/>
        <v>2.3019088613042766E-2</v>
      </c>
      <c r="AC16" s="5">
        <f t="shared" si="64"/>
        <v>2.3019088613042766E-2</v>
      </c>
      <c r="AD16" s="5">
        <f t="shared" si="65"/>
        <v>6.4835277820869067E-3</v>
      </c>
      <c r="AE16" s="5">
        <f t="shared" si="66"/>
        <v>6.1971917736574752E-3</v>
      </c>
      <c r="AF16" s="24">
        <f t="shared" si="67"/>
        <v>6.4835277820869067E-3</v>
      </c>
      <c r="AG16" s="23">
        <f t="shared" si="68"/>
        <v>1.6568243756006254E-2</v>
      </c>
      <c r="AH16" s="5">
        <f t="shared" si="69"/>
        <v>6.3366590994446123E-2</v>
      </c>
      <c r="AI16" s="5">
        <f t="shared" si="70"/>
        <v>2.7707940068093061E-4</v>
      </c>
      <c r="AJ16" s="5">
        <f t="shared" si="71"/>
        <v>7.3493727433486964E-5</v>
      </c>
      <c r="AK16" s="5">
        <f t="shared" si="72"/>
        <v>6.3366590994446123E-2</v>
      </c>
      <c r="AL16" s="5">
        <f t="shared" si="73"/>
        <v>8.066984148380035E-3</v>
      </c>
      <c r="AM16" s="5">
        <f t="shared" si="74"/>
        <v>8.066984148380035E-3</v>
      </c>
      <c r="AN16" s="5">
        <f t="shared" si="75"/>
        <v>8.3575710425069869E-3</v>
      </c>
      <c r="AO16" s="5">
        <f t="shared" si="76"/>
        <v>5.1359123258313873E-3</v>
      </c>
      <c r="AP16" s="24">
        <f t="shared" si="77"/>
        <v>8.3575710425069869E-3</v>
      </c>
      <c r="AQ16" s="214">
        <f t="shared" si="78"/>
        <v>9.1999999999999998E-2</v>
      </c>
      <c r="AR16" s="5">
        <f t="shared" si="79"/>
        <v>9.4E-2</v>
      </c>
      <c r="AS16" s="5">
        <f t="shared" si="80"/>
        <v>9.2999999999999999E-2</v>
      </c>
      <c r="AT16" s="185">
        <f t="shared" si="81"/>
        <v>0.61</v>
      </c>
      <c r="AU16" s="185">
        <f t="shared" si="82"/>
        <v>0.63</v>
      </c>
      <c r="AV16" s="185">
        <f t="shared" si="83"/>
        <v>0.62</v>
      </c>
      <c r="AW16" s="50">
        <f t="shared" si="84"/>
        <v>5</v>
      </c>
      <c r="AX16" s="50">
        <f t="shared" si="85"/>
        <v>5</v>
      </c>
      <c r="AY16" s="215">
        <f t="shared" si="86"/>
        <v>5</v>
      </c>
    </row>
    <row r="17" spans="1:51" ht="13.15" customHeight="1">
      <c r="A17" s="209">
        <v>10917</v>
      </c>
      <c r="B17" s="210" t="s">
        <v>140</v>
      </c>
      <c r="C17" s="211" t="str">
        <f>Rollover!A17</f>
        <v>Volvo</v>
      </c>
      <c r="D17" s="212" t="str">
        <f>Rollover!B17</f>
        <v>XC40 T5 SUV AWD</v>
      </c>
      <c r="E17" s="184" t="s">
        <v>85</v>
      </c>
      <c r="F17" s="213">
        <f>Rollover!C17</f>
        <v>2020</v>
      </c>
      <c r="G17" s="18">
        <v>200.053</v>
      </c>
      <c r="H17" s="19">
        <v>0.29899999999999999</v>
      </c>
      <c r="I17" s="19">
        <v>928.255</v>
      </c>
      <c r="J17" s="19">
        <v>110.486</v>
      </c>
      <c r="K17" s="19">
        <v>22.052</v>
      </c>
      <c r="L17" s="19">
        <v>41.51</v>
      </c>
      <c r="M17" s="19">
        <v>1604.6210000000001</v>
      </c>
      <c r="N17" s="20">
        <v>1689.473</v>
      </c>
      <c r="O17" s="18">
        <v>343.44400000000002</v>
      </c>
      <c r="P17" s="19">
        <v>0.313</v>
      </c>
      <c r="Q17" s="19">
        <v>694.18</v>
      </c>
      <c r="R17" s="19">
        <v>295.48899999999998</v>
      </c>
      <c r="S17" s="19">
        <v>12.709</v>
      </c>
      <c r="T17" s="19">
        <v>42.926000000000002</v>
      </c>
      <c r="U17" s="19">
        <v>1766.52</v>
      </c>
      <c r="V17" s="20">
        <v>1829.538</v>
      </c>
      <c r="W17" s="214">
        <f t="shared" ref="W17:W18" si="87">NORMDIST(LN(G17),7.45231,0.73998,1)</f>
        <v>1.8041309451768328E-3</v>
      </c>
      <c r="X17" s="5">
        <f t="shared" ref="X17:X18" si="88">1/(1+EXP(3.2269-1.9688*H17))</f>
        <v>6.671823813323266E-2</v>
      </c>
      <c r="Y17" s="5">
        <f t="shared" ref="Y17:Y18" si="89">1/(1+EXP(10.9745-2.375*I17/1000))</f>
        <v>1.5531586080468445E-4</v>
      </c>
      <c r="Z17" s="5">
        <f t="shared" ref="Z17:Z18" si="90">1/(1+EXP(10.9745-2.375*J17/1000))</f>
        <v>2.2273386479112217E-5</v>
      </c>
      <c r="AA17" s="5">
        <f t="shared" ref="AA17:AA18" si="91">MAX(X17,Y17,Z17)</f>
        <v>6.671823813323266E-2</v>
      </c>
      <c r="AB17" s="5">
        <f t="shared" ref="AB17:AB18" si="92">1/(1+EXP(12.597-0.05861*35-1.568*(K17^0.4612)))</f>
        <v>1.7719998175078036E-2</v>
      </c>
      <c r="AC17" s="5">
        <f t="shared" ref="AC17:AC18" si="93">AB17</f>
        <v>1.7719998175078036E-2</v>
      </c>
      <c r="AD17" s="5">
        <f t="shared" ref="AD17:AD18" si="94">1/(1+EXP(5.7949-0.5196*M17/1000))</f>
        <v>6.9562172363824204E-3</v>
      </c>
      <c r="AE17" s="5">
        <f t="shared" ref="AE17:AE18" si="95">1/(1+EXP(5.7949-0.5196*N17/1000))</f>
        <v>7.2674932138973971E-3</v>
      </c>
      <c r="AF17" s="24">
        <f t="shared" ref="AF17:AF18" si="96">MAX(AD17,AE17)</f>
        <v>7.2674932138973971E-3</v>
      </c>
      <c r="AG17" s="23">
        <f t="shared" ref="AG17:AG18" si="97">NORMDIST(LN(O17),7.45231,0.73998,1)</f>
        <v>1.4622244362346533E-2</v>
      </c>
      <c r="AH17" s="5">
        <f t="shared" ref="AH17:AH18" si="98">1/(1+EXP(3.2269-1.9688*P17))</f>
        <v>6.8455146857900259E-2</v>
      </c>
      <c r="AI17" s="5">
        <f t="shared" ref="AI17:AI18" si="99">1/(1+EXP(10.958-3.77*Q17/1000))</f>
        <v>2.3849077700541387E-4</v>
      </c>
      <c r="AJ17" s="5">
        <f t="shared" ref="AJ17:AJ18" si="100">1/(1+EXP(10.958-3.77*R17/1000))</f>
        <v>5.306146852895651E-5</v>
      </c>
      <c r="AK17" s="5">
        <f t="shared" ref="AK17:AK18" si="101">MAX(AH17,AI17,AJ17)</f>
        <v>6.8455146857900259E-2</v>
      </c>
      <c r="AL17" s="5">
        <f t="shared" ref="AL17:AL18" si="102">1/(1+EXP(12.597-0.05861*35-1.568*((S17/0.817)^0.4612)))</f>
        <v>6.7863935937378028E-3</v>
      </c>
      <c r="AM17" s="5">
        <f t="shared" ref="AM17:AM18" si="103">AL17</f>
        <v>6.7863935937378028E-3</v>
      </c>
      <c r="AN17" s="5">
        <f t="shared" ref="AN17:AN18" si="104">1/(1+EXP(5.7949-0.7619*U17/1000))</f>
        <v>1.1555300908274285E-2</v>
      </c>
      <c r="AO17" s="5">
        <f t="shared" ref="AO17:AO18" si="105">1/(1+EXP(5.7949-0.7619*V17/1000))</f>
        <v>1.211675876298168E-2</v>
      </c>
      <c r="AP17" s="24">
        <f t="shared" ref="AP17:AP18" si="106">MAX(AN17,AO17)</f>
        <v>1.211675876298168E-2</v>
      </c>
      <c r="AQ17" s="214">
        <f t="shared" ref="AQ17:AQ18" si="107">ROUND(1-(1-W17)*(1-AA17)*(1-AC17)*(1-AF17),3)</f>
        <v>9.1999999999999998E-2</v>
      </c>
      <c r="AR17" s="5">
        <f t="shared" ref="AR17:AR18" si="108">ROUND(1-(1-AG17)*(1-AK17)*(1-AM17)*(1-AP17),3)</f>
        <v>9.9000000000000005E-2</v>
      </c>
      <c r="AS17" s="5">
        <f t="shared" ref="AS17:AS18" si="109">ROUND(AVERAGE(AR17,AQ17),3)</f>
        <v>9.6000000000000002E-2</v>
      </c>
      <c r="AT17" s="185">
        <f t="shared" ref="AT17:AT18" si="110">ROUND(AQ17/0.15,2)</f>
        <v>0.61</v>
      </c>
      <c r="AU17" s="185">
        <f t="shared" ref="AU17:AU18" si="111">ROUND(AR17/0.15,2)</f>
        <v>0.66</v>
      </c>
      <c r="AV17" s="185">
        <f t="shared" ref="AV17:AV18" si="112">ROUND(AS17/0.15,2)</f>
        <v>0.64</v>
      </c>
      <c r="AW17" s="50">
        <f t="shared" ref="AW17:AW18" si="113">IF(AT17&lt;0.67,5,IF(AT17&lt;1,4,IF(AT17&lt;1.33,3,IF(AT17&lt;2.67,2,1))))</f>
        <v>5</v>
      </c>
      <c r="AX17" s="50">
        <f t="shared" ref="AX17:AX18" si="114">IF(AU17&lt;0.67,5,IF(AU17&lt;1,4,IF(AU17&lt;1.33,3,IF(AU17&lt;2.67,2,1))))</f>
        <v>5</v>
      </c>
      <c r="AY17" s="215">
        <f t="shared" ref="AY17:AY18" si="115">IF(AV17&lt;0.67,5,IF(AV17&lt;1,4,IF(AV17&lt;1.33,3,IF(AV17&lt;2.67,2,1))))</f>
        <v>5</v>
      </c>
    </row>
    <row r="18" spans="1:51" ht="13.15" customHeight="1">
      <c r="A18" s="216">
        <v>10917</v>
      </c>
      <c r="B18" s="95" t="s">
        <v>140</v>
      </c>
      <c r="C18" s="217" t="str">
        <f>Rollover!A18</f>
        <v>Volvo</v>
      </c>
      <c r="D18" s="218" t="str">
        <f>Rollover!B18</f>
        <v>XC40 T4 4DR FWD</v>
      </c>
      <c r="E18" s="184" t="s">
        <v>85</v>
      </c>
      <c r="F18" s="213">
        <f>Rollover!C18</f>
        <v>2020</v>
      </c>
      <c r="G18" s="10">
        <v>200.053</v>
      </c>
      <c r="H18" s="11">
        <v>0.29899999999999999</v>
      </c>
      <c r="I18" s="11">
        <v>928.255</v>
      </c>
      <c r="J18" s="11">
        <v>110.486</v>
      </c>
      <c r="K18" s="11">
        <v>22.052</v>
      </c>
      <c r="L18" s="11">
        <v>41.51</v>
      </c>
      <c r="M18" s="11">
        <v>1604.6210000000001</v>
      </c>
      <c r="N18" s="12">
        <v>1689.473</v>
      </c>
      <c r="O18" s="10">
        <v>343.44400000000002</v>
      </c>
      <c r="P18" s="11">
        <v>0.313</v>
      </c>
      <c r="Q18" s="11">
        <v>694.18</v>
      </c>
      <c r="R18" s="11">
        <v>295.48899999999998</v>
      </c>
      <c r="S18" s="11">
        <v>12.709</v>
      </c>
      <c r="T18" s="11">
        <v>42.926000000000002</v>
      </c>
      <c r="U18" s="11">
        <v>1766.52</v>
      </c>
      <c r="V18" s="12">
        <v>1829.538</v>
      </c>
      <c r="W18" s="214">
        <f t="shared" si="87"/>
        <v>1.8041309451768328E-3</v>
      </c>
      <c r="X18" s="5">
        <f t="shared" si="88"/>
        <v>6.671823813323266E-2</v>
      </c>
      <c r="Y18" s="5">
        <f t="shared" si="89"/>
        <v>1.5531586080468445E-4</v>
      </c>
      <c r="Z18" s="5">
        <f t="shared" si="90"/>
        <v>2.2273386479112217E-5</v>
      </c>
      <c r="AA18" s="5">
        <f t="shared" si="91"/>
        <v>6.671823813323266E-2</v>
      </c>
      <c r="AB18" s="5">
        <f t="shared" si="92"/>
        <v>1.7719998175078036E-2</v>
      </c>
      <c r="AC18" s="5">
        <f t="shared" si="93"/>
        <v>1.7719998175078036E-2</v>
      </c>
      <c r="AD18" s="5">
        <f t="shared" si="94"/>
        <v>6.9562172363824204E-3</v>
      </c>
      <c r="AE18" s="5">
        <f t="shared" si="95"/>
        <v>7.2674932138973971E-3</v>
      </c>
      <c r="AF18" s="24">
        <f t="shared" si="96"/>
        <v>7.2674932138973971E-3</v>
      </c>
      <c r="AG18" s="23">
        <f t="shared" si="97"/>
        <v>1.4622244362346533E-2</v>
      </c>
      <c r="AH18" s="5">
        <f t="shared" si="98"/>
        <v>6.8455146857900259E-2</v>
      </c>
      <c r="AI18" s="5">
        <f t="shared" si="99"/>
        <v>2.3849077700541387E-4</v>
      </c>
      <c r="AJ18" s="5">
        <f t="shared" si="100"/>
        <v>5.306146852895651E-5</v>
      </c>
      <c r="AK18" s="5">
        <f t="shared" si="101"/>
        <v>6.8455146857900259E-2</v>
      </c>
      <c r="AL18" s="5">
        <f t="shared" si="102"/>
        <v>6.7863935937378028E-3</v>
      </c>
      <c r="AM18" s="5">
        <f t="shared" si="103"/>
        <v>6.7863935937378028E-3</v>
      </c>
      <c r="AN18" s="5">
        <f t="shared" si="104"/>
        <v>1.1555300908274285E-2</v>
      </c>
      <c r="AO18" s="5">
        <f t="shared" si="105"/>
        <v>1.211675876298168E-2</v>
      </c>
      <c r="AP18" s="24">
        <f t="shared" si="106"/>
        <v>1.211675876298168E-2</v>
      </c>
      <c r="AQ18" s="214">
        <f t="shared" si="107"/>
        <v>9.1999999999999998E-2</v>
      </c>
      <c r="AR18" s="5">
        <f t="shared" si="108"/>
        <v>9.9000000000000005E-2</v>
      </c>
      <c r="AS18" s="5">
        <f t="shared" si="109"/>
        <v>9.6000000000000002E-2</v>
      </c>
      <c r="AT18" s="185">
        <f t="shared" si="110"/>
        <v>0.61</v>
      </c>
      <c r="AU18" s="185">
        <f t="shared" si="111"/>
        <v>0.66</v>
      </c>
      <c r="AV18" s="185">
        <f t="shared" si="112"/>
        <v>0.64</v>
      </c>
      <c r="AW18" s="50">
        <f t="shared" si="113"/>
        <v>5</v>
      </c>
      <c r="AX18" s="50">
        <f t="shared" si="114"/>
        <v>5</v>
      </c>
      <c r="AY18" s="215">
        <f t="shared" si="115"/>
        <v>5</v>
      </c>
    </row>
  </sheetData>
  <mergeCells count="4">
    <mergeCell ref="O1:V1"/>
    <mergeCell ref="W1:AF1"/>
    <mergeCell ref="AG1:AP1"/>
    <mergeCell ref="G1:N1"/>
  </mergeCells>
  <phoneticPr fontId="3" type="noConversion"/>
  <pageMargins left="0.25" right="0.2" top="0.25" bottom="0.2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1"/>
  <sheetViews>
    <sheetView workbookViewId="0">
      <pane xSplit="6" ySplit="2" topLeftCell="G3" activePane="bottomRight" state="frozen"/>
      <selection activeCell="B24" sqref="B24"/>
      <selection pane="topRight" activeCell="B24" sqref="B24"/>
      <selection pane="bottomLeft" activeCell="B24" sqref="B24"/>
      <selection pane="bottomRight" activeCell="A2" sqref="A2"/>
    </sheetView>
  </sheetViews>
  <sheetFormatPr defaultRowHeight="12.75"/>
  <cols>
    <col min="1" max="1" width="7.28515625" style="187" customWidth="1"/>
    <col min="2" max="2" width="9" style="187" bestFit="1" customWidth="1"/>
    <col min="3" max="3" width="13.5703125" style="90" bestFit="1" customWidth="1"/>
    <col min="4" max="4" width="36.140625" style="90" customWidth="1"/>
    <col min="5" max="5" width="6.5703125" style="90" bestFit="1" customWidth="1"/>
    <col min="6" max="6" width="5.7109375" style="90" customWidth="1"/>
    <col min="7" max="16" width="8.7109375" style="158" customWidth="1"/>
    <col min="17" max="20" width="9.140625" style="90" customWidth="1"/>
    <col min="21" max="21" width="10.7109375" style="90" customWidth="1"/>
    <col min="22" max="22" width="8.140625" style="90" customWidth="1"/>
    <col min="23" max="23" width="8" style="72" customWidth="1"/>
    <col min="24" max="24" width="10.140625" style="72" customWidth="1"/>
    <col min="25" max="25" width="9.140625" style="72" customWidth="1"/>
    <col min="26" max="26" width="8" style="72" customWidth="1"/>
    <col min="27" max="27" width="9.5703125" style="72" customWidth="1"/>
    <col min="28" max="28" width="6.140625" style="72" customWidth="1"/>
    <col min="29" max="29" width="5.7109375" style="2" customWidth="1"/>
    <col min="30" max="30" width="9" style="2" customWidth="1"/>
    <col min="31" max="31" width="8.28515625" style="1" bestFit="1" customWidth="1"/>
    <col min="32" max="16384" width="9.140625" style="90"/>
  </cols>
  <sheetData>
    <row r="1" spans="1:51" s="76" customFormat="1" ht="13.5" thickBot="1">
      <c r="A1" s="167"/>
      <c r="B1" s="168"/>
      <c r="C1" s="169"/>
      <c r="D1" s="169"/>
      <c r="E1" s="170"/>
      <c r="F1" s="170"/>
      <c r="G1" s="171" t="s">
        <v>41</v>
      </c>
      <c r="H1" s="172"/>
      <c r="I1" s="172"/>
      <c r="J1" s="172"/>
      <c r="K1" s="173"/>
      <c r="L1" s="174" t="s">
        <v>42</v>
      </c>
      <c r="M1" s="175"/>
      <c r="N1" s="175"/>
      <c r="O1" s="175"/>
      <c r="P1" s="176"/>
      <c r="Q1" s="55" t="s">
        <v>43</v>
      </c>
      <c r="R1" s="177"/>
      <c r="S1" s="177"/>
      <c r="T1" s="178"/>
      <c r="U1" s="55" t="s">
        <v>42</v>
      </c>
      <c r="V1" s="56"/>
      <c r="W1" s="34" t="s">
        <v>13</v>
      </c>
      <c r="X1" s="35" t="s">
        <v>69</v>
      </c>
      <c r="Y1" s="36" t="s">
        <v>49</v>
      </c>
      <c r="Z1" s="34" t="s">
        <v>13</v>
      </c>
      <c r="AA1" s="35" t="s">
        <v>16</v>
      </c>
      <c r="AB1" s="36" t="s">
        <v>54</v>
      </c>
      <c r="AC1" s="38" t="s">
        <v>13</v>
      </c>
      <c r="AD1" s="39" t="s">
        <v>16</v>
      </c>
      <c r="AE1" s="40" t="s">
        <v>44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34.5" thickBot="1">
      <c r="A2" s="179" t="s">
        <v>27</v>
      </c>
      <c r="B2" s="180" t="s">
        <v>84</v>
      </c>
      <c r="C2" s="54" t="s">
        <v>19</v>
      </c>
      <c r="D2" s="77" t="s">
        <v>20</v>
      </c>
      <c r="E2" s="77" t="s">
        <v>76</v>
      </c>
      <c r="F2" s="78" t="s">
        <v>21</v>
      </c>
      <c r="G2" s="181" t="s">
        <v>59</v>
      </c>
      <c r="H2" s="182" t="s">
        <v>33</v>
      </c>
      <c r="I2" s="182" t="s">
        <v>10</v>
      </c>
      <c r="J2" s="182" t="s">
        <v>11</v>
      </c>
      <c r="K2" s="183" t="s">
        <v>12</v>
      </c>
      <c r="L2" s="181" t="s">
        <v>59</v>
      </c>
      <c r="M2" s="182" t="s">
        <v>33</v>
      </c>
      <c r="N2" s="182" t="s">
        <v>10</v>
      </c>
      <c r="O2" s="182" t="s">
        <v>39</v>
      </c>
      <c r="P2" s="183" t="s">
        <v>40</v>
      </c>
      <c r="Q2" s="28" t="s">
        <v>1</v>
      </c>
      <c r="R2" s="29" t="s">
        <v>3</v>
      </c>
      <c r="S2" s="29" t="s">
        <v>14</v>
      </c>
      <c r="T2" s="30" t="s">
        <v>15</v>
      </c>
      <c r="U2" s="28" t="s">
        <v>1</v>
      </c>
      <c r="V2" s="30" t="s">
        <v>15</v>
      </c>
      <c r="W2" s="31" t="s">
        <v>17</v>
      </c>
      <c r="X2" s="32" t="s">
        <v>17</v>
      </c>
      <c r="Y2" s="33" t="s">
        <v>17</v>
      </c>
      <c r="Z2" s="67" t="s">
        <v>66</v>
      </c>
      <c r="AA2" s="68" t="s">
        <v>66</v>
      </c>
      <c r="AB2" s="37" t="s">
        <v>66</v>
      </c>
      <c r="AC2" s="69" t="s">
        <v>45</v>
      </c>
      <c r="AD2" s="63" t="s">
        <v>45</v>
      </c>
      <c r="AE2" s="30" t="s">
        <v>45</v>
      </c>
      <c r="AF2" s="70"/>
      <c r="AG2" s="70"/>
      <c r="AH2" s="71"/>
      <c r="AI2" s="71"/>
      <c r="AJ2" s="71"/>
      <c r="AK2" s="71"/>
      <c r="AL2" s="14"/>
      <c r="AM2" s="14"/>
      <c r="AN2" s="14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</row>
    <row r="3" spans="1:51">
      <c r="A3" s="92">
        <v>10920</v>
      </c>
      <c r="B3" s="184" t="s">
        <v>138</v>
      </c>
      <c r="C3" s="27" t="str">
        <f>Rollover!A3</f>
        <v>Cadillac</v>
      </c>
      <c r="D3" s="45" t="str">
        <f>Rollover!B3</f>
        <v>XT6 SUV AWD</v>
      </c>
      <c r="E3" s="9" t="s">
        <v>100</v>
      </c>
      <c r="F3" s="85">
        <f>Rollover!C3</f>
        <v>2020</v>
      </c>
      <c r="G3" s="10">
        <v>97.825000000000003</v>
      </c>
      <c r="H3" s="11">
        <v>17.117000000000001</v>
      </c>
      <c r="I3" s="11">
        <v>21.286999999999999</v>
      </c>
      <c r="J3" s="11">
        <v>519.88699999999994</v>
      </c>
      <c r="K3" s="12">
        <v>1134.4390000000001</v>
      </c>
      <c r="L3" s="10">
        <v>179.57400000000001</v>
      </c>
      <c r="M3" s="11">
        <v>19.873999999999999</v>
      </c>
      <c r="N3" s="11">
        <v>41.015000000000001</v>
      </c>
      <c r="O3" s="11">
        <v>37.171999999999997</v>
      </c>
      <c r="P3" s="12">
        <v>1106.912</v>
      </c>
      <c r="Q3" s="23">
        <f t="shared" ref="Q3:Q5" si="0">NORMDIST(LN(G3),7.45231,0.73998,1)</f>
        <v>5.2809467715494205E-5</v>
      </c>
      <c r="R3" s="5">
        <f t="shared" ref="R3:R5" si="1">1/(1+EXP(5.3895-0.0919*H3))</f>
        <v>2.1532003844675983E-2</v>
      </c>
      <c r="S3" s="5">
        <f t="shared" ref="S3:S5" si="2">1/(1+EXP(6.04044-0.002133*J3))</f>
        <v>7.1638291634438019E-3</v>
      </c>
      <c r="T3" s="24">
        <f t="shared" ref="T3:T5" si="3">1/(1+EXP(7.5969-0.0011*K3))</f>
        <v>1.7454130646511012E-3</v>
      </c>
      <c r="U3" s="23">
        <f t="shared" ref="U3:U5" si="4">NORMDIST(LN(L3),7.45231,0.73998,1)</f>
        <v>1.1198198976819207E-3</v>
      </c>
      <c r="V3" s="24">
        <f t="shared" ref="V3:V5" si="5">1/(1+EXP(6.3055-0.00094*P3))</f>
        <v>5.1427939168818366E-3</v>
      </c>
      <c r="W3" s="23">
        <f t="shared" ref="W3:W5" si="6">ROUND(1-(1-Q3)*(1-R3)*(1-S3)*(1-T3),3)</f>
        <v>0.03</v>
      </c>
      <c r="X3" s="5">
        <f t="shared" ref="X3:X5" si="7">IF(L3="N/A",L3,ROUND(1-(1-U3)*(1-V3),3))</f>
        <v>6.0000000000000001E-3</v>
      </c>
      <c r="Y3" s="24">
        <f t="shared" ref="Y3:Y5" si="8">ROUND(AVERAGE(W3:X3),3)</f>
        <v>1.7999999999999999E-2</v>
      </c>
      <c r="Z3" s="25">
        <f t="shared" ref="Z3:Z5" si="9">ROUND(W3/0.15,2)</f>
        <v>0.2</v>
      </c>
      <c r="AA3" s="185">
        <f t="shared" ref="AA3:AA5" si="10">IF(L3="N/A", L3, ROUND(X3/0.15,2))</f>
        <v>0.04</v>
      </c>
      <c r="AB3" s="26">
        <f t="shared" ref="AB3:AB5" si="11">ROUND(Y3/0.15,2)</f>
        <v>0.12</v>
      </c>
      <c r="AC3" s="21">
        <f t="shared" ref="AC3:AC5" si="12">IF(Z3&lt;0.67,5,IF(Z3&lt;1,4,IF(Z3&lt;1.33,3,IF(Z3&lt;2.67,2,1))))</f>
        <v>5</v>
      </c>
      <c r="AD3" s="50">
        <f t="shared" ref="AD3:AD5" si="13">IF(L3="N/A",L3,IF(AA3&lt;0.67,5,IF(AA3&lt;1,4,IF(AA3&lt;1.33,3,IF(AA3&lt;2.67,2,1)))))</f>
        <v>5</v>
      </c>
      <c r="AE3" s="22">
        <f t="shared" ref="AE3:AE5" si="14">IF(AB3&lt;0.67,5,IF(AB3&lt;1,4,IF(AB3&lt;1.33,3,IF(AB3&lt;2.67,2,1))))</f>
        <v>5</v>
      </c>
      <c r="AF3" s="13"/>
      <c r="AG3" s="13"/>
      <c r="AH3" s="15"/>
      <c r="AI3" s="15"/>
      <c r="AJ3" s="15"/>
      <c r="AK3" s="15"/>
      <c r="AL3" s="14"/>
      <c r="AM3" s="14"/>
      <c r="AN3" s="14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</row>
    <row r="4" spans="1:51">
      <c r="A4" s="92">
        <v>10920</v>
      </c>
      <c r="B4" s="184" t="s">
        <v>138</v>
      </c>
      <c r="C4" s="27" t="str">
        <f>Rollover!A4</f>
        <v>Cadillac</v>
      </c>
      <c r="D4" s="45" t="str">
        <f>Rollover!B4</f>
        <v>XT6 SUV FWD</v>
      </c>
      <c r="E4" s="9" t="s">
        <v>100</v>
      </c>
      <c r="F4" s="85">
        <f>Rollover!C4</f>
        <v>2020</v>
      </c>
      <c r="G4" s="10">
        <v>97.825000000000003</v>
      </c>
      <c r="H4" s="11">
        <v>17.117000000000001</v>
      </c>
      <c r="I4" s="11">
        <v>21.286999999999999</v>
      </c>
      <c r="J4" s="11">
        <v>519.88699999999994</v>
      </c>
      <c r="K4" s="12">
        <v>1134.4390000000001</v>
      </c>
      <c r="L4" s="10">
        <v>179.57400000000001</v>
      </c>
      <c r="M4" s="11">
        <v>19.873999999999999</v>
      </c>
      <c r="N4" s="11">
        <v>41.015000000000001</v>
      </c>
      <c r="O4" s="11">
        <v>37.171999999999997</v>
      </c>
      <c r="P4" s="12">
        <v>1106.912</v>
      </c>
      <c r="Q4" s="23">
        <f t="shared" si="0"/>
        <v>5.2809467715494205E-5</v>
      </c>
      <c r="R4" s="5">
        <f t="shared" si="1"/>
        <v>2.1532003844675983E-2</v>
      </c>
      <c r="S4" s="5">
        <f t="shared" si="2"/>
        <v>7.1638291634438019E-3</v>
      </c>
      <c r="T4" s="24">
        <f t="shared" si="3"/>
        <v>1.7454130646511012E-3</v>
      </c>
      <c r="U4" s="23">
        <f t="shared" si="4"/>
        <v>1.1198198976819207E-3</v>
      </c>
      <c r="V4" s="24">
        <f t="shared" si="5"/>
        <v>5.1427939168818366E-3</v>
      </c>
      <c r="W4" s="23">
        <f t="shared" si="6"/>
        <v>0.03</v>
      </c>
      <c r="X4" s="5">
        <f t="shared" si="7"/>
        <v>6.0000000000000001E-3</v>
      </c>
      <c r="Y4" s="24">
        <f t="shared" si="8"/>
        <v>1.7999999999999999E-2</v>
      </c>
      <c r="Z4" s="25">
        <f t="shared" si="9"/>
        <v>0.2</v>
      </c>
      <c r="AA4" s="185">
        <f t="shared" si="10"/>
        <v>0.04</v>
      </c>
      <c r="AB4" s="26">
        <f t="shared" si="11"/>
        <v>0.12</v>
      </c>
      <c r="AC4" s="21">
        <f t="shared" si="12"/>
        <v>5</v>
      </c>
      <c r="AD4" s="50">
        <f t="shared" si="13"/>
        <v>5</v>
      </c>
      <c r="AE4" s="22">
        <f t="shared" si="14"/>
        <v>5</v>
      </c>
      <c r="AF4" s="13"/>
      <c r="AG4" s="13"/>
      <c r="AH4" s="15"/>
      <c r="AI4" s="15"/>
      <c r="AJ4" s="15"/>
      <c r="AK4" s="15"/>
      <c r="AL4" s="14"/>
      <c r="AM4" s="14"/>
      <c r="AN4" s="14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1">
      <c r="A5" s="92">
        <v>10776</v>
      </c>
      <c r="B5" s="184" t="s">
        <v>99</v>
      </c>
      <c r="C5" s="27" t="str">
        <f>Rollover!A5</f>
        <v>Chevrolet</v>
      </c>
      <c r="D5" s="45" t="str">
        <f>Rollover!B5</f>
        <v>Malibu 4DR FWD</v>
      </c>
      <c r="E5" s="9" t="s">
        <v>100</v>
      </c>
      <c r="F5" s="85">
        <f>Rollover!C5</f>
        <v>2020</v>
      </c>
      <c r="G5" s="10">
        <v>160.44499999999999</v>
      </c>
      <c r="H5" s="11">
        <v>34.103000000000002</v>
      </c>
      <c r="I5" s="11">
        <v>34.262</v>
      </c>
      <c r="J5" s="11">
        <v>1031.3389999999999</v>
      </c>
      <c r="K5" s="12">
        <v>1057.1369999999999</v>
      </c>
      <c r="L5" s="10">
        <v>364.77100000000002</v>
      </c>
      <c r="M5" s="11">
        <v>35.837000000000003</v>
      </c>
      <c r="N5" s="11">
        <v>61.893999999999998</v>
      </c>
      <c r="O5" s="11">
        <v>32.206000000000003</v>
      </c>
      <c r="P5" s="12">
        <v>4969.1210000000001</v>
      </c>
      <c r="Q5" s="23">
        <f t="shared" si="0"/>
        <v>6.6672978515960857E-4</v>
      </c>
      <c r="R5" s="5">
        <f t="shared" si="1"/>
        <v>9.4881743019533157E-2</v>
      </c>
      <c r="S5" s="5">
        <f t="shared" si="2"/>
        <v>2.1029116718346456E-2</v>
      </c>
      <c r="T5" s="24">
        <f t="shared" si="3"/>
        <v>1.6033598477601537E-3</v>
      </c>
      <c r="U5" s="23">
        <f t="shared" si="4"/>
        <v>1.7919042258889861E-2</v>
      </c>
      <c r="V5" s="24">
        <f t="shared" si="5"/>
        <v>0.16321125207180645</v>
      </c>
      <c r="W5" s="23">
        <f t="shared" si="6"/>
        <v>0.11600000000000001</v>
      </c>
      <c r="X5" s="5">
        <f t="shared" si="7"/>
        <v>0.17799999999999999</v>
      </c>
      <c r="Y5" s="24">
        <f t="shared" si="8"/>
        <v>0.14699999999999999</v>
      </c>
      <c r="Z5" s="25">
        <f t="shared" si="9"/>
        <v>0.77</v>
      </c>
      <c r="AA5" s="185">
        <f t="shared" si="10"/>
        <v>1.19</v>
      </c>
      <c r="AB5" s="26">
        <f t="shared" si="11"/>
        <v>0.98</v>
      </c>
      <c r="AC5" s="21">
        <f t="shared" si="12"/>
        <v>4</v>
      </c>
      <c r="AD5" s="50">
        <f t="shared" si="13"/>
        <v>3</v>
      </c>
      <c r="AE5" s="22">
        <f t="shared" si="14"/>
        <v>4</v>
      </c>
      <c r="AF5" s="13"/>
      <c r="AG5" s="13"/>
      <c r="AH5" s="15"/>
      <c r="AI5" s="15"/>
      <c r="AJ5" s="15"/>
      <c r="AK5" s="15"/>
      <c r="AL5" s="14"/>
      <c r="AM5" s="14"/>
      <c r="AN5" s="14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</row>
    <row r="6" spans="1:51" ht="13.15" customHeight="1">
      <c r="A6" s="92"/>
      <c r="B6" s="92"/>
      <c r="C6" s="27" t="str">
        <f>Rollover!A6</f>
        <v>Jeep</v>
      </c>
      <c r="D6" s="45" t="str">
        <f>Rollover!B6</f>
        <v>Gladiator PU/CC 4WD</v>
      </c>
      <c r="E6" s="9"/>
      <c r="F6" s="85">
        <f>Rollover!C6</f>
        <v>2020</v>
      </c>
      <c r="G6" s="10"/>
      <c r="H6" s="11"/>
      <c r="I6" s="11"/>
      <c r="J6" s="11"/>
      <c r="K6" s="12"/>
      <c r="L6" s="10"/>
      <c r="M6" s="11"/>
      <c r="N6" s="11"/>
      <c r="O6" s="11"/>
      <c r="P6" s="12"/>
      <c r="Q6" s="23" t="e">
        <f t="shared" ref="Q6:Q8" si="15">NORMDIST(LN(G6),7.45231,0.73998,1)</f>
        <v>#NUM!</v>
      </c>
      <c r="R6" s="5">
        <f t="shared" ref="R6:R8" si="16">1/(1+EXP(5.3895-0.0919*H6))</f>
        <v>4.5435171224880964E-3</v>
      </c>
      <c r="S6" s="5">
        <f t="shared" ref="S6:S8" si="17">1/(1+EXP(6.04044-0.002133*J6))</f>
        <v>2.3748578822706131E-3</v>
      </c>
      <c r="T6" s="24">
        <f t="shared" ref="T6:T8" si="18">1/(1+EXP(7.5969-0.0011*K6))</f>
        <v>5.0175335722563109E-4</v>
      </c>
      <c r="U6" s="23" t="e">
        <f t="shared" ref="U6:U8" si="19">NORMDIST(LN(L6),7.45231,0.73998,1)</f>
        <v>#NUM!</v>
      </c>
      <c r="V6" s="24">
        <f t="shared" ref="V6:V8" si="20">1/(1+EXP(6.3055-0.00094*P6))</f>
        <v>1.8229037773026034E-3</v>
      </c>
      <c r="W6" s="23" t="e">
        <f t="shared" ref="W6:W8" si="21">ROUND(1-(1-Q6)*(1-R6)*(1-S6)*(1-T6),3)</f>
        <v>#NUM!</v>
      </c>
      <c r="X6" s="5" t="e">
        <f t="shared" ref="X6:X8" si="22">IF(L6="N/A",L6,ROUND(1-(1-U6)*(1-V6),3))</f>
        <v>#NUM!</v>
      </c>
      <c r="Y6" s="24" t="e">
        <f t="shared" ref="Y6:Y8" si="23">ROUND(AVERAGE(W6:X6),3)</f>
        <v>#NUM!</v>
      </c>
      <c r="Z6" s="25" t="e">
        <f t="shared" ref="Z6:Z8" si="24">ROUND(W6/0.15,2)</f>
        <v>#NUM!</v>
      </c>
      <c r="AA6" s="185" t="e">
        <f t="shared" ref="AA6:AA8" si="25">IF(L6="N/A", L6, ROUND(X6/0.15,2))</f>
        <v>#NUM!</v>
      </c>
      <c r="AB6" s="26" t="e">
        <f t="shared" ref="AB6:AB8" si="26">ROUND(Y6/0.15,2)</f>
        <v>#NUM!</v>
      </c>
      <c r="AC6" s="21" t="e">
        <f t="shared" ref="AC6:AC8" si="27">IF(Z6&lt;0.67,5,IF(Z6&lt;1,4,IF(Z6&lt;1.33,3,IF(Z6&lt;2.67,2,1))))</f>
        <v>#NUM!</v>
      </c>
      <c r="AD6" s="50" t="e">
        <f t="shared" ref="AD6:AD8" si="28">IF(L6="N/A",L6,IF(AA6&lt;0.67,5,IF(AA6&lt;1,4,IF(AA6&lt;1.33,3,IF(AA6&lt;2.67,2,1)))))</f>
        <v>#NUM!</v>
      </c>
      <c r="AE6" s="22" t="e">
        <f t="shared" ref="AE6:AE8" si="29">IF(AB6&lt;0.67,5,IF(AB6&lt;1,4,IF(AB6&lt;1.33,3,IF(AB6&lt;2.67,2,1))))</f>
        <v>#NUM!</v>
      </c>
      <c r="AF6" s="13"/>
      <c r="AG6" s="13"/>
      <c r="AH6" s="15"/>
      <c r="AI6" s="15"/>
      <c r="AJ6" s="15"/>
      <c r="AK6" s="15"/>
      <c r="AL6" s="14"/>
      <c r="AM6" s="14"/>
      <c r="AN6" s="14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ht="13.15" customHeight="1">
      <c r="A7" s="92"/>
      <c r="B7" s="92"/>
      <c r="C7" s="51" t="str">
        <f>Rollover!A7</f>
        <v>Jeep</v>
      </c>
      <c r="D7" s="9" t="str">
        <f>Rollover!B7</f>
        <v>Wrangler 4WD</v>
      </c>
      <c r="E7" s="9"/>
      <c r="F7" s="85">
        <f>Rollover!C7</f>
        <v>2020</v>
      </c>
      <c r="G7" s="10"/>
      <c r="H7" s="11"/>
      <c r="I7" s="11"/>
      <c r="J7" s="11"/>
      <c r="K7" s="12"/>
      <c r="L7" s="10"/>
      <c r="M7" s="11"/>
      <c r="N7" s="11"/>
      <c r="O7" s="11"/>
      <c r="P7" s="12"/>
      <c r="Q7" s="23" t="e">
        <f t="shared" si="15"/>
        <v>#NUM!</v>
      </c>
      <c r="R7" s="5">
        <f t="shared" si="16"/>
        <v>4.5435171224880964E-3</v>
      </c>
      <c r="S7" s="5">
        <f t="shared" si="17"/>
        <v>2.3748578822706131E-3</v>
      </c>
      <c r="T7" s="24">
        <f t="shared" si="18"/>
        <v>5.0175335722563109E-4</v>
      </c>
      <c r="U7" s="23" t="e">
        <f t="shared" si="19"/>
        <v>#NUM!</v>
      </c>
      <c r="V7" s="24">
        <f t="shared" si="20"/>
        <v>1.8229037773026034E-3</v>
      </c>
      <c r="W7" s="23" t="e">
        <f t="shared" si="21"/>
        <v>#NUM!</v>
      </c>
      <c r="X7" s="5" t="e">
        <f t="shared" si="22"/>
        <v>#NUM!</v>
      </c>
      <c r="Y7" s="24" t="e">
        <f t="shared" si="23"/>
        <v>#NUM!</v>
      </c>
      <c r="Z7" s="25" t="e">
        <f t="shared" si="24"/>
        <v>#NUM!</v>
      </c>
      <c r="AA7" s="185" t="e">
        <f t="shared" si="25"/>
        <v>#NUM!</v>
      </c>
      <c r="AB7" s="26" t="e">
        <f t="shared" si="26"/>
        <v>#NUM!</v>
      </c>
      <c r="AC7" s="21" t="e">
        <f t="shared" si="27"/>
        <v>#NUM!</v>
      </c>
      <c r="AD7" s="50" t="e">
        <f t="shared" si="28"/>
        <v>#NUM!</v>
      </c>
      <c r="AE7" s="22" t="e">
        <f t="shared" si="29"/>
        <v>#NUM!</v>
      </c>
      <c r="AF7" s="13"/>
      <c r="AG7" s="13"/>
      <c r="AH7" s="15"/>
      <c r="AI7" s="15"/>
      <c r="AJ7" s="15"/>
      <c r="AK7" s="15"/>
      <c r="AL7" s="14"/>
      <c r="AM7" s="14"/>
      <c r="AN7" s="14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1">
      <c r="A8" s="17">
        <v>10839</v>
      </c>
      <c r="B8" s="184" t="s">
        <v>127</v>
      </c>
      <c r="C8" s="27" t="str">
        <f>Rollover!A8</f>
        <v>Kia</v>
      </c>
      <c r="D8" s="45" t="str">
        <f>Rollover!B8</f>
        <v>Telluride SUV AWD</v>
      </c>
      <c r="E8" s="9" t="s">
        <v>85</v>
      </c>
      <c r="F8" s="85">
        <f>Rollover!C8</f>
        <v>2020</v>
      </c>
      <c r="G8" s="18">
        <v>41.006999999999998</v>
      </c>
      <c r="H8" s="19">
        <v>13.342000000000001</v>
      </c>
      <c r="I8" s="19">
        <v>24.198</v>
      </c>
      <c r="J8" s="19">
        <v>413.37099999999998</v>
      </c>
      <c r="K8" s="20">
        <v>1954.62</v>
      </c>
      <c r="L8" s="18">
        <v>136.827</v>
      </c>
      <c r="M8" s="19">
        <v>10.06</v>
      </c>
      <c r="N8" s="19">
        <v>46.813000000000002</v>
      </c>
      <c r="O8" s="19">
        <v>35.887999999999998</v>
      </c>
      <c r="P8" s="20">
        <v>1997.0150000000001</v>
      </c>
      <c r="Q8" s="23">
        <f t="shared" si="15"/>
        <v>2.1831279526411896E-7</v>
      </c>
      <c r="R8" s="5">
        <f t="shared" si="16"/>
        <v>1.531679245685956E-2</v>
      </c>
      <c r="S8" s="5">
        <f t="shared" si="17"/>
        <v>5.7161930264627197E-3</v>
      </c>
      <c r="T8" s="24">
        <f t="shared" si="18"/>
        <v>4.2915009481515358E-3</v>
      </c>
      <c r="U8" s="23">
        <f t="shared" si="19"/>
        <v>3.0868484001604998E-4</v>
      </c>
      <c r="V8" s="24">
        <f t="shared" si="20"/>
        <v>1.1793934155352768E-2</v>
      </c>
      <c r="W8" s="23">
        <f t="shared" si="21"/>
        <v>2.5000000000000001E-2</v>
      </c>
      <c r="X8" s="5">
        <f t="shared" si="22"/>
        <v>1.2E-2</v>
      </c>
      <c r="Y8" s="24">
        <f t="shared" si="23"/>
        <v>1.9E-2</v>
      </c>
      <c r="Z8" s="25">
        <f t="shared" si="24"/>
        <v>0.17</v>
      </c>
      <c r="AA8" s="185">
        <f t="shared" si="25"/>
        <v>0.08</v>
      </c>
      <c r="AB8" s="26">
        <f t="shared" si="26"/>
        <v>0.13</v>
      </c>
      <c r="AC8" s="21">
        <f t="shared" si="27"/>
        <v>5</v>
      </c>
      <c r="AD8" s="50">
        <f t="shared" si="28"/>
        <v>5</v>
      </c>
      <c r="AE8" s="22">
        <f t="shared" si="29"/>
        <v>5</v>
      </c>
      <c r="AF8" s="13"/>
      <c r="AG8" s="13"/>
      <c r="AH8" s="15"/>
      <c r="AI8" s="15"/>
      <c r="AJ8" s="15"/>
      <c r="AK8" s="15"/>
      <c r="AL8" s="14"/>
      <c r="AM8" s="14"/>
      <c r="AN8" s="14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51">
      <c r="A9" s="17">
        <v>10839</v>
      </c>
      <c r="B9" s="184" t="s">
        <v>127</v>
      </c>
      <c r="C9" s="27" t="str">
        <f>Rollover!A9</f>
        <v>Kia</v>
      </c>
      <c r="D9" s="45" t="str">
        <f>Rollover!B9</f>
        <v>Telluride SUV FWD</v>
      </c>
      <c r="E9" s="9" t="s">
        <v>85</v>
      </c>
      <c r="F9" s="85">
        <f>Rollover!C9</f>
        <v>2020</v>
      </c>
      <c r="G9" s="18">
        <v>41.006999999999998</v>
      </c>
      <c r="H9" s="19">
        <v>13.342000000000001</v>
      </c>
      <c r="I9" s="19">
        <v>24.198</v>
      </c>
      <c r="J9" s="19">
        <v>413.37099999999998</v>
      </c>
      <c r="K9" s="20">
        <v>1954.62</v>
      </c>
      <c r="L9" s="18">
        <v>136.827</v>
      </c>
      <c r="M9" s="19">
        <v>10.06</v>
      </c>
      <c r="N9" s="19">
        <v>46.813000000000002</v>
      </c>
      <c r="O9" s="19">
        <v>35.887999999999998</v>
      </c>
      <c r="P9" s="20">
        <v>1997.0150000000001</v>
      </c>
      <c r="Q9" s="23">
        <f t="shared" ref="Q9:Q16" si="30">NORMDIST(LN(G9),7.45231,0.73998,1)</f>
        <v>2.1831279526411896E-7</v>
      </c>
      <c r="R9" s="5">
        <f t="shared" ref="R9:R16" si="31">1/(1+EXP(5.3895-0.0919*H9))</f>
        <v>1.531679245685956E-2</v>
      </c>
      <c r="S9" s="5">
        <f t="shared" ref="S9:S16" si="32">1/(1+EXP(6.04044-0.002133*J9))</f>
        <v>5.7161930264627197E-3</v>
      </c>
      <c r="T9" s="24">
        <f t="shared" ref="T9:T16" si="33">1/(1+EXP(7.5969-0.0011*K9))</f>
        <v>4.2915009481515358E-3</v>
      </c>
      <c r="U9" s="23">
        <f t="shared" ref="U9:U16" si="34">NORMDIST(LN(L9),7.45231,0.73998,1)</f>
        <v>3.0868484001604998E-4</v>
      </c>
      <c r="V9" s="24">
        <f t="shared" ref="V9:V16" si="35">1/(1+EXP(6.3055-0.00094*P9))</f>
        <v>1.1793934155352768E-2</v>
      </c>
      <c r="W9" s="23">
        <f t="shared" ref="W9:W16" si="36">ROUND(1-(1-Q9)*(1-R9)*(1-S9)*(1-T9),3)</f>
        <v>2.5000000000000001E-2</v>
      </c>
      <c r="X9" s="5">
        <f t="shared" ref="X9:X16" si="37">IF(L9="N/A",L9,ROUND(1-(1-U9)*(1-V9),3))</f>
        <v>1.2E-2</v>
      </c>
      <c r="Y9" s="24">
        <f t="shared" ref="Y9:Y16" si="38">ROUND(AVERAGE(W9:X9),3)</f>
        <v>1.9E-2</v>
      </c>
      <c r="Z9" s="25">
        <f t="shared" ref="Z9:Z16" si="39">ROUND(W9/0.15,2)</f>
        <v>0.17</v>
      </c>
      <c r="AA9" s="185">
        <f t="shared" ref="AA9:AA16" si="40">IF(L9="N/A", L9, ROUND(X9/0.15,2))</f>
        <v>0.08</v>
      </c>
      <c r="AB9" s="26">
        <f t="shared" ref="AB9:AB16" si="41">ROUND(Y9/0.15,2)</f>
        <v>0.13</v>
      </c>
      <c r="AC9" s="21">
        <f t="shared" ref="AC9:AC16" si="42">IF(Z9&lt;0.67,5,IF(Z9&lt;1,4,IF(Z9&lt;1.33,3,IF(Z9&lt;2.67,2,1))))</f>
        <v>5</v>
      </c>
      <c r="AD9" s="50">
        <f t="shared" ref="AD9:AD16" si="43">IF(L9="N/A",L9,IF(AA9&lt;0.67,5,IF(AA9&lt;1,4,IF(AA9&lt;1.33,3,IF(AA9&lt;2.67,2,1)))))</f>
        <v>5</v>
      </c>
      <c r="AE9" s="22">
        <f t="shared" ref="AE9:AE16" si="44">IF(AB9&lt;0.67,5,IF(AB9&lt;1,4,IF(AB9&lt;1.33,3,IF(AB9&lt;2.67,2,1))))</f>
        <v>5</v>
      </c>
      <c r="AF9" s="13"/>
      <c r="AG9" s="13"/>
      <c r="AH9" s="15"/>
      <c r="AI9" s="15"/>
      <c r="AJ9" s="15"/>
      <c r="AK9" s="15"/>
      <c r="AL9" s="14"/>
      <c r="AM9" s="14"/>
      <c r="AN9" s="14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</row>
    <row r="10" spans="1:51" ht="13.15" customHeight="1">
      <c r="A10" s="92">
        <v>10835</v>
      </c>
      <c r="B10" s="184" t="s">
        <v>122</v>
      </c>
      <c r="C10" s="27" t="str">
        <f>Rollover!A10</f>
        <v>Mitsubishi</v>
      </c>
      <c r="D10" s="45" t="str">
        <f>Rollover!B10</f>
        <v>Eclipse Cross SUV AWD</v>
      </c>
      <c r="E10" s="9" t="s">
        <v>94</v>
      </c>
      <c r="F10" s="85">
        <f>Rollover!C10</f>
        <v>2020</v>
      </c>
      <c r="G10" s="10">
        <v>144.69499999999999</v>
      </c>
      <c r="H10" s="11">
        <v>11.705</v>
      </c>
      <c r="I10" s="11">
        <v>26.678999999999998</v>
      </c>
      <c r="J10" s="11">
        <v>683.97900000000004</v>
      </c>
      <c r="K10" s="12">
        <v>1298.925</v>
      </c>
      <c r="L10" s="10">
        <v>162.101</v>
      </c>
      <c r="M10" s="11">
        <v>15.973000000000001</v>
      </c>
      <c r="N10" s="11">
        <v>55.374000000000002</v>
      </c>
      <c r="O10" s="11">
        <v>38.148000000000003</v>
      </c>
      <c r="P10" s="12">
        <v>2064.259</v>
      </c>
      <c r="Q10" s="23">
        <f t="shared" si="30"/>
        <v>4.065310636660894E-4</v>
      </c>
      <c r="R10" s="5">
        <f t="shared" si="31"/>
        <v>1.3205733279719625E-2</v>
      </c>
      <c r="S10" s="5">
        <f t="shared" si="32"/>
        <v>1.0135611960285668E-2</v>
      </c>
      <c r="T10" s="24">
        <f t="shared" si="33"/>
        <v>2.0908688999106092E-3</v>
      </c>
      <c r="U10" s="23">
        <f t="shared" si="34"/>
        <v>6.9963133102703167E-4</v>
      </c>
      <c r="V10" s="24">
        <f t="shared" si="35"/>
        <v>1.2553825606703666E-2</v>
      </c>
      <c r="W10" s="23">
        <f t="shared" si="36"/>
        <v>2.5999999999999999E-2</v>
      </c>
      <c r="X10" s="5">
        <f t="shared" si="37"/>
        <v>1.2999999999999999E-2</v>
      </c>
      <c r="Y10" s="24">
        <f t="shared" si="38"/>
        <v>0.02</v>
      </c>
      <c r="Z10" s="25">
        <f t="shared" si="39"/>
        <v>0.17</v>
      </c>
      <c r="AA10" s="185">
        <f t="shared" si="40"/>
        <v>0.09</v>
      </c>
      <c r="AB10" s="26">
        <f t="shared" si="41"/>
        <v>0.13</v>
      </c>
      <c r="AC10" s="21">
        <f t="shared" si="42"/>
        <v>5</v>
      </c>
      <c r="AD10" s="50">
        <f t="shared" si="43"/>
        <v>5</v>
      </c>
      <c r="AE10" s="22">
        <f t="shared" si="44"/>
        <v>5</v>
      </c>
      <c r="AF10" s="13"/>
      <c r="AG10" s="13"/>
      <c r="AH10" s="15"/>
      <c r="AI10" s="15"/>
      <c r="AJ10" s="15"/>
      <c r="AK10" s="15"/>
      <c r="AL10" s="14"/>
      <c r="AM10" s="14"/>
      <c r="AN10" s="14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51" ht="13.15" customHeight="1">
      <c r="A11" s="92">
        <v>10835</v>
      </c>
      <c r="B11" s="184" t="s">
        <v>122</v>
      </c>
      <c r="C11" s="27" t="str">
        <f>Rollover!A11</f>
        <v>Mitsubishi</v>
      </c>
      <c r="D11" s="45" t="str">
        <f>Rollover!B11</f>
        <v>Eclipse Cross SUV FWD</v>
      </c>
      <c r="E11" s="9" t="s">
        <v>94</v>
      </c>
      <c r="F11" s="85">
        <f>Rollover!C11</f>
        <v>2020</v>
      </c>
      <c r="G11" s="10">
        <v>144.69499999999999</v>
      </c>
      <c r="H11" s="11">
        <v>11.705</v>
      </c>
      <c r="I11" s="11">
        <v>26.678999999999998</v>
      </c>
      <c r="J11" s="11">
        <v>683.97900000000004</v>
      </c>
      <c r="K11" s="12">
        <v>1298.925</v>
      </c>
      <c r="L11" s="10">
        <v>162.101</v>
      </c>
      <c r="M11" s="11">
        <v>15.973000000000001</v>
      </c>
      <c r="N11" s="11">
        <v>55.374000000000002</v>
      </c>
      <c r="O11" s="11">
        <v>38.148000000000003</v>
      </c>
      <c r="P11" s="12">
        <v>2064.259</v>
      </c>
      <c r="Q11" s="23">
        <f t="shared" si="30"/>
        <v>4.065310636660894E-4</v>
      </c>
      <c r="R11" s="5">
        <f t="shared" si="31"/>
        <v>1.3205733279719625E-2</v>
      </c>
      <c r="S11" s="5">
        <f t="shared" si="32"/>
        <v>1.0135611960285668E-2</v>
      </c>
      <c r="T11" s="24">
        <f t="shared" si="33"/>
        <v>2.0908688999106092E-3</v>
      </c>
      <c r="U11" s="23">
        <f t="shared" si="34"/>
        <v>6.9963133102703167E-4</v>
      </c>
      <c r="V11" s="24">
        <f t="shared" si="35"/>
        <v>1.2553825606703666E-2</v>
      </c>
      <c r="W11" s="23">
        <f t="shared" si="36"/>
        <v>2.5999999999999999E-2</v>
      </c>
      <c r="X11" s="5">
        <f t="shared" si="37"/>
        <v>1.2999999999999999E-2</v>
      </c>
      <c r="Y11" s="24">
        <f t="shared" si="38"/>
        <v>0.02</v>
      </c>
      <c r="Z11" s="25">
        <f t="shared" si="39"/>
        <v>0.17</v>
      </c>
      <c r="AA11" s="185">
        <f t="shared" si="40"/>
        <v>0.09</v>
      </c>
      <c r="AB11" s="26">
        <f t="shared" si="41"/>
        <v>0.13</v>
      </c>
      <c r="AC11" s="21">
        <f t="shared" si="42"/>
        <v>5</v>
      </c>
      <c r="AD11" s="50">
        <f t="shared" si="43"/>
        <v>5</v>
      </c>
      <c r="AE11" s="22">
        <f t="shared" si="44"/>
        <v>5</v>
      </c>
      <c r="AF11" s="13"/>
      <c r="AG11" s="13"/>
      <c r="AH11" s="15"/>
      <c r="AI11" s="15"/>
      <c r="AJ11" s="15"/>
      <c r="AK11" s="15"/>
      <c r="AL11" s="14"/>
      <c r="AM11" s="14"/>
      <c r="AN11" s="14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</row>
    <row r="12" spans="1:51">
      <c r="A12" s="92">
        <v>10912</v>
      </c>
      <c r="B12" s="184" t="s">
        <v>130</v>
      </c>
      <c r="C12" s="27" t="str">
        <f>Rollover!A12</f>
        <v>Subaru</v>
      </c>
      <c r="D12" s="45" t="str">
        <f>Rollover!B12</f>
        <v>Legacy 4DR AWD</v>
      </c>
      <c r="E12" s="9" t="s">
        <v>91</v>
      </c>
      <c r="F12" s="85">
        <f>Rollover!C12</f>
        <v>2020</v>
      </c>
      <c r="G12" s="10">
        <v>50.405999999999999</v>
      </c>
      <c r="H12" s="11">
        <v>19.109000000000002</v>
      </c>
      <c r="I12" s="11">
        <v>30.044</v>
      </c>
      <c r="J12" s="11">
        <v>960.92200000000003</v>
      </c>
      <c r="K12" s="12">
        <v>1487.779</v>
      </c>
      <c r="L12" s="10">
        <v>220.37899999999999</v>
      </c>
      <c r="M12" s="11">
        <v>18.289000000000001</v>
      </c>
      <c r="N12" s="11">
        <v>62.070999999999998</v>
      </c>
      <c r="O12" s="11">
        <v>17.741</v>
      </c>
      <c r="P12" s="12">
        <v>2584.3000000000002</v>
      </c>
      <c r="Q12" s="23">
        <f t="shared" si="30"/>
        <v>9.0583371576187033E-7</v>
      </c>
      <c r="R12" s="5">
        <f t="shared" si="31"/>
        <v>2.5746247689558976E-2</v>
      </c>
      <c r="S12" s="5">
        <f t="shared" si="32"/>
        <v>1.8149547585362569E-2</v>
      </c>
      <c r="T12" s="24">
        <f t="shared" si="33"/>
        <v>2.5723926859840185E-3</v>
      </c>
      <c r="U12" s="23">
        <f t="shared" si="34"/>
        <v>2.7200176585358768E-3</v>
      </c>
      <c r="V12" s="24">
        <f t="shared" si="35"/>
        <v>2.0307310419881684E-2</v>
      </c>
      <c r="W12" s="23">
        <f t="shared" si="36"/>
        <v>4.5999999999999999E-2</v>
      </c>
      <c r="X12" s="5">
        <f t="shared" si="37"/>
        <v>2.3E-2</v>
      </c>
      <c r="Y12" s="24">
        <f t="shared" si="38"/>
        <v>3.5000000000000003E-2</v>
      </c>
      <c r="Z12" s="25">
        <f t="shared" si="39"/>
        <v>0.31</v>
      </c>
      <c r="AA12" s="185">
        <f t="shared" si="40"/>
        <v>0.15</v>
      </c>
      <c r="AB12" s="26">
        <f t="shared" si="41"/>
        <v>0.23</v>
      </c>
      <c r="AC12" s="21">
        <f t="shared" si="42"/>
        <v>5</v>
      </c>
      <c r="AD12" s="50">
        <f t="shared" si="43"/>
        <v>5</v>
      </c>
      <c r="AE12" s="22">
        <f t="shared" si="44"/>
        <v>5</v>
      </c>
      <c r="AF12" s="13"/>
      <c r="AG12" s="13"/>
      <c r="AH12" s="15"/>
      <c r="AI12" s="15"/>
      <c r="AJ12" s="15"/>
      <c r="AK12" s="15"/>
      <c r="AL12" s="14"/>
      <c r="AM12" s="14"/>
      <c r="AN12" s="14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</row>
    <row r="13" spans="1:51" ht="13.15" customHeight="1">
      <c r="A13" s="92">
        <v>10913</v>
      </c>
      <c r="B13" s="184" t="s">
        <v>132</v>
      </c>
      <c r="C13" s="27" t="str">
        <f>Rollover!A13</f>
        <v>Subaru</v>
      </c>
      <c r="D13" s="45" t="str">
        <f>Rollover!B13</f>
        <v>Outback SW AWD</v>
      </c>
      <c r="E13" s="9" t="s">
        <v>91</v>
      </c>
      <c r="F13" s="85">
        <f>Rollover!C13</f>
        <v>2020</v>
      </c>
      <c r="G13" s="10">
        <v>28.306000000000001</v>
      </c>
      <c r="H13" s="11">
        <v>12.315</v>
      </c>
      <c r="I13" s="11">
        <v>17.428000000000001</v>
      </c>
      <c r="J13" s="11">
        <v>448.30399999999997</v>
      </c>
      <c r="K13" s="12">
        <v>1098.097</v>
      </c>
      <c r="L13" s="10">
        <v>116.06399999999999</v>
      </c>
      <c r="M13" s="11">
        <v>7.4880000000000004</v>
      </c>
      <c r="N13" s="11">
        <v>51.052</v>
      </c>
      <c r="O13" s="11">
        <v>9.1820000000000004</v>
      </c>
      <c r="P13" s="12">
        <v>2825.4050000000002</v>
      </c>
      <c r="Q13" s="23">
        <f t="shared" si="30"/>
        <v>1.4026591142925212E-8</v>
      </c>
      <c r="R13" s="5">
        <f t="shared" si="31"/>
        <v>1.3956549841022738E-2</v>
      </c>
      <c r="S13" s="5">
        <f t="shared" si="32"/>
        <v>6.1556663809201528E-3</v>
      </c>
      <c r="T13" s="24">
        <f t="shared" si="33"/>
        <v>1.677129065411007E-3</v>
      </c>
      <c r="U13" s="23">
        <f t="shared" si="34"/>
        <v>1.3303625193766548E-4</v>
      </c>
      <c r="V13" s="24">
        <f t="shared" si="35"/>
        <v>2.5342104773144802E-2</v>
      </c>
      <c r="W13" s="23">
        <f t="shared" si="36"/>
        <v>2.1999999999999999E-2</v>
      </c>
      <c r="X13" s="5">
        <f t="shared" si="37"/>
        <v>2.5000000000000001E-2</v>
      </c>
      <c r="Y13" s="24">
        <f t="shared" si="38"/>
        <v>2.4E-2</v>
      </c>
      <c r="Z13" s="25">
        <f t="shared" si="39"/>
        <v>0.15</v>
      </c>
      <c r="AA13" s="185">
        <f t="shared" si="40"/>
        <v>0.17</v>
      </c>
      <c r="AB13" s="26">
        <f t="shared" si="41"/>
        <v>0.16</v>
      </c>
      <c r="AC13" s="21">
        <f t="shared" si="42"/>
        <v>5</v>
      </c>
      <c r="AD13" s="50">
        <f t="shared" si="43"/>
        <v>5</v>
      </c>
      <c r="AE13" s="22">
        <f t="shared" si="44"/>
        <v>5</v>
      </c>
      <c r="AF13" s="13"/>
      <c r="AG13" s="13"/>
      <c r="AH13" s="15"/>
      <c r="AI13" s="15"/>
      <c r="AJ13" s="15"/>
      <c r="AK13" s="15"/>
      <c r="AL13" s="14"/>
      <c r="AM13" s="14"/>
      <c r="AN13" s="14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</row>
    <row r="14" spans="1:51" ht="13.15" customHeight="1">
      <c r="A14" s="92">
        <v>10919</v>
      </c>
      <c r="B14" s="184" t="s">
        <v>142</v>
      </c>
      <c r="C14" s="27" t="str">
        <f>Rollover!A14</f>
        <v>Subaru</v>
      </c>
      <c r="D14" s="45" t="str">
        <f>Rollover!B14</f>
        <v>WRX 4DR AWD</v>
      </c>
      <c r="E14" s="9" t="s">
        <v>94</v>
      </c>
      <c r="F14" s="85">
        <f>Rollover!C14</f>
        <v>2020</v>
      </c>
      <c r="G14" s="10">
        <v>117.803</v>
      </c>
      <c r="H14" s="11">
        <v>28.911999999999999</v>
      </c>
      <c r="I14" s="11">
        <v>29.681000000000001</v>
      </c>
      <c r="J14" s="11">
        <v>687.20799999999997</v>
      </c>
      <c r="K14" s="12">
        <v>1969.633</v>
      </c>
      <c r="L14" s="10">
        <v>234.548</v>
      </c>
      <c r="M14" s="11">
        <v>25.381</v>
      </c>
      <c r="N14" s="11">
        <v>64.531999999999996</v>
      </c>
      <c r="O14" s="11">
        <v>33.155000000000001</v>
      </c>
      <c r="P14" s="12">
        <v>2161.3470000000002</v>
      </c>
      <c r="Q14" s="23">
        <f t="shared" si="30"/>
        <v>1.4382576310162558E-4</v>
      </c>
      <c r="R14" s="5">
        <f t="shared" si="31"/>
        <v>6.1083360648883117E-2</v>
      </c>
      <c r="S14" s="5">
        <f t="shared" si="32"/>
        <v>1.0204946654655123E-2</v>
      </c>
      <c r="T14" s="24">
        <f t="shared" si="33"/>
        <v>4.3626487575713071E-3</v>
      </c>
      <c r="U14" s="23">
        <f t="shared" si="34"/>
        <v>3.5136742155711274E-3</v>
      </c>
      <c r="V14" s="24">
        <f t="shared" si="35"/>
        <v>1.3736950020053687E-2</v>
      </c>
      <c r="W14" s="23">
        <f t="shared" si="36"/>
        <v>7.4999999999999997E-2</v>
      </c>
      <c r="X14" s="5">
        <f t="shared" si="37"/>
        <v>1.7000000000000001E-2</v>
      </c>
      <c r="Y14" s="24">
        <f t="shared" si="38"/>
        <v>4.5999999999999999E-2</v>
      </c>
      <c r="Z14" s="25">
        <f t="shared" si="39"/>
        <v>0.5</v>
      </c>
      <c r="AA14" s="185">
        <f t="shared" si="40"/>
        <v>0.11</v>
      </c>
      <c r="AB14" s="26">
        <f t="shared" si="41"/>
        <v>0.31</v>
      </c>
      <c r="AC14" s="21">
        <f t="shared" si="42"/>
        <v>5</v>
      </c>
      <c r="AD14" s="50">
        <f t="shared" si="43"/>
        <v>5</v>
      </c>
      <c r="AE14" s="22">
        <f t="shared" si="44"/>
        <v>5</v>
      </c>
      <c r="AF14" s="13"/>
      <c r="AG14" s="13"/>
      <c r="AH14" s="15"/>
      <c r="AI14" s="15"/>
      <c r="AJ14" s="15"/>
      <c r="AK14" s="15"/>
      <c r="AL14" s="14"/>
      <c r="AM14" s="14"/>
      <c r="AN14" s="14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</row>
    <row r="15" spans="1:51" ht="13.15" customHeight="1">
      <c r="A15" s="8">
        <v>10798</v>
      </c>
      <c r="B15" s="186" t="s">
        <v>88</v>
      </c>
      <c r="C15" s="27" t="str">
        <f>Rollover!A15</f>
        <v>Toyota</v>
      </c>
      <c r="D15" s="45" t="str">
        <f>Rollover!B15</f>
        <v>Corolla 4DR FWD</v>
      </c>
      <c r="E15" s="9" t="s">
        <v>85</v>
      </c>
      <c r="F15" s="85">
        <f>Rollover!C15</f>
        <v>2020</v>
      </c>
      <c r="G15" s="10">
        <v>84.995999999999995</v>
      </c>
      <c r="H15" s="11">
        <v>22.896999999999998</v>
      </c>
      <c r="I15" s="11">
        <v>33.213000000000001</v>
      </c>
      <c r="J15" s="11">
        <v>606.36099999999999</v>
      </c>
      <c r="K15" s="12">
        <v>1781.702</v>
      </c>
      <c r="L15" s="10">
        <v>162.178</v>
      </c>
      <c r="M15" s="46">
        <v>43.720999999999997</v>
      </c>
      <c r="N15" s="11">
        <v>59.920999999999999</v>
      </c>
      <c r="O15" s="11">
        <v>35.392000000000003</v>
      </c>
      <c r="P15" s="12">
        <v>2241.2860000000001</v>
      </c>
      <c r="Q15" s="23">
        <f t="shared" si="30"/>
        <v>2.3782546118213887E-5</v>
      </c>
      <c r="R15" s="5">
        <f t="shared" si="31"/>
        <v>3.6080135928211028E-2</v>
      </c>
      <c r="S15" s="5">
        <f t="shared" si="32"/>
        <v>8.6024208406198423E-3</v>
      </c>
      <c r="T15" s="24">
        <f t="shared" si="33"/>
        <v>3.5507909058569418E-3</v>
      </c>
      <c r="U15" s="23">
        <f t="shared" si="34"/>
        <v>7.0118860846596668E-4</v>
      </c>
      <c r="V15" s="24">
        <f t="shared" si="35"/>
        <v>1.4793094957810496E-2</v>
      </c>
      <c r="W15" s="23">
        <f t="shared" si="36"/>
        <v>4.8000000000000001E-2</v>
      </c>
      <c r="X15" s="5">
        <f t="shared" si="37"/>
        <v>1.4999999999999999E-2</v>
      </c>
      <c r="Y15" s="24">
        <f t="shared" si="38"/>
        <v>3.2000000000000001E-2</v>
      </c>
      <c r="Z15" s="25">
        <f t="shared" si="39"/>
        <v>0.32</v>
      </c>
      <c r="AA15" s="185">
        <f t="shared" si="40"/>
        <v>0.1</v>
      </c>
      <c r="AB15" s="26">
        <f t="shared" si="41"/>
        <v>0.21</v>
      </c>
      <c r="AC15" s="21">
        <f t="shared" si="42"/>
        <v>5</v>
      </c>
      <c r="AD15" s="50">
        <f t="shared" si="43"/>
        <v>5</v>
      </c>
      <c r="AE15" s="22">
        <f t="shared" si="44"/>
        <v>5</v>
      </c>
      <c r="AF15" s="13"/>
      <c r="AG15" s="13"/>
      <c r="AH15" s="15"/>
      <c r="AI15" s="15"/>
      <c r="AJ15" s="15"/>
      <c r="AK15" s="15"/>
      <c r="AL15" s="14"/>
      <c r="AM15" s="14"/>
      <c r="AN15" s="14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</row>
    <row r="16" spans="1:51" ht="13.15" customHeight="1">
      <c r="A16" s="92">
        <v>10798</v>
      </c>
      <c r="B16" s="184" t="s">
        <v>88</v>
      </c>
      <c r="C16" s="27" t="str">
        <f>Rollover!A16</f>
        <v>Toyota</v>
      </c>
      <c r="D16" s="45" t="str">
        <f>Rollover!B16</f>
        <v>Corolla Hybrid 4DR FWD</v>
      </c>
      <c r="E16" s="9" t="s">
        <v>85</v>
      </c>
      <c r="F16" s="85">
        <f>Rollover!C16</f>
        <v>2020</v>
      </c>
      <c r="G16" s="10">
        <v>84.995999999999995</v>
      </c>
      <c r="H16" s="11">
        <v>22.896999999999998</v>
      </c>
      <c r="I16" s="11">
        <v>33.213000000000001</v>
      </c>
      <c r="J16" s="11">
        <v>606.36099999999999</v>
      </c>
      <c r="K16" s="12">
        <v>1781.702</v>
      </c>
      <c r="L16" s="10">
        <v>162.178</v>
      </c>
      <c r="M16" s="46">
        <v>43.720999999999997</v>
      </c>
      <c r="N16" s="11">
        <v>59.920999999999999</v>
      </c>
      <c r="O16" s="11">
        <v>35.392000000000003</v>
      </c>
      <c r="P16" s="12">
        <v>2241.2860000000001</v>
      </c>
      <c r="Q16" s="23">
        <f t="shared" si="30"/>
        <v>2.3782546118213887E-5</v>
      </c>
      <c r="R16" s="5">
        <f t="shared" si="31"/>
        <v>3.6080135928211028E-2</v>
      </c>
      <c r="S16" s="5">
        <f t="shared" si="32"/>
        <v>8.6024208406198423E-3</v>
      </c>
      <c r="T16" s="24">
        <f t="shared" si="33"/>
        <v>3.5507909058569418E-3</v>
      </c>
      <c r="U16" s="23">
        <f t="shared" si="34"/>
        <v>7.0118860846596668E-4</v>
      </c>
      <c r="V16" s="24">
        <f t="shared" si="35"/>
        <v>1.4793094957810496E-2</v>
      </c>
      <c r="W16" s="23">
        <f t="shared" si="36"/>
        <v>4.8000000000000001E-2</v>
      </c>
      <c r="X16" s="5">
        <f t="shared" si="37"/>
        <v>1.4999999999999999E-2</v>
      </c>
      <c r="Y16" s="24">
        <f t="shared" si="38"/>
        <v>3.2000000000000001E-2</v>
      </c>
      <c r="Z16" s="25">
        <f t="shared" si="39"/>
        <v>0.32</v>
      </c>
      <c r="AA16" s="185">
        <f t="shared" si="40"/>
        <v>0.1</v>
      </c>
      <c r="AB16" s="26">
        <f t="shared" si="41"/>
        <v>0.21</v>
      </c>
      <c r="AC16" s="21">
        <f t="shared" si="42"/>
        <v>5</v>
      </c>
      <c r="AD16" s="50">
        <f t="shared" si="43"/>
        <v>5</v>
      </c>
      <c r="AE16" s="22">
        <f t="shared" si="44"/>
        <v>5</v>
      </c>
      <c r="AF16" s="13"/>
      <c r="AG16" s="13"/>
      <c r="AH16" s="15"/>
      <c r="AI16" s="15"/>
      <c r="AJ16" s="15"/>
      <c r="AK16" s="15"/>
      <c r="AL16" s="14"/>
      <c r="AM16" s="14"/>
      <c r="AN16" s="14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</row>
    <row r="17" spans="1:51">
      <c r="A17" s="92">
        <v>10915</v>
      </c>
      <c r="B17" s="92" t="s">
        <v>134</v>
      </c>
      <c r="C17" s="51" t="str">
        <f>Rollover!A17</f>
        <v>Volvo</v>
      </c>
      <c r="D17" s="9" t="str">
        <f>Rollover!B17</f>
        <v>XC40 T5 SUV AWD</v>
      </c>
      <c r="E17" s="9" t="s">
        <v>85</v>
      </c>
      <c r="F17" s="85">
        <f>Rollover!C17</f>
        <v>2020</v>
      </c>
      <c r="G17" s="10">
        <v>77.596000000000004</v>
      </c>
      <c r="H17" s="11">
        <v>21.733000000000001</v>
      </c>
      <c r="I17" s="11">
        <v>24.413</v>
      </c>
      <c r="J17" s="11">
        <v>693.56600000000003</v>
      </c>
      <c r="K17" s="12">
        <v>1422.38</v>
      </c>
      <c r="L17" s="10">
        <v>118.53</v>
      </c>
      <c r="M17" s="11">
        <v>26.788</v>
      </c>
      <c r="N17" s="11">
        <v>48.165999999999997</v>
      </c>
      <c r="O17" s="11">
        <v>20.844000000000001</v>
      </c>
      <c r="P17" s="12">
        <v>3356.6329999999998</v>
      </c>
      <c r="Q17" s="23">
        <f t="shared" ref="Q17:Q18" si="45">NORMDIST(LN(G17),7.45231,0.73998,1)</f>
        <v>1.3924654705043251E-5</v>
      </c>
      <c r="R17" s="5">
        <f t="shared" ref="R17:R18" si="46">1/(1+EXP(5.3895-0.0919*H17))</f>
        <v>3.2538951020058701E-2</v>
      </c>
      <c r="S17" s="5">
        <f t="shared" ref="S17:S18" si="47">1/(1+EXP(6.04044-0.002133*J17))</f>
        <v>1.0342843738601169E-2</v>
      </c>
      <c r="T17" s="24">
        <f t="shared" ref="T17:T18" si="48">1/(1+EXP(7.5969-0.0011*K17))</f>
        <v>2.3942646387023134E-3</v>
      </c>
      <c r="U17" s="23">
        <f t="shared" ref="U17:U18" si="49">NORMDIST(LN(L17),7.45231,0.73998,1)</f>
        <v>1.4852460207833814E-4</v>
      </c>
      <c r="V17" s="24">
        <f t="shared" ref="V17:V18" si="50">1/(1+EXP(6.3055-0.00094*P17))</f>
        <v>4.1080838520024039E-2</v>
      </c>
      <c r="W17" s="23">
        <f t="shared" ref="W17:W18" si="51">ROUND(1-(1-Q17)*(1-R17)*(1-S17)*(1-T17),3)</f>
        <v>4.4999999999999998E-2</v>
      </c>
      <c r="X17" s="5">
        <f t="shared" ref="X17:X18" si="52">IF(L17="N/A",L17,ROUND(1-(1-U17)*(1-V17),3))</f>
        <v>4.1000000000000002E-2</v>
      </c>
      <c r="Y17" s="24">
        <f t="shared" ref="Y17:Y18" si="53">ROUND(AVERAGE(W17:X17),3)</f>
        <v>4.2999999999999997E-2</v>
      </c>
      <c r="Z17" s="25">
        <f t="shared" ref="Z17:Z18" si="54">ROUND(W17/0.15,2)</f>
        <v>0.3</v>
      </c>
      <c r="AA17" s="185">
        <f t="shared" ref="AA17:AA18" si="55">IF(L17="N/A", L17, ROUND(X17/0.15,2))</f>
        <v>0.27</v>
      </c>
      <c r="AB17" s="26">
        <f t="shared" ref="AB17:AB18" si="56">ROUND(Y17/0.15,2)</f>
        <v>0.28999999999999998</v>
      </c>
      <c r="AC17" s="21">
        <f t="shared" ref="AC17:AC18" si="57">IF(Z17&lt;0.67,5,IF(Z17&lt;1,4,IF(Z17&lt;1.33,3,IF(Z17&lt;2.67,2,1))))</f>
        <v>5</v>
      </c>
      <c r="AD17" s="50">
        <f t="shared" ref="AD17:AD18" si="58">IF(L17="N/A",L17,IF(AA17&lt;0.67,5,IF(AA17&lt;1,4,IF(AA17&lt;1.33,3,IF(AA17&lt;2.67,2,1)))))</f>
        <v>5</v>
      </c>
      <c r="AE17" s="22">
        <f t="shared" ref="AE17:AE18" si="59">IF(AB17&lt;0.67,5,IF(AB17&lt;1,4,IF(AB17&lt;1.33,3,IF(AB17&lt;2.67,2,1))))</f>
        <v>5</v>
      </c>
      <c r="AF17" s="13"/>
      <c r="AG17" s="13"/>
      <c r="AH17" s="15"/>
      <c r="AI17" s="15"/>
      <c r="AJ17" s="15"/>
      <c r="AK17" s="15"/>
      <c r="AL17" s="14"/>
      <c r="AM17" s="14"/>
      <c r="AN17" s="14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</row>
    <row r="18" spans="1:51">
      <c r="A18" s="92">
        <v>10915</v>
      </c>
      <c r="B18" s="92" t="s">
        <v>134</v>
      </c>
      <c r="C18" s="27" t="str">
        <f>Rollover!A18</f>
        <v>Volvo</v>
      </c>
      <c r="D18" s="45" t="str">
        <f>Rollover!B18</f>
        <v>XC40 T4 4DR FWD</v>
      </c>
      <c r="E18" s="9" t="s">
        <v>85</v>
      </c>
      <c r="F18" s="85">
        <f>Rollover!C18</f>
        <v>2020</v>
      </c>
      <c r="G18" s="10">
        <v>77.596000000000004</v>
      </c>
      <c r="H18" s="11">
        <v>21.733000000000001</v>
      </c>
      <c r="I18" s="11">
        <v>24.413</v>
      </c>
      <c r="J18" s="11">
        <v>693.56600000000003</v>
      </c>
      <c r="K18" s="12">
        <v>1422.38</v>
      </c>
      <c r="L18" s="10">
        <v>118.53</v>
      </c>
      <c r="M18" s="11">
        <v>26.788</v>
      </c>
      <c r="N18" s="11">
        <v>48.165999999999997</v>
      </c>
      <c r="O18" s="11">
        <v>20.844000000000001</v>
      </c>
      <c r="P18" s="12">
        <v>3356.6329999999998</v>
      </c>
      <c r="Q18" s="23">
        <f t="shared" si="45"/>
        <v>1.3924654705043251E-5</v>
      </c>
      <c r="R18" s="5">
        <f t="shared" si="46"/>
        <v>3.2538951020058701E-2</v>
      </c>
      <c r="S18" s="5">
        <f t="shared" si="47"/>
        <v>1.0342843738601169E-2</v>
      </c>
      <c r="T18" s="24">
        <f t="shared" si="48"/>
        <v>2.3942646387023134E-3</v>
      </c>
      <c r="U18" s="23">
        <f t="shared" si="49"/>
        <v>1.4852460207833814E-4</v>
      </c>
      <c r="V18" s="24">
        <f t="shared" si="50"/>
        <v>4.1080838520024039E-2</v>
      </c>
      <c r="W18" s="23">
        <f t="shared" si="51"/>
        <v>4.4999999999999998E-2</v>
      </c>
      <c r="X18" s="5">
        <f t="shared" si="52"/>
        <v>4.1000000000000002E-2</v>
      </c>
      <c r="Y18" s="24">
        <f t="shared" si="53"/>
        <v>4.2999999999999997E-2</v>
      </c>
      <c r="Z18" s="25">
        <f t="shared" si="54"/>
        <v>0.3</v>
      </c>
      <c r="AA18" s="185">
        <f t="shared" si="55"/>
        <v>0.27</v>
      </c>
      <c r="AB18" s="26">
        <f t="shared" si="56"/>
        <v>0.28999999999999998</v>
      </c>
      <c r="AC18" s="21">
        <f t="shared" si="57"/>
        <v>5</v>
      </c>
      <c r="AD18" s="50">
        <f t="shared" si="58"/>
        <v>5</v>
      </c>
      <c r="AE18" s="22">
        <f t="shared" si="59"/>
        <v>5</v>
      </c>
      <c r="AF18" s="13"/>
      <c r="AG18" s="13"/>
      <c r="AH18" s="15"/>
      <c r="AI18" s="15"/>
      <c r="AJ18" s="15"/>
      <c r="AK18" s="15"/>
      <c r="AL18" s="14"/>
      <c r="AM18" s="14"/>
      <c r="AN18" s="14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</row>
    <row r="19" spans="1:51">
      <c r="AE19" s="2"/>
    </row>
    <row r="20" spans="1:51">
      <c r="AE20" s="2"/>
    </row>
    <row r="21" spans="1:51">
      <c r="AE21" s="2"/>
    </row>
    <row r="22" spans="1:51">
      <c r="AE22" s="2"/>
    </row>
    <row r="23" spans="1:51">
      <c r="AE23" s="2"/>
    </row>
    <row r="24" spans="1:51">
      <c r="AE24" s="2"/>
    </row>
    <row r="25" spans="1:51">
      <c r="AE25" s="2"/>
    </row>
    <row r="26" spans="1:51">
      <c r="AE26" s="2"/>
    </row>
    <row r="27" spans="1:51">
      <c r="AE27" s="2"/>
    </row>
    <row r="28" spans="1:51">
      <c r="AE28" s="2"/>
    </row>
    <row r="29" spans="1:51">
      <c r="AE29" s="2"/>
    </row>
    <row r="30" spans="1:51">
      <c r="AE30" s="2"/>
    </row>
    <row r="31" spans="1:51">
      <c r="AE31" s="2"/>
    </row>
    <row r="32" spans="1:51">
      <c r="AE32" s="2"/>
    </row>
    <row r="33" spans="31:31">
      <c r="AE33" s="2"/>
    </row>
    <row r="34" spans="31:31">
      <c r="AE34" s="2"/>
    </row>
    <row r="35" spans="31:31">
      <c r="AE35" s="2"/>
    </row>
    <row r="36" spans="31:31">
      <c r="AE36" s="2"/>
    </row>
    <row r="37" spans="31:31">
      <c r="AE37" s="2"/>
    </row>
    <row r="38" spans="31:31">
      <c r="AE38" s="2"/>
    </row>
    <row r="39" spans="31:31">
      <c r="AE39" s="2"/>
    </row>
    <row r="40" spans="31:31">
      <c r="AE40" s="2"/>
    </row>
    <row r="41" spans="31:31">
      <c r="AE41" s="2"/>
    </row>
    <row r="42" spans="31:31">
      <c r="AE42" s="2"/>
    </row>
    <row r="43" spans="31:31">
      <c r="AE43" s="2"/>
    </row>
    <row r="44" spans="31:31">
      <c r="AE44" s="2"/>
    </row>
    <row r="45" spans="31:31">
      <c r="AE45" s="2"/>
    </row>
    <row r="46" spans="31:31">
      <c r="AE46" s="2"/>
    </row>
    <row r="47" spans="31:31">
      <c r="AE47" s="2"/>
    </row>
    <row r="48" spans="31:31">
      <c r="AE48" s="2"/>
    </row>
    <row r="49" spans="31:31">
      <c r="AE49" s="2"/>
    </row>
    <row r="50" spans="31:31">
      <c r="AE50" s="2"/>
    </row>
    <row r="51" spans="31:31">
      <c r="AE51" s="2"/>
    </row>
    <row r="52" spans="31:31">
      <c r="AE52" s="2"/>
    </row>
    <row r="53" spans="31:31">
      <c r="AE53" s="2"/>
    </row>
    <row r="54" spans="31:31">
      <c r="AE54" s="2"/>
    </row>
    <row r="55" spans="31:31">
      <c r="AE55" s="2"/>
    </row>
    <row r="56" spans="31:31">
      <c r="AE56" s="2"/>
    </row>
    <row r="57" spans="31:31">
      <c r="AE57" s="2"/>
    </row>
    <row r="58" spans="31:31">
      <c r="AE58" s="2"/>
    </row>
    <row r="59" spans="31:31">
      <c r="AE59" s="2"/>
    </row>
    <row r="60" spans="31:31">
      <c r="AE60" s="2"/>
    </row>
    <row r="61" spans="31:31">
      <c r="AE61" s="2"/>
    </row>
    <row r="62" spans="31:31">
      <c r="AE62" s="2"/>
    </row>
    <row r="63" spans="31:31">
      <c r="AE63" s="2"/>
    </row>
    <row r="64" spans="31:31">
      <c r="AE64" s="2"/>
    </row>
    <row r="65" spans="31:31">
      <c r="AE65" s="2"/>
    </row>
    <row r="66" spans="31:31">
      <c r="AE66" s="2"/>
    </row>
    <row r="67" spans="31:31">
      <c r="AE67" s="2"/>
    </row>
    <row r="68" spans="31:31">
      <c r="AE68" s="2"/>
    </row>
    <row r="69" spans="31:31">
      <c r="AE69" s="2"/>
    </row>
    <row r="70" spans="31:31">
      <c r="AE70" s="2"/>
    </row>
    <row r="71" spans="31:31">
      <c r="AE71" s="2"/>
    </row>
    <row r="72" spans="31:31">
      <c r="AE72" s="2"/>
    </row>
    <row r="73" spans="31:31">
      <c r="AE73" s="2"/>
    </row>
    <row r="74" spans="31:31">
      <c r="AE74" s="2"/>
    </row>
    <row r="75" spans="31:31">
      <c r="AE75" s="2"/>
    </row>
    <row r="76" spans="31:31">
      <c r="AE76" s="2"/>
    </row>
    <row r="77" spans="31:31">
      <c r="AE77" s="2"/>
    </row>
    <row r="78" spans="31:31">
      <c r="AE78" s="2"/>
    </row>
    <row r="79" spans="31:31">
      <c r="AE79" s="2"/>
    </row>
    <row r="80" spans="31:31">
      <c r="AE80" s="2"/>
    </row>
    <row r="81" spans="31:31">
      <c r="AE81" s="2"/>
    </row>
    <row r="82" spans="31:31">
      <c r="AE82" s="2"/>
    </row>
    <row r="83" spans="31:31">
      <c r="AE83" s="2"/>
    </row>
    <row r="84" spans="31:31">
      <c r="AE84" s="2"/>
    </row>
    <row r="85" spans="31:31">
      <c r="AE85" s="2"/>
    </row>
    <row r="86" spans="31:31">
      <c r="AE86" s="2"/>
    </row>
    <row r="87" spans="31:31">
      <c r="AE87" s="2"/>
    </row>
    <row r="88" spans="31:31">
      <c r="AE88" s="2"/>
    </row>
    <row r="89" spans="31:31">
      <c r="AE89" s="2"/>
    </row>
    <row r="90" spans="31:31">
      <c r="AE90" s="2"/>
    </row>
    <row r="91" spans="31:31">
      <c r="AE91" s="2"/>
    </row>
    <row r="92" spans="31:31">
      <c r="AE92" s="2"/>
    </row>
    <row r="93" spans="31:31">
      <c r="AE93" s="2"/>
    </row>
    <row r="94" spans="31:31">
      <c r="AE94" s="2"/>
    </row>
    <row r="95" spans="31:31">
      <c r="AE95" s="2"/>
    </row>
    <row r="96" spans="31:31">
      <c r="AE96" s="2"/>
    </row>
    <row r="97" spans="31:31">
      <c r="AE97" s="2"/>
    </row>
    <row r="98" spans="31:31">
      <c r="AE98" s="2"/>
    </row>
    <row r="99" spans="31:31">
      <c r="AE99" s="2"/>
    </row>
    <row r="100" spans="31:31">
      <c r="AE100" s="2"/>
    </row>
    <row r="101" spans="31:31">
      <c r="AE101" s="2"/>
    </row>
    <row r="102" spans="31:31">
      <c r="AE102" s="2"/>
    </row>
    <row r="103" spans="31:31">
      <c r="AE103" s="2"/>
    </row>
    <row r="104" spans="31:31">
      <c r="AE104" s="2"/>
    </row>
    <row r="105" spans="31:31">
      <c r="AE105" s="2"/>
    </row>
    <row r="106" spans="31:31">
      <c r="AE106" s="2"/>
    </row>
    <row r="107" spans="31:31">
      <c r="AE107" s="2"/>
    </row>
    <row r="108" spans="31:31">
      <c r="AE108" s="2"/>
    </row>
    <row r="109" spans="31:31">
      <c r="AE109" s="2"/>
    </row>
    <row r="110" spans="31:31">
      <c r="AE110" s="2"/>
    </row>
    <row r="111" spans="31:31">
      <c r="AE111" s="2"/>
    </row>
    <row r="112" spans="31:31">
      <c r="AE112" s="2"/>
    </row>
    <row r="113" spans="31:31">
      <c r="AE113" s="2"/>
    </row>
    <row r="114" spans="31:31">
      <c r="AE114" s="2"/>
    </row>
    <row r="115" spans="31:31">
      <c r="AE115" s="2"/>
    </row>
    <row r="116" spans="31:31">
      <c r="AE116" s="2"/>
    </row>
    <row r="117" spans="31:31">
      <c r="AE117" s="2"/>
    </row>
    <row r="118" spans="31:31">
      <c r="AE118" s="2"/>
    </row>
    <row r="119" spans="31:31">
      <c r="AE119" s="2"/>
    </row>
    <row r="120" spans="31:31">
      <c r="AE120" s="2"/>
    </row>
    <row r="121" spans="31:31">
      <c r="AE121" s="2"/>
    </row>
  </sheetData>
  <mergeCells count="4">
    <mergeCell ref="G1:K1"/>
    <mergeCell ref="L1:P1"/>
    <mergeCell ref="Q1:T1"/>
    <mergeCell ref="U1:V1"/>
  </mergeCells>
  <phoneticPr fontId="3" type="noConversion"/>
  <pageMargins left="0.25" right="0.2" top="0.25" bottom="0.2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1"/>
  <sheetViews>
    <sheetView zoomScaleNormal="100" workbookViewId="0">
      <pane xSplit="6" ySplit="2" topLeftCell="G3" activePane="bottomRight" state="frozen"/>
      <selection activeCell="B24" sqref="B24"/>
      <selection pane="topRight" activeCell="B24" sqref="B24"/>
      <selection pane="bottomLeft" activeCell="B24" sqref="B24"/>
      <selection pane="bottomRight" activeCell="A2" sqref="A2"/>
    </sheetView>
  </sheetViews>
  <sheetFormatPr defaultColWidth="9.140625" defaultRowHeight="13.9" customHeight="1"/>
  <cols>
    <col min="1" max="1" width="8.5703125" style="161" bestFit="1" customWidth="1"/>
    <col min="2" max="2" width="9" style="161" bestFit="1" customWidth="1"/>
    <col min="3" max="3" width="13.5703125" style="162" bestFit="1" customWidth="1"/>
    <col min="4" max="4" width="36.140625" style="162" bestFit="1" customWidth="1"/>
    <col min="5" max="5" width="6.5703125" style="163" customWidth="1"/>
    <col min="6" max="6" width="7.42578125" style="164" bestFit="1" customWidth="1"/>
    <col min="7" max="10" width="8.7109375" style="158" customWidth="1"/>
    <col min="11" max="11" width="9.85546875" style="158" customWidth="1"/>
    <col min="12" max="12" width="7" style="158" customWidth="1"/>
    <col min="13" max="13" width="7.42578125" style="158" customWidth="1"/>
    <col min="14" max="14" width="7.85546875" style="165" customWidth="1"/>
    <col min="15" max="15" width="8.5703125" style="165" bestFit="1" customWidth="1"/>
    <col min="16" max="16" width="8.28515625" style="166" customWidth="1"/>
    <col min="17" max="17" width="9.28515625" style="165" customWidth="1"/>
    <col min="18" max="18" width="10.140625" style="158" customWidth="1"/>
    <col min="19" max="19" width="6" style="161" customWidth="1"/>
    <col min="20" max="20" width="10.28515625" style="161" bestFit="1" customWidth="1"/>
    <col min="21" max="21" width="10.140625" style="161" customWidth="1"/>
    <col min="22" max="22" width="10.28515625" style="161" bestFit="1" customWidth="1"/>
    <col min="23" max="16384" width="9.140625" style="158"/>
  </cols>
  <sheetData>
    <row r="1" spans="1:38" s="147" customFormat="1" ht="13.9" customHeight="1" thickBot="1">
      <c r="A1" s="134"/>
      <c r="B1" s="135"/>
      <c r="C1" s="136"/>
      <c r="D1" s="136"/>
      <c r="E1" s="137"/>
      <c r="F1" s="138"/>
      <c r="G1" s="139" t="s">
        <v>47</v>
      </c>
      <c r="H1" s="140"/>
      <c r="I1" s="140"/>
      <c r="J1" s="140"/>
      <c r="K1" s="141"/>
      <c r="L1" s="142" t="s">
        <v>47</v>
      </c>
      <c r="M1" s="143"/>
      <c r="N1" s="144" t="s">
        <v>13</v>
      </c>
      <c r="O1" s="145" t="s">
        <v>13</v>
      </c>
      <c r="P1" s="40" t="s">
        <v>46</v>
      </c>
      <c r="Q1" s="146" t="s">
        <v>13</v>
      </c>
      <c r="R1" s="57" t="s">
        <v>13</v>
      </c>
      <c r="S1" s="39" t="s">
        <v>13</v>
      </c>
      <c r="T1" s="39" t="s">
        <v>60</v>
      </c>
      <c r="U1" s="39" t="s">
        <v>77</v>
      </c>
      <c r="V1" s="40" t="s">
        <v>60</v>
      </c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s="153" customFormat="1" ht="45.75" thickBot="1">
      <c r="A2" s="38" t="s">
        <v>27</v>
      </c>
      <c r="B2" s="39" t="s">
        <v>84</v>
      </c>
      <c r="C2" s="148" t="s">
        <v>19</v>
      </c>
      <c r="D2" s="148" t="s">
        <v>20</v>
      </c>
      <c r="E2" s="149" t="s">
        <v>76</v>
      </c>
      <c r="F2" s="150" t="s">
        <v>21</v>
      </c>
      <c r="G2" s="151" t="s">
        <v>59</v>
      </c>
      <c r="H2" s="62" t="s">
        <v>73</v>
      </c>
      <c r="I2" s="62" t="s">
        <v>74</v>
      </c>
      <c r="J2" s="62" t="s">
        <v>72</v>
      </c>
      <c r="K2" s="152" t="s">
        <v>40</v>
      </c>
      <c r="L2" s="58" t="s">
        <v>1</v>
      </c>
      <c r="M2" s="59" t="s">
        <v>15</v>
      </c>
      <c r="N2" s="58" t="s">
        <v>17</v>
      </c>
      <c r="O2" s="60" t="s">
        <v>67</v>
      </c>
      <c r="P2" s="30" t="s">
        <v>45</v>
      </c>
      <c r="Q2" s="61" t="s">
        <v>80</v>
      </c>
      <c r="R2" s="62" t="s">
        <v>81</v>
      </c>
      <c r="S2" s="63" t="s">
        <v>82</v>
      </c>
      <c r="T2" s="62" t="s">
        <v>79</v>
      </c>
      <c r="U2" s="62" t="s">
        <v>78</v>
      </c>
      <c r="V2" s="64" t="s">
        <v>83</v>
      </c>
      <c r="W2" s="4"/>
      <c r="X2" s="4"/>
      <c r="Y2" s="42"/>
      <c r="Z2" s="42"/>
      <c r="AA2" s="42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38" ht="13.9" customHeight="1">
      <c r="A3" s="154">
        <v>10922</v>
      </c>
      <c r="B3" s="155" t="s">
        <v>139</v>
      </c>
      <c r="C3" s="156" t="str">
        <f>Rollover!A3</f>
        <v>Cadillac</v>
      </c>
      <c r="D3" s="156" t="str">
        <f>Rollover!B3</f>
        <v>XT6 SUV AWD</v>
      </c>
      <c r="E3" s="87" t="s">
        <v>100</v>
      </c>
      <c r="F3" s="157">
        <f>Rollover!C3</f>
        <v>2020</v>
      </c>
      <c r="G3" s="47">
        <v>291.99099999999999</v>
      </c>
      <c r="H3" s="11">
        <v>21.452000000000002</v>
      </c>
      <c r="I3" s="11">
        <v>38.988</v>
      </c>
      <c r="J3" s="48">
        <v>24.802</v>
      </c>
      <c r="K3" s="12">
        <v>2961.5479999999998</v>
      </c>
      <c r="L3" s="23">
        <f t="shared" ref="L3:L5" si="0">NORMDIST(LN(G3),7.45231,0.73998,1)</f>
        <v>8.2085881046275247E-3</v>
      </c>
      <c r="M3" s="24">
        <f t="shared" ref="M3:M5" si="1">1/(1+EXP(6.3055-0.00094*K3))</f>
        <v>2.8702603138674551E-2</v>
      </c>
      <c r="N3" s="23">
        <f t="shared" ref="N3:N5" si="2">ROUND(1-(1-L3)*(1-M3),3)</f>
        <v>3.6999999999999998E-2</v>
      </c>
      <c r="O3" s="5">
        <f t="shared" ref="O3:O5" si="3">ROUND(N3/0.15,2)</f>
        <v>0.25</v>
      </c>
      <c r="P3" s="22">
        <f t="shared" ref="P3:P5" si="4">IF(O3&lt;0.67,5,IF(O3&lt;1,4,IF(O3&lt;1.33,3,IF(O3&lt;2.67,2,1))))</f>
        <v>5</v>
      </c>
      <c r="Q3" s="65">
        <f>ROUND((0.8*'Side MDB'!W3+0.2*'Side Pole'!N3),3)</f>
        <v>3.1E-2</v>
      </c>
      <c r="R3" s="66">
        <f t="shared" ref="R3:R5" si="5">ROUND((Q3)/0.15,2)</f>
        <v>0.21</v>
      </c>
      <c r="S3" s="50">
        <f t="shared" ref="S3:S5" si="6">IF(R3&lt;0.67,5,IF(R3&lt;1,4,IF(R3&lt;1.33,3,IF(R3&lt;2.67,2,1))))</f>
        <v>5</v>
      </c>
      <c r="T3" s="66">
        <f>ROUND(((0.8*'Side MDB'!W3+0.2*'Side Pole'!N3)+(IF('Side MDB'!X3="N/A",(0.8*'Side MDB'!W3+0.2*'Side Pole'!N3),'Side MDB'!X3)))/2,3)</f>
        <v>1.9E-2</v>
      </c>
      <c r="U3" s="66">
        <f t="shared" ref="U3:U5" si="7">ROUND((T3)/0.15,2)</f>
        <v>0.13</v>
      </c>
      <c r="V3" s="22">
        <f t="shared" ref="V3:V5" si="8">IF(U3&lt;0.67,5,IF(U3&lt;1,4,IF(U3&lt;1.33,3,IF(U3&lt;2.67,2,1))))</f>
        <v>5</v>
      </c>
      <c r="W3" s="15"/>
      <c r="X3" s="15"/>
      <c r="Y3" s="52"/>
      <c r="Z3" s="52"/>
      <c r="AA3" s="52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38" ht="13.9" customHeight="1">
      <c r="A4" s="154">
        <v>10922</v>
      </c>
      <c r="B4" s="155" t="s">
        <v>139</v>
      </c>
      <c r="C4" s="156" t="str">
        <f>Rollover!A4</f>
        <v>Cadillac</v>
      </c>
      <c r="D4" s="156" t="str">
        <f>Rollover!B4</f>
        <v>XT6 SUV FWD</v>
      </c>
      <c r="E4" s="87" t="s">
        <v>100</v>
      </c>
      <c r="F4" s="157">
        <f>Rollover!C4</f>
        <v>2020</v>
      </c>
      <c r="G4" s="47">
        <v>291.99099999999999</v>
      </c>
      <c r="H4" s="11">
        <v>21.452000000000002</v>
      </c>
      <c r="I4" s="11">
        <v>38.988</v>
      </c>
      <c r="J4" s="48">
        <v>24.802</v>
      </c>
      <c r="K4" s="12">
        <v>2961.5479999999998</v>
      </c>
      <c r="L4" s="23">
        <f t="shared" si="0"/>
        <v>8.2085881046275247E-3</v>
      </c>
      <c r="M4" s="24">
        <f t="shared" si="1"/>
        <v>2.8702603138674551E-2</v>
      </c>
      <c r="N4" s="23">
        <f t="shared" si="2"/>
        <v>3.6999999999999998E-2</v>
      </c>
      <c r="O4" s="5">
        <f t="shared" si="3"/>
        <v>0.25</v>
      </c>
      <c r="P4" s="22">
        <f t="shared" si="4"/>
        <v>5</v>
      </c>
      <c r="Q4" s="65">
        <f>ROUND((0.8*'Side MDB'!W4+0.2*'Side Pole'!N4),3)</f>
        <v>3.1E-2</v>
      </c>
      <c r="R4" s="66">
        <f t="shared" si="5"/>
        <v>0.21</v>
      </c>
      <c r="S4" s="50">
        <f t="shared" si="6"/>
        <v>5</v>
      </c>
      <c r="T4" s="66">
        <f>ROUND(((0.8*'Side MDB'!W4+0.2*'Side Pole'!N4)+(IF('Side MDB'!X4="N/A",(0.8*'Side MDB'!W4+0.2*'Side Pole'!N4),'Side MDB'!X4)))/2,3)</f>
        <v>1.9E-2</v>
      </c>
      <c r="U4" s="66">
        <f t="shared" si="7"/>
        <v>0.13</v>
      </c>
      <c r="V4" s="22">
        <f t="shared" si="8"/>
        <v>5</v>
      </c>
      <c r="W4" s="15"/>
      <c r="X4" s="15"/>
      <c r="Y4" s="52"/>
      <c r="Z4" s="52"/>
      <c r="AA4" s="52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38" ht="13.9" customHeight="1">
      <c r="A5" s="154">
        <v>10829</v>
      </c>
      <c r="B5" s="155" t="s">
        <v>126</v>
      </c>
      <c r="C5" s="156" t="str">
        <f>Rollover!A5</f>
        <v>Chevrolet</v>
      </c>
      <c r="D5" s="156" t="str">
        <f>Rollover!B5</f>
        <v>Malibu 4DR FWD</v>
      </c>
      <c r="E5" s="87" t="s">
        <v>100</v>
      </c>
      <c r="F5" s="157">
        <f>Rollover!C5</f>
        <v>2020</v>
      </c>
      <c r="G5" s="47">
        <v>279.09699999999998</v>
      </c>
      <c r="H5" s="11">
        <v>20.425000000000001</v>
      </c>
      <c r="I5" s="11">
        <v>27.391999999999999</v>
      </c>
      <c r="J5" s="48">
        <v>18.286999999999999</v>
      </c>
      <c r="K5" s="12">
        <v>2443.8339999999998</v>
      </c>
      <c r="L5" s="23">
        <f t="shared" si="0"/>
        <v>6.936399614196326E-3</v>
      </c>
      <c r="M5" s="24">
        <f t="shared" si="1"/>
        <v>1.7840263891864622E-2</v>
      </c>
      <c r="N5" s="23">
        <f t="shared" si="2"/>
        <v>2.5000000000000001E-2</v>
      </c>
      <c r="O5" s="5">
        <f t="shared" si="3"/>
        <v>0.17</v>
      </c>
      <c r="P5" s="22">
        <f t="shared" si="4"/>
        <v>5</v>
      </c>
      <c r="Q5" s="65">
        <f>ROUND((0.8*'Side MDB'!W5+0.2*'Side Pole'!N5),3)</f>
        <v>9.8000000000000004E-2</v>
      </c>
      <c r="R5" s="66">
        <f t="shared" si="5"/>
        <v>0.65</v>
      </c>
      <c r="S5" s="50">
        <f t="shared" si="6"/>
        <v>5</v>
      </c>
      <c r="T5" s="66">
        <f>ROUND(((0.8*'Side MDB'!W5+0.2*'Side Pole'!N5)+(IF('Side MDB'!X5="N/A",(0.8*'Side MDB'!W5+0.2*'Side Pole'!N5),'Side MDB'!X5)))/2,3)</f>
        <v>0.13800000000000001</v>
      </c>
      <c r="U5" s="66">
        <f t="shared" si="7"/>
        <v>0.92</v>
      </c>
      <c r="V5" s="22">
        <f t="shared" si="8"/>
        <v>4</v>
      </c>
      <c r="W5" s="15"/>
      <c r="X5" s="15"/>
      <c r="Y5" s="52"/>
      <c r="Z5" s="52"/>
      <c r="AA5" s="52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</row>
    <row r="6" spans="1:38" ht="13.9" customHeight="1">
      <c r="A6" s="155"/>
      <c r="B6" s="155"/>
      <c r="C6" s="156" t="str">
        <f>Rollover!A6</f>
        <v>Jeep</v>
      </c>
      <c r="D6" s="156" t="str">
        <f>Rollover!B6</f>
        <v>Gladiator PU/CC 4WD</v>
      </c>
      <c r="E6" s="87"/>
      <c r="F6" s="157">
        <f>Rollover!C6</f>
        <v>2020</v>
      </c>
      <c r="G6" s="47"/>
      <c r="H6" s="11"/>
      <c r="I6" s="11"/>
      <c r="J6" s="48"/>
      <c r="K6" s="48"/>
      <c r="L6" s="23" t="e">
        <f t="shared" ref="L6:L8" si="9">NORMDIST(LN(G6),7.45231,0.73998,1)</f>
        <v>#NUM!</v>
      </c>
      <c r="M6" s="24">
        <f t="shared" ref="M6:M8" si="10">1/(1+EXP(6.3055-0.00094*K6))</f>
        <v>1.8229037773026034E-3</v>
      </c>
      <c r="N6" s="23" t="e">
        <f t="shared" ref="N6:N8" si="11">ROUND(1-(1-L6)*(1-M6),3)</f>
        <v>#NUM!</v>
      </c>
      <c r="O6" s="5" t="e">
        <f t="shared" ref="O6:O8" si="12">ROUND(N6/0.15,2)</f>
        <v>#NUM!</v>
      </c>
      <c r="P6" s="22" t="e">
        <f t="shared" ref="P6:P8" si="13">IF(O6&lt;0.67,5,IF(O6&lt;1,4,IF(O6&lt;1.33,3,IF(O6&lt;2.67,2,1))))</f>
        <v>#NUM!</v>
      </c>
      <c r="Q6" s="65" t="e">
        <f>ROUND((0.8*'Side MDB'!W6+0.2*'Side Pole'!N6),3)</f>
        <v>#NUM!</v>
      </c>
      <c r="R6" s="66" t="e">
        <f t="shared" ref="R6:R8" si="14">ROUND((Q6)/0.15,2)</f>
        <v>#NUM!</v>
      </c>
      <c r="S6" s="50" t="e">
        <f t="shared" ref="S6:S8" si="15">IF(R6&lt;0.67,5,IF(R6&lt;1,4,IF(R6&lt;1.33,3,IF(R6&lt;2.67,2,1))))</f>
        <v>#NUM!</v>
      </c>
      <c r="T6" s="66" t="e">
        <f>ROUND(((0.8*'Side MDB'!W6+0.2*'Side Pole'!N6)+(IF('Side MDB'!X6="N/A",(0.8*'Side MDB'!W6+0.2*'Side Pole'!N6),'Side MDB'!X6)))/2,3)</f>
        <v>#NUM!</v>
      </c>
      <c r="U6" s="66" t="e">
        <f t="shared" ref="U6:U8" si="16">ROUND((T6)/0.15,2)</f>
        <v>#NUM!</v>
      </c>
      <c r="V6" s="22" t="e">
        <f t="shared" ref="V6:V8" si="17">IF(U6&lt;0.67,5,IF(U6&lt;1,4,IF(U6&lt;1.33,3,IF(U6&lt;2.67,2,1))))</f>
        <v>#NUM!</v>
      </c>
      <c r="W6" s="15"/>
      <c r="X6" s="15"/>
      <c r="Y6" s="52"/>
      <c r="Z6" s="52"/>
      <c r="AA6" s="52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</row>
    <row r="7" spans="1:38" ht="13.9" customHeight="1">
      <c r="A7" s="155"/>
      <c r="B7" s="155"/>
      <c r="C7" s="159" t="str">
        <f>Rollover!A7</f>
        <v>Jeep</v>
      </c>
      <c r="D7" s="159" t="str">
        <f>Rollover!B7</f>
        <v>Wrangler 4WD</v>
      </c>
      <c r="E7" s="87"/>
      <c r="F7" s="157">
        <f>Rollover!C7</f>
        <v>2020</v>
      </c>
      <c r="G7" s="47"/>
      <c r="H7" s="11"/>
      <c r="I7" s="11"/>
      <c r="J7" s="48"/>
      <c r="K7" s="48"/>
      <c r="L7" s="23" t="e">
        <f t="shared" si="9"/>
        <v>#NUM!</v>
      </c>
      <c r="M7" s="24">
        <f t="shared" si="10"/>
        <v>1.8229037773026034E-3</v>
      </c>
      <c r="N7" s="23" t="e">
        <f t="shared" si="11"/>
        <v>#NUM!</v>
      </c>
      <c r="O7" s="5" t="e">
        <f t="shared" si="12"/>
        <v>#NUM!</v>
      </c>
      <c r="P7" s="22" t="e">
        <f t="shared" si="13"/>
        <v>#NUM!</v>
      </c>
      <c r="Q7" s="65" t="e">
        <f>ROUND((0.8*'Side MDB'!W7+0.2*'Side Pole'!N7),3)</f>
        <v>#NUM!</v>
      </c>
      <c r="R7" s="66" t="e">
        <f t="shared" si="14"/>
        <v>#NUM!</v>
      </c>
      <c r="S7" s="50" t="e">
        <f t="shared" si="15"/>
        <v>#NUM!</v>
      </c>
      <c r="T7" s="66" t="e">
        <f>ROUND(((0.8*'Side MDB'!W7+0.2*'Side Pole'!N7)+(IF('Side MDB'!X7="N/A",(0.8*'Side MDB'!W7+0.2*'Side Pole'!N7),'Side MDB'!X7)))/2,3)</f>
        <v>#NUM!</v>
      </c>
      <c r="U7" s="66" t="e">
        <f t="shared" si="16"/>
        <v>#NUM!</v>
      </c>
      <c r="V7" s="22" t="e">
        <f t="shared" si="17"/>
        <v>#NUM!</v>
      </c>
      <c r="W7" s="15"/>
      <c r="X7" s="15"/>
      <c r="Y7" s="52"/>
      <c r="Z7" s="52"/>
      <c r="AA7" s="52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</row>
    <row r="8" spans="1:38" ht="13.9" customHeight="1">
      <c r="A8" s="154">
        <v>10838</v>
      </c>
      <c r="B8" s="155" t="s">
        <v>124</v>
      </c>
      <c r="C8" s="156" t="str">
        <f>Rollover!A8</f>
        <v>Kia</v>
      </c>
      <c r="D8" s="156" t="str">
        <f>Rollover!B8</f>
        <v>Telluride SUV AWD</v>
      </c>
      <c r="E8" s="87" t="s">
        <v>85</v>
      </c>
      <c r="F8" s="157">
        <f>Rollover!C8</f>
        <v>2020</v>
      </c>
      <c r="G8" s="47">
        <v>449.93400000000003</v>
      </c>
      <c r="H8" s="11">
        <v>22.834</v>
      </c>
      <c r="I8" s="11">
        <v>52.232999999999997</v>
      </c>
      <c r="J8" s="48">
        <v>22.327000000000002</v>
      </c>
      <c r="K8" s="12">
        <v>2848.152</v>
      </c>
      <c r="L8" s="23">
        <f t="shared" si="9"/>
        <v>3.4746859878362284E-2</v>
      </c>
      <c r="M8" s="24">
        <f t="shared" si="10"/>
        <v>2.587563671273457E-2</v>
      </c>
      <c r="N8" s="23">
        <f t="shared" si="11"/>
        <v>0.06</v>
      </c>
      <c r="O8" s="5">
        <f t="shared" si="12"/>
        <v>0.4</v>
      </c>
      <c r="P8" s="22">
        <f t="shared" si="13"/>
        <v>5</v>
      </c>
      <c r="Q8" s="65">
        <f>ROUND((0.8*'Side MDB'!W8+0.2*'Side Pole'!N8),3)</f>
        <v>3.2000000000000001E-2</v>
      </c>
      <c r="R8" s="66">
        <f t="shared" si="14"/>
        <v>0.21</v>
      </c>
      <c r="S8" s="50">
        <f t="shared" si="15"/>
        <v>5</v>
      </c>
      <c r="T8" s="66">
        <f>ROUND(((0.8*'Side MDB'!W8+0.2*'Side Pole'!N8)+(IF('Side MDB'!X8="N/A",(0.8*'Side MDB'!W8+0.2*'Side Pole'!N8),'Side MDB'!X8)))/2,3)</f>
        <v>2.1999999999999999E-2</v>
      </c>
      <c r="U8" s="66">
        <f t="shared" si="16"/>
        <v>0.15</v>
      </c>
      <c r="V8" s="22">
        <f t="shared" si="17"/>
        <v>5</v>
      </c>
      <c r="W8" s="15"/>
      <c r="X8" s="15"/>
      <c r="Y8" s="52"/>
      <c r="Z8" s="52"/>
      <c r="AA8" s="52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38" ht="13.9" customHeight="1">
      <c r="A9" s="154">
        <v>10838</v>
      </c>
      <c r="B9" s="155" t="s">
        <v>124</v>
      </c>
      <c r="C9" s="156" t="str">
        <f>Rollover!A9</f>
        <v>Kia</v>
      </c>
      <c r="D9" s="156" t="str">
        <f>Rollover!B9</f>
        <v>Telluride SUV FWD</v>
      </c>
      <c r="E9" s="87" t="s">
        <v>85</v>
      </c>
      <c r="F9" s="157">
        <f>Rollover!C9</f>
        <v>2020</v>
      </c>
      <c r="G9" s="47">
        <v>449.93400000000003</v>
      </c>
      <c r="H9" s="11">
        <v>22.834</v>
      </c>
      <c r="I9" s="11">
        <v>52.232999999999997</v>
      </c>
      <c r="J9" s="48">
        <v>22.327000000000002</v>
      </c>
      <c r="K9" s="12">
        <v>2848.152</v>
      </c>
      <c r="L9" s="23">
        <f t="shared" ref="L9:L16" si="18">NORMDIST(LN(G9),7.45231,0.73998,1)</f>
        <v>3.4746859878362284E-2</v>
      </c>
      <c r="M9" s="24">
        <f t="shared" ref="M9:M16" si="19">1/(1+EXP(6.3055-0.00094*K9))</f>
        <v>2.587563671273457E-2</v>
      </c>
      <c r="N9" s="23">
        <f t="shared" ref="N9:N16" si="20">ROUND(1-(1-L9)*(1-M9),3)</f>
        <v>0.06</v>
      </c>
      <c r="O9" s="5">
        <f t="shared" ref="O9:O16" si="21">ROUND(N9/0.15,2)</f>
        <v>0.4</v>
      </c>
      <c r="P9" s="22">
        <f t="shared" ref="P9:P16" si="22">IF(O9&lt;0.67,5,IF(O9&lt;1,4,IF(O9&lt;1.33,3,IF(O9&lt;2.67,2,1))))</f>
        <v>5</v>
      </c>
      <c r="Q9" s="65">
        <f>ROUND((0.8*'Side MDB'!W9+0.2*'Side Pole'!N9),3)</f>
        <v>3.2000000000000001E-2</v>
      </c>
      <c r="R9" s="66">
        <f t="shared" ref="R9:R16" si="23">ROUND((Q9)/0.15,2)</f>
        <v>0.21</v>
      </c>
      <c r="S9" s="50">
        <f t="shared" ref="S9:S16" si="24">IF(R9&lt;0.67,5,IF(R9&lt;1,4,IF(R9&lt;1.33,3,IF(R9&lt;2.67,2,1))))</f>
        <v>5</v>
      </c>
      <c r="T9" s="66">
        <f>ROUND(((0.8*'Side MDB'!W9+0.2*'Side Pole'!N9)+(IF('Side MDB'!X9="N/A",(0.8*'Side MDB'!W9+0.2*'Side Pole'!N9),'Side MDB'!X9)))/2,3)</f>
        <v>2.1999999999999999E-2</v>
      </c>
      <c r="U9" s="66">
        <f t="shared" ref="U9:U16" si="25">ROUND((T9)/0.15,2)</f>
        <v>0.15</v>
      </c>
      <c r="V9" s="22">
        <f t="shared" ref="V9:V16" si="26">IF(U9&lt;0.67,5,IF(U9&lt;1,4,IF(U9&lt;1.33,3,IF(U9&lt;2.67,2,1))))</f>
        <v>5</v>
      </c>
      <c r="W9" s="15"/>
      <c r="X9" s="15"/>
      <c r="Y9" s="52"/>
      <c r="Z9" s="52"/>
      <c r="AA9" s="52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1:38" ht="13.9" customHeight="1">
      <c r="A10" s="155">
        <v>10834</v>
      </c>
      <c r="B10" s="155" t="s">
        <v>123</v>
      </c>
      <c r="C10" s="156" t="str">
        <f>Rollover!A10</f>
        <v>Mitsubishi</v>
      </c>
      <c r="D10" s="156" t="str">
        <f>Rollover!B10</f>
        <v>Eclipse Cross SUV AWD</v>
      </c>
      <c r="E10" s="87" t="s">
        <v>94</v>
      </c>
      <c r="F10" s="157">
        <f>Rollover!C10</f>
        <v>2020</v>
      </c>
      <c r="G10" s="47">
        <v>357.64400000000001</v>
      </c>
      <c r="H10" s="11">
        <v>25.074000000000002</v>
      </c>
      <c r="I10" s="11">
        <v>44.167000000000002</v>
      </c>
      <c r="J10" s="48">
        <v>39.39</v>
      </c>
      <c r="K10" s="48">
        <v>2766.826</v>
      </c>
      <c r="L10" s="23">
        <f t="shared" si="18"/>
        <v>1.6775586962925859E-2</v>
      </c>
      <c r="M10" s="24">
        <f t="shared" si="19"/>
        <v>2.4016992857706355E-2</v>
      </c>
      <c r="N10" s="23">
        <f t="shared" si="20"/>
        <v>0.04</v>
      </c>
      <c r="O10" s="5">
        <f t="shared" si="21"/>
        <v>0.27</v>
      </c>
      <c r="P10" s="22">
        <f t="shared" si="22"/>
        <v>5</v>
      </c>
      <c r="Q10" s="65">
        <f>ROUND((0.8*'Side MDB'!W10+0.2*'Side Pole'!N10),3)</f>
        <v>2.9000000000000001E-2</v>
      </c>
      <c r="R10" s="66">
        <f t="shared" si="23"/>
        <v>0.19</v>
      </c>
      <c r="S10" s="50">
        <f t="shared" si="24"/>
        <v>5</v>
      </c>
      <c r="T10" s="66">
        <f>ROUND(((0.8*'Side MDB'!W10+0.2*'Side Pole'!N10)+(IF('Side MDB'!X10="N/A",(0.8*'Side MDB'!W10+0.2*'Side Pole'!N10),'Side MDB'!X10)))/2,3)</f>
        <v>2.1000000000000001E-2</v>
      </c>
      <c r="U10" s="66">
        <f t="shared" si="25"/>
        <v>0.14000000000000001</v>
      </c>
      <c r="V10" s="22">
        <f t="shared" si="26"/>
        <v>5</v>
      </c>
      <c r="W10" s="15"/>
      <c r="X10" s="15"/>
      <c r="Y10" s="52"/>
      <c r="Z10" s="52"/>
      <c r="AA10" s="52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</row>
    <row r="11" spans="1:38" ht="13.9" customHeight="1">
      <c r="A11" s="154">
        <v>10834</v>
      </c>
      <c r="B11" s="155" t="s">
        <v>123</v>
      </c>
      <c r="C11" s="156" t="str">
        <f>Rollover!A11</f>
        <v>Mitsubishi</v>
      </c>
      <c r="D11" s="156" t="str">
        <f>Rollover!B11</f>
        <v>Eclipse Cross SUV FWD</v>
      </c>
      <c r="E11" s="87" t="s">
        <v>94</v>
      </c>
      <c r="F11" s="157">
        <f>Rollover!C11</f>
        <v>2020</v>
      </c>
      <c r="G11" s="47">
        <v>357.64400000000001</v>
      </c>
      <c r="H11" s="11">
        <v>25.074000000000002</v>
      </c>
      <c r="I11" s="11">
        <v>44.167000000000002</v>
      </c>
      <c r="J11" s="48">
        <v>39.39</v>
      </c>
      <c r="K11" s="48">
        <v>2766.826</v>
      </c>
      <c r="L11" s="23">
        <f t="shared" si="18"/>
        <v>1.6775586962925859E-2</v>
      </c>
      <c r="M11" s="24">
        <f t="shared" si="19"/>
        <v>2.4016992857706355E-2</v>
      </c>
      <c r="N11" s="23">
        <f t="shared" si="20"/>
        <v>0.04</v>
      </c>
      <c r="O11" s="5">
        <f t="shared" si="21"/>
        <v>0.27</v>
      </c>
      <c r="P11" s="22">
        <f t="shared" si="22"/>
        <v>5</v>
      </c>
      <c r="Q11" s="65">
        <f>ROUND((0.8*'Side MDB'!W11+0.2*'Side Pole'!N11),3)</f>
        <v>2.9000000000000001E-2</v>
      </c>
      <c r="R11" s="66">
        <f t="shared" si="23"/>
        <v>0.19</v>
      </c>
      <c r="S11" s="50">
        <f t="shared" si="24"/>
        <v>5</v>
      </c>
      <c r="T11" s="66">
        <f>ROUND(((0.8*'Side MDB'!W11+0.2*'Side Pole'!N11)+(IF('Side MDB'!X11="N/A",(0.8*'Side MDB'!W11+0.2*'Side Pole'!N11),'Side MDB'!X11)))/2,3)</f>
        <v>2.1000000000000001E-2</v>
      </c>
      <c r="U11" s="66">
        <f t="shared" si="25"/>
        <v>0.14000000000000001</v>
      </c>
      <c r="V11" s="22">
        <f t="shared" si="26"/>
        <v>5</v>
      </c>
      <c r="W11" s="15"/>
      <c r="X11" s="15"/>
      <c r="Y11" s="52"/>
      <c r="Z11" s="52"/>
      <c r="AA11" s="52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</row>
    <row r="12" spans="1:38" ht="13.9" customHeight="1">
      <c r="A12" s="154">
        <v>10846</v>
      </c>
      <c r="B12" s="155" t="s">
        <v>131</v>
      </c>
      <c r="C12" s="156" t="str">
        <f>Rollover!A12</f>
        <v>Subaru</v>
      </c>
      <c r="D12" s="156" t="str">
        <f>Rollover!B12</f>
        <v>Legacy 4DR AWD</v>
      </c>
      <c r="E12" s="87" t="s">
        <v>91</v>
      </c>
      <c r="F12" s="157">
        <f>Rollover!C12</f>
        <v>2020</v>
      </c>
      <c r="G12" s="47">
        <v>103.797</v>
      </c>
      <c r="H12" s="11">
        <v>19.646999999999998</v>
      </c>
      <c r="I12" s="11">
        <v>38.470999999999997</v>
      </c>
      <c r="J12" s="48">
        <v>14.347</v>
      </c>
      <c r="K12" s="12">
        <v>3028.7040000000002</v>
      </c>
      <c r="L12" s="23">
        <f t="shared" si="18"/>
        <v>7.316153487279784E-5</v>
      </c>
      <c r="M12" s="24">
        <f t="shared" si="19"/>
        <v>3.0515840093706635E-2</v>
      </c>
      <c r="N12" s="23">
        <f t="shared" si="20"/>
        <v>3.1E-2</v>
      </c>
      <c r="O12" s="5">
        <f t="shared" si="21"/>
        <v>0.21</v>
      </c>
      <c r="P12" s="22">
        <f t="shared" si="22"/>
        <v>5</v>
      </c>
      <c r="Q12" s="65">
        <f>ROUND((0.8*'Side MDB'!W12+0.2*'Side Pole'!N12),3)</f>
        <v>4.2999999999999997E-2</v>
      </c>
      <c r="R12" s="66">
        <f t="shared" si="23"/>
        <v>0.28999999999999998</v>
      </c>
      <c r="S12" s="50">
        <f t="shared" si="24"/>
        <v>5</v>
      </c>
      <c r="T12" s="66">
        <f>ROUND(((0.8*'Side MDB'!W12+0.2*'Side Pole'!N12)+(IF('Side MDB'!X12="N/A",(0.8*'Side MDB'!W12+0.2*'Side Pole'!N12),'Side MDB'!X12)))/2,3)</f>
        <v>3.3000000000000002E-2</v>
      </c>
      <c r="U12" s="66">
        <f t="shared" si="25"/>
        <v>0.22</v>
      </c>
      <c r="V12" s="22">
        <f t="shared" si="26"/>
        <v>5</v>
      </c>
      <c r="W12" s="15"/>
      <c r="X12" s="15"/>
      <c r="Y12" s="52"/>
      <c r="Z12" s="52"/>
      <c r="AA12" s="52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</row>
    <row r="13" spans="1:38" ht="13.9" customHeight="1">
      <c r="A13" s="154">
        <v>10911</v>
      </c>
      <c r="B13" s="155" t="s">
        <v>133</v>
      </c>
      <c r="C13" s="156" t="str">
        <f>Rollover!A13</f>
        <v>Subaru</v>
      </c>
      <c r="D13" s="156" t="str">
        <f>Rollover!B13</f>
        <v>Outback SW AWD</v>
      </c>
      <c r="E13" s="87" t="s">
        <v>91</v>
      </c>
      <c r="F13" s="157">
        <f>Rollover!C13</f>
        <v>2020</v>
      </c>
      <c r="G13" s="47">
        <v>145.62</v>
      </c>
      <c r="H13" s="11">
        <v>18.956</v>
      </c>
      <c r="I13" s="11">
        <v>43.360999999999997</v>
      </c>
      <c r="J13" s="48">
        <v>21.535</v>
      </c>
      <c r="K13" s="48">
        <v>2999.2440000000001</v>
      </c>
      <c r="L13" s="23">
        <f t="shared" si="18"/>
        <v>4.1934813984900748E-4</v>
      </c>
      <c r="M13" s="24">
        <f t="shared" si="19"/>
        <v>2.9707136613067439E-2</v>
      </c>
      <c r="N13" s="23">
        <f t="shared" si="20"/>
        <v>0.03</v>
      </c>
      <c r="O13" s="5">
        <f t="shared" si="21"/>
        <v>0.2</v>
      </c>
      <c r="P13" s="22">
        <f t="shared" si="22"/>
        <v>5</v>
      </c>
      <c r="Q13" s="65">
        <f>ROUND((0.8*'Side MDB'!W13+0.2*'Side Pole'!N13),3)</f>
        <v>2.4E-2</v>
      </c>
      <c r="R13" s="66">
        <f t="shared" si="23"/>
        <v>0.16</v>
      </c>
      <c r="S13" s="50">
        <f t="shared" si="24"/>
        <v>5</v>
      </c>
      <c r="T13" s="66">
        <f>ROUND(((0.8*'Side MDB'!W13+0.2*'Side Pole'!N13)+(IF('Side MDB'!X13="N/A",(0.8*'Side MDB'!W13+0.2*'Side Pole'!N13),'Side MDB'!X13)))/2,3)</f>
        <v>2.4E-2</v>
      </c>
      <c r="U13" s="66">
        <f t="shared" si="25"/>
        <v>0.16</v>
      </c>
      <c r="V13" s="22">
        <f t="shared" si="26"/>
        <v>5</v>
      </c>
      <c r="W13" s="15"/>
      <c r="X13" s="15"/>
      <c r="Y13" s="52"/>
      <c r="Z13" s="52"/>
      <c r="AA13" s="52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</row>
    <row r="14" spans="1:38" ht="13.9" customHeight="1">
      <c r="A14" s="155">
        <v>10923</v>
      </c>
      <c r="B14" s="155" t="s">
        <v>141</v>
      </c>
      <c r="C14" s="156" t="str">
        <f>Rollover!A14</f>
        <v>Subaru</v>
      </c>
      <c r="D14" s="156" t="str">
        <f>Rollover!B14</f>
        <v>WRX 4DR AWD</v>
      </c>
      <c r="E14" s="87" t="s">
        <v>94</v>
      </c>
      <c r="F14" s="157">
        <f>Rollover!C14</f>
        <v>2020</v>
      </c>
      <c r="G14" s="47">
        <v>292.42599999999999</v>
      </c>
      <c r="H14" s="11">
        <v>25.991</v>
      </c>
      <c r="I14" s="11">
        <v>44.393999999999998</v>
      </c>
      <c r="J14" s="48">
        <v>29.687000000000001</v>
      </c>
      <c r="K14" s="48">
        <v>3932.3119999999999</v>
      </c>
      <c r="L14" s="23">
        <f>NORMDIST(LN(G14),7.45231,0.73998,1)</f>
        <v>8.2538029303325187E-3</v>
      </c>
      <c r="M14" s="24">
        <f>1/(1+EXP(6.3055-0.00094*K14))</f>
        <v>6.8553344951311518E-2</v>
      </c>
      <c r="N14" s="23">
        <f>ROUND(1-(1-L14)*(1-M14),3)</f>
        <v>7.5999999999999998E-2</v>
      </c>
      <c r="O14" s="5">
        <f t="shared" si="21"/>
        <v>0.51</v>
      </c>
      <c r="P14" s="22">
        <f t="shared" si="22"/>
        <v>5</v>
      </c>
      <c r="Q14" s="65">
        <f>ROUND((0.8*'Side MDB'!W14+0.2*'Side Pole'!N14),3)</f>
        <v>7.4999999999999997E-2</v>
      </c>
      <c r="R14" s="66">
        <f t="shared" si="23"/>
        <v>0.5</v>
      </c>
      <c r="S14" s="50">
        <f t="shared" si="24"/>
        <v>5</v>
      </c>
      <c r="T14" s="66">
        <f>ROUND(((0.8*'Side MDB'!W14+0.2*'Side Pole'!N14)+(IF('Side MDB'!X14="N/A",(0.8*'Side MDB'!W14+0.2*'Side Pole'!N14),'Side MDB'!X14)))/2,3)</f>
        <v>4.5999999999999999E-2</v>
      </c>
      <c r="U14" s="66">
        <f t="shared" si="25"/>
        <v>0.31</v>
      </c>
      <c r="V14" s="22">
        <f t="shared" si="26"/>
        <v>5</v>
      </c>
      <c r="W14" s="15"/>
      <c r="X14" s="15"/>
      <c r="Y14" s="52"/>
      <c r="Z14" s="52"/>
      <c r="AA14" s="52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</row>
    <row r="15" spans="1:38" ht="13.9" customHeight="1">
      <c r="A15" s="155">
        <v>10650</v>
      </c>
      <c r="B15" s="155" t="s">
        <v>117</v>
      </c>
      <c r="C15" s="156" t="str">
        <f>Rollover!A15</f>
        <v>Toyota</v>
      </c>
      <c r="D15" s="156" t="str">
        <f>Rollover!B15</f>
        <v>Corolla 4DR FWD</v>
      </c>
      <c r="E15" s="87" t="s">
        <v>85</v>
      </c>
      <c r="F15" s="157">
        <f>Rollover!C15</f>
        <v>2020</v>
      </c>
      <c r="G15" s="47">
        <v>239.12200000000001</v>
      </c>
      <c r="H15" s="11">
        <v>14.971</v>
      </c>
      <c r="I15" s="11">
        <v>31.571999999999999</v>
      </c>
      <c r="J15" s="48">
        <v>21.445</v>
      </c>
      <c r="K15" s="12">
        <v>2769.5720000000001</v>
      </c>
      <c r="L15" s="23">
        <f t="shared" si="18"/>
        <v>3.7988325969970905E-3</v>
      </c>
      <c r="M15" s="24">
        <f t="shared" si="19"/>
        <v>2.4077571975424518E-2</v>
      </c>
      <c r="N15" s="23">
        <f t="shared" si="20"/>
        <v>2.8000000000000001E-2</v>
      </c>
      <c r="O15" s="5">
        <f t="shared" si="21"/>
        <v>0.19</v>
      </c>
      <c r="P15" s="22">
        <f t="shared" si="22"/>
        <v>5</v>
      </c>
      <c r="Q15" s="65">
        <f>ROUND((0.8*'Side MDB'!W15+0.2*'Side Pole'!N15),3)</f>
        <v>4.3999999999999997E-2</v>
      </c>
      <c r="R15" s="66">
        <f t="shared" si="23"/>
        <v>0.28999999999999998</v>
      </c>
      <c r="S15" s="50">
        <f t="shared" si="24"/>
        <v>5</v>
      </c>
      <c r="T15" s="66">
        <f>ROUND(((0.8*'Side MDB'!W15+0.2*'Side Pole'!N15)+(IF('Side MDB'!X15="N/A",(0.8*'Side MDB'!W15+0.2*'Side Pole'!N15),'Side MDB'!X15)))/2,3)</f>
        <v>0.03</v>
      </c>
      <c r="U15" s="66">
        <f t="shared" si="25"/>
        <v>0.2</v>
      </c>
      <c r="V15" s="22">
        <f t="shared" si="26"/>
        <v>5</v>
      </c>
      <c r="W15" s="15"/>
      <c r="X15" s="15"/>
      <c r="Y15" s="52"/>
      <c r="Z15" s="52"/>
      <c r="AA15" s="52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</row>
    <row r="16" spans="1:38" ht="13.9" customHeight="1">
      <c r="A16" s="155">
        <v>10650</v>
      </c>
      <c r="B16" s="155" t="s">
        <v>117</v>
      </c>
      <c r="C16" s="156" t="str">
        <f>Rollover!A16</f>
        <v>Toyota</v>
      </c>
      <c r="D16" s="156" t="str">
        <f>Rollover!B16</f>
        <v>Corolla Hybrid 4DR FWD</v>
      </c>
      <c r="E16" s="87" t="s">
        <v>85</v>
      </c>
      <c r="F16" s="157">
        <f>Rollover!C16</f>
        <v>2020</v>
      </c>
      <c r="G16" s="47">
        <v>239.12200000000001</v>
      </c>
      <c r="H16" s="11">
        <v>14.971</v>
      </c>
      <c r="I16" s="11">
        <v>31.571999999999999</v>
      </c>
      <c r="J16" s="48">
        <v>21.445</v>
      </c>
      <c r="K16" s="12">
        <v>2769.5720000000001</v>
      </c>
      <c r="L16" s="23">
        <f t="shared" si="18"/>
        <v>3.7988325969970905E-3</v>
      </c>
      <c r="M16" s="24">
        <f t="shared" si="19"/>
        <v>2.4077571975424518E-2</v>
      </c>
      <c r="N16" s="23">
        <f t="shared" si="20"/>
        <v>2.8000000000000001E-2</v>
      </c>
      <c r="O16" s="5">
        <f t="shared" si="21"/>
        <v>0.19</v>
      </c>
      <c r="P16" s="22">
        <f t="shared" si="22"/>
        <v>5</v>
      </c>
      <c r="Q16" s="65">
        <f>ROUND((0.8*'Side MDB'!W16+0.2*'Side Pole'!N16),3)</f>
        <v>4.3999999999999997E-2</v>
      </c>
      <c r="R16" s="66">
        <f t="shared" si="23"/>
        <v>0.28999999999999998</v>
      </c>
      <c r="S16" s="50">
        <f t="shared" si="24"/>
        <v>5</v>
      </c>
      <c r="T16" s="66">
        <f>ROUND(((0.8*'Side MDB'!W16+0.2*'Side Pole'!N16)+(IF('Side MDB'!X16="N/A",(0.8*'Side MDB'!W16+0.2*'Side Pole'!N16),'Side MDB'!X16)))/2,3)</f>
        <v>0.03</v>
      </c>
      <c r="U16" s="66">
        <f t="shared" si="25"/>
        <v>0.2</v>
      </c>
      <c r="V16" s="22">
        <f t="shared" si="26"/>
        <v>5</v>
      </c>
      <c r="W16" s="15"/>
      <c r="X16" s="15"/>
      <c r="Y16" s="52"/>
      <c r="Z16" s="52"/>
      <c r="AA16" s="52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</row>
    <row r="17" spans="1:38" ht="13.9" customHeight="1">
      <c r="A17" s="155">
        <v>10916</v>
      </c>
      <c r="B17" s="155" t="s">
        <v>136</v>
      </c>
      <c r="C17" s="159" t="str">
        <f>Rollover!A17</f>
        <v>Volvo</v>
      </c>
      <c r="D17" s="159" t="str">
        <f>Rollover!B17</f>
        <v>XC40 T5 SUV AWD</v>
      </c>
      <c r="E17" s="87" t="s">
        <v>85</v>
      </c>
      <c r="F17" s="157">
        <f>Rollover!C17</f>
        <v>2020</v>
      </c>
      <c r="G17" s="47">
        <v>236.595</v>
      </c>
      <c r="H17" s="11">
        <v>24.582000000000001</v>
      </c>
      <c r="I17" s="11">
        <v>33.063000000000002</v>
      </c>
      <c r="J17" s="48">
        <v>22.033999999999999</v>
      </c>
      <c r="K17" s="48">
        <v>1827.9690000000001</v>
      </c>
      <c r="L17" s="23">
        <f t="shared" ref="L17:L18" si="27">NORMDIST(LN(G17),7.45231,0.73998,1)</f>
        <v>3.6395044926366611E-3</v>
      </c>
      <c r="M17" s="24">
        <f t="shared" ref="M17:M18" si="28">1/(1+EXP(6.3055-0.00094*K17))</f>
        <v>1.0078620372390538E-2</v>
      </c>
      <c r="N17" s="23">
        <f t="shared" ref="N17:N18" si="29">ROUND(1-(1-L17)*(1-M17),3)</f>
        <v>1.4E-2</v>
      </c>
      <c r="O17" s="5">
        <f t="shared" ref="O17:O18" si="30">ROUND(N17/0.15,2)</f>
        <v>0.09</v>
      </c>
      <c r="P17" s="22">
        <f t="shared" ref="P17:P18" si="31">IF(O17&lt;0.67,5,IF(O17&lt;1,4,IF(O17&lt;1.33,3,IF(O17&lt;2.67,2,1))))</f>
        <v>5</v>
      </c>
      <c r="Q17" s="65">
        <f>ROUND((0.8*'Side MDB'!W17+0.2*'Side Pole'!N17),3)</f>
        <v>3.9E-2</v>
      </c>
      <c r="R17" s="66">
        <f t="shared" ref="R17:R18" si="32">ROUND((Q17)/0.15,2)</f>
        <v>0.26</v>
      </c>
      <c r="S17" s="50">
        <f t="shared" ref="S17:S18" si="33">IF(R17&lt;0.67,5,IF(R17&lt;1,4,IF(R17&lt;1.33,3,IF(R17&lt;2.67,2,1))))</f>
        <v>5</v>
      </c>
      <c r="T17" s="66">
        <f>ROUND(((0.8*'Side MDB'!W17+0.2*'Side Pole'!N17)+(IF('Side MDB'!X17="N/A",(0.8*'Side MDB'!W17+0.2*'Side Pole'!N17),'Side MDB'!X17)))/2,3)</f>
        <v>0.04</v>
      </c>
      <c r="U17" s="66">
        <f t="shared" ref="U17:U18" si="34">ROUND((T17)/0.15,2)</f>
        <v>0.27</v>
      </c>
      <c r="V17" s="22">
        <f t="shared" ref="V17:V18" si="35">IF(U17&lt;0.67,5,IF(U17&lt;1,4,IF(U17&lt;1.33,3,IF(U17&lt;2.67,2,1))))</f>
        <v>5</v>
      </c>
      <c r="W17" s="15"/>
      <c r="X17" s="15"/>
      <c r="Y17" s="52"/>
      <c r="Z17" s="52"/>
      <c r="AA17" s="52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</row>
    <row r="18" spans="1:38" ht="13.9" customHeight="1">
      <c r="A18" s="160">
        <v>10916</v>
      </c>
      <c r="B18" s="160" t="s">
        <v>136</v>
      </c>
      <c r="C18" s="156" t="str">
        <f>Rollover!A18</f>
        <v>Volvo</v>
      </c>
      <c r="D18" s="156" t="str">
        <f>Rollover!B18</f>
        <v>XC40 T4 4DR FWD</v>
      </c>
      <c r="E18" s="87" t="s">
        <v>85</v>
      </c>
      <c r="F18" s="157">
        <f>Rollover!C18</f>
        <v>2020</v>
      </c>
      <c r="G18" s="47">
        <v>236.595</v>
      </c>
      <c r="H18" s="11">
        <v>24.582000000000001</v>
      </c>
      <c r="I18" s="11">
        <v>33.063000000000002</v>
      </c>
      <c r="J18" s="48">
        <v>22.033999999999999</v>
      </c>
      <c r="K18" s="48">
        <v>1827.9690000000001</v>
      </c>
      <c r="L18" s="23">
        <f t="shared" si="27"/>
        <v>3.6395044926366611E-3</v>
      </c>
      <c r="M18" s="24">
        <f t="shared" si="28"/>
        <v>1.0078620372390538E-2</v>
      </c>
      <c r="N18" s="23">
        <f t="shared" si="29"/>
        <v>1.4E-2</v>
      </c>
      <c r="O18" s="5">
        <f t="shared" si="30"/>
        <v>0.09</v>
      </c>
      <c r="P18" s="22">
        <f t="shared" si="31"/>
        <v>5</v>
      </c>
      <c r="Q18" s="65">
        <f>ROUND((0.8*'Side MDB'!W18+0.2*'Side Pole'!N18),3)</f>
        <v>3.9E-2</v>
      </c>
      <c r="R18" s="66">
        <f t="shared" si="32"/>
        <v>0.26</v>
      </c>
      <c r="S18" s="50">
        <f t="shared" si="33"/>
        <v>5</v>
      </c>
      <c r="T18" s="66">
        <f>ROUND(((0.8*'Side MDB'!W18+0.2*'Side Pole'!N18)+(IF('Side MDB'!X18="N/A",(0.8*'Side MDB'!W18+0.2*'Side Pole'!N18),'Side MDB'!X18)))/2,3)</f>
        <v>0.04</v>
      </c>
      <c r="U18" s="66">
        <f t="shared" si="34"/>
        <v>0.27</v>
      </c>
      <c r="V18" s="22">
        <f t="shared" si="35"/>
        <v>5</v>
      </c>
      <c r="W18" s="15"/>
      <c r="X18" s="15"/>
      <c r="Y18" s="52"/>
      <c r="Z18" s="52"/>
      <c r="AA18" s="52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</row>
    <row r="19" spans="1:38" ht="13.9" customHeight="1">
      <c r="N19" s="158"/>
      <c r="O19" s="158"/>
      <c r="P19" s="161"/>
      <c r="Q19" s="158"/>
    </row>
    <row r="20" spans="1:38" ht="13.9" customHeight="1">
      <c r="N20" s="158"/>
      <c r="O20" s="158"/>
      <c r="P20" s="161"/>
      <c r="Q20" s="158"/>
    </row>
    <row r="21" spans="1:38" ht="13.9" customHeight="1">
      <c r="N21" s="158"/>
      <c r="O21" s="158"/>
      <c r="P21" s="161"/>
      <c r="Q21" s="158"/>
    </row>
    <row r="22" spans="1:38" ht="13.9" customHeight="1">
      <c r="N22" s="158"/>
      <c r="O22" s="158"/>
      <c r="P22" s="161"/>
      <c r="Q22" s="158"/>
    </row>
    <row r="23" spans="1:38" ht="13.9" customHeight="1">
      <c r="N23" s="158"/>
      <c r="O23" s="158"/>
      <c r="P23" s="161"/>
      <c r="Q23" s="158"/>
    </row>
    <row r="24" spans="1:38" ht="13.9" customHeight="1">
      <c r="N24" s="158"/>
      <c r="O24" s="158"/>
      <c r="P24" s="161"/>
      <c r="Q24" s="158"/>
    </row>
    <row r="25" spans="1:38" ht="13.9" customHeight="1">
      <c r="N25" s="158"/>
      <c r="O25" s="158"/>
      <c r="P25" s="161"/>
      <c r="Q25" s="158"/>
    </row>
    <row r="26" spans="1:38" ht="13.9" customHeight="1">
      <c r="N26" s="158"/>
      <c r="O26" s="158"/>
      <c r="P26" s="161"/>
      <c r="Q26" s="158"/>
    </row>
    <row r="27" spans="1:38" ht="13.9" customHeight="1">
      <c r="N27" s="158"/>
      <c r="O27" s="158"/>
      <c r="P27" s="161"/>
      <c r="Q27" s="158"/>
    </row>
    <row r="28" spans="1:38" ht="13.9" customHeight="1">
      <c r="N28" s="158"/>
      <c r="O28" s="158"/>
      <c r="P28" s="161"/>
      <c r="Q28" s="158"/>
    </row>
    <row r="29" spans="1:38" ht="13.9" customHeight="1">
      <c r="N29" s="158"/>
      <c r="O29" s="158"/>
      <c r="P29" s="161"/>
      <c r="Q29" s="158"/>
    </row>
    <row r="30" spans="1:38" ht="13.9" customHeight="1">
      <c r="N30" s="158"/>
      <c r="O30" s="158"/>
      <c r="P30" s="161"/>
      <c r="Q30" s="158"/>
    </row>
    <row r="31" spans="1:38" ht="13.9" customHeight="1">
      <c r="N31" s="158"/>
      <c r="O31" s="158"/>
      <c r="P31" s="161"/>
      <c r="Q31" s="158"/>
    </row>
    <row r="32" spans="1:38" ht="13.9" customHeight="1">
      <c r="N32" s="158"/>
      <c r="O32" s="158"/>
      <c r="P32" s="161"/>
      <c r="Q32" s="158"/>
    </row>
    <row r="33" spans="14:17" ht="13.9" customHeight="1">
      <c r="N33" s="158"/>
      <c r="O33" s="158"/>
      <c r="P33" s="161"/>
      <c r="Q33" s="158"/>
    </row>
    <row r="34" spans="14:17" ht="13.9" customHeight="1">
      <c r="N34" s="158"/>
      <c r="O34" s="158"/>
      <c r="P34" s="161"/>
      <c r="Q34" s="158"/>
    </row>
    <row r="35" spans="14:17" ht="13.9" customHeight="1">
      <c r="N35" s="158"/>
      <c r="O35" s="158"/>
      <c r="P35" s="161"/>
      <c r="Q35" s="158"/>
    </row>
    <row r="36" spans="14:17" ht="13.9" customHeight="1">
      <c r="N36" s="158"/>
      <c r="O36" s="158"/>
      <c r="P36" s="161"/>
      <c r="Q36" s="158"/>
    </row>
    <row r="37" spans="14:17" ht="13.9" customHeight="1">
      <c r="N37" s="158"/>
      <c r="O37" s="158"/>
      <c r="P37" s="161"/>
      <c r="Q37" s="158"/>
    </row>
    <row r="38" spans="14:17" ht="13.9" customHeight="1">
      <c r="N38" s="158"/>
      <c r="O38" s="158"/>
      <c r="P38" s="161"/>
      <c r="Q38" s="158"/>
    </row>
    <row r="39" spans="14:17" ht="13.9" customHeight="1">
      <c r="N39" s="158"/>
      <c r="O39" s="158"/>
      <c r="P39" s="161"/>
      <c r="Q39" s="158"/>
    </row>
    <row r="40" spans="14:17" ht="13.9" customHeight="1">
      <c r="N40" s="158"/>
      <c r="O40" s="158"/>
      <c r="P40" s="161"/>
      <c r="Q40" s="158"/>
    </row>
    <row r="41" spans="14:17" ht="13.9" customHeight="1">
      <c r="N41" s="158"/>
      <c r="O41" s="158"/>
      <c r="P41" s="161"/>
      <c r="Q41" s="158"/>
    </row>
    <row r="42" spans="14:17" ht="13.9" customHeight="1">
      <c r="N42" s="158"/>
      <c r="O42" s="158"/>
      <c r="P42" s="161"/>
      <c r="Q42" s="158"/>
    </row>
    <row r="43" spans="14:17" ht="13.9" customHeight="1">
      <c r="N43" s="158"/>
      <c r="O43" s="158"/>
      <c r="P43" s="161"/>
      <c r="Q43" s="158"/>
    </row>
    <row r="44" spans="14:17" ht="13.9" customHeight="1">
      <c r="N44" s="158"/>
      <c r="O44" s="158"/>
      <c r="P44" s="161"/>
      <c r="Q44" s="158"/>
    </row>
    <row r="45" spans="14:17" ht="13.9" customHeight="1">
      <c r="N45" s="158"/>
      <c r="O45" s="158"/>
      <c r="P45" s="161"/>
      <c r="Q45" s="158"/>
    </row>
    <row r="46" spans="14:17" ht="13.9" customHeight="1">
      <c r="N46" s="158"/>
      <c r="O46" s="158"/>
      <c r="P46" s="161"/>
      <c r="Q46" s="158"/>
    </row>
    <row r="47" spans="14:17" ht="13.9" customHeight="1">
      <c r="N47" s="158"/>
      <c r="O47" s="158"/>
      <c r="P47" s="161"/>
      <c r="Q47" s="158"/>
    </row>
    <row r="48" spans="14:17" ht="13.9" customHeight="1">
      <c r="N48" s="158"/>
      <c r="O48" s="158"/>
      <c r="P48" s="161"/>
      <c r="Q48" s="158"/>
    </row>
    <row r="49" spans="14:17" ht="13.9" customHeight="1">
      <c r="N49" s="158"/>
      <c r="O49" s="158"/>
      <c r="P49" s="161"/>
      <c r="Q49" s="158"/>
    </row>
    <row r="50" spans="14:17" ht="13.9" customHeight="1">
      <c r="N50" s="158"/>
      <c r="O50" s="158"/>
      <c r="P50" s="161"/>
      <c r="Q50" s="158"/>
    </row>
    <row r="51" spans="14:17" ht="13.9" customHeight="1">
      <c r="N51" s="158"/>
      <c r="O51" s="158"/>
      <c r="P51" s="161"/>
      <c r="Q51" s="158"/>
    </row>
    <row r="52" spans="14:17" ht="13.9" customHeight="1">
      <c r="N52" s="158"/>
      <c r="O52" s="158"/>
      <c r="P52" s="161"/>
      <c r="Q52" s="158"/>
    </row>
    <row r="53" spans="14:17" ht="13.9" customHeight="1">
      <c r="N53" s="158"/>
      <c r="O53" s="158"/>
      <c r="P53" s="161"/>
      <c r="Q53" s="158"/>
    </row>
    <row r="54" spans="14:17" ht="13.9" customHeight="1">
      <c r="N54" s="158"/>
      <c r="O54" s="158"/>
      <c r="P54" s="161"/>
      <c r="Q54" s="158"/>
    </row>
    <row r="55" spans="14:17" ht="13.9" customHeight="1">
      <c r="N55" s="158"/>
      <c r="O55" s="158"/>
      <c r="P55" s="161"/>
      <c r="Q55" s="158"/>
    </row>
    <row r="56" spans="14:17" ht="13.9" customHeight="1">
      <c r="N56" s="158"/>
      <c r="O56" s="158"/>
      <c r="P56" s="161"/>
      <c r="Q56" s="158"/>
    </row>
    <row r="57" spans="14:17" ht="13.9" customHeight="1">
      <c r="N57" s="158"/>
      <c r="O57" s="158"/>
      <c r="P57" s="161"/>
      <c r="Q57" s="158"/>
    </row>
    <row r="58" spans="14:17" ht="13.9" customHeight="1">
      <c r="N58" s="158"/>
      <c r="O58" s="158"/>
      <c r="P58" s="161"/>
      <c r="Q58" s="158"/>
    </row>
    <row r="59" spans="14:17" ht="13.9" customHeight="1">
      <c r="N59" s="158"/>
      <c r="O59" s="158"/>
      <c r="P59" s="161"/>
      <c r="Q59" s="158"/>
    </row>
    <row r="60" spans="14:17" ht="13.9" customHeight="1">
      <c r="N60" s="158"/>
      <c r="O60" s="158"/>
      <c r="P60" s="161"/>
      <c r="Q60" s="158"/>
    </row>
    <row r="61" spans="14:17" ht="13.9" customHeight="1">
      <c r="N61" s="158"/>
      <c r="O61" s="158"/>
      <c r="P61" s="161"/>
      <c r="Q61" s="158"/>
    </row>
    <row r="62" spans="14:17" ht="13.9" customHeight="1">
      <c r="N62" s="158"/>
      <c r="O62" s="158"/>
      <c r="P62" s="161"/>
      <c r="Q62" s="158"/>
    </row>
    <row r="63" spans="14:17" ht="13.9" customHeight="1">
      <c r="N63" s="158"/>
      <c r="O63" s="158"/>
      <c r="P63" s="161"/>
      <c r="Q63" s="158"/>
    </row>
    <row r="64" spans="14:17" ht="13.9" customHeight="1">
      <c r="N64" s="158"/>
      <c r="O64" s="158"/>
      <c r="P64" s="161"/>
      <c r="Q64" s="158"/>
    </row>
    <row r="65" spans="14:17" ht="13.9" customHeight="1">
      <c r="N65" s="158"/>
      <c r="O65" s="158"/>
      <c r="P65" s="161"/>
      <c r="Q65" s="158"/>
    </row>
    <row r="66" spans="14:17" ht="13.9" customHeight="1">
      <c r="N66" s="158"/>
      <c r="O66" s="158"/>
      <c r="P66" s="161"/>
      <c r="Q66" s="158"/>
    </row>
    <row r="67" spans="14:17" ht="13.9" customHeight="1">
      <c r="N67" s="158"/>
      <c r="O67" s="158"/>
      <c r="P67" s="161"/>
      <c r="Q67" s="158"/>
    </row>
    <row r="68" spans="14:17" ht="13.9" customHeight="1">
      <c r="N68" s="158"/>
      <c r="O68" s="158"/>
      <c r="P68" s="161"/>
      <c r="Q68" s="158"/>
    </row>
    <row r="69" spans="14:17" ht="13.9" customHeight="1">
      <c r="N69" s="158"/>
      <c r="O69" s="158"/>
      <c r="P69" s="161"/>
      <c r="Q69" s="158"/>
    </row>
    <row r="70" spans="14:17" ht="13.9" customHeight="1">
      <c r="N70" s="158"/>
      <c r="O70" s="158"/>
      <c r="P70" s="161"/>
      <c r="Q70" s="158"/>
    </row>
    <row r="71" spans="14:17" ht="13.9" customHeight="1">
      <c r="N71" s="158"/>
      <c r="O71" s="158"/>
      <c r="P71" s="161"/>
      <c r="Q71" s="158"/>
    </row>
    <row r="72" spans="14:17" ht="13.9" customHeight="1">
      <c r="N72" s="158"/>
      <c r="O72" s="158"/>
      <c r="P72" s="161"/>
      <c r="Q72" s="158"/>
    </row>
    <row r="73" spans="14:17" ht="13.9" customHeight="1">
      <c r="N73" s="158"/>
      <c r="O73" s="158"/>
      <c r="P73" s="161"/>
      <c r="Q73" s="158"/>
    </row>
    <row r="74" spans="14:17" ht="13.9" customHeight="1">
      <c r="N74" s="158"/>
      <c r="O74" s="158"/>
      <c r="P74" s="161"/>
      <c r="Q74" s="158"/>
    </row>
    <row r="75" spans="14:17" ht="13.9" customHeight="1">
      <c r="N75" s="158"/>
      <c r="O75" s="158"/>
      <c r="P75" s="161"/>
      <c r="Q75" s="158"/>
    </row>
    <row r="76" spans="14:17" ht="13.9" customHeight="1">
      <c r="N76" s="158"/>
      <c r="O76" s="158"/>
      <c r="P76" s="161"/>
      <c r="Q76" s="158"/>
    </row>
    <row r="77" spans="14:17" ht="13.9" customHeight="1">
      <c r="N77" s="158"/>
      <c r="O77" s="158"/>
      <c r="P77" s="161"/>
      <c r="Q77" s="158"/>
    </row>
    <row r="78" spans="14:17" ht="13.9" customHeight="1">
      <c r="N78" s="158"/>
      <c r="O78" s="158"/>
      <c r="P78" s="161"/>
      <c r="Q78" s="158"/>
    </row>
    <row r="79" spans="14:17" ht="13.9" customHeight="1">
      <c r="N79" s="158"/>
      <c r="O79" s="158"/>
      <c r="P79" s="161"/>
      <c r="Q79" s="158"/>
    </row>
    <row r="80" spans="14:17" ht="13.9" customHeight="1">
      <c r="N80" s="158"/>
      <c r="O80" s="158"/>
      <c r="P80" s="161"/>
      <c r="Q80" s="158"/>
    </row>
    <row r="81" spans="14:17" ht="13.9" customHeight="1">
      <c r="N81" s="158"/>
      <c r="O81" s="158"/>
      <c r="P81" s="161"/>
      <c r="Q81" s="158"/>
    </row>
    <row r="82" spans="14:17" ht="13.9" customHeight="1">
      <c r="N82" s="158"/>
      <c r="O82" s="158"/>
      <c r="P82" s="161"/>
      <c r="Q82" s="158"/>
    </row>
    <row r="83" spans="14:17" ht="13.9" customHeight="1">
      <c r="N83" s="158"/>
      <c r="O83" s="158"/>
      <c r="P83" s="161"/>
      <c r="Q83" s="158"/>
    </row>
    <row r="84" spans="14:17" ht="13.9" customHeight="1">
      <c r="N84" s="158"/>
      <c r="O84" s="158"/>
      <c r="P84" s="161"/>
      <c r="Q84" s="158"/>
    </row>
    <row r="85" spans="14:17" ht="13.9" customHeight="1">
      <c r="N85" s="158"/>
      <c r="O85" s="158"/>
      <c r="P85" s="161"/>
      <c r="Q85" s="158"/>
    </row>
    <row r="86" spans="14:17" ht="13.9" customHeight="1">
      <c r="N86" s="158"/>
      <c r="O86" s="158"/>
      <c r="P86" s="161"/>
      <c r="Q86" s="158"/>
    </row>
    <row r="87" spans="14:17" ht="13.9" customHeight="1">
      <c r="N87" s="158"/>
      <c r="O87" s="158"/>
      <c r="P87" s="161"/>
      <c r="Q87" s="158"/>
    </row>
    <row r="88" spans="14:17" ht="13.9" customHeight="1">
      <c r="N88" s="158"/>
      <c r="O88" s="158"/>
      <c r="P88" s="161"/>
      <c r="Q88" s="158"/>
    </row>
    <row r="89" spans="14:17" ht="13.9" customHeight="1">
      <c r="N89" s="158"/>
      <c r="O89" s="158"/>
      <c r="P89" s="161"/>
      <c r="Q89" s="158"/>
    </row>
    <row r="90" spans="14:17" ht="13.9" customHeight="1">
      <c r="N90" s="158"/>
      <c r="O90" s="158"/>
      <c r="P90" s="161"/>
      <c r="Q90" s="158"/>
    </row>
    <row r="91" spans="14:17" ht="13.9" customHeight="1">
      <c r="N91" s="158"/>
      <c r="O91" s="158"/>
      <c r="P91" s="161"/>
      <c r="Q91" s="158"/>
    </row>
  </sheetData>
  <mergeCells count="2">
    <mergeCell ref="G1:K1"/>
    <mergeCell ref="L1:M1"/>
  </mergeCells>
  <phoneticPr fontId="3" type="noConversion"/>
  <conditionalFormatting sqref="H11">
    <cfRule type="cellIs" dxfId="1" priority="20" operator="greaterThan">
      <formula>38*0.8</formula>
    </cfRule>
  </conditionalFormatting>
  <conditionalFormatting sqref="H6:H7">
    <cfRule type="cellIs" dxfId="0" priority="15" operator="greaterThan">
      <formula>38*0.8</formula>
    </cfRule>
  </conditionalFormatting>
  <pageMargins left="0.25" right="0.2" top="0.25" bottom="0.25" header="0.3" footer="0.3"/>
  <pageSetup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pane xSplit="4" ySplit="2" topLeftCell="E3" activePane="bottomRight" state="frozen"/>
      <selection activeCell="B24" sqref="B24"/>
      <selection pane="topRight" activeCell="B24" sqref="B24"/>
      <selection pane="bottomLeft" activeCell="B24" sqref="B24"/>
      <selection pane="bottomRight" sqref="A1:A2"/>
    </sheetView>
  </sheetViews>
  <sheetFormatPr defaultColWidth="9.140625" defaultRowHeight="14.45" customHeight="1"/>
  <cols>
    <col min="1" max="1" width="9.28515625" style="128" customWidth="1"/>
    <col min="2" max="2" width="12.85546875" style="129" customWidth="1"/>
    <col min="3" max="3" width="38.85546875" style="129" customWidth="1"/>
    <col min="4" max="4" width="5.85546875" style="129" customWidth="1"/>
    <col min="5" max="5" width="6.140625" style="130" customWidth="1"/>
    <col min="6" max="6" width="5.42578125" style="131" customWidth="1"/>
    <col min="7" max="7" width="6.28515625" style="131" customWidth="1"/>
    <col min="8" max="8" width="6.42578125" style="131" customWidth="1"/>
    <col min="9" max="9" width="5.7109375" style="131" bestFit="1" customWidth="1"/>
    <col min="10" max="10" width="7.140625" style="131" customWidth="1"/>
    <col min="11" max="11" width="9.28515625" style="132" customWidth="1"/>
    <col min="12" max="12" width="10.28515625" style="132" customWidth="1"/>
    <col min="13" max="13" width="10" style="132" customWidth="1"/>
    <col min="14" max="14" width="7.42578125" style="130" customWidth="1"/>
    <col min="15" max="15" width="9" style="133" customWidth="1"/>
    <col min="16" max="16" width="9.7109375" style="128" customWidth="1"/>
    <col min="17" max="16384" width="9.140625" style="128"/>
  </cols>
  <sheetData>
    <row r="1" spans="1:16" s="113" customFormat="1" ht="24" customHeight="1">
      <c r="A1" s="101" t="s">
        <v>75</v>
      </c>
      <c r="B1" s="102"/>
      <c r="C1" s="102"/>
      <c r="D1" s="103"/>
      <c r="E1" s="104" t="s">
        <v>50</v>
      </c>
      <c r="F1" s="105"/>
      <c r="G1" s="106"/>
      <c r="H1" s="104" t="s">
        <v>52</v>
      </c>
      <c r="I1" s="107"/>
      <c r="J1" s="108"/>
      <c r="K1" s="109" t="s">
        <v>55</v>
      </c>
      <c r="L1" s="109" t="s">
        <v>87</v>
      </c>
      <c r="M1" s="109" t="s">
        <v>61</v>
      </c>
      <c r="N1" s="110" t="s">
        <v>56</v>
      </c>
      <c r="O1" s="111" t="s">
        <v>49</v>
      </c>
      <c r="P1" s="112" t="s">
        <v>49</v>
      </c>
    </row>
    <row r="2" spans="1:16" s="98" customFormat="1" ht="19.899999999999999" customHeight="1" thickBot="1">
      <c r="A2" s="114"/>
      <c r="B2" s="115" t="s">
        <v>19</v>
      </c>
      <c r="C2" s="115" t="s">
        <v>20</v>
      </c>
      <c r="D2" s="116" t="s">
        <v>21</v>
      </c>
      <c r="E2" s="117" t="s">
        <v>13</v>
      </c>
      <c r="F2" s="115" t="s">
        <v>53</v>
      </c>
      <c r="G2" s="118" t="s">
        <v>54</v>
      </c>
      <c r="H2" s="117" t="s">
        <v>13</v>
      </c>
      <c r="I2" s="115" t="s">
        <v>53</v>
      </c>
      <c r="J2" s="118" t="s">
        <v>54</v>
      </c>
      <c r="K2" s="119" t="s">
        <v>13</v>
      </c>
      <c r="L2" s="119" t="s">
        <v>13</v>
      </c>
      <c r="M2" s="119" t="s">
        <v>49</v>
      </c>
      <c r="N2" s="120"/>
      <c r="O2" s="121" t="s">
        <v>57</v>
      </c>
      <c r="P2" s="122" t="s">
        <v>58</v>
      </c>
    </row>
    <row r="3" spans="1:16" ht="14.45" customHeight="1">
      <c r="A3" s="123">
        <v>43866</v>
      </c>
      <c r="B3" s="45" t="str">
        <f>Rollover!A3</f>
        <v>Cadillac</v>
      </c>
      <c r="C3" s="45" t="str">
        <f>Rollover!B3</f>
        <v>XT6 SUV AWD</v>
      </c>
      <c r="D3" s="9">
        <f>Rollover!C3</f>
        <v>2020</v>
      </c>
      <c r="E3" s="21">
        <f>Front!AW3</f>
        <v>5</v>
      </c>
      <c r="F3" s="45">
        <f>Front!AX3</f>
        <v>5</v>
      </c>
      <c r="G3" s="45">
        <f>Front!AY3</f>
        <v>5</v>
      </c>
      <c r="H3" s="21">
        <f>'Side MDB'!AC3</f>
        <v>5</v>
      </c>
      <c r="I3" s="21">
        <f>'Side MDB'!AD3</f>
        <v>5</v>
      </c>
      <c r="J3" s="21">
        <f>'Side MDB'!AE3</f>
        <v>5</v>
      </c>
      <c r="K3" s="124">
        <f>'Side Pole'!P3</f>
        <v>5</v>
      </c>
      <c r="L3" s="124">
        <f>'Side Pole'!S3</f>
        <v>5</v>
      </c>
      <c r="M3" s="124">
        <f>'Side Pole'!V3</f>
        <v>5</v>
      </c>
      <c r="N3" s="125">
        <f>Rollover!J3</f>
        <v>4</v>
      </c>
      <c r="O3" s="126">
        <f>ROUND(5/12*Front!AV3+4/12*'Side Pole'!U3+3/12*Rollover!I3,2)</f>
        <v>0.54</v>
      </c>
      <c r="P3" s="127">
        <f t="shared" ref="P3:P5" si="0">IF(O3&lt;0.67,5,IF(O3&lt;1,4,IF(O3&lt;1.33,3,IF(O3&lt;2.67,2,1))))</f>
        <v>5</v>
      </c>
    </row>
    <row r="4" spans="1:16" ht="14.45" customHeight="1">
      <c r="A4" s="123">
        <v>43866</v>
      </c>
      <c r="B4" s="45" t="str">
        <f>Rollover!A4</f>
        <v>Cadillac</v>
      </c>
      <c r="C4" s="45" t="str">
        <f>Rollover!B4</f>
        <v>XT6 SUV FWD</v>
      </c>
      <c r="D4" s="9">
        <f>Rollover!C4</f>
        <v>2020</v>
      </c>
      <c r="E4" s="21">
        <f>Front!AW4</f>
        <v>5</v>
      </c>
      <c r="F4" s="45">
        <f>Front!AX4</f>
        <v>5</v>
      </c>
      <c r="G4" s="45">
        <f>Front!AY4</f>
        <v>5</v>
      </c>
      <c r="H4" s="21">
        <f>'Side MDB'!AC4</f>
        <v>5</v>
      </c>
      <c r="I4" s="21">
        <f>'Side MDB'!AD4</f>
        <v>5</v>
      </c>
      <c r="J4" s="21">
        <f>'Side MDB'!AE4</f>
        <v>5</v>
      </c>
      <c r="K4" s="124">
        <f>'Side Pole'!P4</f>
        <v>5</v>
      </c>
      <c r="L4" s="124">
        <f>'Side Pole'!S4</f>
        <v>5</v>
      </c>
      <c r="M4" s="124">
        <f>'Side Pole'!V4</f>
        <v>5</v>
      </c>
      <c r="N4" s="125">
        <f>Rollover!J4</f>
        <v>4</v>
      </c>
      <c r="O4" s="126">
        <f>ROUND(5/12*Front!AV4+4/12*'Side Pole'!U4+3/12*Rollover!I4,2)</f>
        <v>0.55000000000000004</v>
      </c>
      <c r="P4" s="127">
        <f t="shared" si="0"/>
        <v>5</v>
      </c>
    </row>
    <row r="5" spans="1:16" ht="14.45" customHeight="1">
      <c r="A5" s="123">
        <v>43472</v>
      </c>
      <c r="B5" s="45" t="str">
        <f>Rollover!A5</f>
        <v>Chevrolet</v>
      </c>
      <c r="C5" s="45" t="str">
        <f>Rollover!B5</f>
        <v>Malibu 4DR FWD</v>
      </c>
      <c r="D5" s="9">
        <f>Rollover!C5</f>
        <v>2020</v>
      </c>
      <c r="E5" s="21">
        <f>Front!AW5</f>
        <v>5</v>
      </c>
      <c r="F5" s="45">
        <f>Front!AX5</f>
        <v>5</v>
      </c>
      <c r="G5" s="45">
        <f>Front!AY5</f>
        <v>5</v>
      </c>
      <c r="H5" s="21">
        <f>'Side MDB'!AC5</f>
        <v>4</v>
      </c>
      <c r="I5" s="21">
        <f>'Side MDB'!AD5</f>
        <v>3</v>
      </c>
      <c r="J5" s="21">
        <f>'Side MDB'!AE5</f>
        <v>4</v>
      </c>
      <c r="K5" s="124">
        <f>'Side Pole'!P5</f>
        <v>5</v>
      </c>
      <c r="L5" s="124">
        <f>'Side Pole'!S5</f>
        <v>5</v>
      </c>
      <c r="M5" s="124">
        <f>'Side Pole'!V5</f>
        <v>4</v>
      </c>
      <c r="N5" s="125">
        <f>Rollover!J5</f>
        <v>4</v>
      </c>
      <c r="O5" s="126">
        <f>ROUND(5/12*Front!AV5+4/12*'Side Pole'!U5+3/12*Rollover!I5,2)</f>
        <v>0.73</v>
      </c>
      <c r="P5" s="127">
        <f t="shared" si="0"/>
        <v>4</v>
      </c>
    </row>
    <row r="6" spans="1:16" ht="14.45" customHeight="1">
      <c r="A6" s="44">
        <v>43802</v>
      </c>
      <c r="B6" s="45" t="str">
        <f>Rollover!A6</f>
        <v>Jeep</v>
      </c>
      <c r="C6" s="45" t="str">
        <f>Rollover!B6</f>
        <v>Gladiator PU/CC 4WD</v>
      </c>
      <c r="D6" s="9">
        <f>Rollover!C6</f>
        <v>2020</v>
      </c>
      <c r="E6" s="21">
        <f>Front!AW6</f>
        <v>4</v>
      </c>
      <c r="F6" s="45">
        <f>Front!AX6</f>
        <v>5</v>
      </c>
      <c r="G6" s="45">
        <f>Front!AY6</f>
        <v>4</v>
      </c>
      <c r="H6" s="21" t="e">
        <f>'Side MDB'!AC6</f>
        <v>#NUM!</v>
      </c>
      <c r="I6" s="21" t="e">
        <f>'Side MDB'!AD6</f>
        <v>#NUM!</v>
      </c>
      <c r="J6" s="21" t="e">
        <f>'Side MDB'!AE6</f>
        <v>#NUM!</v>
      </c>
      <c r="K6" s="124" t="e">
        <f>'Side Pole'!P6</f>
        <v>#NUM!</v>
      </c>
      <c r="L6" s="124" t="e">
        <f>'Side Pole'!S6</f>
        <v>#NUM!</v>
      </c>
      <c r="M6" s="124" t="e">
        <f>'Side Pole'!V6</f>
        <v>#NUM!</v>
      </c>
      <c r="N6" s="125">
        <f>Rollover!J6</f>
        <v>3</v>
      </c>
      <c r="O6" s="126" t="e">
        <f>ROUND(5/12*Front!AV6+4/12*'Side Pole'!U6+3/12*Rollover!I6,2)</f>
        <v>#NUM!</v>
      </c>
      <c r="P6" s="127" t="e">
        <f t="shared" ref="P6:P8" si="1">IF(O6&lt;0.67,5,IF(O6&lt;1,4,IF(O6&lt;1.33,3,IF(O6&lt;2.67,2,1))))</f>
        <v>#NUM!</v>
      </c>
    </row>
    <row r="7" spans="1:16" ht="14.45" customHeight="1">
      <c r="A7" s="123">
        <v>43472</v>
      </c>
      <c r="B7" s="45" t="str">
        <f>Rollover!A7</f>
        <v>Jeep</v>
      </c>
      <c r="C7" s="45" t="str">
        <f>Rollover!B7</f>
        <v>Wrangler 4WD</v>
      </c>
      <c r="D7" s="9">
        <f>Rollover!C7</f>
        <v>2020</v>
      </c>
      <c r="E7" s="21">
        <f>Front!AW7</f>
        <v>4</v>
      </c>
      <c r="F7" s="45">
        <f>Front!AX7</f>
        <v>4</v>
      </c>
      <c r="G7" s="45">
        <f>Front!AY7</f>
        <v>4</v>
      </c>
      <c r="H7" s="21" t="e">
        <f>'Side MDB'!AC7</f>
        <v>#NUM!</v>
      </c>
      <c r="I7" s="21" t="e">
        <f>'Side MDB'!AD7</f>
        <v>#NUM!</v>
      </c>
      <c r="J7" s="21" t="e">
        <f>'Side MDB'!AE7</f>
        <v>#NUM!</v>
      </c>
      <c r="K7" s="124" t="e">
        <f>'Side Pole'!P7</f>
        <v>#NUM!</v>
      </c>
      <c r="L7" s="124" t="e">
        <f>'Side Pole'!S7</f>
        <v>#NUM!</v>
      </c>
      <c r="M7" s="124" t="e">
        <f>'Side Pole'!V7</f>
        <v>#NUM!</v>
      </c>
      <c r="N7" s="125">
        <f>Rollover!J7</f>
        <v>3</v>
      </c>
      <c r="O7" s="126" t="e">
        <f>ROUND(5/12*Front!AV7+4/12*'Side Pole'!U7+3/12*Rollover!I7,2)</f>
        <v>#NUM!</v>
      </c>
      <c r="P7" s="127" t="e">
        <f t="shared" si="1"/>
        <v>#NUM!</v>
      </c>
    </row>
    <row r="8" spans="1:16" ht="14.45" customHeight="1">
      <c r="A8" s="44">
        <v>43817</v>
      </c>
      <c r="B8" s="45" t="str">
        <f>Rollover!A8</f>
        <v>Kia</v>
      </c>
      <c r="C8" s="45" t="str">
        <f>Rollover!B8</f>
        <v>Telluride SUV AWD</v>
      </c>
      <c r="D8" s="9">
        <f>Rollover!C8</f>
        <v>2020</v>
      </c>
      <c r="E8" s="21">
        <f>Front!AW8</f>
        <v>4</v>
      </c>
      <c r="F8" s="45">
        <f>Front!AX8</f>
        <v>4</v>
      </c>
      <c r="G8" s="45">
        <f>Front!AY8</f>
        <v>4</v>
      </c>
      <c r="H8" s="21">
        <f>'Side MDB'!AC8</f>
        <v>5</v>
      </c>
      <c r="I8" s="21">
        <f>'Side MDB'!AD8</f>
        <v>5</v>
      </c>
      <c r="J8" s="21">
        <f>'Side MDB'!AE8</f>
        <v>5</v>
      </c>
      <c r="K8" s="124">
        <f>'Side Pole'!P8</f>
        <v>5</v>
      </c>
      <c r="L8" s="124">
        <f>'Side Pole'!S8</f>
        <v>5</v>
      </c>
      <c r="M8" s="124">
        <f>'Side Pole'!V8</f>
        <v>5</v>
      </c>
      <c r="N8" s="125">
        <f>Rollover!J8</f>
        <v>4</v>
      </c>
      <c r="O8" s="126">
        <f>ROUND(5/12*Front!AV8+4/12*'Side Pole'!U8+3/12*Rollover!I8,2)</f>
        <v>0.6</v>
      </c>
      <c r="P8" s="127">
        <f t="shared" si="1"/>
        <v>5</v>
      </c>
    </row>
    <row r="9" spans="1:16" ht="14.45" customHeight="1">
      <c r="A9" s="44">
        <v>43817</v>
      </c>
      <c r="B9" s="45" t="str">
        <f>Rollover!A9</f>
        <v>Kia</v>
      </c>
      <c r="C9" s="45" t="str">
        <f>Rollover!B9</f>
        <v>Telluride SUV FWD</v>
      </c>
      <c r="D9" s="9">
        <f>Rollover!C9</f>
        <v>2020</v>
      </c>
      <c r="E9" s="21">
        <f>Front!AW9</f>
        <v>4</v>
      </c>
      <c r="F9" s="45">
        <f>Front!AX9</f>
        <v>4</v>
      </c>
      <c r="G9" s="45">
        <f>Front!AY9</f>
        <v>4</v>
      </c>
      <c r="H9" s="21">
        <f>'Side MDB'!AC9</f>
        <v>5</v>
      </c>
      <c r="I9" s="21">
        <f>'Side MDB'!AD9</f>
        <v>5</v>
      </c>
      <c r="J9" s="21">
        <f>'Side MDB'!AE9</f>
        <v>5</v>
      </c>
      <c r="K9" s="124">
        <f>'Side Pole'!P9</f>
        <v>5</v>
      </c>
      <c r="L9" s="124">
        <f>'Side Pole'!S9</f>
        <v>5</v>
      </c>
      <c r="M9" s="124">
        <f>'Side Pole'!V9</f>
        <v>5</v>
      </c>
      <c r="N9" s="125">
        <f>Rollover!J9</f>
        <v>4</v>
      </c>
      <c r="O9" s="126">
        <f>ROUND(5/12*Front!AV9+4/12*'Side Pole'!U9+3/12*Rollover!I9,2)</f>
        <v>0.62</v>
      </c>
      <c r="P9" s="127">
        <f t="shared" ref="P9:P18" si="2">IF(O9&lt;0.67,5,IF(O9&lt;1,4,IF(O9&lt;1.33,3,IF(O9&lt;2.67,2,1))))</f>
        <v>5</v>
      </c>
    </row>
    <row r="10" spans="1:16" ht="14.45" customHeight="1">
      <c r="A10" s="44">
        <v>43817</v>
      </c>
      <c r="B10" s="45" t="str">
        <f>Rollover!A10</f>
        <v>Mitsubishi</v>
      </c>
      <c r="C10" s="45" t="str">
        <f>Rollover!B10</f>
        <v>Eclipse Cross SUV AWD</v>
      </c>
      <c r="D10" s="9">
        <f>Rollover!C10</f>
        <v>2020</v>
      </c>
      <c r="E10" s="21">
        <f>Front!AW10</f>
        <v>4</v>
      </c>
      <c r="F10" s="45">
        <f>Front!AX10</f>
        <v>5</v>
      </c>
      <c r="G10" s="45">
        <f>Front!AY10</f>
        <v>5</v>
      </c>
      <c r="H10" s="21">
        <f>'Side MDB'!AC10</f>
        <v>5</v>
      </c>
      <c r="I10" s="21">
        <f>'Side MDB'!AD10</f>
        <v>5</v>
      </c>
      <c r="J10" s="21">
        <f>'Side MDB'!AE10</f>
        <v>5</v>
      </c>
      <c r="K10" s="124">
        <f>'Side Pole'!P10</f>
        <v>5</v>
      </c>
      <c r="L10" s="124">
        <f>'Side Pole'!S10</f>
        <v>5</v>
      </c>
      <c r="M10" s="124">
        <f>'Side Pole'!V10</f>
        <v>5</v>
      </c>
      <c r="N10" s="125">
        <f>Rollover!J10</f>
        <v>4</v>
      </c>
      <c r="O10" s="126">
        <f>ROUND(5/12*Front!AV10+4/12*'Side Pole'!U10+3/12*Rollover!I10,2)</f>
        <v>0.62</v>
      </c>
      <c r="P10" s="127">
        <f t="shared" si="2"/>
        <v>5</v>
      </c>
    </row>
    <row r="11" spans="1:16" ht="14.45" customHeight="1">
      <c r="A11" s="44">
        <v>43817</v>
      </c>
      <c r="B11" s="45" t="str">
        <f>Rollover!A11</f>
        <v>Mitsubishi</v>
      </c>
      <c r="C11" s="45" t="str">
        <f>Rollover!B11</f>
        <v>Eclipse Cross SUV FWD</v>
      </c>
      <c r="D11" s="9">
        <f>Rollover!C11</f>
        <v>2020</v>
      </c>
      <c r="E11" s="21">
        <f>Front!AW11</f>
        <v>4</v>
      </c>
      <c r="F11" s="45">
        <f>Front!AX11</f>
        <v>5</v>
      </c>
      <c r="G11" s="45">
        <f>Front!AY11</f>
        <v>5</v>
      </c>
      <c r="H11" s="21">
        <f>'Side MDB'!AC11</f>
        <v>5</v>
      </c>
      <c r="I11" s="21">
        <f>'Side MDB'!AD11</f>
        <v>5</v>
      </c>
      <c r="J11" s="21">
        <f>'Side MDB'!AE11</f>
        <v>5</v>
      </c>
      <c r="K11" s="124">
        <f>'Side Pole'!P11</f>
        <v>5</v>
      </c>
      <c r="L11" s="124">
        <f>'Side Pole'!S11</f>
        <v>5</v>
      </c>
      <c r="M11" s="124">
        <f>'Side Pole'!V11</f>
        <v>5</v>
      </c>
      <c r="N11" s="125">
        <f>Rollover!J11</f>
        <v>4</v>
      </c>
      <c r="O11" s="126">
        <f>ROUND(5/12*Front!AV11+4/12*'Side Pole'!U11+3/12*Rollover!I11,2)</f>
        <v>0.62</v>
      </c>
      <c r="P11" s="127">
        <f t="shared" si="2"/>
        <v>5</v>
      </c>
    </row>
    <row r="12" spans="1:16" ht="14.45" customHeight="1">
      <c r="A12" s="44">
        <v>43865</v>
      </c>
      <c r="B12" s="45" t="str">
        <f>Rollover!A12</f>
        <v>Subaru</v>
      </c>
      <c r="C12" s="45" t="str">
        <f>Rollover!B12</f>
        <v>Legacy 4DR AWD</v>
      </c>
      <c r="D12" s="9">
        <f>Rollover!C12</f>
        <v>2020</v>
      </c>
      <c r="E12" s="21">
        <f>Front!AW12</f>
        <v>5</v>
      </c>
      <c r="F12" s="45">
        <f>Front!AX12</f>
        <v>5</v>
      </c>
      <c r="G12" s="45">
        <f>Front!AY12</f>
        <v>5</v>
      </c>
      <c r="H12" s="21">
        <f>'Side MDB'!AC12</f>
        <v>5</v>
      </c>
      <c r="I12" s="21">
        <f>'Side MDB'!AD12</f>
        <v>5</v>
      </c>
      <c r="J12" s="21">
        <f>'Side MDB'!AE12</f>
        <v>5</v>
      </c>
      <c r="K12" s="124">
        <f>'Side Pole'!P12</f>
        <v>5</v>
      </c>
      <c r="L12" s="124">
        <f>'Side Pole'!S12</f>
        <v>5</v>
      </c>
      <c r="M12" s="124">
        <f>'Side Pole'!V12</f>
        <v>5</v>
      </c>
      <c r="N12" s="125">
        <f>Rollover!J12</f>
        <v>5</v>
      </c>
      <c r="O12" s="126">
        <f>ROUND(5/12*Front!AV12+4/12*'Side Pole'!U12+3/12*Rollover!I12,2)</f>
        <v>0.47</v>
      </c>
      <c r="P12" s="127">
        <f t="shared" si="2"/>
        <v>5</v>
      </c>
    </row>
    <row r="13" spans="1:16" ht="14.45" customHeight="1">
      <c r="A13" s="44">
        <v>43865</v>
      </c>
      <c r="B13" s="45" t="str">
        <f>Rollover!A13</f>
        <v>Subaru</v>
      </c>
      <c r="C13" s="45" t="str">
        <f>Rollover!B13</f>
        <v>Outback SW AWD</v>
      </c>
      <c r="D13" s="9">
        <f>Rollover!C13</f>
        <v>2020</v>
      </c>
      <c r="E13" s="21">
        <f>Front!AW13</f>
        <v>5</v>
      </c>
      <c r="F13" s="45">
        <f>Front!AX13</f>
        <v>5</v>
      </c>
      <c r="G13" s="45">
        <f>Front!AY13</f>
        <v>5</v>
      </c>
      <c r="H13" s="21">
        <f>'Side MDB'!AC13</f>
        <v>5</v>
      </c>
      <c r="I13" s="21">
        <f>'Side MDB'!AD13</f>
        <v>5</v>
      </c>
      <c r="J13" s="21">
        <f>'Side MDB'!AE13</f>
        <v>5</v>
      </c>
      <c r="K13" s="124">
        <f>'Side Pole'!P13</f>
        <v>5</v>
      </c>
      <c r="L13" s="124">
        <f>'Side Pole'!S13</f>
        <v>5</v>
      </c>
      <c r="M13" s="124">
        <f>'Side Pole'!V13</f>
        <v>5</v>
      </c>
      <c r="N13" s="125">
        <f>Rollover!J13</f>
        <v>4</v>
      </c>
      <c r="O13" s="126">
        <f>ROUND(5/12*Front!AV13+4/12*'Side Pole'!U13+3/12*Rollover!I13,2)</f>
        <v>0.59</v>
      </c>
      <c r="P13" s="127">
        <f t="shared" si="2"/>
        <v>5</v>
      </c>
    </row>
    <row r="14" spans="1:16" ht="14.45" customHeight="1">
      <c r="A14" s="44">
        <v>43852</v>
      </c>
      <c r="B14" s="45" t="str">
        <f>Rollover!A14</f>
        <v>Subaru</v>
      </c>
      <c r="C14" s="45" t="str">
        <f>Rollover!B14</f>
        <v>WRX 4DR AWD</v>
      </c>
      <c r="D14" s="9">
        <f>Rollover!C14</f>
        <v>2020</v>
      </c>
      <c r="E14" s="21">
        <f>Front!AW14</f>
        <v>4</v>
      </c>
      <c r="F14" s="45">
        <f>Front!AX14</f>
        <v>5</v>
      </c>
      <c r="G14" s="45">
        <f>Front!AY14</f>
        <v>5</v>
      </c>
      <c r="H14" s="21">
        <f>'Side MDB'!AC14</f>
        <v>5</v>
      </c>
      <c r="I14" s="21">
        <f>'Side MDB'!AD14</f>
        <v>5</v>
      </c>
      <c r="J14" s="21">
        <f>'Side MDB'!AE14</f>
        <v>5</v>
      </c>
      <c r="K14" s="124">
        <f>'Side Pole'!P14</f>
        <v>5</v>
      </c>
      <c r="L14" s="124">
        <f>'Side Pole'!S14</f>
        <v>5</v>
      </c>
      <c r="M14" s="124">
        <f>'Side Pole'!V14</f>
        <v>5</v>
      </c>
      <c r="N14" s="125">
        <f>Rollover!J14</f>
        <v>5</v>
      </c>
      <c r="O14" s="126">
        <f>ROUND(5/12*Front!AV14+4/12*'Side Pole'!U14+3/12*Rollover!I14,2)</f>
        <v>0.54</v>
      </c>
      <c r="P14" s="127">
        <f t="shared" si="2"/>
        <v>5</v>
      </c>
    </row>
    <row r="15" spans="1:16" ht="14.45" customHeight="1">
      <c r="A15" s="44">
        <v>43719</v>
      </c>
      <c r="B15" s="45" t="str">
        <f>Rollover!A15</f>
        <v>Toyota</v>
      </c>
      <c r="C15" s="45" t="str">
        <f>Rollover!B15</f>
        <v>Corolla 4DR FWD</v>
      </c>
      <c r="D15" s="9">
        <f>Rollover!C15</f>
        <v>2020</v>
      </c>
      <c r="E15" s="21">
        <f>Front!AW15</f>
        <v>5</v>
      </c>
      <c r="F15" s="45">
        <f>Front!AX15</f>
        <v>5</v>
      </c>
      <c r="G15" s="45">
        <f>Front!AY15</f>
        <v>5</v>
      </c>
      <c r="H15" s="21">
        <f>'Side MDB'!AC15</f>
        <v>5</v>
      </c>
      <c r="I15" s="21">
        <f>'Side MDB'!AD15</f>
        <v>5</v>
      </c>
      <c r="J15" s="21">
        <f>'Side MDB'!AE15</f>
        <v>5</v>
      </c>
      <c r="K15" s="124">
        <f>'Side Pole'!P15</f>
        <v>5</v>
      </c>
      <c r="L15" s="124">
        <f>'Side Pole'!S15</f>
        <v>5</v>
      </c>
      <c r="M15" s="124">
        <f>'Side Pole'!V15</f>
        <v>5</v>
      </c>
      <c r="N15" s="125">
        <f>Rollover!J15</f>
        <v>4</v>
      </c>
      <c r="O15" s="126">
        <f>ROUND(5/12*Front!AV15+4/12*'Side Pole'!U15+3/12*Rollover!I15,2)</f>
        <v>0.5</v>
      </c>
      <c r="P15" s="127">
        <f t="shared" si="2"/>
        <v>5</v>
      </c>
    </row>
    <row r="16" spans="1:16" ht="14.45" customHeight="1">
      <c r="A16" s="44">
        <v>43719</v>
      </c>
      <c r="B16" s="45" t="str">
        <f>Rollover!A16</f>
        <v>Toyota</v>
      </c>
      <c r="C16" s="45" t="str">
        <f>Rollover!B16</f>
        <v>Corolla Hybrid 4DR FWD</v>
      </c>
      <c r="D16" s="9">
        <f>Rollover!C16</f>
        <v>2020</v>
      </c>
      <c r="E16" s="21">
        <f>Front!AW16</f>
        <v>5</v>
      </c>
      <c r="F16" s="45">
        <f>Front!AX16</f>
        <v>5</v>
      </c>
      <c r="G16" s="45">
        <f>Front!AY16</f>
        <v>5</v>
      </c>
      <c r="H16" s="21">
        <f>'Side MDB'!AC16</f>
        <v>5</v>
      </c>
      <c r="I16" s="21">
        <f>'Side MDB'!AD16</f>
        <v>5</v>
      </c>
      <c r="J16" s="21">
        <f>'Side MDB'!AE16</f>
        <v>5</v>
      </c>
      <c r="K16" s="124">
        <f>'Side Pole'!P16</f>
        <v>5</v>
      </c>
      <c r="L16" s="124">
        <f>'Side Pole'!S16</f>
        <v>5</v>
      </c>
      <c r="M16" s="124">
        <f>'Side Pole'!V16</f>
        <v>5</v>
      </c>
      <c r="N16" s="125">
        <f>Rollover!J16</f>
        <v>4</v>
      </c>
      <c r="O16" s="126">
        <f>ROUND(5/12*Front!AV16+4/12*'Side Pole'!U16+3/12*Rollover!I16,2)</f>
        <v>0.5</v>
      </c>
      <c r="P16" s="127">
        <f t="shared" si="2"/>
        <v>5</v>
      </c>
    </row>
    <row r="17" spans="1:16" ht="14.45" customHeight="1">
      <c r="A17" s="123">
        <v>43866</v>
      </c>
      <c r="B17" s="45" t="str">
        <f>Rollover!A17</f>
        <v>Volvo</v>
      </c>
      <c r="C17" s="45" t="str">
        <f>Rollover!B17</f>
        <v>XC40 T5 SUV AWD</v>
      </c>
      <c r="D17" s="9">
        <f>Rollover!C17</f>
        <v>2020</v>
      </c>
      <c r="E17" s="21">
        <f>Front!AW17</f>
        <v>5</v>
      </c>
      <c r="F17" s="45">
        <f>Front!AX17</f>
        <v>5</v>
      </c>
      <c r="G17" s="45">
        <f>Front!AY17</f>
        <v>5</v>
      </c>
      <c r="H17" s="21">
        <f>'Side MDB'!AC17</f>
        <v>5</v>
      </c>
      <c r="I17" s="21">
        <f>'Side MDB'!AD17</f>
        <v>5</v>
      </c>
      <c r="J17" s="21">
        <f>'Side MDB'!AE17</f>
        <v>5</v>
      </c>
      <c r="K17" s="124">
        <f>'Side Pole'!P17</f>
        <v>5</v>
      </c>
      <c r="L17" s="124">
        <f>'Side Pole'!S17</f>
        <v>5</v>
      </c>
      <c r="M17" s="124">
        <f>'Side Pole'!V17</f>
        <v>5</v>
      </c>
      <c r="N17" s="125">
        <f>Rollover!J17</f>
        <v>4</v>
      </c>
      <c r="O17" s="126">
        <f>ROUND(5/12*Front!AV17+4/12*'Side Pole'!U17+3/12*Rollover!I17,2)</f>
        <v>0.63</v>
      </c>
      <c r="P17" s="127">
        <f t="shared" si="2"/>
        <v>5</v>
      </c>
    </row>
    <row r="18" spans="1:16" ht="14.45" customHeight="1">
      <c r="A18" s="123">
        <v>43866</v>
      </c>
      <c r="B18" s="45" t="str">
        <f>Rollover!A18</f>
        <v>Volvo</v>
      </c>
      <c r="C18" s="45" t="str">
        <f>Rollover!B18</f>
        <v>XC40 T4 4DR FWD</v>
      </c>
      <c r="D18" s="9">
        <f>Rollover!C18</f>
        <v>2020</v>
      </c>
      <c r="E18" s="21">
        <f>Front!AW18</f>
        <v>5</v>
      </c>
      <c r="F18" s="45">
        <f>Front!AX18</f>
        <v>5</v>
      </c>
      <c r="G18" s="45">
        <f>Front!AY18</f>
        <v>5</v>
      </c>
      <c r="H18" s="21">
        <f>'Side MDB'!AC18</f>
        <v>5</v>
      </c>
      <c r="I18" s="21">
        <f>'Side MDB'!AD18</f>
        <v>5</v>
      </c>
      <c r="J18" s="21">
        <f>'Side MDB'!AE18</f>
        <v>5</v>
      </c>
      <c r="K18" s="124">
        <f>'Side Pole'!P18</f>
        <v>5</v>
      </c>
      <c r="L18" s="124">
        <f>'Side Pole'!S18</f>
        <v>5</v>
      </c>
      <c r="M18" s="124">
        <f>'Side Pole'!V18</f>
        <v>5</v>
      </c>
      <c r="N18" s="125">
        <f>Rollover!J18</f>
        <v>4</v>
      </c>
      <c r="O18" s="126">
        <f>ROUND(5/12*Front!AV18+4/12*'Side Pole'!U18+3/12*Rollover!I18,2)</f>
        <v>0.61</v>
      </c>
      <c r="P18" s="127">
        <f t="shared" si="2"/>
        <v>5</v>
      </c>
    </row>
  </sheetData>
  <mergeCells count="3">
    <mergeCell ref="E1:G1"/>
    <mergeCell ref="H1:J1"/>
    <mergeCell ref="A1:A2"/>
  </mergeCells>
  <phoneticPr fontId="3" type="noConversion"/>
  <pageMargins left="0.25" right="0.2" top="0.25" bottom="0.2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Rollover</vt:lpstr>
      <vt:lpstr>Front</vt:lpstr>
      <vt:lpstr>Side MDB</vt:lpstr>
      <vt:lpstr>Side Pole</vt:lpstr>
      <vt:lpstr>Comb VSS+Overall Ratings</vt:lpstr>
      <vt:lpstr>'Comb VSS+Overall Ratings'!Print_Area</vt:lpstr>
      <vt:lpstr>Front!Print_Area</vt:lpstr>
      <vt:lpstr>'Side MDB'!Print_Area</vt:lpstr>
      <vt:lpstr>'Side Pole'!Print_Area</vt:lpstr>
      <vt:lpstr>'Comb VSS+Overall Ratings'!Print_Titles</vt:lpstr>
      <vt:lpstr>Front!Print_Titles</vt:lpstr>
      <vt:lpstr>Rollover!Print_Titles</vt:lpstr>
      <vt:lpstr>'Side MDB'!Print_Titles</vt:lpstr>
      <vt:lpstr>'Side Pole'!Print_Titles</vt:lpstr>
    </vt:vector>
  </TitlesOfParts>
  <Company>USDOT\NHTSA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McKoy</dc:creator>
  <cp:lastModifiedBy>USDOT_User</cp:lastModifiedBy>
  <cp:lastPrinted>2012-05-02T13:38:27Z</cp:lastPrinted>
  <dcterms:created xsi:type="dcterms:W3CDTF">2007-06-14T17:31:50Z</dcterms:created>
  <dcterms:modified xsi:type="dcterms:W3CDTF">2020-02-05T13:59:28Z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