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3" i="31" l="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3" i="24"/>
  <c r="H3" i="24" s="1"/>
  <c r="I3" i="24" s="1"/>
  <c r="J3" i="24" s="1"/>
  <c r="N3" i="31" s="1"/>
  <c r="AP3" i="21" l="1"/>
  <c r="W3" i="22"/>
  <c r="Y3" i="22" s="1"/>
  <c r="AB3" i="22" s="1"/>
  <c r="AE3" i="22" s="1"/>
  <c r="J3" i="31" s="1"/>
  <c r="X3" i="22"/>
  <c r="AA3" i="22" s="1"/>
  <c r="AD3" i="22" s="1"/>
  <c r="I3" i="31" s="1"/>
  <c r="AK3" i="21"/>
  <c r="AA3" i="21"/>
  <c r="AF3" i="21"/>
  <c r="N3" i="29"/>
  <c r="Q3" i="29" l="1"/>
  <c r="R3" i="29" s="1"/>
  <c r="S3" i="29" s="1"/>
  <c r="L3" i="31" s="1"/>
  <c r="O3" i="29"/>
  <c r="P3" i="29" s="1"/>
  <c r="K3" i="31" s="1"/>
  <c r="AR3" i="21"/>
  <c r="AQ3" i="21"/>
  <c r="AT3" i="21" s="1"/>
  <c r="AW3" i="21" s="1"/>
  <c r="E3" i="31" s="1"/>
  <c r="T3" i="29"/>
  <c r="U3" i="29" s="1"/>
  <c r="V3" i="29" s="1"/>
  <c r="M3" i="31" s="1"/>
  <c r="Z3" i="22"/>
  <c r="AC3" i="22" s="1"/>
  <c r="H3" i="31" s="1"/>
  <c r="AS3" i="21" l="1"/>
  <c r="AV3" i="21" s="1"/>
  <c r="AY3" i="21" s="1"/>
  <c r="G3" i="31" s="1"/>
  <c r="AU3" i="21"/>
  <c r="AX3" i="21" s="1"/>
  <c r="F3" i="31" s="1"/>
  <c r="O3" i="31" l="1"/>
  <c r="P3" i="31" s="1"/>
  <c r="D5" i="31" l="1"/>
  <c r="C5" i="31"/>
  <c r="B5" i="31"/>
  <c r="D4" i="31"/>
  <c r="C4" i="31"/>
  <c r="B4" i="31"/>
  <c r="M5" i="29"/>
  <c r="L5" i="29"/>
  <c r="F5" i="29"/>
  <c r="D5" i="29"/>
  <c r="C5" i="29"/>
  <c r="M4" i="29"/>
  <c r="L4" i="29"/>
  <c r="F4" i="29"/>
  <c r="D4" i="29"/>
  <c r="C4" i="29"/>
  <c r="V5" i="22"/>
  <c r="U5" i="22"/>
  <c r="T5" i="22"/>
  <c r="S5" i="22"/>
  <c r="R5" i="22"/>
  <c r="Q5" i="22"/>
  <c r="F5" i="22"/>
  <c r="D5" i="22"/>
  <c r="C5" i="22"/>
  <c r="V4" i="22"/>
  <c r="U4" i="22"/>
  <c r="T4" i="22"/>
  <c r="S4" i="22"/>
  <c r="R4" i="22"/>
  <c r="Q4" i="22"/>
  <c r="F4" i="22"/>
  <c r="D4" i="22"/>
  <c r="C4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5" i="24"/>
  <c r="H5" i="24" s="1"/>
  <c r="I5" i="24" s="1"/>
  <c r="J5" i="24" s="1"/>
  <c r="N5" i="31" s="1"/>
  <c r="G4" i="24"/>
  <c r="H4" i="24" s="1"/>
  <c r="I4" i="24" s="1"/>
  <c r="J4" i="24" s="1"/>
  <c r="N4" i="31" s="1"/>
  <c r="AF5" i="21" l="1"/>
  <c r="N5" i="29"/>
  <c r="O5" i="29" s="1"/>
  <c r="P5" i="29" s="1"/>
  <c r="K5" i="31" s="1"/>
  <c r="X5" i="22"/>
  <c r="AA5" i="22" s="1"/>
  <c r="AD5" i="22" s="1"/>
  <c r="I5" i="31" s="1"/>
  <c r="AF4" i="21"/>
  <c r="AK5" i="21"/>
  <c r="AA5" i="21"/>
  <c r="AP5" i="21"/>
  <c r="AK4" i="21"/>
  <c r="AA4" i="21"/>
  <c r="AP4" i="21"/>
  <c r="W5" i="22"/>
  <c r="X4" i="22"/>
  <c r="AA4" i="22" s="1"/>
  <c r="AD4" i="22" s="1"/>
  <c r="I4" i="31" s="1"/>
  <c r="W4" i="22"/>
  <c r="N4" i="29"/>
  <c r="O4" i="29" s="1"/>
  <c r="P4" i="29" s="1"/>
  <c r="K4" i="31" s="1"/>
  <c r="AQ5" i="21" l="1"/>
  <c r="AT5" i="21" s="1"/>
  <c r="AW5" i="21" s="1"/>
  <c r="E5" i="31" s="1"/>
  <c r="AQ4" i="21"/>
  <c r="AT4" i="21" s="1"/>
  <c r="AW4" i="21" s="1"/>
  <c r="E4" i="31" s="1"/>
  <c r="Y5" i="22"/>
  <c r="AB5" i="22" s="1"/>
  <c r="AE5" i="22" s="1"/>
  <c r="J5" i="31" s="1"/>
  <c r="T5" i="29"/>
  <c r="U5" i="29" s="1"/>
  <c r="V5" i="29" s="1"/>
  <c r="M5" i="31" s="1"/>
  <c r="AR4" i="21"/>
  <c r="AU4" i="21" s="1"/>
  <c r="AX4" i="21" s="1"/>
  <c r="F4" i="31" s="1"/>
  <c r="AR5" i="21"/>
  <c r="Z5" i="22"/>
  <c r="AC5" i="22" s="1"/>
  <c r="H5" i="31" s="1"/>
  <c r="Q4" i="29"/>
  <c r="R4" i="29" s="1"/>
  <c r="S4" i="29" s="1"/>
  <c r="L4" i="31" s="1"/>
  <c r="Z4" i="22"/>
  <c r="AC4" i="22" s="1"/>
  <c r="H4" i="31" s="1"/>
  <c r="Q5" i="29"/>
  <c r="R5" i="29" s="1"/>
  <c r="S5" i="29" s="1"/>
  <c r="L5" i="31" s="1"/>
  <c r="Y4" i="22"/>
  <c r="AB4" i="22" s="1"/>
  <c r="AE4" i="22" s="1"/>
  <c r="J4" i="31" s="1"/>
  <c r="T4" i="29"/>
  <c r="U4" i="29" s="1"/>
  <c r="V4" i="29" s="1"/>
  <c r="M4" i="31" s="1"/>
  <c r="AS5" i="21" l="1"/>
  <c r="AV5" i="21" s="1"/>
  <c r="AY5" i="21" s="1"/>
  <c r="G5" i="31" s="1"/>
  <c r="AS4" i="21"/>
  <c r="AV4" i="21" s="1"/>
  <c r="AY4" i="21" s="1"/>
  <c r="G4" i="31" s="1"/>
  <c r="AU5" i="21"/>
  <c r="AX5" i="21" s="1"/>
  <c r="F5" i="31" s="1"/>
  <c r="O5" i="31" l="1"/>
  <c r="P5" i="31" s="1"/>
  <c r="O4" i="31"/>
  <c r="P4" i="31" s="1"/>
</calcChain>
</file>

<file path=xl/sharedStrings.xml><?xml version="1.0" encoding="utf-8"?>
<sst xmlns="http://schemas.openxmlformats.org/spreadsheetml/2006/main" count="201" uniqueCount="99">
  <si>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</si>
  <si>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</si>
  <si>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</si>
  <si>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</si>
  <si>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</si>
  <si>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</si>
  <si>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</si>
  <si>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</si>
  <si>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</si>
  <si>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</si>
  <si>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</si>
  <si>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</si>
  <si>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</si>
  <si>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</si>
  <si>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</si>
  <si>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</si>
  <si>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</si>
  <si>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</si>
  <si>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</si>
  <si>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</si>
  <si>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</si>
  <si>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</si>
  <si>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</si>
  <si>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</si>
  <si>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</si>
  <si>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</si>
  <si>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</si>
  <si>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</si>
  <si>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</si>
  <si>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</si>
  <si>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</si>
  <si>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</si>
  <si>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</si>
  <si>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</si>
  <si>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</si>
  <si>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</si>
  <si>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</si>
  <si>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</si>
  <si>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</si>
  <si>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</si>
  <si>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</si>
  <si>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</si>
  <si>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</si>
  <si>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</si>
  <si>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</si>
  <si>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</si>
  <si>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</si>
  <si>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</si>
  <si>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</si>
  <si>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</si>
  <si>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</si>
  <si>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</si>
  <si>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</si>
  <si>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</si>
  <si>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</si>
  <si>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</si>
  <si>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</si>
  <si>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</si>
  <si>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</si>
  <si>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</si>
  <si>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</si>
  <si>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</si>
  <si>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</si>
  <si>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</si>
  <si>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</si>
  <si>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</si>
  <si>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</si>
  <si>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</si>
  <si>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</si>
  <si>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</si>
  <si>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</si>
  <si>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</si>
  <si>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</si>
  <si>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</si>
  <si>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</si>
  <si>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</si>
  <si>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</si>
  <si>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</si>
  <si>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</si>
  <si>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</si>
  <si>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</si>
  <si>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</si>
  <si>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</si>
  <si>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</si>
  <si>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</si>
  <si>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</si>
  <si>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</si>
  <si>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</si>
  <si>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</si>
  <si>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</si>
  <si>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</si>
  <si>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Calspan</t>
  </si>
  <si>
    <t>Jeep</t>
  </si>
  <si>
    <t>Gladiator PU/CC 4WD</t>
  </si>
  <si>
    <t>Corolla 4DR FWD</t>
  </si>
  <si>
    <t>Corolla Hybrid 4DR FWD</t>
  </si>
  <si>
    <t>O20195100</t>
  </si>
  <si>
    <t>O20195101</t>
  </si>
  <si>
    <t>M20200307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</si>
</sst>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12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2" fontId="5" fillId="0" borderId="23" xfId="0" applyNumberFormat="1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1" fontId="5" fillId="0" borderId="39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1" fontId="5" fillId="0" borderId="4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 applyAlignment="1"/>
    <xf numFmtId="1" fontId="5" fillId="0" borderId="0" xfId="0" applyNumberFormat="1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2" fontId="6" fillId="0" borderId="0" xfId="0" applyNumberFormat="1" applyFont="1" applyFill="1" applyAlignment="1"/>
    <xf numFmtId="164" fontId="4" fillId="0" borderId="35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Alignment="1"/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164" fontId="5" fillId="0" borderId="22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1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 applyProtection="1">
      <alignment horizontal="center"/>
    </xf>
    <xf numFmtId="164" fontId="5" fillId="0" borderId="27" xfId="0" applyNumberFormat="1" applyFont="1" applyFill="1" applyBorder="1" applyAlignment="1" applyProtection="1">
      <alignment horizontal="center"/>
    </xf>
    <xf numFmtId="1" fontId="5" fillId="0" borderId="27" xfId="0" applyNumberFormat="1" applyFont="1" applyFill="1" applyBorder="1" applyAlignment="1" applyProtection="1">
      <alignment horizont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/>
    </xf>
    <xf numFmtId="164" fontId="5" fillId="0" borderId="29" xfId="0" applyNumberFormat="1" applyFont="1" applyFill="1" applyBorder="1" applyAlignment="1" applyProtection="1">
      <alignment horizontal="center"/>
    </xf>
    <xf numFmtId="1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8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wrapText="1"/>
    </xf>
    <xf numFmtId="1" fontId="5" fillId="0" borderId="3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1" fontId="5" fillId="0" borderId="36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/>
    <xf numFmtId="0" fontId="5" fillId="0" borderId="27" xfId="0" applyFont="1" applyFill="1" applyBorder="1" applyAlignment="1"/>
    <xf numFmtId="164" fontId="4" fillId="0" borderId="34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2" fontId="5" fillId="0" borderId="36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2" fontId="6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0080"/>
      <color rgb="FF0000FF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K1" sqref="K1:K1048576"/>
    </sheetView>
  </sheetViews>
  <sheetFormatPr defaultColWidth="9.140625" defaultRowHeight="13.15" customHeight="1"/>
  <cols>
    <col min="1" max="1" width="13.5703125" style="71" customWidth="1"/>
    <col min="2" max="2" width="43.85546875" style="71" customWidth="1"/>
    <col min="3" max="3" width="4.5703125" style="69" bestFit="1" customWidth="1"/>
    <col min="4" max="4" width="4.42578125" style="69" bestFit="1" customWidth="1"/>
    <col min="5" max="5" width="18" style="69" bestFit="1" customWidth="1"/>
    <col min="6" max="6" width="13.140625" style="69" bestFit="1" customWidth="1"/>
    <col min="7" max="7" width="7.7109375" style="72" customWidth="1"/>
    <col min="8" max="8" width="7.42578125" style="72" bestFit="1" customWidth="1"/>
    <col min="9" max="9" width="7.7109375" style="73" bestFit="1" customWidth="1"/>
    <col min="10" max="10" width="7.140625" style="72" bestFit="1" customWidth="1"/>
    <col min="11" max="16384" width="9.140625" style="69"/>
  </cols>
  <sheetData>
    <row r="1" spans="1:10" s="56" customFormat="1" ht="13.15" customHeight="1" thickBot="1">
      <c r="A1" s="53"/>
      <c r="B1" s="53"/>
      <c r="C1" s="53"/>
      <c r="D1" s="53"/>
      <c r="E1" s="53"/>
      <c r="F1" s="53"/>
      <c r="G1" s="54"/>
      <c r="H1" s="54"/>
      <c r="I1" s="55"/>
      <c r="J1" s="54" t="s">
        <v>18</v>
      </c>
    </row>
    <row r="2" spans="1:10" s="56" customFormat="1" ht="13.15" customHeight="1" thickBot="1">
      <c r="A2" s="50" t="s">
        <v>19</v>
      </c>
      <c r="B2" s="57" t="s">
        <v>20</v>
      </c>
      <c r="C2" s="57" t="s">
        <v>21</v>
      </c>
      <c r="D2" s="57" t="s">
        <v>22</v>
      </c>
      <c r="E2" s="57" t="s">
        <v>70</v>
      </c>
      <c r="F2" s="58" t="s">
        <v>71</v>
      </c>
      <c r="G2" s="59" t="s">
        <v>48</v>
      </c>
      <c r="H2" s="60" t="s">
        <v>8</v>
      </c>
      <c r="I2" s="61" t="s">
        <v>68</v>
      </c>
      <c r="J2" s="62" t="s">
        <v>45</v>
      </c>
    </row>
    <row r="3" spans="1:10" ht="13.15" customHeight="1">
      <c r="A3" s="132" t="s">
        <v>92</v>
      </c>
      <c r="B3" s="133" t="s">
        <v>93</v>
      </c>
      <c r="C3" s="63">
        <v>2020</v>
      </c>
      <c r="D3" s="64">
        <v>1.1000000000000001</v>
      </c>
      <c r="E3" s="64" t="s">
        <v>89</v>
      </c>
      <c r="F3" s="64" t="s">
        <v>90</v>
      </c>
      <c r="G3" s="65">
        <f t="shared" ref="G3" si="0">IF(F3="Y",((1/(1+EXP(2.6968+(1.1686*LN(D3-0.9)))))),((1/(1+EXP(2.8891+(1.1686*(LN(D3-0.9))))))))</f>
        <v>0.26731054913942764</v>
      </c>
      <c r="H3" s="66">
        <f t="shared" ref="H3" si="1">ROUND(G3,3)</f>
        <v>0.26700000000000002</v>
      </c>
      <c r="I3" s="67">
        <f t="shared" ref="I3" si="2">ROUND(H3/0.15,2)</f>
        <v>1.78</v>
      </c>
      <c r="J3" s="68">
        <f t="shared" ref="J3" si="3">IF(I3&lt;0.673,5,IF(I3&lt;1.33,4,IF(I3&lt;2,3,IF(I3&lt;2.67,2,1))))</f>
        <v>3</v>
      </c>
    </row>
    <row r="4" spans="1:10" ht="13.15" customHeight="1">
      <c r="A4" s="132" t="s">
        <v>86</v>
      </c>
      <c r="B4" s="133" t="s">
        <v>94</v>
      </c>
      <c r="C4" s="63">
        <v>2020</v>
      </c>
      <c r="D4" s="17">
        <v>1.43</v>
      </c>
      <c r="E4" s="64" t="s">
        <v>90</v>
      </c>
      <c r="F4" s="70" t="s">
        <v>90</v>
      </c>
      <c r="G4" s="65">
        <f t="shared" ref="G4:G5" si="4">IF(F4="Y",((1/(1+EXP(2.6968+(1.1686*LN(D4-0.9)))))),((1/(1+EXP(2.8891+(1.1686*(LN(D4-0.9))))))))</f>
        <v>0.10459491849361911</v>
      </c>
      <c r="H4" s="66">
        <f t="shared" ref="H4:H5" si="5">ROUND(G4,3)</f>
        <v>0.105</v>
      </c>
      <c r="I4" s="67">
        <f t="shared" ref="I4:I5" si="6">ROUND(H4/0.15,2)</f>
        <v>0.7</v>
      </c>
      <c r="J4" s="68">
        <f t="shared" ref="J4:J5" si="7">IF(I4&lt;0.673,5,IF(I4&lt;1.33,4,IF(I4&lt;2,3,IF(I4&lt;2.67,2,1))))</f>
        <v>4</v>
      </c>
    </row>
    <row r="5" spans="1:10" ht="13.15" customHeight="1">
      <c r="A5" s="134" t="s">
        <v>86</v>
      </c>
      <c r="B5" s="135" t="s">
        <v>95</v>
      </c>
      <c r="C5" s="63">
        <v>2020</v>
      </c>
      <c r="D5" s="17">
        <v>1.43</v>
      </c>
      <c r="E5" s="64" t="s">
        <v>90</v>
      </c>
      <c r="F5" s="70" t="s">
        <v>90</v>
      </c>
      <c r="G5" s="65">
        <f t="shared" si="4"/>
        <v>0.10459491849361911</v>
      </c>
      <c r="H5" s="66">
        <f t="shared" si="5"/>
        <v>0.105</v>
      </c>
      <c r="I5" s="67">
        <f t="shared" si="6"/>
        <v>0.7</v>
      </c>
      <c r="J5" s="68">
        <f t="shared" si="7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workbookViewId="0">
      <pane xSplit="6" ySplit="2" topLeftCell="L3" activePane="bottomRight" state="frozen"/>
      <selection activeCell="B12" sqref="B12"/>
      <selection pane="topRight" activeCell="B12" sqref="B12"/>
      <selection pane="bottomLeft" activeCell="B12" sqref="B12"/>
      <selection pane="bottomRight" activeCell="A2" sqref="A2"/>
    </sheetView>
  </sheetViews>
  <sheetFormatPr defaultRowHeight="12.75"/>
  <cols>
    <col min="1" max="1" width="8.140625" style="208" customWidth="1"/>
    <col min="2" max="2" width="9.85546875" style="208" bestFit="1" customWidth="1"/>
    <col min="3" max="3" width="13.5703125" style="209" bestFit="1" customWidth="1"/>
    <col min="4" max="4" width="36.140625" style="209" bestFit="1" customWidth="1"/>
    <col min="5" max="5" width="7.42578125" style="209" customWidth="1"/>
    <col min="6" max="6" width="8.28515625" style="209" customWidth="1"/>
    <col min="7" max="7" width="6.5703125" style="210" bestFit="1" customWidth="1"/>
    <col min="8" max="8" width="4.85546875" style="210" bestFit="1" customWidth="1"/>
    <col min="9" max="9" width="7.42578125" style="210" bestFit="1" customWidth="1"/>
    <col min="10" max="10" width="8.42578125" style="210" bestFit="1" customWidth="1"/>
    <col min="11" max="11" width="7.85546875" style="210" bestFit="1" customWidth="1"/>
    <col min="12" max="12" width="8" style="210" bestFit="1" customWidth="1"/>
    <col min="13" max="13" width="8.85546875" style="210" customWidth="1"/>
    <col min="14" max="14" width="8.28515625" style="210" bestFit="1" customWidth="1"/>
    <col min="15" max="15" width="6.5703125" style="210" bestFit="1" customWidth="1"/>
    <col min="16" max="16" width="4.85546875" style="210" bestFit="1" customWidth="1"/>
    <col min="17" max="17" width="8.7109375" style="210" customWidth="1"/>
    <col min="18" max="18" width="8.42578125" style="210" bestFit="1" customWidth="1"/>
    <col min="19" max="19" width="7.85546875" style="210" bestFit="1" customWidth="1"/>
    <col min="20" max="20" width="8" style="210" bestFit="1" customWidth="1"/>
    <col min="21" max="21" width="7.42578125" style="210" bestFit="1" customWidth="1"/>
    <col min="22" max="22" width="8.7109375" style="210" customWidth="1"/>
    <col min="23" max="23" width="7.42578125" style="211" bestFit="1" customWidth="1"/>
    <col min="24" max="24" width="5.28515625" style="211" bestFit="1" customWidth="1"/>
    <col min="25" max="25" width="10.140625" style="211" bestFit="1" customWidth="1"/>
    <col min="26" max="26" width="11.28515625" style="211" bestFit="1" customWidth="1"/>
    <col min="27" max="27" width="7.28515625" style="211" customWidth="1"/>
    <col min="28" max="28" width="7.5703125" style="211" bestFit="1" customWidth="1"/>
    <col min="29" max="29" width="7.5703125" style="69" bestFit="1" customWidth="1"/>
    <col min="30" max="31" width="9" style="69" bestFit="1" customWidth="1"/>
    <col min="32" max="32" width="8" style="69" bestFit="1" customWidth="1"/>
    <col min="33" max="33" width="7.42578125" style="69" bestFit="1" customWidth="1"/>
    <col min="34" max="34" width="5" style="69" bestFit="1" customWidth="1"/>
    <col min="35" max="35" width="10.140625" style="69" bestFit="1" customWidth="1"/>
    <col min="36" max="36" width="11.5703125" style="69" bestFit="1" customWidth="1"/>
    <col min="37" max="37" width="7" style="69" bestFit="1" customWidth="1"/>
    <col min="38" max="39" width="7.5703125" style="69" bestFit="1" customWidth="1"/>
    <col min="40" max="41" width="9" style="69" bestFit="1" customWidth="1"/>
    <col min="42" max="42" width="8" style="69" bestFit="1" customWidth="1"/>
    <col min="43" max="43" width="7.5703125" style="69" customWidth="1"/>
    <col min="44" max="44" width="9.5703125" style="69" bestFit="1" customWidth="1"/>
    <col min="45" max="45" width="7.140625" style="69" bestFit="1" customWidth="1"/>
    <col min="46" max="46" width="5.7109375" style="211" bestFit="1" customWidth="1"/>
    <col min="47" max="47" width="9.5703125" style="211" bestFit="1" customWidth="1"/>
    <col min="48" max="48" width="5.85546875" style="211" bestFit="1" customWidth="1"/>
    <col min="49" max="49" width="5.7109375" style="130" bestFit="1" customWidth="1"/>
    <col min="50" max="50" width="9.5703125" style="130" bestFit="1" customWidth="1"/>
    <col min="51" max="51" width="5.85546875" style="131" bestFit="1" customWidth="1"/>
    <col min="52" max="16384" width="9.140625" style="69"/>
  </cols>
  <sheetData>
    <row r="1" spans="1:51" s="104" customFormat="1" ht="13.5" thickBot="1">
      <c r="A1" s="179"/>
      <c r="B1" s="111"/>
      <c r="C1" s="180"/>
      <c r="D1" s="180"/>
      <c r="E1" s="181"/>
      <c r="F1" s="181"/>
      <c r="G1" s="144" t="s">
        <v>28</v>
      </c>
      <c r="H1" s="182"/>
      <c r="I1" s="182"/>
      <c r="J1" s="182"/>
      <c r="K1" s="182"/>
      <c r="L1" s="182"/>
      <c r="M1" s="182"/>
      <c r="N1" s="106"/>
      <c r="O1" s="144" t="s">
        <v>29</v>
      </c>
      <c r="P1" s="182"/>
      <c r="Q1" s="182"/>
      <c r="R1" s="182"/>
      <c r="S1" s="182"/>
      <c r="T1" s="182"/>
      <c r="U1" s="182"/>
      <c r="V1" s="106"/>
      <c r="W1" s="183" t="s">
        <v>30</v>
      </c>
      <c r="X1" s="184"/>
      <c r="Y1" s="184"/>
      <c r="Z1" s="184"/>
      <c r="AA1" s="184"/>
      <c r="AB1" s="184"/>
      <c r="AC1" s="184"/>
      <c r="AD1" s="184"/>
      <c r="AE1" s="184"/>
      <c r="AF1" s="185"/>
      <c r="AG1" s="183" t="s">
        <v>31</v>
      </c>
      <c r="AH1" s="184"/>
      <c r="AI1" s="184"/>
      <c r="AJ1" s="184"/>
      <c r="AK1" s="184"/>
      <c r="AL1" s="184"/>
      <c r="AM1" s="184"/>
      <c r="AN1" s="184"/>
      <c r="AO1" s="184"/>
      <c r="AP1" s="185"/>
      <c r="AQ1" s="186" t="s">
        <v>13</v>
      </c>
      <c r="AR1" s="187" t="s">
        <v>16</v>
      </c>
      <c r="AS1" s="188" t="s">
        <v>9</v>
      </c>
      <c r="AT1" s="31" t="s">
        <v>13</v>
      </c>
      <c r="AU1" s="32" t="s">
        <v>16</v>
      </c>
      <c r="AV1" s="33" t="s">
        <v>51</v>
      </c>
      <c r="AW1" s="189" t="s">
        <v>13</v>
      </c>
      <c r="AX1" s="36" t="s">
        <v>16</v>
      </c>
      <c r="AY1" s="190" t="s">
        <v>51</v>
      </c>
    </row>
    <row r="2" spans="1:51" s="6" customFormat="1" ht="34.5" thickBot="1">
      <c r="A2" s="50" t="s">
        <v>27</v>
      </c>
      <c r="B2" s="191" t="s">
        <v>84</v>
      </c>
      <c r="C2" s="50" t="s">
        <v>19</v>
      </c>
      <c r="D2" s="57" t="s">
        <v>20</v>
      </c>
      <c r="E2" s="191" t="s">
        <v>76</v>
      </c>
      <c r="F2" s="58" t="s">
        <v>21</v>
      </c>
      <c r="G2" s="155" t="s">
        <v>25</v>
      </c>
      <c r="H2" s="157" t="s">
        <v>0</v>
      </c>
      <c r="I2" s="153" t="s">
        <v>34</v>
      </c>
      <c r="J2" s="153" t="s">
        <v>62</v>
      </c>
      <c r="K2" s="153" t="s">
        <v>35</v>
      </c>
      <c r="L2" s="153" t="s">
        <v>36</v>
      </c>
      <c r="M2" s="153" t="s">
        <v>37</v>
      </c>
      <c r="N2" s="192" t="s">
        <v>38</v>
      </c>
      <c r="O2" s="155" t="s">
        <v>25</v>
      </c>
      <c r="P2" s="157" t="s">
        <v>0</v>
      </c>
      <c r="Q2" s="153" t="s">
        <v>34</v>
      </c>
      <c r="R2" s="153" t="s">
        <v>62</v>
      </c>
      <c r="S2" s="153" t="s">
        <v>35</v>
      </c>
      <c r="T2" s="153" t="s">
        <v>36</v>
      </c>
      <c r="U2" s="153" t="s">
        <v>37</v>
      </c>
      <c r="V2" s="192" t="s">
        <v>38</v>
      </c>
      <c r="W2" s="193" t="s">
        <v>26</v>
      </c>
      <c r="X2" s="194" t="s">
        <v>2</v>
      </c>
      <c r="Y2" s="29" t="s">
        <v>5</v>
      </c>
      <c r="Z2" s="29" t="s">
        <v>63</v>
      </c>
      <c r="AA2" s="194" t="s">
        <v>6</v>
      </c>
      <c r="AB2" s="29" t="s">
        <v>3</v>
      </c>
      <c r="AC2" s="195" t="s">
        <v>3</v>
      </c>
      <c r="AD2" s="195" t="s">
        <v>23</v>
      </c>
      <c r="AE2" s="195" t="s">
        <v>24</v>
      </c>
      <c r="AF2" s="196" t="s">
        <v>4</v>
      </c>
      <c r="AG2" s="155" t="s">
        <v>26</v>
      </c>
      <c r="AH2" s="157" t="s">
        <v>2</v>
      </c>
      <c r="AI2" s="157" t="s">
        <v>5</v>
      </c>
      <c r="AJ2" s="157" t="s">
        <v>64</v>
      </c>
      <c r="AK2" s="157" t="s">
        <v>6</v>
      </c>
      <c r="AL2" s="157" t="s">
        <v>3</v>
      </c>
      <c r="AM2" s="157" t="s">
        <v>3</v>
      </c>
      <c r="AN2" s="157" t="s">
        <v>23</v>
      </c>
      <c r="AO2" s="157" t="s">
        <v>24</v>
      </c>
      <c r="AP2" s="197" t="s">
        <v>4</v>
      </c>
      <c r="AQ2" s="38" t="s">
        <v>7</v>
      </c>
      <c r="AR2" s="88" t="s">
        <v>8</v>
      </c>
      <c r="AS2" s="198" t="s">
        <v>8</v>
      </c>
      <c r="AT2" s="172" t="s">
        <v>65</v>
      </c>
      <c r="AU2" s="173" t="s">
        <v>65</v>
      </c>
      <c r="AV2" s="34" t="s">
        <v>65</v>
      </c>
      <c r="AW2" s="174" t="s">
        <v>45</v>
      </c>
      <c r="AX2" s="159" t="s">
        <v>45</v>
      </c>
      <c r="AY2" s="199" t="s">
        <v>32</v>
      </c>
    </row>
    <row r="3" spans="1:51" ht="13.15" customHeight="1">
      <c r="A3" s="200">
        <v>10831</v>
      </c>
      <c r="B3" s="70" t="s">
        <v>98</v>
      </c>
      <c r="C3" s="201" t="str">
        <f>Rollover!A3</f>
        <v>Jeep</v>
      </c>
      <c r="D3" s="202" t="str">
        <f>Rollover!B3</f>
        <v>Gladiator PU/CC 4WD</v>
      </c>
      <c r="E3" s="129" t="s">
        <v>91</v>
      </c>
      <c r="F3" s="203">
        <f>Rollover!C3</f>
        <v>2020</v>
      </c>
      <c r="G3" s="10">
        <v>219.53299999999999</v>
      </c>
      <c r="H3" s="11">
        <v>0.34899999999999998</v>
      </c>
      <c r="I3" s="11">
        <v>1298.864</v>
      </c>
      <c r="J3" s="11">
        <v>403.39600000000002</v>
      </c>
      <c r="K3" s="11">
        <v>27.29</v>
      </c>
      <c r="L3" s="11">
        <v>50.99</v>
      </c>
      <c r="M3" s="11">
        <v>2563.8000000000002</v>
      </c>
      <c r="N3" s="12">
        <v>3145.9349999999999</v>
      </c>
      <c r="O3" s="10">
        <v>179.84700000000001</v>
      </c>
      <c r="P3" s="11">
        <v>0.30099999999999999</v>
      </c>
      <c r="Q3" s="11">
        <v>1081.3920000000001</v>
      </c>
      <c r="R3" s="11">
        <v>373.596</v>
      </c>
      <c r="S3" s="11">
        <v>17.792000000000002</v>
      </c>
      <c r="T3" s="11">
        <v>42.445</v>
      </c>
      <c r="U3" s="11">
        <v>1227.1369999999999</v>
      </c>
      <c r="V3" s="12">
        <v>1515.0450000000001</v>
      </c>
      <c r="W3" s="204">
        <f t="shared" ref="W3" si="0">NORMDIST(LN(G3),7.45231,0.73998,1)</f>
        <v>2.6767973662873944E-3</v>
      </c>
      <c r="X3" s="5">
        <f t="shared" ref="X3" si="1">1/(1+EXP(3.2269-1.9688*H3))</f>
        <v>7.3115485073840497E-2</v>
      </c>
      <c r="Y3" s="5">
        <f t="shared" ref="Y3" si="2">1/(1+EXP(10.9745-2.375*I3/1000))</f>
        <v>3.7444242222927759E-4</v>
      </c>
      <c r="Z3" s="5">
        <f t="shared" ref="Z3" si="3">1/(1+EXP(10.9745-2.375*J3/1000))</f>
        <v>4.4657907846231211E-5</v>
      </c>
      <c r="AA3" s="5">
        <f t="shared" ref="AA3" si="4">MAX(X3,Y3,Z3)</f>
        <v>7.3115485073840497E-2</v>
      </c>
      <c r="AB3" s="5">
        <f t="shared" ref="AB3" si="5">1/(1+EXP(12.597-0.05861*35-1.568*(K3^0.4612)))</f>
        <v>3.4200983130128253E-2</v>
      </c>
      <c r="AC3" s="5">
        <f t="shared" ref="AC3" si="6">AB3</f>
        <v>3.4200983130128253E-2</v>
      </c>
      <c r="AD3" s="5">
        <f t="shared" ref="AD3" si="7">1/(1+EXP(5.7949-0.5196*M3/1000))</f>
        <v>1.1399176476554694E-2</v>
      </c>
      <c r="AE3" s="5">
        <f t="shared" ref="AE3" si="8">1/(1+EXP(5.7949-0.5196*N3/1000))</f>
        <v>1.5363587696917803E-2</v>
      </c>
      <c r="AF3" s="21">
        <f t="shared" ref="AF3" si="9">MAX(AD3,AE3)</f>
        <v>1.5363587696917803E-2</v>
      </c>
      <c r="AG3" s="20">
        <f t="shared" ref="AG3" si="10">NORMDIST(LN(O3),7.45231,0.73998,1)</f>
        <v>1.1275122311838423E-3</v>
      </c>
      <c r="AH3" s="5">
        <f t="shared" ref="AH3" si="11">1/(1+EXP(3.2269-1.9688*P3))</f>
        <v>6.6963839037062337E-2</v>
      </c>
      <c r="AI3" s="5">
        <f t="shared" ref="AI3" si="12">1/(1+EXP(10.958-3.77*Q3/1000))</f>
        <v>1.0259065757246481E-3</v>
      </c>
      <c r="AJ3" s="5">
        <f t="shared" ref="AJ3" si="13">1/(1+EXP(10.958-3.77*R3/1000))</f>
        <v>7.1228729888340417E-5</v>
      </c>
      <c r="AK3" s="5">
        <f t="shared" ref="AK3" si="14">MAX(AH3,AI3,AJ3)</f>
        <v>6.6963839037062337E-2</v>
      </c>
      <c r="AL3" s="5">
        <f t="shared" ref="AL3" si="15">1/(1+EXP(12.597-0.05861*35-1.568*((S3/0.817)^0.4612)))</f>
        <v>1.7076353414938451E-2</v>
      </c>
      <c r="AM3" s="5">
        <f t="shared" ref="AM3" si="16">AL3</f>
        <v>1.7076353414938451E-2</v>
      </c>
      <c r="AN3" s="5">
        <f t="shared" ref="AN3" si="17">1/(1+EXP(5.7949-0.7619*U3/1000))</f>
        <v>7.6913008299673144E-3</v>
      </c>
      <c r="AO3" s="5">
        <f t="shared" ref="AO3" si="18">1/(1+EXP(5.7949-0.7619*V3/1000))</f>
        <v>9.5597571074864298E-3</v>
      </c>
      <c r="AP3" s="21">
        <f t="shared" ref="AP3" si="19">MAX(AN3,AO3)</f>
        <v>9.5597571074864298E-3</v>
      </c>
      <c r="AQ3" s="204">
        <f t="shared" ref="AQ3" si="20">ROUND(1-(1-W3)*(1-AA3)*(1-AC3)*(1-AF3),3)</f>
        <v>0.121</v>
      </c>
      <c r="AR3" s="5">
        <f t="shared" ref="AR3" si="21">ROUND(1-(1-AG3)*(1-AK3)*(1-AM3)*(1-AP3),3)</f>
        <v>9.2999999999999999E-2</v>
      </c>
      <c r="AS3" s="5">
        <f t="shared" ref="AS3" si="22">ROUND(AVERAGE(AR3,AQ3),3)</f>
        <v>0.107</v>
      </c>
      <c r="AT3" s="127">
        <f t="shared" ref="AT3" si="23">ROUND(AQ3/0.15,2)</f>
        <v>0.81</v>
      </c>
      <c r="AU3" s="127">
        <f t="shared" ref="AU3" si="24">ROUND(AR3/0.15,2)</f>
        <v>0.62</v>
      </c>
      <c r="AV3" s="127">
        <f t="shared" ref="AV3" si="25">ROUND(AS3/0.15,2)</f>
        <v>0.71</v>
      </c>
      <c r="AW3" s="47">
        <f t="shared" ref="AW3" si="26">IF(AT3&lt;0.67,5,IF(AT3&lt;1,4,IF(AT3&lt;1.33,3,IF(AT3&lt;2.67,2,1))))</f>
        <v>4</v>
      </c>
      <c r="AX3" s="47">
        <f t="shared" ref="AX3" si="27">IF(AU3&lt;0.67,5,IF(AU3&lt;1,4,IF(AU3&lt;1.33,3,IF(AU3&lt;2.67,2,1))))</f>
        <v>5</v>
      </c>
      <c r="AY3" s="205">
        <f t="shared" ref="AY3" si="28">IF(AV3&lt;0.67,5,IF(AV3&lt;1,4,IF(AV3&lt;1.33,3,IF(AV3&lt;2.67,2,1))))</f>
        <v>4</v>
      </c>
    </row>
    <row r="4" spans="1:51" ht="13.15" customHeight="1">
      <c r="A4" s="206">
        <v>10651</v>
      </c>
      <c r="B4" s="207" t="s">
        <v>96</v>
      </c>
      <c r="C4" s="201" t="str">
        <f>Rollover!A4</f>
        <v>Toyota</v>
      </c>
      <c r="D4" s="202" t="str">
        <f>Rollover!B4</f>
        <v>Corolla 4DR FWD</v>
      </c>
      <c r="E4" s="129" t="s">
        <v>85</v>
      </c>
      <c r="F4" s="203">
        <f>Rollover!C4</f>
        <v>2020</v>
      </c>
      <c r="G4" s="10">
        <v>186.548</v>
      </c>
      <c r="H4" s="11">
        <v>0.27300000000000002</v>
      </c>
      <c r="I4" s="11">
        <v>1080.8340000000001</v>
      </c>
      <c r="J4" s="11">
        <v>221.012</v>
      </c>
      <c r="K4" s="11">
        <v>24.053999999999998</v>
      </c>
      <c r="L4" s="11">
        <v>45.079000000000001</v>
      </c>
      <c r="M4" s="11">
        <v>1468.2719999999999</v>
      </c>
      <c r="N4" s="12">
        <v>1380.788</v>
      </c>
      <c r="O4" s="10">
        <v>356.32299999999998</v>
      </c>
      <c r="P4" s="11">
        <v>0.27100000000000002</v>
      </c>
      <c r="Q4" s="11">
        <v>733.971</v>
      </c>
      <c r="R4" s="11">
        <v>381.9</v>
      </c>
      <c r="S4" s="11">
        <v>13.587999999999999</v>
      </c>
      <c r="T4" s="11">
        <v>48.542000000000002</v>
      </c>
      <c r="U4" s="11">
        <v>1337.059</v>
      </c>
      <c r="V4" s="12">
        <v>693.72799999999995</v>
      </c>
      <c r="W4" s="204">
        <f t="shared" ref="W4:W5" si="29">NORMDIST(LN(G4),7.45231,0.73998,1)</f>
        <v>1.3280132735441646E-3</v>
      </c>
      <c r="X4" s="5">
        <f t="shared" ref="X4:X5" si="30">1/(1+EXP(3.2269-1.9688*H4))</f>
        <v>6.3600694729198576E-2</v>
      </c>
      <c r="Y4" s="5">
        <f t="shared" ref="Y4:Y5" si="31">1/(1+EXP(10.9745-2.375*I4/1000))</f>
        <v>2.231330320868445E-4</v>
      </c>
      <c r="Z4" s="5">
        <f t="shared" ref="Z4:Z5" si="32">1/(1+EXP(10.9745-2.375*J4/1000))</f>
        <v>2.8959117628590589E-5</v>
      </c>
      <c r="AA4" s="5">
        <f t="shared" ref="AA4:AA5" si="33">MAX(X4,Y4,Z4)</f>
        <v>6.3600694729198576E-2</v>
      </c>
      <c r="AB4" s="5">
        <f t="shared" ref="AB4:AB5" si="34">1/(1+EXP(12.597-0.05861*35-1.568*(K4^0.4612)))</f>
        <v>2.3019088613042766E-2</v>
      </c>
      <c r="AC4" s="5">
        <f t="shared" ref="AC4:AC5" si="35">AB4</f>
        <v>2.3019088613042766E-2</v>
      </c>
      <c r="AD4" s="5">
        <f t="shared" ref="AD4:AD5" si="36">1/(1+EXP(5.7949-0.5196*M4/1000))</f>
        <v>6.4835277820869067E-3</v>
      </c>
      <c r="AE4" s="5">
        <f t="shared" ref="AE4:AE5" si="37">1/(1+EXP(5.7949-0.5196*N4/1000))</f>
        <v>6.1971917736574752E-3</v>
      </c>
      <c r="AF4" s="21">
        <f t="shared" ref="AF4:AF5" si="38">MAX(AD4,AE4)</f>
        <v>6.4835277820869067E-3</v>
      </c>
      <c r="AG4" s="20">
        <f t="shared" ref="AG4:AG5" si="39">NORMDIST(LN(O4),7.45231,0.73998,1)</f>
        <v>1.6568243756006254E-2</v>
      </c>
      <c r="AH4" s="5">
        <f t="shared" ref="AH4:AH5" si="40">1/(1+EXP(3.2269-1.9688*P4))</f>
        <v>6.3366590994446123E-2</v>
      </c>
      <c r="AI4" s="5">
        <f t="shared" ref="AI4:AI5" si="41">1/(1+EXP(10.958-3.77*Q4/1000))</f>
        <v>2.7707940068093061E-4</v>
      </c>
      <c r="AJ4" s="5">
        <f t="shared" ref="AJ4:AJ5" si="42">1/(1+EXP(10.958-3.77*R4/1000))</f>
        <v>7.3493727433486964E-5</v>
      </c>
      <c r="AK4" s="5">
        <f t="shared" ref="AK4:AK5" si="43">MAX(AH4,AI4,AJ4)</f>
        <v>6.3366590994446123E-2</v>
      </c>
      <c r="AL4" s="5">
        <f t="shared" ref="AL4:AL5" si="44">1/(1+EXP(12.597-0.05861*35-1.568*((S4/0.817)^0.4612)))</f>
        <v>8.066984148380035E-3</v>
      </c>
      <c r="AM4" s="5">
        <f t="shared" ref="AM4:AM5" si="45">AL4</f>
        <v>8.066984148380035E-3</v>
      </c>
      <c r="AN4" s="5">
        <f t="shared" ref="AN4:AN5" si="46">1/(1+EXP(5.7949-0.7619*U4/1000))</f>
        <v>8.3575710425069869E-3</v>
      </c>
      <c r="AO4" s="5">
        <f t="shared" ref="AO4:AO5" si="47">1/(1+EXP(5.7949-0.7619*V4/1000))</f>
        <v>5.1359123258313873E-3</v>
      </c>
      <c r="AP4" s="21">
        <f t="shared" ref="AP4:AP5" si="48">MAX(AN4,AO4)</f>
        <v>8.3575710425069869E-3</v>
      </c>
      <c r="AQ4" s="204">
        <f t="shared" ref="AQ4:AQ5" si="49">ROUND(1-(1-W4)*(1-AA4)*(1-AC4)*(1-AF4),3)</f>
        <v>9.1999999999999998E-2</v>
      </c>
      <c r="AR4" s="5">
        <f t="shared" ref="AR4:AR5" si="50">ROUND(1-(1-AG4)*(1-AK4)*(1-AM4)*(1-AP4),3)</f>
        <v>9.4E-2</v>
      </c>
      <c r="AS4" s="5">
        <f t="shared" ref="AS4:AS5" si="51">ROUND(AVERAGE(AR4,AQ4),3)</f>
        <v>9.2999999999999999E-2</v>
      </c>
      <c r="AT4" s="127">
        <f t="shared" ref="AT4:AT5" si="52">ROUND(AQ4/0.15,2)</f>
        <v>0.61</v>
      </c>
      <c r="AU4" s="127">
        <f t="shared" ref="AU4:AU5" si="53">ROUND(AR4/0.15,2)</f>
        <v>0.63</v>
      </c>
      <c r="AV4" s="127">
        <f t="shared" ref="AV4:AV5" si="54">ROUND(AS4/0.15,2)</f>
        <v>0.62</v>
      </c>
      <c r="AW4" s="47">
        <f t="shared" ref="AW4:AW5" si="55">IF(AT4&lt;0.67,5,IF(AT4&lt;1,4,IF(AT4&lt;1.33,3,IF(AT4&lt;2.67,2,1))))</f>
        <v>5</v>
      </c>
      <c r="AX4" s="47">
        <f t="shared" ref="AX4:AX5" si="56">IF(AU4&lt;0.67,5,IF(AU4&lt;1,4,IF(AU4&lt;1.33,3,IF(AU4&lt;2.67,2,1))))</f>
        <v>5</v>
      </c>
      <c r="AY4" s="205">
        <f t="shared" ref="AY4:AY5" si="57">IF(AV4&lt;0.67,5,IF(AV4&lt;1,4,IF(AV4&lt;1.33,3,IF(AV4&lt;2.67,2,1))))</f>
        <v>5</v>
      </c>
    </row>
    <row r="5" spans="1:51" ht="13.15" customHeight="1">
      <c r="A5" s="206">
        <v>10651</v>
      </c>
      <c r="B5" s="207" t="s">
        <v>96</v>
      </c>
      <c r="C5" s="201" t="str">
        <f>Rollover!A5</f>
        <v>Toyota</v>
      </c>
      <c r="D5" s="202" t="str">
        <f>Rollover!B5</f>
        <v>Corolla Hybrid 4DR FWD</v>
      </c>
      <c r="E5" s="129" t="s">
        <v>85</v>
      </c>
      <c r="F5" s="203">
        <f>Rollover!C5</f>
        <v>2020</v>
      </c>
      <c r="G5" s="10">
        <v>186.548</v>
      </c>
      <c r="H5" s="11">
        <v>0.27300000000000002</v>
      </c>
      <c r="I5" s="11">
        <v>1080.8340000000001</v>
      </c>
      <c r="J5" s="11">
        <v>221.012</v>
      </c>
      <c r="K5" s="11">
        <v>24.053999999999998</v>
      </c>
      <c r="L5" s="11">
        <v>45.079000000000001</v>
      </c>
      <c r="M5" s="11">
        <v>1468.2719999999999</v>
      </c>
      <c r="N5" s="12">
        <v>1380.788</v>
      </c>
      <c r="O5" s="10">
        <v>356.32299999999998</v>
      </c>
      <c r="P5" s="11">
        <v>0.27100000000000002</v>
      </c>
      <c r="Q5" s="11">
        <v>733.971</v>
      </c>
      <c r="R5" s="11">
        <v>381.9</v>
      </c>
      <c r="S5" s="11">
        <v>13.587999999999999</v>
      </c>
      <c r="T5" s="11">
        <v>48.542000000000002</v>
      </c>
      <c r="U5" s="11">
        <v>1337.059</v>
      </c>
      <c r="V5" s="12">
        <v>693.72799999999995</v>
      </c>
      <c r="W5" s="204">
        <f t="shared" si="29"/>
        <v>1.3280132735441646E-3</v>
      </c>
      <c r="X5" s="5">
        <f t="shared" si="30"/>
        <v>6.3600694729198576E-2</v>
      </c>
      <c r="Y5" s="5">
        <f t="shared" si="31"/>
        <v>2.231330320868445E-4</v>
      </c>
      <c r="Z5" s="5">
        <f t="shared" si="32"/>
        <v>2.8959117628590589E-5</v>
      </c>
      <c r="AA5" s="5">
        <f t="shared" si="33"/>
        <v>6.3600694729198576E-2</v>
      </c>
      <c r="AB5" s="5">
        <f t="shared" si="34"/>
        <v>2.3019088613042766E-2</v>
      </c>
      <c r="AC5" s="5">
        <f t="shared" si="35"/>
        <v>2.3019088613042766E-2</v>
      </c>
      <c r="AD5" s="5">
        <f t="shared" si="36"/>
        <v>6.4835277820869067E-3</v>
      </c>
      <c r="AE5" s="5">
        <f t="shared" si="37"/>
        <v>6.1971917736574752E-3</v>
      </c>
      <c r="AF5" s="21">
        <f t="shared" si="38"/>
        <v>6.4835277820869067E-3</v>
      </c>
      <c r="AG5" s="20">
        <f t="shared" si="39"/>
        <v>1.6568243756006254E-2</v>
      </c>
      <c r="AH5" s="5">
        <f t="shared" si="40"/>
        <v>6.3366590994446123E-2</v>
      </c>
      <c r="AI5" s="5">
        <f t="shared" si="41"/>
        <v>2.7707940068093061E-4</v>
      </c>
      <c r="AJ5" s="5">
        <f t="shared" si="42"/>
        <v>7.3493727433486964E-5</v>
      </c>
      <c r="AK5" s="5">
        <f t="shared" si="43"/>
        <v>6.3366590994446123E-2</v>
      </c>
      <c r="AL5" s="5">
        <f t="shared" si="44"/>
        <v>8.066984148380035E-3</v>
      </c>
      <c r="AM5" s="5">
        <f t="shared" si="45"/>
        <v>8.066984148380035E-3</v>
      </c>
      <c r="AN5" s="5">
        <f t="shared" si="46"/>
        <v>8.3575710425069869E-3</v>
      </c>
      <c r="AO5" s="5">
        <f t="shared" si="47"/>
        <v>5.1359123258313873E-3</v>
      </c>
      <c r="AP5" s="21">
        <f t="shared" si="48"/>
        <v>8.3575710425069869E-3</v>
      </c>
      <c r="AQ5" s="204">
        <f t="shared" si="49"/>
        <v>9.1999999999999998E-2</v>
      </c>
      <c r="AR5" s="5">
        <f t="shared" si="50"/>
        <v>9.4E-2</v>
      </c>
      <c r="AS5" s="5">
        <f t="shared" si="51"/>
        <v>9.2999999999999999E-2</v>
      </c>
      <c r="AT5" s="127">
        <f t="shared" si="52"/>
        <v>0.61</v>
      </c>
      <c r="AU5" s="127">
        <f t="shared" si="53"/>
        <v>0.63</v>
      </c>
      <c r="AV5" s="127">
        <f t="shared" si="54"/>
        <v>0.62</v>
      </c>
      <c r="AW5" s="47">
        <f t="shared" si="55"/>
        <v>5</v>
      </c>
      <c r="AX5" s="47">
        <f t="shared" si="56"/>
        <v>5</v>
      </c>
      <c r="AY5" s="205">
        <f t="shared" si="57"/>
        <v>5</v>
      </c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6"/>
  <sheetViews>
    <sheetView workbookViewId="0">
      <pane xSplit="6" ySplit="2" topLeftCell="G3" activePane="bottomRight" state="frozen"/>
      <selection activeCell="B12" sqref="B12"/>
      <selection pane="topRight" activeCell="B12" sqref="B12"/>
      <selection pane="bottomLeft" activeCell="B12" sqref="B12"/>
      <selection pane="bottomRight" activeCell="AF1" sqref="AF1:AJ1048576"/>
    </sheetView>
  </sheetViews>
  <sheetFormatPr defaultRowHeight="12.75"/>
  <cols>
    <col min="1" max="1" width="7.28515625" style="177" customWidth="1"/>
    <col min="2" max="2" width="9" style="177" bestFit="1" customWidth="1"/>
    <col min="3" max="3" width="13.5703125" style="69" bestFit="1" customWidth="1"/>
    <col min="4" max="4" width="36.140625" style="69" customWidth="1"/>
    <col min="5" max="5" width="6.5703125" style="69" bestFit="1" customWidth="1"/>
    <col min="6" max="6" width="5.7109375" style="69" customWidth="1"/>
    <col min="7" max="16" width="8.7109375" style="165" customWidth="1"/>
    <col min="17" max="20" width="9.140625" style="69" customWidth="1"/>
    <col min="21" max="21" width="10.7109375" style="69" customWidth="1"/>
    <col min="22" max="22" width="8.140625" style="69" customWidth="1"/>
    <col min="23" max="23" width="8" style="178" customWidth="1"/>
    <col min="24" max="24" width="10.140625" style="178" customWidth="1"/>
    <col min="25" max="25" width="9.140625" style="178" customWidth="1"/>
    <col min="26" max="26" width="8" style="178" customWidth="1"/>
    <col min="27" max="27" width="9.5703125" style="178" customWidth="1"/>
    <col min="28" max="28" width="6.140625" style="178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69"/>
  </cols>
  <sheetData>
    <row r="1" spans="1:51" s="56" customFormat="1" ht="13.5" thickBot="1">
      <c r="A1" s="109"/>
      <c r="B1" s="110"/>
      <c r="C1" s="111"/>
      <c r="D1" s="111"/>
      <c r="E1" s="112"/>
      <c r="F1" s="112"/>
      <c r="G1" s="113" t="s">
        <v>41</v>
      </c>
      <c r="H1" s="114"/>
      <c r="I1" s="114"/>
      <c r="J1" s="114"/>
      <c r="K1" s="115"/>
      <c r="L1" s="116" t="s">
        <v>42</v>
      </c>
      <c r="M1" s="117"/>
      <c r="N1" s="117"/>
      <c r="O1" s="117"/>
      <c r="P1" s="118"/>
      <c r="Q1" s="51" t="s">
        <v>43</v>
      </c>
      <c r="R1" s="119"/>
      <c r="S1" s="119"/>
      <c r="T1" s="120"/>
      <c r="U1" s="51" t="s">
        <v>42</v>
      </c>
      <c r="V1" s="52"/>
      <c r="W1" s="31" t="s">
        <v>13</v>
      </c>
      <c r="X1" s="32" t="s">
        <v>69</v>
      </c>
      <c r="Y1" s="33" t="s">
        <v>49</v>
      </c>
      <c r="Z1" s="31" t="s">
        <v>13</v>
      </c>
      <c r="AA1" s="32" t="s">
        <v>16</v>
      </c>
      <c r="AB1" s="33" t="s">
        <v>54</v>
      </c>
      <c r="AC1" s="35" t="s">
        <v>13</v>
      </c>
      <c r="AD1" s="36" t="s">
        <v>16</v>
      </c>
      <c r="AE1" s="37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21" t="s">
        <v>27</v>
      </c>
      <c r="B2" s="122" t="s">
        <v>84</v>
      </c>
      <c r="C2" s="50" t="s">
        <v>19</v>
      </c>
      <c r="D2" s="57" t="s">
        <v>20</v>
      </c>
      <c r="E2" s="57" t="s">
        <v>76</v>
      </c>
      <c r="F2" s="58" t="s">
        <v>21</v>
      </c>
      <c r="G2" s="123" t="s">
        <v>59</v>
      </c>
      <c r="H2" s="124" t="s">
        <v>33</v>
      </c>
      <c r="I2" s="124" t="s">
        <v>10</v>
      </c>
      <c r="J2" s="124" t="s">
        <v>11</v>
      </c>
      <c r="K2" s="125" t="s">
        <v>12</v>
      </c>
      <c r="L2" s="123" t="s">
        <v>59</v>
      </c>
      <c r="M2" s="124" t="s">
        <v>33</v>
      </c>
      <c r="N2" s="124" t="s">
        <v>10</v>
      </c>
      <c r="O2" s="124" t="s">
        <v>39</v>
      </c>
      <c r="P2" s="125" t="s">
        <v>40</v>
      </c>
      <c r="Q2" s="25" t="s">
        <v>1</v>
      </c>
      <c r="R2" s="26" t="s">
        <v>3</v>
      </c>
      <c r="S2" s="26" t="s">
        <v>14</v>
      </c>
      <c r="T2" s="27" t="s">
        <v>15</v>
      </c>
      <c r="U2" s="25" t="s">
        <v>1</v>
      </c>
      <c r="V2" s="27" t="s">
        <v>15</v>
      </c>
      <c r="W2" s="28" t="s">
        <v>17</v>
      </c>
      <c r="X2" s="29" t="s">
        <v>17</v>
      </c>
      <c r="Y2" s="30" t="s">
        <v>17</v>
      </c>
      <c r="Z2" s="172" t="s">
        <v>66</v>
      </c>
      <c r="AA2" s="173" t="s">
        <v>66</v>
      </c>
      <c r="AB2" s="34" t="s">
        <v>66</v>
      </c>
      <c r="AC2" s="174" t="s">
        <v>45</v>
      </c>
      <c r="AD2" s="159" t="s">
        <v>45</v>
      </c>
      <c r="AE2" s="27" t="s">
        <v>45</v>
      </c>
      <c r="AF2" s="175"/>
      <c r="AG2" s="175"/>
      <c r="AH2" s="176"/>
      <c r="AI2" s="176"/>
      <c r="AJ2" s="176"/>
      <c r="AK2" s="176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 ht="13.15" customHeight="1">
      <c r="A3" s="64"/>
      <c r="B3" s="64"/>
      <c r="C3" s="24" t="str">
        <f>Rollover!A3</f>
        <v>Jeep</v>
      </c>
      <c r="D3" s="43" t="str">
        <f>Rollover!B3</f>
        <v>Gladiator PU/CC 4WD</v>
      </c>
      <c r="E3" s="9"/>
      <c r="F3" s="126">
        <f>Rollover!C3</f>
        <v>2020</v>
      </c>
      <c r="G3" s="10"/>
      <c r="H3" s="11"/>
      <c r="I3" s="11"/>
      <c r="J3" s="11"/>
      <c r="K3" s="12"/>
      <c r="L3" s="10"/>
      <c r="M3" s="11"/>
      <c r="N3" s="11"/>
      <c r="O3" s="11"/>
      <c r="P3" s="12"/>
      <c r="Q3" s="20" t="e">
        <f t="shared" ref="Q3" si="0">NORMDIST(LN(G3),7.45231,0.73998,1)</f>
        <v>#NUM!</v>
      </c>
      <c r="R3" s="5">
        <f t="shared" ref="R3" si="1">1/(1+EXP(5.3895-0.0919*H3))</f>
        <v>4.5435171224880964E-3</v>
      </c>
      <c r="S3" s="5">
        <f t="shared" ref="S3" si="2">1/(1+EXP(6.04044-0.002133*J3))</f>
        <v>2.3748578822706131E-3</v>
      </c>
      <c r="T3" s="21">
        <f t="shared" ref="T3" si="3">1/(1+EXP(7.5969-0.0011*K3))</f>
        <v>5.0175335722563109E-4</v>
      </c>
      <c r="U3" s="20" t="e">
        <f t="shared" ref="U3" si="4">NORMDIST(LN(L3),7.45231,0.73998,1)</f>
        <v>#NUM!</v>
      </c>
      <c r="V3" s="21">
        <f t="shared" ref="V3" si="5">1/(1+EXP(6.3055-0.00094*P3))</f>
        <v>1.8229037773026034E-3</v>
      </c>
      <c r="W3" s="20" t="e">
        <f t="shared" ref="W3" si="6">ROUND(1-(1-Q3)*(1-R3)*(1-S3)*(1-T3),3)</f>
        <v>#NUM!</v>
      </c>
      <c r="X3" s="5" t="e">
        <f t="shared" ref="X3" si="7">IF(L3="N/A",L3,ROUND(1-(1-U3)*(1-V3),3))</f>
        <v>#NUM!</v>
      </c>
      <c r="Y3" s="21" t="e">
        <f t="shared" ref="Y3" si="8">ROUND(AVERAGE(W3:X3),3)</f>
        <v>#NUM!</v>
      </c>
      <c r="Z3" s="22" t="e">
        <f t="shared" ref="Z3" si="9">ROUND(W3/0.15,2)</f>
        <v>#NUM!</v>
      </c>
      <c r="AA3" s="127" t="e">
        <f t="shared" ref="AA3" si="10">IF(L3="N/A", L3, ROUND(X3/0.15,2))</f>
        <v>#NUM!</v>
      </c>
      <c r="AB3" s="23" t="e">
        <f t="shared" ref="AB3" si="11">ROUND(Y3/0.15,2)</f>
        <v>#NUM!</v>
      </c>
      <c r="AC3" s="18" t="e">
        <f t="shared" ref="AC3" si="12">IF(Z3&lt;0.67,5,IF(Z3&lt;1,4,IF(Z3&lt;1.33,3,IF(Z3&lt;2.67,2,1))))</f>
        <v>#NUM!</v>
      </c>
      <c r="AD3" s="47" t="e">
        <f t="shared" ref="AD3" si="13">IF(L3="N/A",L3,IF(AA3&lt;0.67,5,IF(AA3&lt;1,4,IF(AA3&lt;1.33,3,IF(AA3&lt;2.67,2,1)))))</f>
        <v>#NUM!</v>
      </c>
      <c r="AE3" s="19" t="e">
        <f t="shared" ref="AE3" si="14">IF(AB3&lt;0.67,5,IF(AB3&lt;1,4,IF(AB3&lt;1.33,3,IF(AB3&lt;2.67,2,1))))</f>
        <v>#NUM!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 ht="13.15" customHeight="1">
      <c r="A4" s="8">
        <v>10798</v>
      </c>
      <c r="B4" s="128" t="s">
        <v>88</v>
      </c>
      <c r="C4" s="24" t="str">
        <f>Rollover!A4</f>
        <v>Toyota</v>
      </c>
      <c r="D4" s="43" t="str">
        <f>Rollover!B4</f>
        <v>Corolla 4DR FWD</v>
      </c>
      <c r="E4" s="9" t="s">
        <v>85</v>
      </c>
      <c r="F4" s="126">
        <f>Rollover!C4</f>
        <v>2020</v>
      </c>
      <c r="G4" s="10">
        <v>84.995999999999995</v>
      </c>
      <c r="H4" s="11">
        <v>22.896999999999998</v>
      </c>
      <c r="I4" s="11">
        <v>33.213000000000001</v>
      </c>
      <c r="J4" s="11">
        <v>606.36099999999999</v>
      </c>
      <c r="K4" s="12">
        <v>1781.702</v>
      </c>
      <c r="L4" s="10">
        <v>162.178</v>
      </c>
      <c r="M4" s="44">
        <v>43.720999999999997</v>
      </c>
      <c r="N4" s="11">
        <v>59.920999999999999</v>
      </c>
      <c r="O4" s="11">
        <v>35.392000000000003</v>
      </c>
      <c r="P4" s="12">
        <v>2241.2860000000001</v>
      </c>
      <c r="Q4" s="20">
        <f t="shared" ref="Q4:Q5" si="15">NORMDIST(LN(G4),7.45231,0.73998,1)</f>
        <v>2.3782546118213887E-5</v>
      </c>
      <c r="R4" s="5">
        <f t="shared" ref="R4:R5" si="16">1/(1+EXP(5.3895-0.0919*H4))</f>
        <v>3.6080135928211028E-2</v>
      </c>
      <c r="S4" s="5">
        <f t="shared" ref="S4:S5" si="17">1/(1+EXP(6.04044-0.002133*J4))</f>
        <v>8.6024208406198423E-3</v>
      </c>
      <c r="T4" s="21">
        <f t="shared" ref="T4:T5" si="18">1/(1+EXP(7.5969-0.0011*K4))</f>
        <v>3.5507909058569418E-3</v>
      </c>
      <c r="U4" s="20">
        <f t="shared" ref="U4:U5" si="19">NORMDIST(LN(L4),7.45231,0.73998,1)</f>
        <v>7.0118860846596668E-4</v>
      </c>
      <c r="V4" s="21">
        <f t="shared" ref="V4:V5" si="20">1/(1+EXP(6.3055-0.00094*P4))</f>
        <v>1.4793094957810496E-2</v>
      </c>
      <c r="W4" s="20">
        <f t="shared" ref="W4:W5" si="21">ROUND(1-(1-Q4)*(1-R4)*(1-S4)*(1-T4),3)</f>
        <v>4.8000000000000001E-2</v>
      </c>
      <c r="X4" s="5">
        <f t="shared" ref="X4:X5" si="22">IF(L4="N/A",L4,ROUND(1-(1-U4)*(1-V4),3))</f>
        <v>1.4999999999999999E-2</v>
      </c>
      <c r="Y4" s="21">
        <f t="shared" ref="Y4:Y5" si="23">ROUND(AVERAGE(W4:X4),3)</f>
        <v>3.2000000000000001E-2</v>
      </c>
      <c r="Z4" s="22">
        <f t="shared" ref="Z4:Z5" si="24">ROUND(W4/0.15,2)</f>
        <v>0.32</v>
      </c>
      <c r="AA4" s="127">
        <f t="shared" ref="AA4:AA5" si="25">IF(L4="N/A", L4, ROUND(X4/0.15,2))</f>
        <v>0.1</v>
      </c>
      <c r="AB4" s="23">
        <f t="shared" ref="AB4:AB5" si="26">ROUND(Y4/0.15,2)</f>
        <v>0.21</v>
      </c>
      <c r="AC4" s="18">
        <f t="shared" ref="AC4:AC5" si="27">IF(Z4&lt;0.67,5,IF(Z4&lt;1,4,IF(Z4&lt;1.33,3,IF(Z4&lt;2.67,2,1))))</f>
        <v>5</v>
      </c>
      <c r="AD4" s="47">
        <f t="shared" ref="AD4:AD5" si="28">IF(L4="N/A",L4,IF(AA4&lt;0.67,5,IF(AA4&lt;1,4,IF(AA4&lt;1.33,3,IF(AA4&lt;2.67,2,1)))))</f>
        <v>5</v>
      </c>
      <c r="AE4" s="19">
        <f t="shared" ref="AE4:AE5" si="29">IF(AB4&lt;0.67,5,IF(AB4&lt;1,4,IF(AB4&lt;1.33,3,IF(AB4&lt;2.67,2,1))))</f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ht="13.15" customHeight="1">
      <c r="A5" s="64">
        <v>10798</v>
      </c>
      <c r="B5" s="129" t="s">
        <v>88</v>
      </c>
      <c r="C5" s="24" t="str">
        <f>Rollover!A5</f>
        <v>Toyota</v>
      </c>
      <c r="D5" s="43" t="str">
        <f>Rollover!B5</f>
        <v>Corolla Hybrid 4DR FWD</v>
      </c>
      <c r="E5" s="9" t="s">
        <v>85</v>
      </c>
      <c r="F5" s="126">
        <f>Rollover!C5</f>
        <v>2020</v>
      </c>
      <c r="G5" s="10">
        <v>84.995999999999995</v>
      </c>
      <c r="H5" s="11">
        <v>22.896999999999998</v>
      </c>
      <c r="I5" s="11">
        <v>33.213000000000001</v>
      </c>
      <c r="J5" s="11">
        <v>606.36099999999999</v>
      </c>
      <c r="K5" s="12">
        <v>1781.702</v>
      </c>
      <c r="L5" s="10">
        <v>162.178</v>
      </c>
      <c r="M5" s="44">
        <v>43.720999999999997</v>
      </c>
      <c r="N5" s="11">
        <v>59.920999999999999</v>
      </c>
      <c r="O5" s="11">
        <v>35.392000000000003</v>
      </c>
      <c r="P5" s="12">
        <v>2241.2860000000001</v>
      </c>
      <c r="Q5" s="20">
        <f t="shared" si="15"/>
        <v>2.3782546118213887E-5</v>
      </c>
      <c r="R5" s="5">
        <f t="shared" si="16"/>
        <v>3.6080135928211028E-2</v>
      </c>
      <c r="S5" s="5">
        <f t="shared" si="17"/>
        <v>8.6024208406198423E-3</v>
      </c>
      <c r="T5" s="21">
        <f t="shared" si="18"/>
        <v>3.5507909058569418E-3</v>
      </c>
      <c r="U5" s="20">
        <f t="shared" si="19"/>
        <v>7.0118860846596668E-4</v>
      </c>
      <c r="V5" s="21">
        <f t="shared" si="20"/>
        <v>1.4793094957810496E-2</v>
      </c>
      <c r="W5" s="20">
        <f t="shared" si="21"/>
        <v>4.8000000000000001E-2</v>
      </c>
      <c r="X5" s="5">
        <f t="shared" si="22"/>
        <v>1.4999999999999999E-2</v>
      </c>
      <c r="Y5" s="21">
        <f t="shared" si="23"/>
        <v>3.2000000000000001E-2</v>
      </c>
      <c r="Z5" s="22">
        <f t="shared" si="24"/>
        <v>0.32</v>
      </c>
      <c r="AA5" s="127">
        <f t="shared" si="25"/>
        <v>0.1</v>
      </c>
      <c r="AB5" s="23">
        <f t="shared" si="26"/>
        <v>0.21</v>
      </c>
      <c r="AC5" s="18">
        <f t="shared" si="27"/>
        <v>5</v>
      </c>
      <c r="AD5" s="47">
        <f t="shared" si="28"/>
        <v>5</v>
      </c>
      <c r="AE5" s="19">
        <f t="shared" si="29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E6" s="2"/>
    </row>
    <row r="7" spans="1:51">
      <c r="AE7" s="2"/>
    </row>
    <row r="8" spans="1:51">
      <c r="AE8" s="2"/>
    </row>
    <row r="9" spans="1:51">
      <c r="AE9" s="2"/>
    </row>
    <row r="10" spans="1:51">
      <c r="AE10" s="2"/>
    </row>
    <row r="11" spans="1:51">
      <c r="AE11" s="2"/>
    </row>
    <row r="12" spans="1:51">
      <c r="AE12" s="2"/>
    </row>
    <row r="13" spans="1:51">
      <c r="AE13" s="2"/>
    </row>
    <row r="14" spans="1:51">
      <c r="AE14" s="2"/>
    </row>
    <row r="15" spans="1:51">
      <c r="AE15" s="2"/>
    </row>
    <row r="16" spans="1:51">
      <c r="AE16" s="2"/>
    </row>
    <row r="17" spans="31:31">
      <c r="AE17" s="2"/>
    </row>
    <row r="18" spans="31:31">
      <c r="AE18" s="2"/>
    </row>
    <row r="19" spans="31:31">
      <c r="AE19" s="2"/>
    </row>
    <row r="20" spans="31:31">
      <c r="AE20" s="2"/>
    </row>
    <row r="21" spans="31:31">
      <c r="AE21" s="2"/>
    </row>
    <row r="22" spans="31:31">
      <c r="AE22" s="2"/>
    </row>
    <row r="23" spans="31:31">
      <c r="AE23" s="2"/>
    </row>
    <row r="24" spans="31:31">
      <c r="AE24" s="2"/>
    </row>
    <row r="25" spans="31:31">
      <c r="AE25" s="2"/>
    </row>
    <row r="26" spans="31:31">
      <c r="AE26" s="2"/>
    </row>
    <row r="27" spans="31:31">
      <c r="AE27" s="2"/>
    </row>
    <row r="28" spans="31:31">
      <c r="AE28" s="2"/>
    </row>
    <row r="29" spans="31:31">
      <c r="AE29" s="2"/>
    </row>
    <row r="30" spans="31:31">
      <c r="AE30" s="2"/>
    </row>
    <row r="31" spans="31:31">
      <c r="AE31" s="2"/>
    </row>
    <row r="32" spans="31:3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6"/>
  <sheetViews>
    <sheetView zoomScaleNormal="100" workbookViewId="0">
      <pane xSplit="6" ySplit="2" topLeftCell="G3" activePane="bottomRight" state="frozen"/>
      <selection activeCell="B12" sqref="B12"/>
      <selection pane="topRight" activeCell="B12" sqref="B12"/>
      <selection pane="bottomLeft" activeCell="B12" sqref="B12"/>
      <selection pane="bottomRight" activeCell="W1" sqref="W1:Z1048576"/>
    </sheetView>
  </sheetViews>
  <sheetFormatPr defaultColWidth="9.140625" defaultRowHeight="13.9" customHeight="1"/>
  <cols>
    <col min="1" max="1" width="8.5703125" style="166" bestFit="1" customWidth="1"/>
    <col min="2" max="2" width="9" style="166" bestFit="1" customWidth="1"/>
    <col min="3" max="3" width="13.5703125" style="167" bestFit="1" customWidth="1"/>
    <col min="4" max="4" width="36.140625" style="167" bestFit="1" customWidth="1"/>
    <col min="5" max="5" width="6.5703125" style="168" customWidth="1"/>
    <col min="6" max="6" width="7.42578125" style="169" bestFit="1" customWidth="1"/>
    <col min="7" max="10" width="8.7109375" style="165" customWidth="1"/>
    <col min="11" max="11" width="9.85546875" style="165" customWidth="1"/>
    <col min="12" max="12" width="7" style="165" customWidth="1"/>
    <col min="13" max="13" width="7.42578125" style="165" customWidth="1"/>
    <col min="14" max="14" width="7.85546875" style="170" customWidth="1"/>
    <col min="15" max="15" width="8.5703125" style="170" bestFit="1" customWidth="1"/>
    <col min="16" max="16" width="8.28515625" style="171" customWidth="1"/>
    <col min="17" max="17" width="9.28515625" style="170" customWidth="1"/>
    <col min="18" max="18" width="10.140625" style="165" customWidth="1"/>
    <col min="19" max="19" width="6" style="166" customWidth="1"/>
    <col min="20" max="20" width="10.28515625" style="166" bestFit="1" customWidth="1"/>
    <col min="21" max="21" width="10.140625" style="166" customWidth="1"/>
    <col min="22" max="22" width="10.28515625" style="166" bestFit="1" customWidth="1"/>
    <col min="23" max="16384" width="9.140625" style="165"/>
  </cols>
  <sheetData>
    <row r="1" spans="1:38" s="107" customFormat="1" ht="13.9" customHeight="1" thickBot="1">
      <c r="A1" s="136"/>
      <c r="B1" s="137"/>
      <c r="C1" s="138"/>
      <c r="D1" s="138"/>
      <c r="E1" s="139"/>
      <c r="F1" s="140"/>
      <c r="G1" s="141" t="s">
        <v>47</v>
      </c>
      <c r="H1" s="142"/>
      <c r="I1" s="142"/>
      <c r="J1" s="142"/>
      <c r="K1" s="143"/>
      <c r="L1" s="144" t="s">
        <v>47</v>
      </c>
      <c r="M1" s="106"/>
      <c r="N1" s="145" t="s">
        <v>13</v>
      </c>
      <c r="O1" s="146" t="s">
        <v>13</v>
      </c>
      <c r="P1" s="37" t="s">
        <v>46</v>
      </c>
      <c r="Q1" s="147" t="s">
        <v>13</v>
      </c>
      <c r="R1" s="148" t="s">
        <v>13</v>
      </c>
      <c r="S1" s="36" t="s">
        <v>13</v>
      </c>
      <c r="T1" s="36" t="s">
        <v>60</v>
      </c>
      <c r="U1" s="36" t="s">
        <v>77</v>
      </c>
      <c r="V1" s="37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08" customFormat="1" ht="45.75" thickBot="1">
      <c r="A2" s="35" t="s">
        <v>27</v>
      </c>
      <c r="B2" s="36" t="s">
        <v>84</v>
      </c>
      <c r="C2" s="149" t="s">
        <v>19</v>
      </c>
      <c r="D2" s="149" t="s">
        <v>20</v>
      </c>
      <c r="E2" s="150" t="s">
        <v>76</v>
      </c>
      <c r="F2" s="151" t="s">
        <v>21</v>
      </c>
      <c r="G2" s="152" t="s">
        <v>59</v>
      </c>
      <c r="H2" s="153" t="s">
        <v>73</v>
      </c>
      <c r="I2" s="153" t="s">
        <v>74</v>
      </c>
      <c r="J2" s="153" t="s">
        <v>72</v>
      </c>
      <c r="K2" s="154" t="s">
        <v>40</v>
      </c>
      <c r="L2" s="155" t="s">
        <v>1</v>
      </c>
      <c r="M2" s="156" t="s">
        <v>15</v>
      </c>
      <c r="N2" s="155" t="s">
        <v>17</v>
      </c>
      <c r="O2" s="157" t="s">
        <v>67</v>
      </c>
      <c r="P2" s="27" t="s">
        <v>45</v>
      </c>
      <c r="Q2" s="158" t="s">
        <v>80</v>
      </c>
      <c r="R2" s="153" t="s">
        <v>81</v>
      </c>
      <c r="S2" s="159" t="s">
        <v>82</v>
      </c>
      <c r="T2" s="153" t="s">
        <v>79</v>
      </c>
      <c r="U2" s="153" t="s">
        <v>78</v>
      </c>
      <c r="V2" s="39" t="s">
        <v>83</v>
      </c>
      <c r="W2" s="4"/>
      <c r="X2" s="4"/>
      <c r="Y2" s="40"/>
      <c r="Z2" s="40"/>
      <c r="AA2" s="40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13.9" customHeight="1">
      <c r="A3" s="160"/>
      <c r="B3" s="160"/>
      <c r="C3" s="161" t="str">
        <f>Rollover!A3</f>
        <v>Jeep</v>
      </c>
      <c r="D3" s="161" t="str">
        <f>Rollover!B3</f>
        <v>Gladiator PU/CC 4WD</v>
      </c>
      <c r="E3" s="66"/>
      <c r="F3" s="162">
        <f>Rollover!C3</f>
        <v>2020</v>
      </c>
      <c r="G3" s="45"/>
      <c r="H3" s="11"/>
      <c r="I3" s="11"/>
      <c r="J3" s="46"/>
      <c r="K3" s="46"/>
      <c r="L3" s="20" t="e">
        <f t="shared" ref="L3" si="0">NORMDIST(LN(G3),7.45231,0.73998,1)</f>
        <v>#NUM!</v>
      </c>
      <c r="M3" s="21">
        <f t="shared" ref="M3" si="1">1/(1+EXP(6.3055-0.00094*K3))</f>
        <v>1.8229037773026034E-3</v>
      </c>
      <c r="N3" s="20" t="e">
        <f t="shared" ref="N3" si="2">ROUND(1-(1-L3)*(1-M3),3)</f>
        <v>#NUM!</v>
      </c>
      <c r="O3" s="5" t="e">
        <f t="shared" ref="O3" si="3">ROUND(N3/0.15,2)</f>
        <v>#NUM!</v>
      </c>
      <c r="P3" s="19" t="e">
        <f t="shared" ref="P3" si="4">IF(O3&lt;0.67,5,IF(O3&lt;1,4,IF(O3&lt;1.33,3,IF(O3&lt;2.67,2,1))))</f>
        <v>#NUM!</v>
      </c>
      <c r="Q3" s="163" t="e">
        <f>ROUND((0.8*'Side MDB'!W3+0.2*'Side Pole'!N3),3)</f>
        <v>#NUM!</v>
      </c>
      <c r="R3" s="164" t="e">
        <f t="shared" ref="R3" si="5">ROUND((Q3)/0.15,2)</f>
        <v>#NUM!</v>
      </c>
      <c r="S3" s="47" t="e">
        <f t="shared" ref="S3" si="6">IF(R3&lt;0.67,5,IF(R3&lt;1,4,IF(R3&lt;1.33,3,IF(R3&lt;2.67,2,1))))</f>
        <v>#NUM!</v>
      </c>
      <c r="T3" s="164" t="e">
        <f>ROUND(((0.8*'Side MDB'!W3+0.2*'Side Pole'!N3)+(IF('Side MDB'!X3="N/A",(0.8*'Side MDB'!W3+0.2*'Side Pole'!N3),'Side MDB'!X3)))/2,3)</f>
        <v>#NUM!</v>
      </c>
      <c r="U3" s="164" t="e">
        <f t="shared" ref="U3" si="7">ROUND((T3)/0.15,2)</f>
        <v>#NUM!</v>
      </c>
      <c r="V3" s="19" t="e">
        <f t="shared" ref="V3" si="8">IF(U3&lt;0.67,5,IF(U3&lt;1,4,IF(U3&lt;1.33,3,IF(U3&lt;2.67,2,1))))</f>
        <v>#NUM!</v>
      </c>
      <c r="W3" s="15"/>
      <c r="X3" s="15"/>
      <c r="Y3" s="48"/>
      <c r="Z3" s="48"/>
      <c r="AA3" s="48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13.9" customHeight="1">
      <c r="A4" s="160">
        <v>10650</v>
      </c>
      <c r="B4" s="160" t="s">
        <v>97</v>
      </c>
      <c r="C4" s="161" t="str">
        <f>Rollover!A4</f>
        <v>Toyota</v>
      </c>
      <c r="D4" s="161" t="str">
        <f>Rollover!B4</f>
        <v>Corolla 4DR FWD</v>
      </c>
      <c r="E4" s="66" t="s">
        <v>85</v>
      </c>
      <c r="F4" s="162">
        <f>Rollover!C4</f>
        <v>2020</v>
      </c>
      <c r="G4" s="45">
        <v>239.12200000000001</v>
      </c>
      <c r="H4" s="11">
        <v>14.971</v>
      </c>
      <c r="I4" s="11">
        <v>31.571999999999999</v>
      </c>
      <c r="J4" s="46">
        <v>21.445</v>
      </c>
      <c r="K4" s="12">
        <v>2769.5720000000001</v>
      </c>
      <c r="L4" s="20">
        <f t="shared" ref="L4:L5" si="9">NORMDIST(LN(G4),7.45231,0.73998,1)</f>
        <v>3.7988325969970905E-3</v>
      </c>
      <c r="M4" s="21">
        <f t="shared" ref="M4:M5" si="10">1/(1+EXP(6.3055-0.00094*K4))</f>
        <v>2.4077571975424518E-2</v>
      </c>
      <c r="N4" s="20">
        <f t="shared" ref="N4:N5" si="11">ROUND(1-(1-L4)*(1-M4),3)</f>
        <v>2.8000000000000001E-2</v>
      </c>
      <c r="O4" s="5">
        <f t="shared" ref="O4:O5" si="12">ROUND(N4/0.15,2)</f>
        <v>0.19</v>
      </c>
      <c r="P4" s="19">
        <f t="shared" ref="P4:P5" si="13">IF(O4&lt;0.67,5,IF(O4&lt;1,4,IF(O4&lt;1.33,3,IF(O4&lt;2.67,2,1))))</f>
        <v>5</v>
      </c>
      <c r="Q4" s="163">
        <f>ROUND((0.8*'Side MDB'!W4+0.2*'Side Pole'!N4),3)</f>
        <v>4.3999999999999997E-2</v>
      </c>
      <c r="R4" s="164">
        <f t="shared" ref="R4:R5" si="14">ROUND((Q4)/0.15,2)</f>
        <v>0.28999999999999998</v>
      </c>
      <c r="S4" s="47">
        <f t="shared" ref="S4:S5" si="15">IF(R4&lt;0.67,5,IF(R4&lt;1,4,IF(R4&lt;1.33,3,IF(R4&lt;2.67,2,1))))</f>
        <v>5</v>
      </c>
      <c r="T4" s="164">
        <f>ROUND(((0.8*'Side MDB'!W4+0.2*'Side Pole'!N4)+(IF('Side MDB'!X4="N/A",(0.8*'Side MDB'!W4+0.2*'Side Pole'!N4),'Side MDB'!X4)))/2,3)</f>
        <v>0.03</v>
      </c>
      <c r="U4" s="164">
        <f t="shared" ref="U4:U5" si="16">ROUND((T4)/0.15,2)</f>
        <v>0.2</v>
      </c>
      <c r="V4" s="19">
        <f t="shared" ref="V4:V5" si="17">IF(U4&lt;0.67,5,IF(U4&lt;1,4,IF(U4&lt;1.33,3,IF(U4&lt;2.67,2,1))))</f>
        <v>5</v>
      </c>
      <c r="W4" s="15"/>
      <c r="X4" s="15"/>
      <c r="Y4" s="48"/>
      <c r="Z4" s="48"/>
      <c r="AA4" s="48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1:38" ht="13.9" customHeight="1">
      <c r="A5" s="160">
        <v>10650</v>
      </c>
      <c r="B5" s="160" t="s">
        <v>97</v>
      </c>
      <c r="C5" s="161" t="str">
        <f>Rollover!A5</f>
        <v>Toyota</v>
      </c>
      <c r="D5" s="161" t="str">
        <f>Rollover!B5</f>
        <v>Corolla Hybrid 4DR FWD</v>
      </c>
      <c r="E5" s="66" t="s">
        <v>85</v>
      </c>
      <c r="F5" s="162">
        <f>Rollover!C5</f>
        <v>2020</v>
      </c>
      <c r="G5" s="45">
        <v>239.12200000000001</v>
      </c>
      <c r="H5" s="11">
        <v>14.971</v>
      </c>
      <c r="I5" s="11">
        <v>31.571999999999999</v>
      </c>
      <c r="J5" s="46">
        <v>21.445</v>
      </c>
      <c r="K5" s="12">
        <v>2769.5720000000001</v>
      </c>
      <c r="L5" s="20">
        <f t="shared" si="9"/>
        <v>3.7988325969970905E-3</v>
      </c>
      <c r="M5" s="21">
        <f t="shared" si="10"/>
        <v>2.4077571975424518E-2</v>
      </c>
      <c r="N5" s="20">
        <f t="shared" si="11"/>
        <v>2.8000000000000001E-2</v>
      </c>
      <c r="O5" s="5">
        <f t="shared" si="12"/>
        <v>0.19</v>
      </c>
      <c r="P5" s="19">
        <f t="shared" si="13"/>
        <v>5</v>
      </c>
      <c r="Q5" s="163">
        <f>ROUND((0.8*'Side MDB'!W5+0.2*'Side Pole'!N5),3)</f>
        <v>4.3999999999999997E-2</v>
      </c>
      <c r="R5" s="164">
        <f t="shared" si="14"/>
        <v>0.28999999999999998</v>
      </c>
      <c r="S5" s="47">
        <f t="shared" si="15"/>
        <v>5</v>
      </c>
      <c r="T5" s="164">
        <f>ROUND(((0.8*'Side MDB'!W5+0.2*'Side Pole'!N5)+(IF('Side MDB'!X5="N/A",(0.8*'Side MDB'!W5+0.2*'Side Pole'!N5),'Side MDB'!X5)))/2,3)</f>
        <v>0.03</v>
      </c>
      <c r="U5" s="164">
        <f t="shared" si="16"/>
        <v>0.2</v>
      </c>
      <c r="V5" s="19">
        <f t="shared" si="17"/>
        <v>5</v>
      </c>
      <c r="W5" s="15"/>
      <c r="X5" s="15"/>
      <c r="Y5" s="48"/>
      <c r="Z5" s="48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13.9" customHeight="1">
      <c r="N6" s="165"/>
      <c r="O6" s="165"/>
      <c r="P6" s="166"/>
      <c r="Q6" s="165"/>
    </row>
    <row r="7" spans="1:38" ht="13.9" customHeight="1">
      <c r="N7" s="165"/>
      <c r="O7" s="165"/>
      <c r="P7" s="166"/>
      <c r="Q7" s="165"/>
    </row>
    <row r="8" spans="1:38" ht="13.9" customHeight="1">
      <c r="N8" s="165"/>
      <c r="O8" s="165"/>
      <c r="P8" s="166"/>
      <c r="Q8" s="165"/>
    </row>
    <row r="9" spans="1:38" ht="13.9" customHeight="1">
      <c r="N9" s="165"/>
      <c r="O9" s="165"/>
      <c r="P9" s="166"/>
      <c r="Q9" s="165"/>
    </row>
    <row r="10" spans="1:38" ht="13.9" customHeight="1">
      <c r="N10" s="165"/>
      <c r="O10" s="165"/>
      <c r="P10" s="166"/>
      <c r="Q10" s="165"/>
    </row>
    <row r="11" spans="1:38" ht="13.9" customHeight="1">
      <c r="N11" s="165"/>
      <c r="O11" s="165"/>
      <c r="P11" s="166"/>
      <c r="Q11" s="165"/>
    </row>
    <row r="12" spans="1:38" ht="13.9" customHeight="1">
      <c r="N12" s="165"/>
      <c r="O12" s="165"/>
      <c r="P12" s="166"/>
      <c r="Q12" s="165"/>
    </row>
    <row r="13" spans="1:38" ht="13.9" customHeight="1">
      <c r="N13" s="165"/>
      <c r="O13" s="165"/>
      <c r="P13" s="166"/>
      <c r="Q13" s="165"/>
    </row>
    <row r="14" spans="1:38" ht="13.9" customHeight="1">
      <c r="N14" s="165"/>
      <c r="O14" s="165"/>
      <c r="P14" s="166"/>
      <c r="Q14" s="165"/>
    </row>
    <row r="15" spans="1:38" ht="13.9" customHeight="1">
      <c r="N15" s="165"/>
      <c r="O15" s="165"/>
      <c r="P15" s="166"/>
      <c r="Q15" s="165"/>
    </row>
    <row r="16" spans="1:38" ht="13.9" customHeight="1">
      <c r="N16" s="165"/>
      <c r="O16" s="165"/>
      <c r="P16" s="166"/>
      <c r="Q16" s="165"/>
    </row>
    <row r="17" spans="14:17" ht="13.9" customHeight="1">
      <c r="N17" s="165"/>
      <c r="O17" s="165"/>
      <c r="P17" s="166"/>
      <c r="Q17" s="165"/>
    </row>
    <row r="18" spans="14:17" ht="13.9" customHeight="1">
      <c r="N18" s="165"/>
      <c r="O18" s="165"/>
      <c r="P18" s="166"/>
      <c r="Q18" s="165"/>
    </row>
    <row r="19" spans="14:17" ht="13.9" customHeight="1">
      <c r="N19" s="165"/>
      <c r="O19" s="165"/>
      <c r="P19" s="166"/>
      <c r="Q19" s="165"/>
    </row>
    <row r="20" spans="14:17" ht="13.9" customHeight="1">
      <c r="N20" s="165"/>
      <c r="O20" s="165"/>
      <c r="P20" s="166"/>
      <c r="Q20" s="165"/>
    </row>
    <row r="21" spans="14:17" ht="13.9" customHeight="1">
      <c r="N21" s="165"/>
      <c r="O21" s="165"/>
      <c r="P21" s="166"/>
      <c r="Q21" s="165"/>
    </row>
    <row r="22" spans="14:17" ht="13.9" customHeight="1">
      <c r="N22" s="165"/>
      <c r="O22" s="165"/>
      <c r="P22" s="166"/>
      <c r="Q22" s="165"/>
    </row>
    <row r="23" spans="14:17" ht="13.9" customHeight="1">
      <c r="N23" s="165"/>
      <c r="O23" s="165"/>
      <c r="P23" s="166"/>
      <c r="Q23" s="165"/>
    </row>
    <row r="24" spans="14:17" ht="13.9" customHeight="1">
      <c r="N24" s="165"/>
      <c r="O24" s="165"/>
      <c r="P24" s="166"/>
      <c r="Q24" s="165"/>
    </row>
    <row r="25" spans="14:17" ht="13.9" customHeight="1">
      <c r="N25" s="165"/>
      <c r="O25" s="165"/>
      <c r="P25" s="166"/>
      <c r="Q25" s="165"/>
    </row>
    <row r="26" spans="14:17" ht="13.9" customHeight="1">
      <c r="N26" s="165"/>
      <c r="O26" s="165"/>
      <c r="P26" s="166"/>
      <c r="Q26" s="165"/>
    </row>
    <row r="27" spans="14:17" ht="13.9" customHeight="1">
      <c r="N27" s="165"/>
      <c r="O27" s="165"/>
      <c r="P27" s="166"/>
      <c r="Q27" s="165"/>
    </row>
    <row r="28" spans="14:17" ht="13.9" customHeight="1">
      <c r="N28" s="165"/>
      <c r="O28" s="165"/>
      <c r="P28" s="166"/>
      <c r="Q28" s="165"/>
    </row>
    <row r="29" spans="14:17" ht="13.9" customHeight="1">
      <c r="N29" s="165"/>
      <c r="O29" s="165"/>
      <c r="P29" s="166"/>
      <c r="Q29" s="165"/>
    </row>
    <row r="30" spans="14:17" ht="13.9" customHeight="1">
      <c r="N30" s="165"/>
      <c r="O30" s="165"/>
      <c r="P30" s="166"/>
      <c r="Q30" s="165"/>
    </row>
    <row r="31" spans="14:17" ht="13.9" customHeight="1">
      <c r="N31" s="165"/>
      <c r="O31" s="165"/>
      <c r="P31" s="166"/>
      <c r="Q31" s="165"/>
    </row>
    <row r="32" spans="14:17" ht="13.9" customHeight="1">
      <c r="N32" s="165"/>
      <c r="O32" s="165"/>
      <c r="P32" s="166"/>
      <c r="Q32" s="165"/>
    </row>
    <row r="33" spans="14:17" ht="13.9" customHeight="1">
      <c r="N33" s="165"/>
      <c r="O33" s="165"/>
      <c r="P33" s="166"/>
      <c r="Q33" s="165"/>
    </row>
    <row r="34" spans="14:17" ht="13.9" customHeight="1">
      <c r="N34" s="165"/>
      <c r="O34" s="165"/>
      <c r="P34" s="166"/>
      <c r="Q34" s="165"/>
    </row>
    <row r="35" spans="14:17" ht="13.9" customHeight="1">
      <c r="N35" s="165"/>
      <c r="O35" s="165"/>
      <c r="P35" s="166"/>
      <c r="Q35" s="165"/>
    </row>
    <row r="36" spans="14:17" ht="13.9" customHeight="1">
      <c r="N36" s="165"/>
      <c r="O36" s="165"/>
      <c r="P36" s="166"/>
      <c r="Q36" s="165"/>
    </row>
    <row r="37" spans="14:17" ht="13.9" customHeight="1">
      <c r="N37" s="165"/>
      <c r="O37" s="165"/>
      <c r="P37" s="166"/>
      <c r="Q37" s="165"/>
    </row>
    <row r="38" spans="14:17" ht="13.9" customHeight="1">
      <c r="N38" s="165"/>
      <c r="O38" s="165"/>
      <c r="P38" s="166"/>
      <c r="Q38" s="165"/>
    </row>
    <row r="39" spans="14:17" ht="13.9" customHeight="1">
      <c r="N39" s="165"/>
      <c r="O39" s="165"/>
      <c r="P39" s="166"/>
      <c r="Q39" s="165"/>
    </row>
    <row r="40" spans="14:17" ht="13.9" customHeight="1">
      <c r="N40" s="165"/>
      <c r="O40" s="165"/>
      <c r="P40" s="166"/>
      <c r="Q40" s="165"/>
    </row>
    <row r="41" spans="14:17" ht="13.9" customHeight="1">
      <c r="N41" s="165"/>
      <c r="O41" s="165"/>
      <c r="P41" s="166"/>
      <c r="Q41" s="165"/>
    </row>
    <row r="42" spans="14:17" ht="13.9" customHeight="1">
      <c r="N42" s="165"/>
      <c r="O42" s="165"/>
      <c r="P42" s="166"/>
      <c r="Q42" s="165"/>
    </row>
    <row r="43" spans="14:17" ht="13.9" customHeight="1">
      <c r="N43" s="165"/>
      <c r="O43" s="165"/>
      <c r="P43" s="166"/>
      <c r="Q43" s="165"/>
    </row>
    <row r="44" spans="14:17" ht="13.9" customHeight="1">
      <c r="N44" s="165"/>
      <c r="O44" s="165"/>
      <c r="P44" s="166"/>
      <c r="Q44" s="165"/>
    </row>
    <row r="45" spans="14:17" ht="13.9" customHeight="1">
      <c r="N45" s="165"/>
      <c r="O45" s="165"/>
      <c r="P45" s="166"/>
      <c r="Q45" s="165"/>
    </row>
    <row r="46" spans="14:17" ht="13.9" customHeight="1">
      <c r="N46" s="165"/>
      <c r="O46" s="165"/>
      <c r="P46" s="166"/>
      <c r="Q46" s="165"/>
    </row>
    <row r="47" spans="14:17" ht="13.9" customHeight="1">
      <c r="N47" s="165"/>
      <c r="O47" s="165"/>
      <c r="P47" s="166"/>
      <c r="Q47" s="165"/>
    </row>
    <row r="48" spans="14:17" ht="13.9" customHeight="1">
      <c r="N48" s="165"/>
      <c r="O48" s="165"/>
      <c r="P48" s="166"/>
      <c r="Q48" s="165"/>
    </row>
    <row r="49" spans="14:17" ht="13.9" customHeight="1">
      <c r="N49" s="165"/>
      <c r="O49" s="165"/>
      <c r="P49" s="166"/>
      <c r="Q49" s="165"/>
    </row>
    <row r="50" spans="14:17" ht="13.9" customHeight="1">
      <c r="N50" s="165"/>
      <c r="O50" s="165"/>
      <c r="P50" s="166"/>
      <c r="Q50" s="165"/>
    </row>
    <row r="51" spans="14:17" ht="13.9" customHeight="1">
      <c r="N51" s="165"/>
      <c r="O51" s="165"/>
      <c r="P51" s="166"/>
      <c r="Q51" s="165"/>
    </row>
    <row r="52" spans="14:17" ht="13.9" customHeight="1">
      <c r="N52" s="165"/>
      <c r="O52" s="165"/>
      <c r="P52" s="166"/>
      <c r="Q52" s="165"/>
    </row>
    <row r="53" spans="14:17" ht="13.9" customHeight="1">
      <c r="N53" s="165"/>
      <c r="O53" s="165"/>
      <c r="P53" s="166"/>
      <c r="Q53" s="165"/>
    </row>
    <row r="54" spans="14:17" ht="13.9" customHeight="1">
      <c r="N54" s="165"/>
      <c r="O54" s="165"/>
      <c r="P54" s="166"/>
      <c r="Q54" s="165"/>
    </row>
    <row r="55" spans="14:17" ht="13.9" customHeight="1">
      <c r="N55" s="165"/>
      <c r="O55" s="165"/>
      <c r="P55" s="166"/>
      <c r="Q55" s="165"/>
    </row>
    <row r="56" spans="14:17" ht="13.9" customHeight="1">
      <c r="N56" s="165"/>
      <c r="O56" s="165"/>
      <c r="P56" s="166"/>
      <c r="Q56" s="165"/>
    </row>
    <row r="57" spans="14:17" ht="13.9" customHeight="1">
      <c r="N57" s="165"/>
      <c r="O57" s="165"/>
      <c r="P57" s="166"/>
      <c r="Q57" s="165"/>
    </row>
    <row r="58" spans="14:17" ht="13.9" customHeight="1">
      <c r="N58" s="165"/>
      <c r="O58" s="165"/>
      <c r="P58" s="166"/>
      <c r="Q58" s="165"/>
    </row>
    <row r="59" spans="14:17" ht="13.9" customHeight="1">
      <c r="N59" s="165"/>
      <c r="O59" s="165"/>
      <c r="P59" s="166"/>
      <c r="Q59" s="165"/>
    </row>
    <row r="60" spans="14:17" ht="13.9" customHeight="1">
      <c r="N60" s="165"/>
      <c r="O60" s="165"/>
      <c r="P60" s="166"/>
      <c r="Q60" s="165"/>
    </row>
    <row r="61" spans="14:17" ht="13.9" customHeight="1">
      <c r="N61" s="165"/>
      <c r="O61" s="165"/>
      <c r="P61" s="166"/>
      <c r="Q61" s="165"/>
    </row>
    <row r="62" spans="14:17" ht="13.9" customHeight="1">
      <c r="N62" s="165"/>
      <c r="O62" s="165"/>
      <c r="P62" s="166"/>
      <c r="Q62" s="165"/>
    </row>
    <row r="63" spans="14:17" ht="13.9" customHeight="1">
      <c r="N63" s="165"/>
      <c r="O63" s="165"/>
      <c r="P63" s="166"/>
      <c r="Q63" s="165"/>
    </row>
    <row r="64" spans="14:17" ht="13.9" customHeight="1">
      <c r="N64" s="165"/>
      <c r="O64" s="165"/>
      <c r="P64" s="166"/>
      <c r="Q64" s="165"/>
    </row>
    <row r="65" spans="14:17" ht="13.9" customHeight="1">
      <c r="N65" s="165"/>
      <c r="O65" s="165"/>
      <c r="P65" s="166"/>
      <c r="Q65" s="165"/>
    </row>
    <row r="66" spans="14:17" ht="13.9" customHeight="1">
      <c r="N66" s="165"/>
      <c r="O66" s="165"/>
      <c r="P66" s="166"/>
      <c r="Q66" s="165"/>
    </row>
    <row r="67" spans="14:17" ht="13.9" customHeight="1">
      <c r="N67" s="165"/>
      <c r="O67" s="165"/>
      <c r="P67" s="166"/>
      <c r="Q67" s="165"/>
    </row>
    <row r="68" spans="14:17" ht="13.9" customHeight="1">
      <c r="N68" s="165"/>
      <c r="O68" s="165"/>
      <c r="P68" s="166"/>
      <c r="Q68" s="165"/>
    </row>
    <row r="69" spans="14:17" ht="13.9" customHeight="1">
      <c r="N69" s="165"/>
      <c r="O69" s="165"/>
      <c r="P69" s="166"/>
      <c r="Q69" s="165"/>
    </row>
    <row r="70" spans="14:17" ht="13.9" customHeight="1">
      <c r="N70" s="165"/>
      <c r="O70" s="165"/>
      <c r="P70" s="166"/>
      <c r="Q70" s="165"/>
    </row>
    <row r="71" spans="14:17" ht="13.9" customHeight="1">
      <c r="N71" s="165"/>
      <c r="O71" s="165"/>
      <c r="P71" s="166"/>
      <c r="Q71" s="165"/>
    </row>
    <row r="72" spans="14:17" ht="13.9" customHeight="1">
      <c r="N72" s="165"/>
      <c r="O72" s="165"/>
      <c r="P72" s="166"/>
      <c r="Q72" s="165"/>
    </row>
    <row r="73" spans="14:17" ht="13.9" customHeight="1">
      <c r="N73" s="165"/>
      <c r="O73" s="165"/>
      <c r="P73" s="166"/>
      <c r="Q73" s="165"/>
    </row>
    <row r="74" spans="14:17" ht="13.9" customHeight="1">
      <c r="N74" s="165"/>
      <c r="O74" s="165"/>
      <c r="P74" s="166"/>
      <c r="Q74" s="165"/>
    </row>
    <row r="75" spans="14:17" ht="13.9" customHeight="1">
      <c r="N75" s="165"/>
      <c r="O75" s="165"/>
      <c r="P75" s="166"/>
      <c r="Q75" s="165"/>
    </row>
    <row r="76" spans="14:17" ht="13.9" customHeight="1">
      <c r="N76" s="165"/>
      <c r="O76" s="165"/>
      <c r="P76" s="166"/>
      <c r="Q76" s="165"/>
    </row>
  </sheetData>
  <mergeCells count="2">
    <mergeCell ref="G1:K1"/>
    <mergeCell ref="L1:M1"/>
  </mergeCells>
  <phoneticPr fontId="3" type="noConversion"/>
  <conditionalFormatting sqref="H3">
    <cfRule type="cellIs" dxfId="0" priority="14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zoomScaleNormal="100" workbookViewId="0">
      <pane xSplit="4" ySplit="2" topLeftCell="E3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4.45" customHeight="1"/>
  <cols>
    <col min="1" max="1" width="9.28515625" style="100" customWidth="1"/>
    <col min="2" max="2" width="12.85546875" style="101" customWidth="1"/>
    <col min="3" max="3" width="49.42578125" style="101" customWidth="1"/>
    <col min="4" max="4" width="5.85546875" style="101" customWidth="1"/>
    <col min="5" max="5" width="6.140625" style="102" customWidth="1"/>
    <col min="6" max="6" width="5.42578125" style="103" customWidth="1"/>
    <col min="7" max="7" width="6.28515625" style="103" customWidth="1"/>
    <col min="8" max="8" width="6.42578125" style="103" customWidth="1"/>
    <col min="9" max="9" width="5.7109375" style="103" bestFit="1" customWidth="1"/>
    <col min="10" max="10" width="7.140625" style="103" customWidth="1"/>
    <col min="11" max="11" width="9.28515625" style="104" customWidth="1"/>
    <col min="12" max="12" width="10.28515625" style="104" customWidth="1"/>
    <col min="13" max="13" width="10" style="104" customWidth="1"/>
    <col min="14" max="14" width="7.42578125" style="102" customWidth="1"/>
    <col min="15" max="15" width="9" style="105" customWidth="1"/>
    <col min="16" max="16" width="9.7109375" style="100" customWidth="1"/>
    <col min="17" max="16384" width="9.140625" style="100"/>
  </cols>
  <sheetData>
    <row r="1" spans="1:16" s="86" customFormat="1" ht="24" customHeight="1">
      <c r="A1" s="74" t="s">
        <v>75</v>
      </c>
      <c r="B1" s="75"/>
      <c r="C1" s="75"/>
      <c r="D1" s="76"/>
      <c r="E1" s="77" t="s">
        <v>50</v>
      </c>
      <c r="F1" s="78"/>
      <c r="G1" s="79"/>
      <c r="H1" s="77" t="s">
        <v>52</v>
      </c>
      <c r="I1" s="80"/>
      <c r="J1" s="81"/>
      <c r="K1" s="82" t="s">
        <v>55</v>
      </c>
      <c r="L1" s="82" t="s">
        <v>87</v>
      </c>
      <c r="M1" s="82" t="s">
        <v>61</v>
      </c>
      <c r="N1" s="83" t="s">
        <v>56</v>
      </c>
      <c r="O1" s="84" t="s">
        <v>49</v>
      </c>
      <c r="P1" s="85" t="s">
        <v>49</v>
      </c>
    </row>
    <row r="2" spans="1:16" s="71" customFormat="1" ht="19.899999999999999" customHeight="1" thickBot="1">
      <c r="A2" s="87"/>
      <c r="B2" s="88" t="s">
        <v>19</v>
      </c>
      <c r="C2" s="88" t="s">
        <v>20</v>
      </c>
      <c r="D2" s="89" t="s">
        <v>21</v>
      </c>
      <c r="E2" s="90" t="s">
        <v>13</v>
      </c>
      <c r="F2" s="88" t="s">
        <v>53</v>
      </c>
      <c r="G2" s="91" t="s">
        <v>54</v>
      </c>
      <c r="H2" s="90" t="s">
        <v>13</v>
      </c>
      <c r="I2" s="88" t="s">
        <v>53</v>
      </c>
      <c r="J2" s="91" t="s">
        <v>54</v>
      </c>
      <c r="K2" s="92" t="s">
        <v>13</v>
      </c>
      <c r="L2" s="92" t="s">
        <v>13</v>
      </c>
      <c r="M2" s="92" t="s">
        <v>49</v>
      </c>
      <c r="N2" s="93"/>
      <c r="O2" s="94" t="s">
        <v>57</v>
      </c>
      <c r="P2" s="95" t="s">
        <v>58</v>
      </c>
    </row>
    <row r="3" spans="1:16" ht="14.45" customHeight="1">
      <c r="A3" s="42">
        <v>43802</v>
      </c>
      <c r="B3" s="43" t="str">
        <f>Rollover!A3</f>
        <v>Jeep</v>
      </c>
      <c r="C3" s="43" t="str">
        <f>Rollover!B3</f>
        <v>Gladiator PU/CC 4WD</v>
      </c>
      <c r="D3" s="9">
        <f>Rollover!C3</f>
        <v>2020</v>
      </c>
      <c r="E3" s="18">
        <f>Front!AW3</f>
        <v>4</v>
      </c>
      <c r="F3" s="43">
        <f>Front!AX3</f>
        <v>5</v>
      </c>
      <c r="G3" s="43">
        <f>Front!AY3</f>
        <v>4</v>
      </c>
      <c r="H3" s="18" t="e">
        <f>'Side MDB'!AC3</f>
        <v>#NUM!</v>
      </c>
      <c r="I3" s="18" t="e">
        <f>'Side MDB'!AD3</f>
        <v>#NUM!</v>
      </c>
      <c r="J3" s="18" t="e">
        <f>'Side MDB'!AE3</f>
        <v>#NUM!</v>
      </c>
      <c r="K3" s="96" t="e">
        <f>'Side Pole'!P3</f>
        <v>#NUM!</v>
      </c>
      <c r="L3" s="96" t="e">
        <f>'Side Pole'!S3</f>
        <v>#NUM!</v>
      </c>
      <c r="M3" s="96" t="e">
        <f>'Side Pole'!V3</f>
        <v>#NUM!</v>
      </c>
      <c r="N3" s="97">
        <f>Rollover!J3</f>
        <v>3</v>
      </c>
      <c r="O3" s="98" t="e">
        <f>ROUND(5/12*Front!AV3+4/12*'Side Pole'!U3+3/12*Rollover!I3,2)</f>
        <v>#NUM!</v>
      </c>
      <c r="P3" s="99" t="e">
        <f t="shared" ref="P3" si="0">IF(O3&lt;0.67,5,IF(O3&lt;1,4,IF(O3&lt;1.33,3,IF(O3&lt;2.67,2,1))))</f>
        <v>#NUM!</v>
      </c>
    </row>
    <row r="4" spans="1:16" ht="14.45" customHeight="1">
      <c r="A4" s="42">
        <v>43719</v>
      </c>
      <c r="B4" s="43" t="str">
        <f>Rollover!A4</f>
        <v>Toyota</v>
      </c>
      <c r="C4" s="43" t="str">
        <f>Rollover!B4</f>
        <v>Corolla 4DR FWD</v>
      </c>
      <c r="D4" s="9">
        <f>Rollover!C4</f>
        <v>2020</v>
      </c>
      <c r="E4" s="18">
        <f>Front!AW4</f>
        <v>5</v>
      </c>
      <c r="F4" s="43">
        <f>Front!AX4</f>
        <v>5</v>
      </c>
      <c r="G4" s="43">
        <f>Front!AY4</f>
        <v>5</v>
      </c>
      <c r="H4" s="18">
        <f>'Side MDB'!AC4</f>
        <v>5</v>
      </c>
      <c r="I4" s="18">
        <f>'Side MDB'!AD4</f>
        <v>5</v>
      </c>
      <c r="J4" s="18">
        <f>'Side MDB'!AE4</f>
        <v>5</v>
      </c>
      <c r="K4" s="96">
        <f>'Side Pole'!P4</f>
        <v>5</v>
      </c>
      <c r="L4" s="96">
        <f>'Side Pole'!S4</f>
        <v>5</v>
      </c>
      <c r="M4" s="96">
        <f>'Side Pole'!V4</f>
        <v>5</v>
      </c>
      <c r="N4" s="97">
        <f>Rollover!J4</f>
        <v>4</v>
      </c>
      <c r="O4" s="98">
        <f>ROUND(5/12*Front!AV4+4/12*'Side Pole'!U4+3/12*Rollover!I4,2)</f>
        <v>0.5</v>
      </c>
      <c r="P4" s="99">
        <f t="shared" ref="P4:P5" si="1">IF(O4&lt;0.67,5,IF(O4&lt;1,4,IF(O4&lt;1.33,3,IF(O4&lt;2.67,2,1))))</f>
        <v>5</v>
      </c>
    </row>
    <row r="5" spans="1:16" ht="14.45" customHeight="1">
      <c r="A5" s="42">
        <v>43719</v>
      </c>
      <c r="B5" s="43" t="str">
        <f>Rollover!A5</f>
        <v>Toyota</v>
      </c>
      <c r="C5" s="43" t="str">
        <f>Rollover!B5</f>
        <v>Corolla Hybrid 4DR FWD</v>
      </c>
      <c r="D5" s="9">
        <f>Rollover!C5</f>
        <v>2020</v>
      </c>
      <c r="E5" s="18">
        <f>Front!AW5</f>
        <v>5</v>
      </c>
      <c r="F5" s="43">
        <f>Front!AX5</f>
        <v>5</v>
      </c>
      <c r="G5" s="43">
        <f>Front!AY5</f>
        <v>5</v>
      </c>
      <c r="H5" s="18">
        <f>'Side MDB'!AC5</f>
        <v>5</v>
      </c>
      <c r="I5" s="18">
        <f>'Side MDB'!AD5</f>
        <v>5</v>
      </c>
      <c r="J5" s="18">
        <f>'Side MDB'!AE5</f>
        <v>5</v>
      </c>
      <c r="K5" s="96">
        <f>'Side Pole'!P5</f>
        <v>5</v>
      </c>
      <c r="L5" s="96">
        <f>'Side Pole'!S5</f>
        <v>5</v>
      </c>
      <c r="M5" s="96">
        <f>'Side Pole'!V5</f>
        <v>5</v>
      </c>
      <c r="N5" s="97">
        <f>Rollover!J5</f>
        <v>4</v>
      </c>
      <c r="O5" s="98">
        <f>ROUND(5/12*Front!AV5+4/12*'Side Pole'!U5+3/12*Rollover!I5,2)</f>
        <v>0.5</v>
      </c>
      <c r="P5" s="99">
        <f t="shared" si="1"/>
        <v>5</v>
      </c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2019-12-02T20:11:38Z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