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4" i="31" l="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AF4" i="21" l="1"/>
  <c r="N4" i="29"/>
  <c r="O4" i="29" s="1"/>
  <c r="P4" i="29" s="1"/>
  <c r="K4" i="31" s="1"/>
  <c r="X4" i="22"/>
  <c r="AA4" i="22" s="1"/>
  <c r="AD4" i="22" s="1"/>
  <c r="I4" i="31" s="1"/>
  <c r="AF3" i="21"/>
  <c r="AK4" i="21"/>
  <c r="AA4" i="21"/>
  <c r="AQ4" i="21" s="1"/>
  <c r="AT4" i="21" s="1"/>
  <c r="AW4" i="21" s="1"/>
  <c r="E4" i="31" s="1"/>
  <c r="AP4" i="21"/>
  <c r="AK3" i="21"/>
  <c r="AA3" i="21"/>
  <c r="AP3" i="21"/>
  <c r="W4" i="22"/>
  <c r="X3" i="22"/>
  <c r="AA3" i="22" s="1"/>
  <c r="AD3" i="22" s="1"/>
  <c r="I3" i="31" s="1"/>
  <c r="W3" i="22"/>
  <c r="N3" i="29"/>
  <c r="O3" i="29" s="1"/>
  <c r="P3" i="29" s="1"/>
  <c r="K3" i="31" s="1"/>
  <c r="AQ3" i="21" l="1"/>
  <c r="AT3" i="21" s="1"/>
  <c r="AW3" i="21" s="1"/>
  <c r="E3" i="31" s="1"/>
  <c r="Y4" i="22"/>
  <c r="AB4" i="22" s="1"/>
  <c r="AE4" i="22" s="1"/>
  <c r="J4" i="31" s="1"/>
  <c r="T4" i="29"/>
  <c r="U4" i="29" s="1"/>
  <c r="V4" i="29" s="1"/>
  <c r="M4" i="31" s="1"/>
  <c r="AR3" i="21"/>
  <c r="AU3" i="21" s="1"/>
  <c r="AX3" i="21" s="1"/>
  <c r="F3" i="31" s="1"/>
  <c r="AR4" i="21"/>
  <c r="AS4" i="21" s="1"/>
  <c r="AV4" i="21" s="1"/>
  <c r="AY4" i="21" s="1"/>
  <c r="G4" i="31" s="1"/>
  <c r="Z4" i="22"/>
  <c r="AC4" i="22" s="1"/>
  <c r="H4" i="31" s="1"/>
  <c r="Q3" i="29"/>
  <c r="R3" i="29" s="1"/>
  <c r="S3" i="29" s="1"/>
  <c r="L3" i="31" s="1"/>
  <c r="Z3" i="22"/>
  <c r="AC3" i="22" s="1"/>
  <c r="H3" i="31" s="1"/>
  <c r="Q4" i="29"/>
  <c r="R4" i="29" s="1"/>
  <c r="S4" i="29" s="1"/>
  <c r="L4" i="31" s="1"/>
  <c r="Y3" i="22"/>
  <c r="AB3" i="22" s="1"/>
  <c r="AE3" i="22" s="1"/>
  <c r="J3" i="31" s="1"/>
  <c r="T3" i="29"/>
  <c r="U3" i="29" s="1"/>
  <c r="V3" i="29" s="1"/>
  <c r="M3" i="31" s="1"/>
  <c r="AS3" i="21" l="1"/>
  <c r="AV3" i="21" s="1"/>
  <c r="AY3" i="21" s="1"/>
  <c r="G3" i="31" s="1"/>
  <c r="AU4" i="21"/>
  <c r="AX4" i="21" s="1"/>
  <c r="F4" i="31" s="1"/>
  <c r="O4" i="31"/>
  <c r="P4" i="31" s="1"/>
  <c r="O3" i="31" l="1"/>
  <c r="P3" i="31" s="1"/>
</calcChain>
</file>

<file path=xl/sharedStrings.xml><?xml version="1.0" encoding="utf-8"?>
<sst xmlns="http://schemas.openxmlformats.org/spreadsheetml/2006/main" count="195" uniqueCount="94">
  <si>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</si>
  <si>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</si>
  <si>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</si>
  <si>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</si>
  <si>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</si>
  <si>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</si>
  <si>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</si>
  <si>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</si>
  <si>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</si>
  <si>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</si>
  <si>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</si>
  <si>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</si>
  <si>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</si>
  <si>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</si>
  <si>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</si>
  <si>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</si>
  <si>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</si>
  <si>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</si>
  <si>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</si>
  <si>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</si>
  <si>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</si>
  <si>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</si>
  <si>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</si>
  <si>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</si>
  <si>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</si>
  <si>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</si>
  <si>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</si>
  <si>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</si>
  <si>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</si>
  <si>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</si>
  <si>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</si>
  <si>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</si>
  <si>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</si>
  <si>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</si>
  <si>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</si>
  <si>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</si>
  <si>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</si>
  <si>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</si>
  <si>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</si>
  <si>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</si>
  <si>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</si>
  <si>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</si>
  <si>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</si>
  <si>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</si>
  <si>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</si>
  <si>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</si>
  <si>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</si>
  <si>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</si>
  <si>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</si>
  <si>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</si>
  <si>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</si>
  <si>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</si>
  <si>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</si>
  <si>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</si>
  <si>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</si>
  <si>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</si>
  <si>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</si>
  <si>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</si>
  <si>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</si>
  <si>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</si>
  <si>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</si>
  <si>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</si>
  <si>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</si>
  <si>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</si>
  <si>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</si>
  <si>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</si>
  <si>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</si>
  <si>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</si>
  <si>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</si>
  <si>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</si>
  <si>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</si>
  <si>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</si>
  <si>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</si>
  <si>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</si>
  <si>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</si>
  <si>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</si>
  <si>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</si>
  <si>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</si>
  <si>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</si>
  <si>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</si>
  <si>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</si>
  <si>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</si>
  <si>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</si>
  <si>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</si>
  <si>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</si>
  <si>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</si>
  <si>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</si>
  <si>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</si>
  <si>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</si>
  <si>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N</t>
  </si>
  <si>
    <t>Corolla 4DR FWD</t>
  </si>
  <si>
    <t>Corolla Hybrid 4DR FWD</t>
  </si>
  <si>
    <t>O20195100</t>
  </si>
  <si>
    <t>O20195101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</si>
</sst>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25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2" fontId="5" fillId="0" borderId="23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2" fontId="6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5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164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 applyProtection="1">
      <alignment horizontal="center"/>
    </xf>
    <xf numFmtId="164" fontId="5" fillId="0" borderId="27" xfId="0" applyNumberFormat="1" applyFont="1" applyFill="1" applyBorder="1" applyAlignment="1" applyProtection="1">
      <alignment horizontal="center"/>
    </xf>
    <xf numFmtId="1" fontId="5" fillId="0" borderId="27" xfId="0" applyNumberFormat="1" applyFont="1" applyFill="1" applyBorder="1" applyAlignment="1" applyProtection="1">
      <alignment horizont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/>
    </xf>
    <xf numFmtId="164" fontId="5" fillId="0" borderId="29" xfId="0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wrapText="1"/>
    </xf>
    <xf numFmtId="1" fontId="5" fillId="0" borderId="3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1" fontId="5" fillId="0" borderId="3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/>
    <xf numFmtId="0" fontId="5" fillId="0" borderId="27" xfId="0" applyFont="1" applyFill="1" applyBorder="1" applyAlignment="1"/>
    <xf numFmtId="164" fontId="4" fillId="0" borderId="34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2" fontId="5" fillId="0" borderId="36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2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0"/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A2" sqref="A2"/>
    </sheetView>
  </sheetViews>
  <sheetFormatPr defaultColWidth="9.140625" defaultRowHeight="13.15" customHeight="1"/>
  <cols>
    <col min="1" max="1" width="13.5703125" style="68" customWidth="1"/>
    <col min="2" max="2" width="43.85546875" style="68" customWidth="1"/>
    <col min="3" max="3" width="4.5703125" style="67" bestFit="1" customWidth="1"/>
    <col min="4" max="4" width="4.42578125" style="67" bestFit="1" customWidth="1"/>
    <col min="5" max="5" width="18" style="67" bestFit="1" customWidth="1"/>
    <col min="6" max="6" width="13.140625" style="67" bestFit="1" customWidth="1"/>
    <col min="7" max="7" width="7.7109375" style="69" customWidth="1"/>
    <col min="8" max="8" width="7.42578125" style="69" bestFit="1" customWidth="1"/>
    <col min="9" max="9" width="7.7109375" style="70" bestFit="1" customWidth="1"/>
    <col min="10" max="10" width="7.140625" style="69" bestFit="1" customWidth="1"/>
    <col min="11" max="16384" width="9.140625" style="67"/>
  </cols>
  <sheetData>
    <row r="1" spans="1:10" s="53" customFormat="1" ht="13.15" customHeight="1" thickBot="1">
      <c r="A1" s="50"/>
      <c r="B1" s="50"/>
      <c r="C1" s="50"/>
      <c r="D1" s="50"/>
      <c r="E1" s="50"/>
      <c r="F1" s="50"/>
      <c r="G1" s="51"/>
      <c r="H1" s="51"/>
      <c r="I1" s="52"/>
      <c r="J1" s="51" t="s">
        <v>18</v>
      </c>
    </row>
    <row r="2" spans="1:10" s="53" customFormat="1" ht="13.15" customHeight="1" thickBot="1">
      <c r="A2" s="47" t="s">
        <v>19</v>
      </c>
      <c r="B2" s="54" t="s">
        <v>20</v>
      </c>
      <c r="C2" s="54" t="s">
        <v>21</v>
      </c>
      <c r="D2" s="54" t="s">
        <v>22</v>
      </c>
      <c r="E2" s="54" t="s">
        <v>70</v>
      </c>
      <c r="F2" s="55" t="s">
        <v>71</v>
      </c>
      <c r="G2" s="56" t="s">
        <v>48</v>
      </c>
      <c r="H2" s="57" t="s">
        <v>8</v>
      </c>
      <c r="I2" s="58" t="s">
        <v>68</v>
      </c>
      <c r="J2" s="59" t="s">
        <v>45</v>
      </c>
    </row>
    <row r="3" spans="1:10" ht="13.15" customHeight="1">
      <c r="A3" s="137" t="s">
        <v>86</v>
      </c>
      <c r="B3" s="138" t="s">
        <v>90</v>
      </c>
      <c r="C3" s="60">
        <v>2020</v>
      </c>
      <c r="D3" s="17">
        <v>1.43</v>
      </c>
      <c r="E3" s="61" t="s">
        <v>89</v>
      </c>
      <c r="F3" s="62" t="s">
        <v>89</v>
      </c>
      <c r="G3" s="63">
        <f t="shared" ref="G3:G4" si="0">IF(F3="Y",((1/(1+EXP(2.6968+(1.1686*LN(D3-0.9)))))),((1/(1+EXP(2.8891+(1.1686*(LN(D3-0.9))))))))</f>
        <v>0.10459491849361911</v>
      </c>
      <c r="H3" s="64">
        <f t="shared" ref="H3:H4" si="1">ROUND(G3,3)</f>
        <v>0.105</v>
      </c>
      <c r="I3" s="65">
        <f t="shared" ref="I3:I4" si="2">ROUND(H3/0.15,2)</f>
        <v>0.7</v>
      </c>
      <c r="J3" s="66">
        <f t="shared" ref="J3:J4" si="3">IF(I3&lt;0.673,5,IF(I3&lt;1.33,4,IF(I3&lt;2,3,IF(I3&lt;2.67,2,1))))</f>
        <v>4</v>
      </c>
    </row>
    <row r="4" spans="1:10" ht="13.15" customHeight="1">
      <c r="A4" s="139" t="s">
        <v>86</v>
      </c>
      <c r="B4" s="140" t="s">
        <v>91</v>
      </c>
      <c r="C4" s="60">
        <v>2020</v>
      </c>
      <c r="D4" s="17">
        <v>1.43</v>
      </c>
      <c r="E4" s="61" t="s">
        <v>89</v>
      </c>
      <c r="F4" s="62" t="s">
        <v>89</v>
      </c>
      <c r="G4" s="63">
        <f t="shared" si="0"/>
        <v>0.10459491849361911</v>
      </c>
      <c r="H4" s="64">
        <f t="shared" si="1"/>
        <v>0.105</v>
      </c>
      <c r="I4" s="65">
        <f t="shared" si="2"/>
        <v>0.7</v>
      </c>
      <c r="J4" s="66">
        <f t="shared" si="3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workbookViewId="0">
      <pane xSplit="6" ySplit="2" topLeftCell="G3" activePane="bottomRight" state="frozen"/>
      <selection activeCell="B14" sqref="B14"/>
      <selection pane="topRight" activeCell="B14" sqref="B14"/>
      <selection pane="bottomLeft" activeCell="B14" sqref="B14"/>
      <selection pane="bottomRight" activeCell="A2" sqref="A2"/>
    </sheetView>
  </sheetViews>
  <sheetFormatPr defaultRowHeight="12.75"/>
  <cols>
    <col min="1" max="1" width="8.140625" style="104" customWidth="1"/>
    <col min="2" max="2" width="9.85546875" style="104" bestFit="1" customWidth="1"/>
    <col min="3" max="3" width="11.28515625" style="217" bestFit="1" customWidth="1"/>
    <col min="4" max="4" width="30.5703125" style="217" customWidth="1"/>
    <col min="5" max="5" width="7.42578125" style="217" customWidth="1"/>
    <col min="6" max="6" width="8.28515625" style="217" customWidth="1"/>
    <col min="7" max="9" width="8.7109375" style="218" customWidth="1"/>
    <col min="10" max="10" width="8.42578125" style="218" bestFit="1" customWidth="1"/>
    <col min="11" max="22" width="8.7109375" style="218" customWidth="1"/>
    <col min="23" max="23" width="7.42578125" style="215" bestFit="1" customWidth="1"/>
    <col min="24" max="24" width="5.28515625" style="215" bestFit="1" customWidth="1"/>
    <col min="25" max="25" width="10.140625" style="215" bestFit="1" customWidth="1"/>
    <col min="26" max="26" width="11.28515625" style="215" bestFit="1" customWidth="1"/>
    <col min="27" max="27" width="7.28515625" style="215" customWidth="1"/>
    <col min="28" max="28" width="7.5703125" style="215" bestFit="1" customWidth="1"/>
    <col min="29" max="29" width="7.5703125" style="67" bestFit="1" customWidth="1"/>
    <col min="30" max="31" width="9" style="67" bestFit="1" customWidth="1"/>
    <col min="32" max="32" width="8" style="67" bestFit="1" customWidth="1"/>
    <col min="33" max="33" width="7.42578125" style="67" bestFit="1" customWidth="1"/>
    <col min="34" max="34" width="5" style="67" bestFit="1" customWidth="1"/>
    <col min="35" max="35" width="10.140625" style="67" bestFit="1" customWidth="1"/>
    <col min="36" max="36" width="11.5703125" style="67" bestFit="1" customWidth="1"/>
    <col min="37" max="37" width="7" style="67" bestFit="1" customWidth="1"/>
    <col min="38" max="39" width="7.5703125" style="67" bestFit="1" customWidth="1"/>
    <col min="40" max="41" width="9" style="67" bestFit="1" customWidth="1"/>
    <col min="42" max="42" width="8" style="67" bestFit="1" customWidth="1"/>
    <col min="43" max="43" width="7.5703125" style="67" customWidth="1"/>
    <col min="44" max="44" width="9.5703125" style="67" bestFit="1" customWidth="1"/>
    <col min="45" max="45" width="7.140625" style="67" bestFit="1" customWidth="1"/>
    <col min="46" max="46" width="5.7109375" style="215" bestFit="1" customWidth="1"/>
    <col min="47" max="47" width="9.5703125" style="215" bestFit="1" customWidth="1"/>
    <col min="48" max="48" width="5.85546875" style="215" bestFit="1" customWidth="1"/>
    <col min="49" max="49" width="5.7109375" style="134" bestFit="1" customWidth="1"/>
    <col min="50" max="50" width="9.5703125" style="134" bestFit="1" customWidth="1"/>
    <col min="51" max="51" width="5.85546875" style="135" bestFit="1" customWidth="1"/>
    <col min="52" max="16384" width="9.140625" style="67"/>
  </cols>
  <sheetData>
    <row r="1" spans="1:51" s="101" customFormat="1" ht="13.5" thickBot="1">
      <c r="A1" s="186"/>
      <c r="B1" s="114"/>
      <c r="C1" s="187"/>
      <c r="D1" s="187"/>
      <c r="E1" s="188"/>
      <c r="F1" s="188"/>
      <c r="G1" s="149" t="s">
        <v>28</v>
      </c>
      <c r="H1" s="189"/>
      <c r="I1" s="189"/>
      <c r="J1" s="189"/>
      <c r="K1" s="189"/>
      <c r="L1" s="189"/>
      <c r="M1" s="189"/>
      <c r="N1" s="109"/>
      <c r="O1" s="149" t="s">
        <v>29</v>
      </c>
      <c r="P1" s="189"/>
      <c r="Q1" s="189"/>
      <c r="R1" s="189"/>
      <c r="S1" s="189"/>
      <c r="T1" s="189"/>
      <c r="U1" s="189"/>
      <c r="V1" s="109"/>
      <c r="W1" s="190" t="s">
        <v>30</v>
      </c>
      <c r="X1" s="191"/>
      <c r="Y1" s="191"/>
      <c r="Z1" s="191"/>
      <c r="AA1" s="191"/>
      <c r="AB1" s="191"/>
      <c r="AC1" s="191"/>
      <c r="AD1" s="191"/>
      <c r="AE1" s="191"/>
      <c r="AF1" s="192"/>
      <c r="AG1" s="190" t="s">
        <v>31</v>
      </c>
      <c r="AH1" s="191"/>
      <c r="AI1" s="191"/>
      <c r="AJ1" s="191"/>
      <c r="AK1" s="191"/>
      <c r="AL1" s="191"/>
      <c r="AM1" s="191"/>
      <c r="AN1" s="191"/>
      <c r="AO1" s="191"/>
      <c r="AP1" s="192"/>
      <c r="AQ1" s="193" t="s">
        <v>13</v>
      </c>
      <c r="AR1" s="194" t="s">
        <v>16</v>
      </c>
      <c r="AS1" s="195" t="s">
        <v>9</v>
      </c>
      <c r="AT1" s="31" t="s">
        <v>13</v>
      </c>
      <c r="AU1" s="32" t="s">
        <v>16</v>
      </c>
      <c r="AV1" s="33" t="s">
        <v>51</v>
      </c>
      <c r="AW1" s="196" t="s">
        <v>13</v>
      </c>
      <c r="AX1" s="36" t="s">
        <v>16</v>
      </c>
      <c r="AY1" s="197" t="s">
        <v>51</v>
      </c>
    </row>
    <row r="2" spans="1:51" s="6" customFormat="1" ht="34.5" thickBot="1">
      <c r="A2" s="47" t="s">
        <v>27</v>
      </c>
      <c r="B2" s="198" t="s">
        <v>84</v>
      </c>
      <c r="C2" s="47" t="s">
        <v>19</v>
      </c>
      <c r="D2" s="54" t="s">
        <v>20</v>
      </c>
      <c r="E2" s="198" t="s">
        <v>76</v>
      </c>
      <c r="F2" s="55" t="s">
        <v>21</v>
      </c>
      <c r="G2" s="160" t="s">
        <v>25</v>
      </c>
      <c r="H2" s="162" t="s">
        <v>0</v>
      </c>
      <c r="I2" s="158" t="s">
        <v>34</v>
      </c>
      <c r="J2" s="158" t="s">
        <v>62</v>
      </c>
      <c r="K2" s="158" t="s">
        <v>35</v>
      </c>
      <c r="L2" s="158" t="s">
        <v>36</v>
      </c>
      <c r="M2" s="158" t="s">
        <v>37</v>
      </c>
      <c r="N2" s="199" t="s">
        <v>38</v>
      </c>
      <c r="O2" s="160" t="s">
        <v>25</v>
      </c>
      <c r="P2" s="162" t="s">
        <v>0</v>
      </c>
      <c r="Q2" s="158" t="s">
        <v>34</v>
      </c>
      <c r="R2" s="158" t="s">
        <v>62</v>
      </c>
      <c r="S2" s="158" t="s">
        <v>35</v>
      </c>
      <c r="T2" s="158" t="s">
        <v>36</v>
      </c>
      <c r="U2" s="158" t="s">
        <v>37</v>
      </c>
      <c r="V2" s="199" t="s">
        <v>38</v>
      </c>
      <c r="W2" s="200" t="s">
        <v>26</v>
      </c>
      <c r="X2" s="201" t="s">
        <v>2</v>
      </c>
      <c r="Y2" s="29" t="s">
        <v>5</v>
      </c>
      <c r="Z2" s="29" t="s">
        <v>63</v>
      </c>
      <c r="AA2" s="201" t="s">
        <v>6</v>
      </c>
      <c r="AB2" s="29" t="s">
        <v>3</v>
      </c>
      <c r="AC2" s="202" t="s">
        <v>3</v>
      </c>
      <c r="AD2" s="202" t="s">
        <v>23</v>
      </c>
      <c r="AE2" s="202" t="s">
        <v>24</v>
      </c>
      <c r="AF2" s="203" t="s">
        <v>4</v>
      </c>
      <c r="AG2" s="160" t="s">
        <v>26</v>
      </c>
      <c r="AH2" s="162" t="s">
        <v>2</v>
      </c>
      <c r="AI2" s="162" t="s">
        <v>5</v>
      </c>
      <c r="AJ2" s="162" t="s">
        <v>64</v>
      </c>
      <c r="AK2" s="162" t="s">
        <v>6</v>
      </c>
      <c r="AL2" s="162" t="s">
        <v>3</v>
      </c>
      <c r="AM2" s="162" t="s">
        <v>3</v>
      </c>
      <c r="AN2" s="162" t="s">
        <v>23</v>
      </c>
      <c r="AO2" s="162" t="s">
        <v>24</v>
      </c>
      <c r="AP2" s="204" t="s">
        <v>4</v>
      </c>
      <c r="AQ2" s="38" t="s">
        <v>7</v>
      </c>
      <c r="AR2" s="85" t="s">
        <v>8</v>
      </c>
      <c r="AS2" s="205" t="s">
        <v>8</v>
      </c>
      <c r="AT2" s="179" t="s">
        <v>65</v>
      </c>
      <c r="AU2" s="180" t="s">
        <v>65</v>
      </c>
      <c r="AV2" s="34" t="s">
        <v>65</v>
      </c>
      <c r="AW2" s="181" t="s">
        <v>45</v>
      </c>
      <c r="AX2" s="164" t="s">
        <v>45</v>
      </c>
      <c r="AY2" s="206" t="s">
        <v>32</v>
      </c>
    </row>
    <row r="3" spans="1:51" ht="13.15" customHeight="1">
      <c r="A3" s="207">
        <v>10651</v>
      </c>
      <c r="B3" s="208" t="s">
        <v>92</v>
      </c>
      <c r="C3" s="209" t="str">
        <f>Rollover!A3</f>
        <v>Toyota</v>
      </c>
      <c r="D3" s="210" t="str">
        <f>Rollover!B3</f>
        <v>Corolla 4DR FWD</v>
      </c>
      <c r="E3" s="133" t="s">
        <v>85</v>
      </c>
      <c r="F3" s="211">
        <f>Rollover!C3</f>
        <v>2020</v>
      </c>
      <c r="G3" s="10">
        <v>186.548</v>
      </c>
      <c r="H3" s="11">
        <v>0.27300000000000002</v>
      </c>
      <c r="I3" s="11">
        <v>1080.8340000000001</v>
      </c>
      <c r="J3" s="11">
        <v>221.012</v>
      </c>
      <c r="K3" s="11">
        <v>24.053999999999998</v>
      </c>
      <c r="L3" s="11">
        <v>45.079000000000001</v>
      </c>
      <c r="M3" s="11">
        <v>1468.2719999999999</v>
      </c>
      <c r="N3" s="12">
        <v>1380.788</v>
      </c>
      <c r="O3" s="10">
        <v>356.32299999999998</v>
      </c>
      <c r="P3" s="11">
        <v>0.27100000000000002</v>
      </c>
      <c r="Q3" s="11">
        <v>733.971</v>
      </c>
      <c r="R3" s="11">
        <v>381.9</v>
      </c>
      <c r="S3" s="11">
        <v>13.587999999999999</v>
      </c>
      <c r="T3" s="11">
        <v>48.542000000000002</v>
      </c>
      <c r="U3" s="11">
        <v>1337.059</v>
      </c>
      <c r="V3" s="12">
        <v>693.72799999999995</v>
      </c>
      <c r="W3" s="212">
        <f t="shared" ref="W3:W4" si="0">NORMDIST(LN(G3),7.45231,0.73998,1)</f>
        <v>1.3280132735441646E-3</v>
      </c>
      <c r="X3" s="5">
        <f t="shared" ref="X3:X4" si="1">1/(1+EXP(3.2269-1.9688*H3))</f>
        <v>6.3600694729198576E-2</v>
      </c>
      <c r="Y3" s="5">
        <f t="shared" ref="Y3:Y4" si="2">1/(1+EXP(10.9745-2.375*I3/1000))</f>
        <v>2.231330320868445E-4</v>
      </c>
      <c r="Z3" s="5">
        <f t="shared" ref="Z3:Z4" si="3">1/(1+EXP(10.9745-2.375*J3/1000))</f>
        <v>2.8959117628590589E-5</v>
      </c>
      <c r="AA3" s="5">
        <f t="shared" ref="AA3:AA4" si="4">MAX(X3,Y3,Z3)</f>
        <v>6.3600694729198576E-2</v>
      </c>
      <c r="AB3" s="5">
        <f t="shared" ref="AB3:AB4" si="5">1/(1+EXP(12.597-0.05861*35-1.568*(K3^0.4612)))</f>
        <v>2.3019088613042766E-2</v>
      </c>
      <c r="AC3" s="5">
        <f t="shared" ref="AC3:AC4" si="6">AB3</f>
        <v>2.3019088613042766E-2</v>
      </c>
      <c r="AD3" s="5">
        <f t="shared" ref="AD3:AD4" si="7">1/(1+EXP(5.7949-0.5196*M3/1000))</f>
        <v>6.4835277820869067E-3</v>
      </c>
      <c r="AE3" s="5">
        <f t="shared" ref="AE3:AE4" si="8">1/(1+EXP(5.7949-0.5196*N3/1000))</f>
        <v>6.1971917736574752E-3</v>
      </c>
      <c r="AF3" s="21">
        <f t="shared" ref="AF3:AF4" si="9">MAX(AD3,AE3)</f>
        <v>6.4835277820869067E-3</v>
      </c>
      <c r="AG3" s="20">
        <f t="shared" ref="AG3:AG4" si="10">NORMDIST(LN(O3),7.45231,0.73998,1)</f>
        <v>1.6568243756006254E-2</v>
      </c>
      <c r="AH3" s="5">
        <f t="shared" ref="AH3:AH4" si="11">1/(1+EXP(3.2269-1.9688*P3))</f>
        <v>6.3366590994446123E-2</v>
      </c>
      <c r="AI3" s="5">
        <f t="shared" ref="AI3:AI4" si="12">1/(1+EXP(10.958-3.77*Q3/1000))</f>
        <v>2.7707940068093061E-4</v>
      </c>
      <c r="AJ3" s="5">
        <f t="shared" ref="AJ3:AJ4" si="13">1/(1+EXP(10.958-3.77*R3/1000))</f>
        <v>7.3493727433486964E-5</v>
      </c>
      <c r="AK3" s="5">
        <f t="shared" ref="AK3:AK4" si="14">MAX(AH3,AI3,AJ3)</f>
        <v>6.3366590994446123E-2</v>
      </c>
      <c r="AL3" s="5">
        <f t="shared" ref="AL3:AL4" si="15">1/(1+EXP(12.597-0.05861*35-1.568*((S3/0.817)^0.4612)))</f>
        <v>8.066984148380035E-3</v>
      </c>
      <c r="AM3" s="5">
        <f t="shared" ref="AM3:AM4" si="16">AL3</f>
        <v>8.066984148380035E-3</v>
      </c>
      <c r="AN3" s="5">
        <f t="shared" ref="AN3:AN4" si="17">1/(1+EXP(5.7949-0.7619*U3/1000))</f>
        <v>8.3575710425069869E-3</v>
      </c>
      <c r="AO3" s="5">
        <f t="shared" ref="AO3:AO4" si="18">1/(1+EXP(5.7949-0.7619*V3/1000))</f>
        <v>5.1359123258313873E-3</v>
      </c>
      <c r="AP3" s="21">
        <f t="shared" ref="AP3:AP4" si="19">MAX(AN3,AO3)</f>
        <v>8.3575710425069869E-3</v>
      </c>
      <c r="AQ3" s="212">
        <f t="shared" ref="AQ3:AQ4" si="20">ROUND(1-(1-W3)*(1-AA3)*(1-AC3)*(1-AF3),3)</f>
        <v>9.1999999999999998E-2</v>
      </c>
      <c r="AR3" s="5">
        <f t="shared" ref="AR3:AR4" si="21">ROUND(1-(1-AG3)*(1-AK3)*(1-AM3)*(1-AP3),3)</f>
        <v>9.4E-2</v>
      </c>
      <c r="AS3" s="5">
        <f t="shared" ref="AS3:AS4" si="22">ROUND(AVERAGE(AR3,AQ3),3)</f>
        <v>9.2999999999999999E-2</v>
      </c>
      <c r="AT3" s="131">
        <f t="shared" ref="AT3:AT4" si="23">ROUND(AQ3/0.15,2)</f>
        <v>0.61</v>
      </c>
      <c r="AU3" s="131">
        <f t="shared" ref="AU3:AU4" si="24">ROUND(AR3/0.15,2)</f>
        <v>0.63</v>
      </c>
      <c r="AV3" s="131">
        <f t="shared" ref="AV3:AV4" si="25">ROUND(AS3/0.15,2)</f>
        <v>0.62</v>
      </c>
      <c r="AW3" s="132">
        <f t="shared" ref="AW3:AW4" si="26">IF(AT3&lt;0.67,5,IF(AT3&lt;1,4,IF(AT3&lt;1.33,3,IF(AT3&lt;2.67,2,1))))</f>
        <v>5</v>
      </c>
      <c r="AX3" s="132">
        <f t="shared" ref="AX3:AX4" si="27">IF(AU3&lt;0.67,5,IF(AU3&lt;1,4,IF(AU3&lt;1.33,3,IF(AU3&lt;2.67,2,1))))</f>
        <v>5</v>
      </c>
      <c r="AY3" s="213">
        <f t="shared" ref="AY3:AY4" si="28">IF(AV3&lt;0.67,5,IF(AV3&lt;1,4,IF(AV3&lt;1.33,3,IF(AV3&lt;2.67,2,1))))</f>
        <v>5</v>
      </c>
    </row>
    <row r="4" spans="1:51" ht="13.15" customHeight="1">
      <c r="A4" s="207">
        <v>10651</v>
      </c>
      <c r="B4" s="208" t="s">
        <v>92</v>
      </c>
      <c r="C4" s="209" t="str">
        <f>Rollover!A4</f>
        <v>Toyota</v>
      </c>
      <c r="D4" s="210" t="str">
        <f>Rollover!B4</f>
        <v>Corolla Hybrid 4DR FWD</v>
      </c>
      <c r="E4" s="133" t="s">
        <v>85</v>
      </c>
      <c r="F4" s="211">
        <f>Rollover!C4</f>
        <v>2020</v>
      </c>
      <c r="G4" s="10">
        <v>186.548</v>
      </c>
      <c r="H4" s="11">
        <v>0.27300000000000002</v>
      </c>
      <c r="I4" s="11">
        <v>1080.8340000000001</v>
      </c>
      <c r="J4" s="11">
        <v>221.012</v>
      </c>
      <c r="K4" s="11">
        <v>24.053999999999998</v>
      </c>
      <c r="L4" s="11">
        <v>45.079000000000001</v>
      </c>
      <c r="M4" s="11">
        <v>1468.2719999999999</v>
      </c>
      <c r="N4" s="12">
        <v>1380.788</v>
      </c>
      <c r="O4" s="10">
        <v>356.32299999999998</v>
      </c>
      <c r="P4" s="11">
        <v>0.27100000000000002</v>
      </c>
      <c r="Q4" s="11">
        <v>733.971</v>
      </c>
      <c r="R4" s="11">
        <v>381.9</v>
      </c>
      <c r="S4" s="11">
        <v>13.587999999999999</v>
      </c>
      <c r="T4" s="11">
        <v>48.542000000000002</v>
      </c>
      <c r="U4" s="11">
        <v>1337.059</v>
      </c>
      <c r="V4" s="12">
        <v>693.72799999999995</v>
      </c>
      <c r="W4" s="212">
        <f t="shared" si="0"/>
        <v>1.3280132735441646E-3</v>
      </c>
      <c r="X4" s="5">
        <f t="shared" si="1"/>
        <v>6.3600694729198576E-2</v>
      </c>
      <c r="Y4" s="5">
        <f t="shared" si="2"/>
        <v>2.231330320868445E-4</v>
      </c>
      <c r="Z4" s="5">
        <f t="shared" si="3"/>
        <v>2.8959117628590589E-5</v>
      </c>
      <c r="AA4" s="5">
        <f t="shared" si="4"/>
        <v>6.3600694729198576E-2</v>
      </c>
      <c r="AB4" s="5">
        <f t="shared" si="5"/>
        <v>2.3019088613042766E-2</v>
      </c>
      <c r="AC4" s="5">
        <f t="shared" si="6"/>
        <v>2.3019088613042766E-2</v>
      </c>
      <c r="AD4" s="5">
        <f t="shared" si="7"/>
        <v>6.4835277820869067E-3</v>
      </c>
      <c r="AE4" s="5">
        <f t="shared" si="8"/>
        <v>6.1971917736574752E-3</v>
      </c>
      <c r="AF4" s="21">
        <f t="shared" si="9"/>
        <v>6.4835277820869067E-3</v>
      </c>
      <c r="AG4" s="20">
        <f t="shared" si="10"/>
        <v>1.6568243756006254E-2</v>
      </c>
      <c r="AH4" s="5">
        <f t="shared" si="11"/>
        <v>6.3366590994446123E-2</v>
      </c>
      <c r="AI4" s="5">
        <f t="shared" si="12"/>
        <v>2.7707940068093061E-4</v>
      </c>
      <c r="AJ4" s="5">
        <f t="shared" si="13"/>
        <v>7.3493727433486964E-5</v>
      </c>
      <c r="AK4" s="5">
        <f t="shared" si="14"/>
        <v>6.3366590994446123E-2</v>
      </c>
      <c r="AL4" s="5">
        <f t="shared" si="15"/>
        <v>8.066984148380035E-3</v>
      </c>
      <c r="AM4" s="5">
        <f t="shared" si="16"/>
        <v>8.066984148380035E-3</v>
      </c>
      <c r="AN4" s="5">
        <f t="shared" si="17"/>
        <v>8.3575710425069869E-3</v>
      </c>
      <c r="AO4" s="5">
        <f t="shared" si="18"/>
        <v>5.1359123258313873E-3</v>
      </c>
      <c r="AP4" s="21">
        <f t="shared" si="19"/>
        <v>8.3575710425069869E-3</v>
      </c>
      <c r="AQ4" s="212">
        <f t="shared" si="20"/>
        <v>9.1999999999999998E-2</v>
      </c>
      <c r="AR4" s="5">
        <f t="shared" si="21"/>
        <v>9.4E-2</v>
      </c>
      <c r="AS4" s="5">
        <f t="shared" si="22"/>
        <v>9.2999999999999999E-2</v>
      </c>
      <c r="AT4" s="131">
        <f t="shared" si="23"/>
        <v>0.61</v>
      </c>
      <c r="AU4" s="131">
        <f t="shared" si="24"/>
        <v>0.63</v>
      </c>
      <c r="AV4" s="131">
        <f t="shared" si="25"/>
        <v>0.62</v>
      </c>
      <c r="AW4" s="132">
        <f t="shared" si="26"/>
        <v>5</v>
      </c>
      <c r="AX4" s="132">
        <f t="shared" si="27"/>
        <v>5</v>
      </c>
      <c r="AY4" s="213">
        <f t="shared" si="28"/>
        <v>5</v>
      </c>
    </row>
    <row r="5" spans="1:51">
      <c r="A5" s="98"/>
      <c r="B5" s="98"/>
      <c r="C5" s="98"/>
      <c r="D5" s="98"/>
      <c r="E5" s="98"/>
      <c r="F5" s="98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6" spans="1:51">
      <c r="A6" s="98"/>
      <c r="B6" s="98"/>
      <c r="C6" s="98"/>
      <c r="D6" s="98"/>
      <c r="E6" s="98"/>
      <c r="F6" s="98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</row>
    <row r="7" spans="1:51">
      <c r="A7" s="98"/>
      <c r="B7" s="98"/>
      <c r="C7" s="98"/>
      <c r="D7" s="98"/>
      <c r="E7" s="98"/>
      <c r="F7" s="98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</row>
    <row r="8" spans="1:51">
      <c r="A8" s="98"/>
      <c r="B8" s="98"/>
      <c r="C8" s="98"/>
      <c r="D8" s="98"/>
      <c r="E8" s="98"/>
      <c r="F8" s="98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</row>
    <row r="9" spans="1:51">
      <c r="A9" s="98"/>
      <c r="B9" s="98"/>
      <c r="C9" s="98"/>
      <c r="D9" s="98"/>
      <c r="E9" s="98"/>
      <c r="F9" s="98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</row>
    <row r="10" spans="1:51">
      <c r="A10" s="216"/>
      <c r="B10" s="216"/>
      <c r="C10" s="98"/>
      <c r="D10" s="98"/>
      <c r="E10" s="98"/>
      <c r="F10" s="98"/>
      <c r="G10" s="214"/>
      <c r="H10" s="214"/>
      <c r="I10" s="214"/>
      <c r="J10" s="214"/>
      <c r="K10" s="214"/>
      <c r="L10" s="136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67"/>
      <c r="X10" s="67"/>
      <c r="Y10" s="67"/>
      <c r="Z10" s="67"/>
    </row>
    <row r="11" spans="1:51">
      <c r="L11" s="136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67"/>
      <c r="X11" s="67"/>
      <c r="Y11" s="67"/>
      <c r="Z11" s="67"/>
    </row>
    <row r="12" spans="1:51">
      <c r="L12" s="136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67"/>
      <c r="X12" s="67"/>
      <c r="Y12" s="67"/>
      <c r="Z12" s="67"/>
    </row>
    <row r="13" spans="1:51">
      <c r="C13" s="104"/>
      <c r="D13" s="104"/>
      <c r="E13" s="104"/>
      <c r="F13" s="104"/>
      <c r="G13" s="219"/>
      <c r="H13" s="219"/>
      <c r="K13" s="219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67"/>
      <c r="X13" s="67"/>
      <c r="Y13" s="67"/>
      <c r="Z13" s="67"/>
    </row>
    <row r="14" spans="1:51">
      <c r="C14" s="104"/>
      <c r="D14" s="104"/>
      <c r="E14" s="104"/>
      <c r="F14" s="104"/>
      <c r="G14" s="219"/>
      <c r="H14" s="219"/>
      <c r="K14" s="220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67"/>
      <c r="X14" s="67"/>
      <c r="Y14" s="67"/>
      <c r="Z14" s="67"/>
    </row>
    <row r="15" spans="1:51">
      <c r="C15" s="104"/>
      <c r="D15" s="104"/>
      <c r="E15" s="104"/>
      <c r="F15" s="104"/>
      <c r="G15" s="219"/>
      <c r="H15" s="219"/>
      <c r="K15" s="219"/>
      <c r="L15" s="136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67"/>
      <c r="X15" s="67"/>
      <c r="Y15" s="67"/>
      <c r="Z15" s="67"/>
    </row>
    <row r="16" spans="1:51">
      <c r="C16" s="104"/>
      <c r="D16" s="104"/>
      <c r="E16" s="104"/>
      <c r="F16" s="104"/>
      <c r="G16" s="219"/>
      <c r="H16" s="219"/>
      <c r="K16" s="219"/>
      <c r="L16" s="136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67"/>
      <c r="X16" s="67"/>
      <c r="Y16" s="67"/>
      <c r="Z16" s="67"/>
    </row>
    <row r="17" spans="1:31">
      <c r="C17" s="104"/>
      <c r="D17" s="104"/>
      <c r="E17" s="104"/>
      <c r="F17" s="104"/>
      <c r="G17" s="219"/>
      <c r="H17" s="219"/>
      <c r="K17" s="220"/>
      <c r="L17" s="136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67"/>
      <c r="X17" s="67"/>
      <c r="Y17" s="67"/>
      <c r="Z17" s="67"/>
    </row>
    <row r="18" spans="1:31">
      <c r="C18" s="104"/>
      <c r="D18" s="104"/>
      <c r="E18" s="104"/>
      <c r="F18" s="104"/>
      <c r="G18" s="219"/>
      <c r="H18" s="219"/>
      <c r="K18" s="219"/>
      <c r="L18" s="136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67"/>
      <c r="X18" s="67"/>
      <c r="Y18" s="67"/>
      <c r="Z18" s="67"/>
    </row>
    <row r="19" spans="1:31">
      <c r="C19" s="104"/>
      <c r="D19" s="104"/>
      <c r="E19" s="104"/>
      <c r="F19" s="104"/>
      <c r="G19" s="219"/>
      <c r="H19" s="219"/>
      <c r="K19" s="219"/>
    </row>
    <row r="20" spans="1:31">
      <c r="C20" s="104"/>
      <c r="D20" s="104"/>
      <c r="E20" s="104"/>
      <c r="F20" s="104"/>
      <c r="G20" s="219"/>
      <c r="H20" s="219"/>
      <c r="K20" s="219"/>
    </row>
    <row r="21" spans="1:31">
      <c r="C21" s="104"/>
      <c r="D21" s="104"/>
      <c r="E21" s="104"/>
      <c r="F21" s="104"/>
      <c r="G21" s="219"/>
      <c r="H21" s="219"/>
      <c r="K21" s="220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</row>
    <row r="22" spans="1:31">
      <c r="C22" s="104"/>
      <c r="D22" s="104"/>
      <c r="E22" s="104"/>
      <c r="F22" s="104"/>
      <c r="G22" s="219"/>
      <c r="H22" s="219"/>
      <c r="K22" s="219"/>
    </row>
    <row r="23" spans="1:31">
      <c r="G23" s="219"/>
      <c r="H23" s="219"/>
      <c r="K23" s="219"/>
    </row>
    <row r="24" spans="1:31">
      <c r="G24" s="219"/>
      <c r="H24" s="219"/>
      <c r="K24" s="219"/>
    </row>
    <row r="25" spans="1:31">
      <c r="C25" s="104"/>
      <c r="D25" s="104"/>
      <c r="E25" s="104"/>
      <c r="F25" s="104"/>
      <c r="G25" s="219"/>
      <c r="H25" s="219"/>
      <c r="K25" s="219"/>
    </row>
    <row r="26" spans="1:31">
      <c r="A26" s="98"/>
      <c r="B26" s="98"/>
      <c r="C26" s="104"/>
      <c r="D26" s="104"/>
      <c r="E26" s="104"/>
      <c r="F26" s="104"/>
      <c r="G26" s="219"/>
      <c r="H26" s="219"/>
      <c r="K26" s="219"/>
    </row>
    <row r="27" spans="1:31">
      <c r="A27" s="98"/>
      <c r="B27" s="98"/>
      <c r="C27" s="104"/>
      <c r="D27" s="104"/>
      <c r="E27" s="104"/>
      <c r="F27" s="104"/>
      <c r="G27" s="219"/>
      <c r="H27" s="219"/>
      <c r="K27" s="219"/>
    </row>
    <row r="28" spans="1:31">
      <c r="A28" s="98"/>
      <c r="B28" s="98"/>
      <c r="C28" s="104"/>
      <c r="D28" s="104"/>
      <c r="E28" s="104"/>
      <c r="F28" s="104"/>
      <c r="G28" s="219"/>
      <c r="H28" s="219"/>
      <c r="K28" s="219"/>
      <c r="N28" s="219"/>
      <c r="O28" s="219"/>
      <c r="P28" s="219"/>
      <c r="Q28" s="219"/>
      <c r="R28" s="219"/>
      <c r="S28" s="219"/>
      <c r="T28" s="219"/>
      <c r="U28" s="219"/>
      <c r="V28" s="219"/>
      <c r="W28" s="221"/>
      <c r="X28" s="222"/>
      <c r="Y28" s="221"/>
      <c r="Z28" s="221"/>
      <c r="AA28" s="104"/>
      <c r="AB28" s="104"/>
      <c r="AC28" s="104"/>
      <c r="AD28" s="104"/>
      <c r="AE28" s="104"/>
    </row>
    <row r="29" spans="1:31">
      <c r="C29" s="104"/>
      <c r="D29" s="104"/>
      <c r="E29" s="104"/>
      <c r="F29" s="104"/>
      <c r="H29" s="172"/>
      <c r="I29" s="172"/>
      <c r="J29" s="172"/>
      <c r="K29" s="172"/>
      <c r="L29" s="172"/>
      <c r="M29" s="172"/>
      <c r="N29" s="219"/>
      <c r="O29" s="219"/>
      <c r="P29" s="219"/>
      <c r="Q29" s="219"/>
      <c r="R29" s="219"/>
      <c r="S29" s="219"/>
      <c r="T29" s="219"/>
      <c r="U29" s="219"/>
      <c r="V29" s="219"/>
      <c r="W29" s="221"/>
      <c r="X29" s="222"/>
      <c r="Y29" s="221"/>
      <c r="Z29" s="221"/>
      <c r="AA29" s="68"/>
      <c r="AB29" s="68"/>
      <c r="AC29" s="68"/>
      <c r="AD29" s="68"/>
      <c r="AE29" s="68"/>
    </row>
    <row r="30" spans="1:31">
      <c r="C30" s="104"/>
      <c r="D30" s="104"/>
      <c r="E30" s="104"/>
      <c r="F30" s="104"/>
      <c r="H30" s="172"/>
      <c r="I30" s="172"/>
      <c r="J30" s="172"/>
      <c r="K30" s="172"/>
      <c r="L30" s="172"/>
      <c r="M30" s="172"/>
      <c r="N30" s="219"/>
      <c r="O30" s="219"/>
      <c r="P30" s="219"/>
      <c r="Q30" s="219"/>
      <c r="R30" s="219"/>
      <c r="S30" s="219"/>
      <c r="T30" s="219"/>
      <c r="U30" s="219"/>
      <c r="V30" s="219"/>
      <c r="W30" s="221"/>
      <c r="X30" s="222"/>
      <c r="Y30" s="221"/>
      <c r="Z30" s="221"/>
      <c r="AA30" s="185"/>
      <c r="AB30" s="221"/>
      <c r="AC30" s="221"/>
      <c r="AD30" s="185"/>
      <c r="AE30" s="185"/>
    </row>
    <row r="31" spans="1:31">
      <c r="A31" s="223"/>
      <c r="B31" s="223"/>
      <c r="C31" s="107"/>
      <c r="D31" s="107"/>
      <c r="E31" s="107"/>
      <c r="F31" s="107"/>
      <c r="G31" s="224"/>
      <c r="H31" s="172"/>
      <c r="I31" s="172"/>
      <c r="J31" s="172"/>
      <c r="K31" s="172"/>
      <c r="L31" s="172"/>
      <c r="M31" s="172"/>
      <c r="N31" s="219"/>
      <c r="O31" s="219"/>
      <c r="P31" s="219"/>
      <c r="Q31" s="219"/>
      <c r="R31" s="219"/>
      <c r="S31" s="219"/>
      <c r="T31" s="219"/>
      <c r="U31" s="219"/>
      <c r="V31" s="219"/>
      <c r="W31" s="221"/>
      <c r="X31" s="222"/>
      <c r="Y31" s="221"/>
      <c r="Z31" s="221"/>
      <c r="AA31" s="185"/>
      <c r="AB31" s="221"/>
      <c r="AC31" s="221"/>
      <c r="AD31" s="185"/>
      <c r="AE31" s="185"/>
    </row>
    <row r="32" spans="1:31">
      <c r="A32" s="98"/>
      <c r="B32" s="98"/>
      <c r="C32" s="98"/>
      <c r="D32" s="98"/>
      <c r="E32" s="98"/>
      <c r="F32" s="98"/>
      <c r="G32" s="214"/>
      <c r="H32" s="172"/>
      <c r="I32" s="172"/>
      <c r="J32" s="172"/>
      <c r="K32" s="172"/>
      <c r="L32" s="172"/>
      <c r="M32" s="172"/>
      <c r="N32" s="219"/>
      <c r="O32" s="219"/>
      <c r="P32" s="219"/>
      <c r="Q32" s="219"/>
      <c r="R32" s="219"/>
      <c r="S32" s="219"/>
      <c r="T32" s="219"/>
      <c r="U32" s="219"/>
      <c r="V32" s="219"/>
      <c r="W32" s="221"/>
      <c r="X32" s="222"/>
      <c r="Y32" s="221"/>
      <c r="Z32" s="221"/>
      <c r="AA32" s="185"/>
      <c r="AB32" s="221"/>
      <c r="AC32" s="221"/>
      <c r="AD32" s="185"/>
      <c r="AE32" s="185"/>
    </row>
    <row r="33" spans="1:31">
      <c r="C33" s="104"/>
      <c r="D33" s="104"/>
      <c r="E33" s="104"/>
      <c r="F33" s="104"/>
      <c r="H33" s="172"/>
      <c r="I33" s="172"/>
      <c r="J33" s="172"/>
      <c r="K33" s="172"/>
      <c r="L33" s="172"/>
      <c r="M33" s="172"/>
      <c r="N33" s="219"/>
      <c r="O33" s="219"/>
      <c r="P33" s="219"/>
      <c r="Q33" s="219"/>
      <c r="R33" s="219"/>
      <c r="S33" s="219"/>
      <c r="T33" s="219"/>
      <c r="U33" s="219"/>
      <c r="V33" s="219"/>
      <c r="W33" s="221"/>
      <c r="X33" s="222"/>
      <c r="Y33" s="221"/>
      <c r="Z33" s="221"/>
      <c r="AA33" s="185"/>
      <c r="AB33" s="221"/>
      <c r="AC33" s="221"/>
      <c r="AD33" s="185"/>
      <c r="AE33" s="185"/>
    </row>
    <row r="34" spans="1:31">
      <c r="A34" s="98"/>
      <c r="B34" s="98"/>
      <c r="C34" s="104"/>
      <c r="D34" s="104"/>
      <c r="E34" s="104"/>
      <c r="F34" s="104"/>
      <c r="H34" s="172"/>
      <c r="I34" s="172"/>
      <c r="J34" s="172"/>
      <c r="K34" s="172"/>
      <c r="L34" s="172"/>
      <c r="M34" s="172"/>
      <c r="N34" s="219"/>
      <c r="O34" s="219"/>
      <c r="P34" s="219"/>
      <c r="Q34" s="219"/>
      <c r="R34" s="219"/>
      <c r="S34" s="219"/>
      <c r="T34" s="219"/>
      <c r="U34" s="219"/>
      <c r="V34" s="219"/>
      <c r="W34" s="221"/>
      <c r="X34" s="222"/>
      <c r="Y34" s="221"/>
      <c r="Z34" s="221"/>
      <c r="AA34" s="185"/>
      <c r="AB34" s="221"/>
      <c r="AC34" s="221"/>
      <c r="AD34" s="185"/>
      <c r="AE34" s="185"/>
    </row>
    <row r="35" spans="1:31">
      <c r="C35" s="104"/>
      <c r="D35" s="104"/>
      <c r="E35" s="104"/>
      <c r="F35" s="104"/>
      <c r="H35" s="172"/>
      <c r="I35" s="172"/>
      <c r="J35" s="172"/>
      <c r="K35" s="172"/>
      <c r="L35" s="172"/>
      <c r="M35" s="172"/>
      <c r="N35" s="219"/>
      <c r="O35" s="219"/>
      <c r="P35" s="219"/>
      <c r="Q35" s="219"/>
      <c r="R35" s="219"/>
      <c r="S35" s="219"/>
      <c r="T35" s="219"/>
      <c r="U35" s="219"/>
      <c r="V35" s="219"/>
      <c r="W35" s="221"/>
      <c r="X35" s="222"/>
      <c r="Y35" s="221"/>
      <c r="Z35" s="221"/>
      <c r="AA35" s="185"/>
      <c r="AB35" s="221"/>
      <c r="AC35" s="221"/>
      <c r="AD35" s="185"/>
      <c r="AE35" s="185"/>
    </row>
    <row r="36" spans="1:31">
      <c r="C36" s="104"/>
      <c r="D36" s="104"/>
      <c r="E36" s="104"/>
      <c r="F36" s="104"/>
      <c r="H36" s="172"/>
      <c r="I36" s="172"/>
      <c r="J36" s="172"/>
      <c r="K36" s="172"/>
      <c r="L36" s="172"/>
      <c r="M36" s="172"/>
      <c r="N36" s="219"/>
      <c r="O36" s="219"/>
      <c r="P36" s="219"/>
      <c r="Q36" s="219"/>
      <c r="R36" s="219"/>
      <c r="S36" s="219"/>
      <c r="T36" s="219"/>
      <c r="U36" s="219"/>
      <c r="V36" s="219"/>
      <c r="W36" s="221"/>
      <c r="X36" s="222"/>
      <c r="Y36" s="221"/>
      <c r="Z36" s="221"/>
      <c r="AA36" s="185"/>
      <c r="AB36" s="221"/>
      <c r="AC36" s="221"/>
      <c r="AD36" s="185"/>
      <c r="AE36" s="185"/>
    </row>
    <row r="37" spans="1:31">
      <c r="A37" s="98"/>
      <c r="B37" s="98"/>
      <c r="C37" s="98"/>
      <c r="D37" s="98"/>
      <c r="E37" s="98"/>
      <c r="F37" s="98"/>
      <c r="G37" s="214"/>
      <c r="H37" s="172"/>
      <c r="I37" s="172"/>
      <c r="J37" s="172"/>
      <c r="K37" s="172"/>
      <c r="L37" s="172"/>
      <c r="M37" s="172"/>
      <c r="N37" s="219"/>
      <c r="O37" s="219"/>
      <c r="P37" s="219"/>
      <c r="Q37" s="219"/>
      <c r="R37" s="219"/>
      <c r="S37" s="219"/>
      <c r="T37" s="219"/>
      <c r="U37" s="219"/>
      <c r="V37" s="219"/>
      <c r="W37" s="221"/>
      <c r="X37" s="222"/>
      <c r="Y37" s="221"/>
      <c r="Z37" s="221"/>
      <c r="AA37" s="185"/>
      <c r="AB37" s="221"/>
      <c r="AC37" s="221"/>
      <c r="AD37" s="185"/>
      <c r="AE37" s="185"/>
    </row>
    <row r="38" spans="1:31">
      <c r="H38" s="172"/>
      <c r="I38" s="172"/>
      <c r="J38" s="172"/>
      <c r="K38" s="172"/>
      <c r="L38" s="172"/>
      <c r="M38" s="172"/>
      <c r="N38" s="219"/>
      <c r="O38" s="219"/>
      <c r="P38" s="219"/>
      <c r="Q38" s="219"/>
      <c r="R38" s="219"/>
      <c r="S38" s="219"/>
      <c r="T38" s="219"/>
      <c r="U38" s="219"/>
      <c r="V38" s="219"/>
      <c r="W38" s="221"/>
      <c r="X38" s="222"/>
      <c r="Y38" s="221"/>
      <c r="Z38" s="221"/>
      <c r="AA38" s="185"/>
      <c r="AB38" s="221"/>
      <c r="AC38" s="221"/>
      <c r="AD38" s="185"/>
      <c r="AE38" s="185"/>
    </row>
    <row r="39" spans="1:31">
      <c r="H39" s="172"/>
      <c r="I39" s="172"/>
      <c r="J39" s="172"/>
      <c r="K39" s="172"/>
      <c r="L39" s="172"/>
      <c r="M39" s="172"/>
      <c r="N39" s="219"/>
      <c r="O39" s="219"/>
      <c r="P39" s="219"/>
      <c r="Q39" s="219"/>
      <c r="R39" s="219"/>
      <c r="S39" s="219"/>
      <c r="T39" s="219"/>
      <c r="U39" s="219"/>
      <c r="V39" s="219"/>
      <c r="W39" s="221"/>
      <c r="X39" s="222"/>
      <c r="Y39" s="221"/>
      <c r="Z39" s="221"/>
      <c r="AA39" s="185"/>
      <c r="AB39" s="221"/>
      <c r="AC39" s="221"/>
      <c r="AD39" s="185"/>
      <c r="AE39" s="185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8"/>
  <sheetViews>
    <sheetView workbookViewId="0">
      <pane xSplit="6" ySplit="2" topLeftCell="G3" activePane="bottomRight" state="frozen"/>
      <selection activeCell="B14" sqref="B14"/>
      <selection pane="topRight" activeCell="B14" sqref="B14"/>
      <selection pane="bottomLeft" activeCell="B14" sqref="B14"/>
      <selection pane="bottomRight" activeCell="AF1" sqref="AF1:AJ1048576"/>
    </sheetView>
  </sheetViews>
  <sheetFormatPr defaultRowHeight="12.75"/>
  <cols>
    <col min="1" max="1" width="7.28515625" style="184" customWidth="1"/>
    <col min="2" max="2" width="9" style="184" bestFit="1" customWidth="1"/>
    <col min="3" max="3" width="13.5703125" style="67" bestFit="1" customWidth="1"/>
    <col min="4" max="4" width="36.140625" style="67" customWidth="1"/>
    <col min="5" max="5" width="6.5703125" style="67" bestFit="1" customWidth="1"/>
    <col min="6" max="6" width="5.7109375" style="67" customWidth="1"/>
    <col min="7" max="16" width="8.7109375" style="172" customWidth="1"/>
    <col min="17" max="20" width="9.140625" style="67" customWidth="1"/>
    <col min="21" max="21" width="10.7109375" style="67" customWidth="1"/>
    <col min="22" max="22" width="8.140625" style="67" customWidth="1"/>
    <col min="23" max="23" width="8" style="185" customWidth="1"/>
    <col min="24" max="24" width="10.140625" style="185" customWidth="1"/>
    <col min="25" max="25" width="9.140625" style="185" customWidth="1"/>
    <col min="26" max="26" width="8" style="185" customWidth="1"/>
    <col min="27" max="27" width="9.5703125" style="185" customWidth="1"/>
    <col min="28" max="28" width="6.140625" style="185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67"/>
  </cols>
  <sheetData>
    <row r="1" spans="1:51" s="53" customFormat="1" ht="13.5" thickBot="1">
      <c r="A1" s="112"/>
      <c r="B1" s="113"/>
      <c r="C1" s="114"/>
      <c r="D1" s="114"/>
      <c r="E1" s="115"/>
      <c r="F1" s="115"/>
      <c r="G1" s="116" t="s">
        <v>41</v>
      </c>
      <c r="H1" s="117"/>
      <c r="I1" s="117"/>
      <c r="J1" s="117"/>
      <c r="K1" s="118"/>
      <c r="L1" s="119" t="s">
        <v>42</v>
      </c>
      <c r="M1" s="120"/>
      <c r="N1" s="120"/>
      <c r="O1" s="120"/>
      <c r="P1" s="121"/>
      <c r="Q1" s="48" t="s">
        <v>43</v>
      </c>
      <c r="R1" s="122"/>
      <c r="S1" s="122"/>
      <c r="T1" s="123"/>
      <c r="U1" s="48" t="s">
        <v>42</v>
      </c>
      <c r="V1" s="49"/>
      <c r="W1" s="31" t="s">
        <v>13</v>
      </c>
      <c r="X1" s="32" t="s">
        <v>69</v>
      </c>
      <c r="Y1" s="33" t="s">
        <v>49</v>
      </c>
      <c r="Z1" s="31" t="s">
        <v>13</v>
      </c>
      <c r="AA1" s="32" t="s">
        <v>16</v>
      </c>
      <c r="AB1" s="33" t="s">
        <v>54</v>
      </c>
      <c r="AC1" s="35" t="s">
        <v>13</v>
      </c>
      <c r="AD1" s="36" t="s">
        <v>16</v>
      </c>
      <c r="AE1" s="37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24" t="s">
        <v>27</v>
      </c>
      <c r="B2" s="125" t="s">
        <v>84</v>
      </c>
      <c r="C2" s="47" t="s">
        <v>19</v>
      </c>
      <c r="D2" s="54" t="s">
        <v>20</v>
      </c>
      <c r="E2" s="54" t="s">
        <v>76</v>
      </c>
      <c r="F2" s="55" t="s">
        <v>21</v>
      </c>
      <c r="G2" s="126" t="s">
        <v>59</v>
      </c>
      <c r="H2" s="127" t="s">
        <v>33</v>
      </c>
      <c r="I2" s="127" t="s">
        <v>10</v>
      </c>
      <c r="J2" s="127" t="s">
        <v>11</v>
      </c>
      <c r="K2" s="128" t="s">
        <v>12</v>
      </c>
      <c r="L2" s="126" t="s">
        <v>59</v>
      </c>
      <c r="M2" s="127" t="s">
        <v>33</v>
      </c>
      <c r="N2" s="127" t="s">
        <v>10</v>
      </c>
      <c r="O2" s="127" t="s">
        <v>39</v>
      </c>
      <c r="P2" s="128" t="s">
        <v>40</v>
      </c>
      <c r="Q2" s="25" t="s">
        <v>1</v>
      </c>
      <c r="R2" s="26" t="s">
        <v>3</v>
      </c>
      <c r="S2" s="26" t="s">
        <v>14</v>
      </c>
      <c r="T2" s="27" t="s">
        <v>15</v>
      </c>
      <c r="U2" s="25" t="s">
        <v>1</v>
      </c>
      <c r="V2" s="27" t="s">
        <v>15</v>
      </c>
      <c r="W2" s="28" t="s">
        <v>17</v>
      </c>
      <c r="X2" s="29" t="s">
        <v>17</v>
      </c>
      <c r="Y2" s="30" t="s">
        <v>17</v>
      </c>
      <c r="Z2" s="179" t="s">
        <v>66</v>
      </c>
      <c r="AA2" s="180" t="s">
        <v>66</v>
      </c>
      <c r="AB2" s="34" t="s">
        <v>66</v>
      </c>
      <c r="AC2" s="181" t="s">
        <v>45</v>
      </c>
      <c r="AD2" s="164" t="s">
        <v>45</v>
      </c>
      <c r="AE2" s="27" t="s">
        <v>45</v>
      </c>
      <c r="AF2" s="182"/>
      <c r="AG2" s="182"/>
      <c r="AH2" s="183"/>
      <c r="AI2" s="183"/>
      <c r="AJ2" s="183"/>
      <c r="AK2" s="183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3.15" customHeight="1">
      <c r="A3" s="8">
        <v>10798</v>
      </c>
      <c r="B3" s="129" t="s">
        <v>88</v>
      </c>
      <c r="C3" s="24" t="str">
        <f>Rollover!A3</f>
        <v>Toyota</v>
      </c>
      <c r="D3" s="43" t="str">
        <f>Rollover!B3</f>
        <v>Corolla 4DR FWD</v>
      </c>
      <c r="E3" s="9" t="s">
        <v>85</v>
      </c>
      <c r="F3" s="130">
        <f>Rollover!C3</f>
        <v>2020</v>
      </c>
      <c r="G3" s="10">
        <v>84.995999999999995</v>
      </c>
      <c r="H3" s="11">
        <v>22.896999999999998</v>
      </c>
      <c r="I3" s="11">
        <v>33.213000000000001</v>
      </c>
      <c r="J3" s="11">
        <v>606.36099999999999</v>
      </c>
      <c r="K3" s="12">
        <v>1781.702</v>
      </c>
      <c r="L3" s="10">
        <v>162.178</v>
      </c>
      <c r="M3" s="44">
        <v>43.720999999999997</v>
      </c>
      <c r="N3" s="11">
        <v>59.920999999999999</v>
      </c>
      <c r="O3" s="11">
        <v>35.392000000000003</v>
      </c>
      <c r="P3" s="12">
        <v>2241.2860000000001</v>
      </c>
      <c r="Q3" s="20">
        <f t="shared" ref="Q3:Q4" si="0">NORMDIST(LN(G3),7.45231,0.73998,1)</f>
        <v>2.3782546118213887E-5</v>
      </c>
      <c r="R3" s="5">
        <f t="shared" ref="R3:R4" si="1">1/(1+EXP(5.3895-0.0919*H3))</f>
        <v>3.6080135928211028E-2</v>
      </c>
      <c r="S3" s="5">
        <f t="shared" ref="S3:S4" si="2">1/(1+EXP(6.04044-0.002133*J3))</f>
        <v>8.6024208406198423E-3</v>
      </c>
      <c r="T3" s="21">
        <f t="shared" ref="T3:T4" si="3">1/(1+EXP(7.5969-0.0011*K3))</f>
        <v>3.5507909058569418E-3</v>
      </c>
      <c r="U3" s="20">
        <f t="shared" ref="U3:U4" si="4">NORMDIST(LN(L3),7.45231,0.73998,1)</f>
        <v>7.0118860846596668E-4</v>
      </c>
      <c r="V3" s="21">
        <f t="shared" ref="V3:V4" si="5">1/(1+EXP(6.3055-0.00094*P3))</f>
        <v>1.4793094957810496E-2</v>
      </c>
      <c r="W3" s="20">
        <f t="shared" ref="W3:W4" si="6">ROUND(1-(1-Q3)*(1-R3)*(1-S3)*(1-T3),3)</f>
        <v>4.8000000000000001E-2</v>
      </c>
      <c r="X3" s="5">
        <f t="shared" ref="X3:X4" si="7">IF(L3="N/A",L3,ROUND(1-(1-U3)*(1-V3),3))</f>
        <v>1.4999999999999999E-2</v>
      </c>
      <c r="Y3" s="21">
        <f t="shared" ref="Y3:Y4" si="8">ROUND(AVERAGE(W3:X3),3)</f>
        <v>3.2000000000000001E-2</v>
      </c>
      <c r="Z3" s="22">
        <f t="shared" ref="Z3:Z4" si="9">ROUND(W3/0.15,2)</f>
        <v>0.32</v>
      </c>
      <c r="AA3" s="131">
        <f t="shared" ref="AA3:AA4" si="10">IF(L3="N/A", L3, ROUND(X3/0.15,2))</f>
        <v>0.1</v>
      </c>
      <c r="AB3" s="23">
        <f t="shared" ref="AB3:AB4" si="11">ROUND(Y3/0.15,2)</f>
        <v>0.21</v>
      </c>
      <c r="AC3" s="18">
        <f t="shared" ref="AC3:AC4" si="12">IF(Z3&lt;0.67,5,IF(Z3&lt;1,4,IF(Z3&lt;1.33,3,IF(Z3&lt;2.67,2,1))))</f>
        <v>5</v>
      </c>
      <c r="AD3" s="132">
        <f t="shared" ref="AD3:AD4" si="13">IF(L3="N/A",L3,IF(AA3&lt;0.67,5,IF(AA3&lt;1,4,IF(AA3&lt;1.33,3,IF(AA3&lt;2.67,2,1)))))</f>
        <v>5</v>
      </c>
      <c r="AE3" s="19">
        <f t="shared" ref="AE3:AE4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 ht="13.15" customHeight="1">
      <c r="A4" s="61">
        <v>10798</v>
      </c>
      <c r="B4" s="133" t="s">
        <v>88</v>
      </c>
      <c r="C4" s="24" t="str">
        <f>Rollover!A4</f>
        <v>Toyota</v>
      </c>
      <c r="D4" s="43" t="str">
        <f>Rollover!B4</f>
        <v>Corolla Hybrid 4DR FWD</v>
      </c>
      <c r="E4" s="9" t="s">
        <v>85</v>
      </c>
      <c r="F4" s="130">
        <f>Rollover!C4</f>
        <v>2020</v>
      </c>
      <c r="G4" s="10">
        <v>84.995999999999995</v>
      </c>
      <c r="H4" s="11">
        <v>22.896999999999998</v>
      </c>
      <c r="I4" s="11">
        <v>33.213000000000001</v>
      </c>
      <c r="J4" s="11">
        <v>606.36099999999999</v>
      </c>
      <c r="K4" s="12">
        <v>1781.702</v>
      </c>
      <c r="L4" s="10">
        <v>162.178</v>
      </c>
      <c r="M4" s="44">
        <v>43.720999999999997</v>
      </c>
      <c r="N4" s="11">
        <v>59.920999999999999</v>
      </c>
      <c r="O4" s="11">
        <v>35.392000000000003</v>
      </c>
      <c r="P4" s="12">
        <v>2241.2860000000001</v>
      </c>
      <c r="Q4" s="20">
        <f t="shared" si="0"/>
        <v>2.3782546118213887E-5</v>
      </c>
      <c r="R4" s="5">
        <f t="shared" si="1"/>
        <v>3.6080135928211028E-2</v>
      </c>
      <c r="S4" s="5">
        <f t="shared" si="2"/>
        <v>8.6024208406198423E-3</v>
      </c>
      <c r="T4" s="21">
        <f t="shared" si="3"/>
        <v>3.5507909058569418E-3</v>
      </c>
      <c r="U4" s="20">
        <f t="shared" si="4"/>
        <v>7.0118860846596668E-4</v>
      </c>
      <c r="V4" s="21">
        <f t="shared" si="5"/>
        <v>1.4793094957810496E-2</v>
      </c>
      <c r="W4" s="20">
        <f t="shared" si="6"/>
        <v>4.8000000000000001E-2</v>
      </c>
      <c r="X4" s="5">
        <f t="shared" si="7"/>
        <v>1.4999999999999999E-2</v>
      </c>
      <c r="Y4" s="21">
        <f t="shared" si="8"/>
        <v>3.2000000000000001E-2</v>
      </c>
      <c r="Z4" s="22">
        <f t="shared" si="9"/>
        <v>0.32</v>
      </c>
      <c r="AA4" s="131">
        <f t="shared" si="10"/>
        <v>0.1</v>
      </c>
      <c r="AB4" s="23">
        <f t="shared" si="11"/>
        <v>0.21</v>
      </c>
      <c r="AC4" s="18">
        <f t="shared" si="12"/>
        <v>5</v>
      </c>
      <c r="AD4" s="132">
        <f t="shared" si="13"/>
        <v>5</v>
      </c>
      <c r="AE4" s="19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E5" s="2"/>
    </row>
    <row r="6" spans="1:51">
      <c r="AE6" s="2"/>
    </row>
    <row r="7" spans="1:51">
      <c r="AE7" s="2"/>
    </row>
    <row r="8" spans="1:51">
      <c r="AE8" s="2"/>
    </row>
    <row r="9" spans="1:51">
      <c r="AE9" s="2"/>
    </row>
    <row r="10" spans="1:51">
      <c r="AE10" s="2"/>
    </row>
    <row r="11" spans="1:51">
      <c r="AE11" s="2"/>
    </row>
    <row r="12" spans="1:51">
      <c r="AE12" s="2"/>
    </row>
    <row r="13" spans="1:51">
      <c r="AE13" s="2"/>
    </row>
    <row r="14" spans="1:51">
      <c r="AE14" s="2"/>
    </row>
    <row r="15" spans="1:51">
      <c r="AE15" s="2"/>
    </row>
    <row r="16" spans="1:51">
      <c r="AE16" s="2"/>
    </row>
    <row r="17" spans="31:31">
      <c r="AE17" s="2"/>
    </row>
    <row r="18" spans="31:31">
      <c r="AE18" s="2"/>
    </row>
    <row r="19" spans="31:31">
      <c r="AE19" s="2"/>
    </row>
    <row r="20" spans="31:31">
      <c r="AE20" s="2"/>
    </row>
    <row r="21" spans="31:31">
      <c r="AE21" s="2"/>
    </row>
    <row r="22" spans="31:31">
      <c r="AE22" s="2"/>
    </row>
    <row r="23" spans="31:31">
      <c r="AE23" s="2"/>
    </row>
    <row r="24" spans="31:31">
      <c r="AE24" s="2"/>
    </row>
    <row r="25" spans="31:31">
      <c r="AE25" s="2"/>
    </row>
    <row r="26" spans="31:31">
      <c r="AE26" s="2"/>
    </row>
    <row r="27" spans="31:31">
      <c r="AE27" s="2"/>
    </row>
    <row r="28" spans="31:31">
      <c r="AE28" s="2"/>
    </row>
    <row r="29" spans="31:31">
      <c r="AE29" s="2"/>
    </row>
    <row r="30" spans="31:31">
      <c r="AE30" s="2"/>
    </row>
    <row r="31" spans="31:31">
      <c r="AE31" s="2"/>
    </row>
    <row r="32" spans="31:3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8"/>
  <sheetViews>
    <sheetView zoomScaleNormal="100" workbookViewId="0">
      <pane xSplit="6" ySplit="2" topLeftCell="G3" activePane="bottomRight" state="frozen"/>
      <selection activeCell="B14" sqref="B14"/>
      <selection pane="topRight" activeCell="B14" sqref="B14"/>
      <selection pane="bottomLeft" activeCell="B14" sqref="B14"/>
      <selection pane="bottomRight" activeCell="A2" sqref="A2"/>
    </sheetView>
  </sheetViews>
  <sheetFormatPr defaultColWidth="9.140625" defaultRowHeight="13.9" customHeight="1"/>
  <cols>
    <col min="1" max="1" width="8.5703125" style="173" bestFit="1" customWidth="1"/>
    <col min="2" max="2" width="9" style="173" bestFit="1" customWidth="1"/>
    <col min="3" max="3" width="12" style="174" bestFit="1" customWidth="1"/>
    <col min="4" max="4" width="31.7109375" style="174" customWidth="1"/>
    <col min="5" max="5" width="6.5703125" style="175" customWidth="1"/>
    <col min="6" max="6" width="7.42578125" style="176" bestFit="1" customWidth="1"/>
    <col min="7" max="10" width="8.7109375" style="172" customWidth="1"/>
    <col min="11" max="11" width="9.85546875" style="172" customWidth="1"/>
    <col min="12" max="12" width="7" style="172" customWidth="1"/>
    <col min="13" max="13" width="7.42578125" style="172" customWidth="1"/>
    <col min="14" max="14" width="7.85546875" style="177" customWidth="1"/>
    <col min="15" max="15" width="8.5703125" style="177" bestFit="1" customWidth="1"/>
    <col min="16" max="16" width="8.28515625" style="178" customWidth="1"/>
    <col min="17" max="17" width="9.28515625" style="177" customWidth="1"/>
    <col min="18" max="18" width="10.140625" style="172" customWidth="1"/>
    <col min="19" max="19" width="6" style="173" customWidth="1"/>
    <col min="20" max="20" width="10.28515625" style="173" bestFit="1" customWidth="1"/>
    <col min="21" max="21" width="10.140625" style="173" customWidth="1"/>
    <col min="22" max="22" width="10.28515625" style="173" bestFit="1" customWidth="1"/>
    <col min="23" max="16384" width="9.140625" style="172"/>
  </cols>
  <sheetData>
    <row r="1" spans="1:38" s="110" customFormat="1" ht="13.9" customHeight="1" thickBot="1">
      <c r="A1" s="141"/>
      <c r="B1" s="142"/>
      <c r="C1" s="143"/>
      <c r="D1" s="143"/>
      <c r="E1" s="144"/>
      <c r="F1" s="145"/>
      <c r="G1" s="146" t="s">
        <v>47</v>
      </c>
      <c r="H1" s="147"/>
      <c r="I1" s="147"/>
      <c r="J1" s="147"/>
      <c r="K1" s="148"/>
      <c r="L1" s="149" t="s">
        <v>47</v>
      </c>
      <c r="M1" s="109"/>
      <c r="N1" s="150" t="s">
        <v>13</v>
      </c>
      <c r="O1" s="151" t="s">
        <v>13</v>
      </c>
      <c r="P1" s="37" t="s">
        <v>46</v>
      </c>
      <c r="Q1" s="152" t="s">
        <v>13</v>
      </c>
      <c r="R1" s="153" t="s">
        <v>13</v>
      </c>
      <c r="S1" s="36" t="s">
        <v>13</v>
      </c>
      <c r="T1" s="36" t="s">
        <v>60</v>
      </c>
      <c r="U1" s="36" t="s">
        <v>77</v>
      </c>
      <c r="V1" s="37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11" customFormat="1" ht="45.75" thickBot="1">
      <c r="A2" s="35" t="s">
        <v>27</v>
      </c>
      <c r="B2" s="36" t="s">
        <v>84</v>
      </c>
      <c r="C2" s="154" t="s">
        <v>19</v>
      </c>
      <c r="D2" s="154" t="s">
        <v>20</v>
      </c>
      <c r="E2" s="155" t="s">
        <v>76</v>
      </c>
      <c r="F2" s="156" t="s">
        <v>21</v>
      </c>
      <c r="G2" s="157" t="s">
        <v>59</v>
      </c>
      <c r="H2" s="158" t="s">
        <v>73</v>
      </c>
      <c r="I2" s="158" t="s">
        <v>74</v>
      </c>
      <c r="J2" s="158" t="s">
        <v>72</v>
      </c>
      <c r="K2" s="159" t="s">
        <v>40</v>
      </c>
      <c r="L2" s="160" t="s">
        <v>1</v>
      </c>
      <c r="M2" s="161" t="s">
        <v>15</v>
      </c>
      <c r="N2" s="160" t="s">
        <v>17</v>
      </c>
      <c r="O2" s="162" t="s">
        <v>67</v>
      </c>
      <c r="P2" s="27" t="s">
        <v>45</v>
      </c>
      <c r="Q2" s="163" t="s">
        <v>80</v>
      </c>
      <c r="R2" s="158" t="s">
        <v>81</v>
      </c>
      <c r="S2" s="164" t="s">
        <v>82</v>
      </c>
      <c r="T2" s="158" t="s">
        <v>79</v>
      </c>
      <c r="U2" s="158" t="s">
        <v>78</v>
      </c>
      <c r="V2" s="39" t="s">
        <v>83</v>
      </c>
      <c r="W2" s="4"/>
      <c r="X2" s="4"/>
      <c r="Y2" s="40"/>
      <c r="Z2" s="40"/>
      <c r="AA2" s="40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3.9" customHeight="1">
      <c r="A3" s="165">
        <v>10650</v>
      </c>
      <c r="B3" s="165" t="s">
        <v>93</v>
      </c>
      <c r="C3" s="166" t="str">
        <f>Rollover!A3</f>
        <v>Toyota</v>
      </c>
      <c r="D3" s="166" t="str">
        <f>Rollover!B3</f>
        <v>Corolla 4DR FWD</v>
      </c>
      <c r="E3" s="64" t="s">
        <v>85</v>
      </c>
      <c r="F3" s="167">
        <f>Rollover!C3</f>
        <v>2020</v>
      </c>
      <c r="G3" s="45">
        <v>239.12200000000001</v>
      </c>
      <c r="H3" s="11">
        <v>14.971</v>
      </c>
      <c r="I3" s="11">
        <v>31.571999999999999</v>
      </c>
      <c r="J3" s="46">
        <v>21.445</v>
      </c>
      <c r="K3" s="12">
        <v>2769.5720000000001</v>
      </c>
      <c r="L3" s="20">
        <f t="shared" ref="L3:L4" si="0">NORMDIST(LN(G3),7.45231,0.73998,1)</f>
        <v>3.7988325969970905E-3</v>
      </c>
      <c r="M3" s="21">
        <f t="shared" ref="M3:M4" si="1">1/(1+EXP(6.3055-0.00094*K3))</f>
        <v>2.4077571975424518E-2</v>
      </c>
      <c r="N3" s="20">
        <f t="shared" ref="N3:N4" si="2">ROUND(1-(1-L3)*(1-M3),3)</f>
        <v>2.8000000000000001E-2</v>
      </c>
      <c r="O3" s="5">
        <f t="shared" ref="O3:O4" si="3">ROUND(N3/0.15,2)</f>
        <v>0.19</v>
      </c>
      <c r="P3" s="19">
        <f t="shared" ref="P3:P4" si="4">IF(O3&lt;0.67,5,IF(O3&lt;1,4,IF(O3&lt;1.33,3,IF(O3&lt;2.67,2,1))))</f>
        <v>5</v>
      </c>
      <c r="Q3" s="168">
        <f>ROUND((0.8*'Side MDB'!W3+0.2*'Side Pole'!N3),3)</f>
        <v>4.3999999999999997E-2</v>
      </c>
      <c r="R3" s="169">
        <f t="shared" ref="R3:R4" si="5">ROUND((Q3)/0.15,2)</f>
        <v>0.28999999999999998</v>
      </c>
      <c r="S3" s="132">
        <f t="shared" ref="S3:S4" si="6">IF(R3&lt;0.67,5,IF(R3&lt;1,4,IF(R3&lt;1.33,3,IF(R3&lt;2.67,2,1))))</f>
        <v>5</v>
      </c>
      <c r="T3" s="169">
        <f>ROUND(((0.8*'Side MDB'!W3+0.2*'Side Pole'!N3)+(IF('Side MDB'!X3="N/A",(0.8*'Side MDB'!W3+0.2*'Side Pole'!N3),'Side MDB'!X3)))/2,3)</f>
        <v>0.03</v>
      </c>
      <c r="U3" s="169">
        <f t="shared" ref="U3:U4" si="7">ROUND((T3)/0.15,2)</f>
        <v>0.2</v>
      </c>
      <c r="V3" s="19">
        <f t="shared" ref="V3:V4" si="8">IF(U3&lt;0.67,5,IF(U3&lt;1,4,IF(U3&lt;1.33,3,IF(U3&lt;2.67,2,1))))</f>
        <v>5</v>
      </c>
      <c r="W3" s="15"/>
      <c r="X3" s="15"/>
      <c r="Y3" s="170"/>
      <c r="Z3" s="170"/>
      <c r="AA3" s="170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38" ht="13.9" customHeight="1">
      <c r="A4" s="165">
        <v>10650</v>
      </c>
      <c r="B4" s="165" t="s">
        <v>93</v>
      </c>
      <c r="C4" s="166" t="str">
        <f>Rollover!A4</f>
        <v>Toyota</v>
      </c>
      <c r="D4" s="166" t="str">
        <f>Rollover!B4</f>
        <v>Corolla Hybrid 4DR FWD</v>
      </c>
      <c r="E4" s="64" t="s">
        <v>85</v>
      </c>
      <c r="F4" s="167">
        <f>Rollover!C4</f>
        <v>2020</v>
      </c>
      <c r="G4" s="45">
        <v>239.12200000000001</v>
      </c>
      <c r="H4" s="11">
        <v>14.971</v>
      </c>
      <c r="I4" s="11">
        <v>31.571999999999999</v>
      </c>
      <c r="J4" s="46">
        <v>21.445</v>
      </c>
      <c r="K4" s="12">
        <v>2769.5720000000001</v>
      </c>
      <c r="L4" s="20">
        <f t="shared" si="0"/>
        <v>3.7988325969970905E-3</v>
      </c>
      <c r="M4" s="21">
        <f t="shared" si="1"/>
        <v>2.4077571975424518E-2</v>
      </c>
      <c r="N4" s="20">
        <f t="shared" si="2"/>
        <v>2.8000000000000001E-2</v>
      </c>
      <c r="O4" s="5">
        <f t="shared" si="3"/>
        <v>0.19</v>
      </c>
      <c r="P4" s="19">
        <f t="shared" si="4"/>
        <v>5</v>
      </c>
      <c r="Q4" s="168">
        <f>ROUND((0.8*'Side MDB'!W4+0.2*'Side Pole'!N4),3)</f>
        <v>4.3999999999999997E-2</v>
      </c>
      <c r="R4" s="169">
        <f t="shared" si="5"/>
        <v>0.28999999999999998</v>
      </c>
      <c r="S4" s="132">
        <f t="shared" si="6"/>
        <v>5</v>
      </c>
      <c r="T4" s="169">
        <f>ROUND(((0.8*'Side MDB'!W4+0.2*'Side Pole'!N4)+(IF('Side MDB'!X4="N/A",(0.8*'Side MDB'!W4+0.2*'Side Pole'!N4),'Side MDB'!X4)))/2,3)</f>
        <v>0.03</v>
      </c>
      <c r="U4" s="169">
        <f t="shared" si="7"/>
        <v>0.2</v>
      </c>
      <c r="V4" s="19">
        <f t="shared" si="8"/>
        <v>5</v>
      </c>
      <c r="W4" s="15"/>
      <c r="X4" s="15"/>
      <c r="Y4" s="170"/>
      <c r="Z4" s="170"/>
      <c r="AA4" s="170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</row>
    <row r="5" spans="1:38" ht="13.9" customHeight="1">
      <c r="N5" s="172"/>
      <c r="O5" s="172"/>
      <c r="P5" s="173"/>
      <c r="Q5" s="172"/>
    </row>
    <row r="6" spans="1:38" ht="13.9" customHeight="1">
      <c r="N6" s="172"/>
      <c r="O6" s="172"/>
      <c r="P6" s="173"/>
      <c r="Q6" s="172"/>
    </row>
    <row r="7" spans="1:38" ht="13.9" customHeight="1">
      <c r="N7" s="172"/>
      <c r="O7" s="172"/>
      <c r="P7" s="173"/>
      <c r="Q7" s="172"/>
    </row>
    <row r="8" spans="1:38" ht="13.9" customHeight="1">
      <c r="N8" s="172"/>
      <c r="O8" s="172"/>
      <c r="P8" s="173"/>
      <c r="Q8" s="172"/>
    </row>
    <row r="9" spans="1:38" ht="13.9" customHeight="1">
      <c r="N9" s="172"/>
      <c r="O9" s="172"/>
      <c r="P9" s="173"/>
      <c r="Q9" s="172"/>
    </row>
    <row r="10" spans="1:38" ht="13.9" customHeight="1">
      <c r="N10" s="172"/>
      <c r="O10" s="172"/>
      <c r="P10" s="173"/>
      <c r="Q10" s="172"/>
    </row>
    <row r="11" spans="1:38" ht="13.9" customHeight="1">
      <c r="N11" s="172"/>
      <c r="O11" s="172"/>
      <c r="P11" s="173"/>
      <c r="Q11" s="172"/>
    </row>
    <row r="12" spans="1:38" ht="13.9" customHeight="1">
      <c r="N12" s="172"/>
      <c r="O12" s="172"/>
      <c r="P12" s="173"/>
      <c r="Q12" s="172"/>
    </row>
    <row r="13" spans="1:38" ht="13.9" customHeight="1">
      <c r="N13" s="172"/>
      <c r="O13" s="172"/>
      <c r="P13" s="173"/>
      <c r="Q13" s="172"/>
    </row>
    <row r="14" spans="1:38" ht="13.9" customHeight="1">
      <c r="N14" s="172"/>
      <c r="O14" s="172"/>
      <c r="P14" s="173"/>
      <c r="Q14" s="172"/>
    </row>
    <row r="15" spans="1:38" ht="13.9" customHeight="1">
      <c r="N15" s="172"/>
      <c r="O15" s="172"/>
      <c r="P15" s="173"/>
      <c r="Q15" s="172"/>
    </row>
    <row r="16" spans="1:38" ht="13.9" customHeight="1">
      <c r="N16" s="172"/>
      <c r="O16" s="172"/>
      <c r="P16" s="173"/>
      <c r="Q16" s="172"/>
    </row>
    <row r="17" spans="14:17" ht="13.9" customHeight="1">
      <c r="N17" s="172"/>
      <c r="O17" s="172"/>
      <c r="P17" s="173"/>
      <c r="Q17" s="172"/>
    </row>
    <row r="18" spans="14:17" ht="13.9" customHeight="1">
      <c r="N18" s="172"/>
      <c r="O18" s="172"/>
      <c r="P18" s="173"/>
      <c r="Q18" s="172"/>
    </row>
    <row r="19" spans="14:17" ht="13.9" customHeight="1">
      <c r="N19" s="172"/>
      <c r="O19" s="172"/>
      <c r="P19" s="173"/>
      <c r="Q19" s="172"/>
    </row>
    <row r="20" spans="14:17" ht="13.9" customHeight="1">
      <c r="N20" s="172"/>
      <c r="O20" s="172"/>
      <c r="P20" s="173"/>
      <c r="Q20" s="172"/>
    </row>
    <row r="21" spans="14:17" ht="13.9" customHeight="1">
      <c r="N21" s="172"/>
      <c r="O21" s="172"/>
      <c r="P21" s="173"/>
      <c r="Q21" s="172"/>
    </row>
    <row r="22" spans="14:17" ht="13.9" customHeight="1">
      <c r="N22" s="172"/>
      <c r="O22" s="172"/>
      <c r="P22" s="173"/>
      <c r="Q22" s="172"/>
    </row>
    <row r="23" spans="14:17" ht="13.9" customHeight="1">
      <c r="N23" s="172"/>
      <c r="O23" s="172"/>
      <c r="P23" s="173"/>
      <c r="Q23" s="172"/>
    </row>
    <row r="24" spans="14:17" ht="13.9" customHeight="1">
      <c r="N24" s="172"/>
      <c r="O24" s="172"/>
      <c r="P24" s="173"/>
      <c r="Q24" s="172"/>
    </row>
    <row r="25" spans="14:17" ht="13.9" customHeight="1">
      <c r="N25" s="172"/>
      <c r="O25" s="172"/>
      <c r="P25" s="173"/>
      <c r="Q25" s="172"/>
    </row>
    <row r="26" spans="14:17" ht="13.9" customHeight="1">
      <c r="N26" s="172"/>
      <c r="O26" s="172"/>
      <c r="P26" s="173"/>
      <c r="Q26" s="172"/>
    </row>
    <row r="27" spans="14:17" ht="13.9" customHeight="1">
      <c r="N27" s="172"/>
      <c r="O27" s="172"/>
      <c r="P27" s="173"/>
      <c r="Q27" s="172"/>
    </row>
    <row r="28" spans="14:17" ht="13.9" customHeight="1">
      <c r="N28" s="172"/>
      <c r="O28" s="172"/>
      <c r="P28" s="173"/>
      <c r="Q28" s="172"/>
    </row>
    <row r="29" spans="14:17" ht="13.9" customHeight="1">
      <c r="N29" s="172"/>
      <c r="O29" s="172"/>
      <c r="P29" s="173"/>
      <c r="Q29" s="172"/>
    </row>
    <row r="30" spans="14:17" ht="13.9" customHeight="1">
      <c r="N30" s="172"/>
      <c r="O30" s="172"/>
      <c r="P30" s="173"/>
      <c r="Q30" s="172"/>
    </row>
    <row r="31" spans="14:17" ht="13.9" customHeight="1">
      <c r="N31" s="172"/>
      <c r="O31" s="172"/>
      <c r="P31" s="173"/>
      <c r="Q31" s="172"/>
    </row>
    <row r="32" spans="14:17" ht="13.9" customHeight="1">
      <c r="N32" s="172"/>
      <c r="O32" s="172"/>
      <c r="P32" s="173"/>
      <c r="Q32" s="172"/>
    </row>
    <row r="33" spans="14:17" ht="13.9" customHeight="1">
      <c r="N33" s="172"/>
      <c r="O33" s="172"/>
      <c r="P33" s="173"/>
      <c r="Q33" s="172"/>
    </row>
    <row r="34" spans="14:17" ht="13.9" customHeight="1">
      <c r="N34" s="172"/>
      <c r="O34" s="172"/>
      <c r="P34" s="173"/>
      <c r="Q34" s="172"/>
    </row>
    <row r="35" spans="14:17" ht="13.9" customHeight="1">
      <c r="N35" s="172"/>
      <c r="O35" s="172"/>
      <c r="P35" s="173"/>
      <c r="Q35" s="172"/>
    </row>
    <row r="36" spans="14:17" ht="13.9" customHeight="1">
      <c r="N36" s="172"/>
      <c r="O36" s="172"/>
      <c r="P36" s="173"/>
      <c r="Q36" s="172"/>
    </row>
    <row r="37" spans="14:17" ht="13.9" customHeight="1">
      <c r="N37" s="172"/>
      <c r="O37" s="172"/>
      <c r="P37" s="173"/>
      <c r="Q37" s="172"/>
    </row>
    <row r="38" spans="14:17" ht="13.9" customHeight="1">
      <c r="N38" s="172"/>
      <c r="O38" s="172"/>
      <c r="P38" s="173"/>
      <c r="Q38" s="172"/>
    </row>
    <row r="39" spans="14:17" ht="13.9" customHeight="1">
      <c r="N39" s="172"/>
      <c r="O39" s="172"/>
      <c r="P39" s="173"/>
      <c r="Q39" s="172"/>
    </row>
    <row r="40" spans="14:17" ht="13.9" customHeight="1">
      <c r="N40" s="172"/>
      <c r="O40" s="172"/>
      <c r="P40" s="173"/>
      <c r="Q40" s="172"/>
    </row>
    <row r="41" spans="14:17" ht="13.9" customHeight="1">
      <c r="N41" s="172"/>
      <c r="O41" s="172"/>
      <c r="P41" s="173"/>
      <c r="Q41" s="172"/>
    </row>
    <row r="42" spans="14:17" ht="13.9" customHeight="1">
      <c r="N42" s="172"/>
      <c r="O42" s="172"/>
      <c r="P42" s="173"/>
      <c r="Q42" s="172"/>
    </row>
    <row r="43" spans="14:17" ht="13.9" customHeight="1">
      <c r="N43" s="172"/>
      <c r="O43" s="172"/>
      <c r="P43" s="173"/>
      <c r="Q43" s="172"/>
    </row>
    <row r="44" spans="14:17" ht="13.9" customHeight="1">
      <c r="N44" s="172"/>
      <c r="O44" s="172"/>
      <c r="P44" s="173"/>
      <c r="Q44" s="172"/>
    </row>
    <row r="45" spans="14:17" ht="13.9" customHeight="1">
      <c r="N45" s="172"/>
      <c r="O45" s="172"/>
      <c r="P45" s="173"/>
      <c r="Q45" s="172"/>
    </row>
    <row r="46" spans="14:17" ht="13.9" customHeight="1">
      <c r="N46" s="172"/>
      <c r="O46" s="172"/>
      <c r="P46" s="173"/>
      <c r="Q46" s="172"/>
    </row>
    <row r="47" spans="14:17" ht="13.9" customHeight="1">
      <c r="N47" s="172"/>
      <c r="O47" s="172"/>
      <c r="P47" s="173"/>
      <c r="Q47" s="172"/>
    </row>
    <row r="48" spans="14:17" ht="13.9" customHeight="1">
      <c r="N48" s="172"/>
      <c r="O48" s="172"/>
      <c r="P48" s="173"/>
      <c r="Q48" s="172"/>
    </row>
    <row r="49" spans="14:17" ht="13.9" customHeight="1">
      <c r="N49" s="172"/>
      <c r="O49" s="172"/>
      <c r="P49" s="173"/>
      <c r="Q49" s="172"/>
    </row>
    <row r="50" spans="14:17" ht="13.9" customHeight="1">
      <c r="N50" s="172"/>
      <c r="O50" s="172"/>
      <c r="P50" s="173"/>
      <c r="Q50" s="172"/>
    </row>
    <row r="51" spans="14:17" ht="13.9" customHeight="1">
      <c r="N51" s="172"/>
      <c r="O51" s="172"/>
      <c r="P51" s="173"/>
      <c r="Q51" s="172"/>
    </row>
    <row r="52" spans="14:17" ht="13.9" customHeight="1">
      <c r="N52" s="172"/>
      <c r="O52" s="172"/>
      <c r="P52" s="173"/>
      <c r="Q52" s="172"/>
    </row>
    <row r="53" spans="14:17" ht="13.9" customHeight="1">
      <c r="N53" s="172"/>
      <c r="O53" s="172"/>
      <c r="P53" s="173"/>
      <c r="Q53" s="172"/>
    </row>
    <row r="54" spans="14:17" ht="13.9" customHeight="1">
      <c r="N54" s="172"/>
      <c r="O54" s="172"/>
      <c r="P54" s="173"/>
      <c r="Q54" s="172"/>
    </row>
    <row r="55" spans="14:17" ht="13.9" customHeight="1">
      <c r="N55" s="172"/>
      <c r="O55" s="172"/>
      <c r="P55" s="173"/>
      <c r="Q55" s="172"/>
    </row>
    <row r="56" spans="14:17" ht="13.9" customHeight="1">
      <c r="N56" s="172"/>
      <c r="O56" s="172"/>
      <c r="P56" s="173"/>
      <c r="Q56" s="172"/>
    </row>
    <row r="57" spans="14:17" ht="13.9" customHeight="1">
      <c r="N57" s="172"/>
      <c r="O57" s="172"/>
      <c r="P57" s="173"/>
      <c r="Q57" s="172"/>
    </row>
    <row r="58" spans="14:17" ht="13.9" customHeight="1">
      <c r="N58" s="172"/>
      <c r="O58" s="172"/>
      <c r="P58" s="173"/>
      <c r="Q58" s="172"/>
    </row>
    <row r="59" spans="14:17" ht="13.9" customHeight="1">
      <c r="N59" s="172"/>
      <c r="O59" s="172"/>
      <c r="P59" s="173"/>
      <c r="Q59" s="172"/>
    </row>
    <row r="60" spans="14:17" ht="13.9" customHeight="1">
      <c r="N60" s="172"/>
      <c r="O60" s="172"/>
      <c r="P60" s="173"/>
      <c r="Q60" s="172"/>
    </row>
    <row r="61" spans="14:17" ht="13.9" customHeight="1">
      <c r="N61" s="172"/>
      <c r="O61" s="172"/>
      <c r="P61" s="173"/>
      <c r="Q61" s="172"/>
    </row>
    <row r="62" spans="14:17" ht="13.9" customHeight="1">
      <c r="N62" s="172"/>
      <c r="O62" s="172"/>
      <c r="P62" s="173"/>
      <c r="Q62" s="172"/>
    </row>
    <row r="63" spans="14:17" ht="13.9" customHeight="1">
      <c r="N63" s="172"/>
      <c r="O63" s="172"/>
      <c r="P63" s="173"/>
      <c r="Q63" s="172"/>
    </row>
    <row r="64" spans="14:17" ht="13.9" customHeight="1">
      <c r="N64" s="172"/>
      <c r="O64" s="172"/>
      <c r="P64" s="173"/>
      <c r="Q64" s="172"/>
    </row>
    <row r="65" spans="14:17" ht="13.9" customHeight="1">
      <c r="N65" s="172"/>
      <c r="O65" s="172"/>
      <c r="P65" s="173"/>
      <c r="Q65" s="172"/>
    </row>
    <row r="66" spans="14:17" ht="13.9" customHeight="1">
      <c r="N66" s="172"/>
      <c r="O66" s="172"/>
      <c r="P66" s="173"/>
      <c r="Q66" s="172"/>
    </row>
    <row r="67" spans="14:17" ht="13.9" customHeight="1">
      <c r="N67" s="172"/>
      <c r="O67" s="172"/>
      <c r="P67" s="173"/>
      <c r="Q67" s="172"/>
    </row>
    <row r="68" spans="14:17" ht="13.9" customHeight="1">
      <c r="N68" s="172"/>
      <c r="O68" s="172"/>
      <c r="P68" s="173"/>
      <c r="Q68" s="172"/>
    </row>
    <row r="69" spans="14:17" ht="13.9" customHeight="1">
      <c r="N69" s="172"/>
      <c r="O69" s="172"/>
      <c r="P69" s="173"/>
      <c r="Q69" s="172"/>
    </row>
    <row r="70" spans="14:17" ht="13.9" customHeight="1">
      <c r="N70" s="172"/>
      <c r="O70" s="172"/>
      <c r="P70" s="173"/>
      <c r="Q70" s="172"/>
    </row>
    <row r="71" spans="14:17" ht="13.9" customHeight="1">
      <c r="N71" s="172"/>
      <c r="O71" s="172"/>
      <c r="P71" s="173"/>
      <c r="Q71" s="172"/>
    </row>
    <row r="72" spans="14:17" ht="13.9" customHeight="1">
      <c r="N72" s="172"/>
      <c r="O72" s="172"/>
      <c r="P72" s="173"/>
      <c r="Q72" s="172"/>
    </row>
    <row r="73" spans="14:17" ht="13.9" customHeight="1">
      <c r="N73" s="172"/>
      <c r="O73" s="172"/>
      <c r="P73" s="173"/>
      <c r="Q73" s="172"/>
    </row>
    <row r="74" spans="14:17" ht="13.9" customHeight="1">
      <c r="N74" s="172"/>
      <c r="O74" s="172"/>
      <c r="P74" s="173"/>
      <c r="Q74" s="172"/>
    </row>
    <row r="75" spans="14:17" ht="13.9" customHeight="1">
      <c r="N75" s="172"/>
      <c r="O75" s="172"/>
      <c r="P75" s="173"/>
      <c r="Q75" s="172"/>
    </row>
    <row r="76" spans="14:17" ht="13.9" customHeight="1">
      <c r="N76" s="172"/>
      <c r="O76" s="172"/>
      <c r="P76" s="173"/>
      <c r="Q76" s="172"/>
    </row>
    <row r="77" spans="14:17" ht="13.9" customHeight="1">
      <c r="N77" s="172"/>
      <c r="O77" s="172"/>
      <c r="P77" s="173"/>
      <c r="Q77" s="172"/>
    </row>
    <row r="78" spans="14:17" ht="13.9" customHeight="1">
      <c r="N78" s="172"/>
      <c r="O78" s="172"/>
      <c r="P78" s="173"/>
      <c r="Q78" s="172"/>
    </row>
    <row r="79" spans="14:17" ht="13.9" customHeight="1">
      <c r="N79" s="172"/>
      <c r="O79" s="172"/>
      <c r="P79" s="173"/>
      <c r="Q79" s="172"/>
    </row>
    <row r="80" spans="14:17" ht="13.9" customHeight="1">
      <c r="N80" s="172"/>
      <c r="O80" s="172"/>
      <c r="P80" s="173"/>
      <c r="Q80" s="172"/>
    </row>
    <row r="81" spans="14:17" ht="13.9" customHeight="1">
      <c r="N81" s="172"/>
      <c r="O81" s="172"/>
      <c r="P81" s="173"/>
      <c r="Q81" s="172"/>
    </row>
    <row r="82" spans="14:17" ht="13.9" customHeight="1">
      <c r="N82" s="172"/>
      <c r="O82" s="172"/>
      <c r="P82" s="173"/>
      <c r="Q82" s="172"/>
    </row>
    <row r="83" spans="14:17" ht="13.9" customHeight="1">
      <c r="N83" s="172"/>
      <c r="O83" s="172"/>
      <c r="P83" s="173"/>
      <c r="Q83" s="172"/>
    </row>
    <row r="84" spans="14:17" ht="13.9" customHeight="1">
      <c r="N84" s="172"/>
      <c r="O84" s="172"/>
      <c r="P84" s="173"/>
      <c r="Q84" s="172"/>
    </row>
    <row r="85" spans="14:17" ht="13.9" customHeight="1">
      <c r="N85" s="172"/>
      <c r="O85" s="172"/>
      <c r="P85" s="173"/>
      <c r="Q85" s="172"/>
    </row>
    <row r="86" spans="14:17" ht="13.9" customHeight="1">
      <c r="N86" s="172"/>
      <c r="O86" s="172"/>
      <c r="P86" s="173"/>
      <c r="Q86" s="172"/>
    </row>
    <row r="87" spans="14:17" ht="13.9" customHeight="1">
      <c r="N87" s="172"/>
      <c r="O87" s="172"/>
      <c r="P87" s="173"/>
      <c r="Q87" s="172"/>
    </row>
    <row r="88" spans="14:17" ht="13.9" customHeight="1">
      <c r="N88" s="172"/>
      <c r="O88" s="172"/>
      <c r="P88" s="173"/>
      <c r="Q88" s="172"/>
    </row>
    <row r="89" spans="14:17" ht="13.9" customHeight="1">
      <c r="N89" s="172"/>
      <c r="O89" s="172"/>
      <c r="P89" s="173"/>
      <c r="Q89" s="172"/>
    </row>
    <row r="90" spans="14:17" ht="13.9" customHeight="1">
      <c r="N90" s="172"/>
      <c r="O90" s="172"/>
      <c r="P90" s="173"/>
      <c r="Q90" s="172"/>
    </row>
    <row r="91" spans="14:17" ht="13.9" customHeight="1">
      <c r="N91" s="172"/>
      <c r="O91" s="172"/>
      <c r="P91" s="173"/>
      <c r="Q91" s="172"/>
    </row>
    <row r="92" spans="14:17" ht="13.9" customHeight="1">
      <c r="N92" s="172"/>
      <c r="O92" s="172"/>
      <c r="P92" s="173"/>
      <c r="Q92" s="172"/>
    </row>
    <row r="93" spans="14:17" ht="13.9" customHeight="1">
      <c r="N93" s="172"/>
      <c r="O93" s="172"/>
      <c r="P93" s="173"/>
      <c r="Q93" s="172"/>
    </row>
    <row r="94" spans="14:17" ht="13.9" customHeight="1">
      <c r="N94" s="172"/>
      <c r="O94" s="172"/>
      <c r="P94" s="173"/>
      <c r="Q94" s="172"/>
    </row>
    <row r="95" spans="14:17" ht="13.9" customHeight="1">
      <c r="N95" s="172"/>
      <c r="O95" s="172"/>
      <c r="P95" s="173"/>
      <c r="Q95" s="172"/>
    </row>
    <row r="96" spans="14:17" ht="13.9" customHeight="1">
      <c r="N96" s="172"/>
      <c r="O96" s="172"/>
      <c r="P96" s="173"/>
      <c r="Q96" s="172"/>
    </row>
    <row r="97" spans="14:17" ht="13.9" customHeight="1">
      <c r="N97" s="172"/>
      <c r="O97" s="172"/>
      <c r="P97" s="173"/>
      <c r="Q97" s="172"/>
    </row>
    <row r="98" spans="14:17" ht="13.9" customHeight="1">
      <c r="N98" s="172"/>
      <c r="O98" s="172"/>
      <c r="P98" s="173"/>
      <c r="Q98" s="172"/>
    </row>
    <row r="99" spans="14:17" ht="13.9" customHeight="1">
      <c r="N99" s="172"/>
      <c r="O99" s="172"/>
      <c r="P99" s="173"/>
      <c r="Q99" s="172"/>
    </row>
    <row r="100" spans="14:17" ht="13.9" customHeight="1">
      <c r="N100" s="172"/>
      <c r="O100" s="172"/>
      <c r="P100" s="173"/>
      <c r="Q100" s="172"/>
    </row>
    <row r="101" spans="14:17" ht="13.9" customHeight="1">
      <c r="N101" s="172"/>
      <c r="O101" s="172"/>
      <c r="P101" s="173"/>
      <c r="Q101" s="172"/>
    </row>
    <row r="102" spans="14:17" ht="13.9" customHeight="1">
      <c r="N102" s="172"/>
      <c r="O102" s="172"/>
      <c r="P102" s="173"/>
      <c r="Q102" s="172"/>
    </row>
    <row r="103" spans="14:17" ht="13.9" customHeight="1">
      <c r="N103" s="172"/>
      <c r="O103" s="172"/>
      <c r="P103" s="173"/>
      <c r="Q103" s="172"/>
    </row>
    <row r="104" spans="14:17" ht="13.9" customHeight="1">
      <c r="N104" s="172"/>
      <c r="O104" s="172"/>
      <c r="P104" s="173"/>
      <c r="Q104" s="172"/>
    </row>
    <row r="105" spans="14:17" ht="13.9" customHeight="1">
      <c r="N105" s="172"/>
      <c r="O105" s="172"/>
      <c r="P105" s="173"/>
      <c r="Q105" s="172"/>
    </row>
    <row r="106" spans="14:17" ht="13.9" customHeight="1">
      <c r="N106" s="172"/>
      <c r="O106" s="172"/>
      <c r="P106" s="173"/>
      <c r="Q106" s="172"/>
    </row>
    <row r="107" spans="14:17" ht="13.9" customHeight="1">
      <c r="N107" s="172"/>
      <c r="O107" s="172"/>
      <c r="P107" s="173"/>
      <c r="Q107" s="172"/>
    </row>
    <row r="108" spans="14:17" ht="13.9" customHeight="1">
      <c r="N108" s="172"/>
      <c r="O108" s="172"/>
      <c r="P108" s="173"/>
      <c r="Q108" s="172"/>
    </row>
    <row r="109" spans="14:17" ht="13.9" customHeight="1">
      <c r="N109" s="172"/>
      <c r="O109" s="172"/>
      <c r="P109" s="173"/>
      <c r="Q109" s="172"/>
    </row>
    <row r="110" spans="14:17" ht="13.9" customHeight="1">
      <c r="N110" s="172"/>
      <c r="O110" s="172"/>
      <c r="P110" s="173"/>
      <c r="Q110" s="172"/>
    </row>
    <row r="111" spans="14:17" ht="13.9" customHeight="1">
      <c r="N111" s="172"/>
      <c r="O111" s="172"/>
      <c r="P111" s="173"/>
      <c r="Q111" s="172"/>
    </row>
    <row r="112" spans="14:17" ht="13.9" customHeight="1">
      <c r="N112" s="172"/>
      <c r="O112" s="172"/>
      <c r="P112" s="173"/>
      <c r="Q112" s="172"/>
    </row>
    <row r="113" spans="14:17" ht="13.9" customHeight="1">
      <c r="N113" s="172"/>
      <c r="O113" s="172"/>
      <c r="P113" s="173"/>
      <c r="Q113" s="172"/>
    </row>
    <row r="114" spans="14:17" ht="13.9" customHeight="1">
      <c r="N114" s="172"/>
      <c r="O114" s="172"/>
      <c r="P114" s="173"/>
      <c r="Q114" s="172"/>
    </row>
    <row r="115" spans="14:17" ht="13.9" customHeight="1">
      <c r="N115" s="172"/>
      <c r="O115" s="172"/>
      <c r="P115" s="173"/>
      <c r="Q115" s="172"/>
    </row>
    <row r="116" spans="14:17" ht="13.9" customHeight="1">
      <c r="N116" s="172"/>
      <c r="O116" s="172"/>
      <c r="P116" s="173"/>
      <c r="Q116" s="172"/>
    </row>
    <row r="117" spans="14:17" ht="13.9" customHeight="1">
      <c r="N117" s="172"/>
      <c r="O117" s="172"/>
      <c r="P117" s="173"/>
      <c r="Q117" s="172"/>
    </row>
    <row r="118" spans="14:17" ht="13.9" customHeight="1">
      <c r="N118" s="172"/>
      <c r="O118" s="172"/>
      <c r="P118" s="173"/>
      <c r="Q118" s="172"/>
    </row>
    <row r="119" spans="14:17" ht="13.9" customHeight="1">
      <c r="N119" s="172"/>
      <c r="O119" s="172"/>
      <c r="P119" s="173"/>
      <c r="Q119" s="172"/>
    </row>
    <row r="120" spans="14:17" ht="13.9" customHeight="1">
      <c r="N120" s="172"/>
      <c r="O120" s="172"/>
      <c r="P120" s="173"/>
      <c r="Q120" s="172"/>
    </row>
    <row r="121" spans="14:17" ht="13.9" customHeight="1">
      <c r="N121" s="172"/>
      <c r="O121" s="172"/>
      <c r="P121" s="173"/>
      <c r="Q121" s="172"/>
    </row>
    <row r="122" spans="14:17" ht="13.9" customHeight="1">
      <c r="N122" s="172"/>
      <c r="O122" s="172"/>
      <c r="P122" s="173"/>
      <c r="Q122" s="172"/>
    </row>
    <row r="123" spans="14:17" ht="13.9" customHeight="1">
      <c r="N123" s="172"/>
      <c r="O123" s="172"/>
      <c r="P123" s="173"/>
      <c r="Q123" s="172"/>
    </row>
    <row r="124" spans="14:17" ht="13.9" customHeight="1">
      <c r="N124" s="172"/>
      <c r="O124" s="172"/>
      <c r="P124" s="173"/>
      <c r="Q124" s="172"/>
    </row>
    <row r="125" spans="14:17" ht="13.9" customHeight="1">
      <c r="N125" s="172"/>
      <c r="O125" s="172"/>
      <c r="P125" s="173"/>
      <c r="Q125" s="172"/>
    </row>
    <row r="126" spans="14:17" ht="13.9" customHeight="1">
      <c r="N126" s="172"/>
      <c r="O126" s="172"/>
      <c r="P126" s="173"/>
      <c r="Q126" s="172"/>
    </row>
    <row r="127" spans="14:17" ht="13.9" customHeight="1">
      <c r="N127" s="172"/>
      <c r="O127" s="172"/>
      <c r="P127" s="173"/>
      <c r="Q127" s="172"/>
    </row>
    <row r="128" spans="14:17" ht="13.9" customHeight="1">
      <c r="N128" s="172"/>
      <c r="O128" s="172"/>
      <c r="P128" s="173"/>
      <c r="Q128" s="172"/>
    </row>
  </sheetData>
  <mergeCells count="2">
    <mergeCell ref="G1:K1"/>
    <mergeCell ref="L1:M1"/>
  </mergeCells>
  <phoneticPr fontId="3" type="noConversion"/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pane xSplit="4" ySplit="2" topLeftCell="E3" activePane="bottomRight" state="frozen"/>
      <selection activeCell="B14" sqref="B14"/>
      <selection pane="topRight" activeCell="B14" sqref="B14"/>
      <selection pane="bottomLeft" activeCell="B14" sqref="B14"/>
      <selection pane="bottomRight" sqref="A1:A2"/>
    </sheetView>
  </sheetViews>
  <sheetFormatPr defaultColWidth="9.140625" defaultRowHeight="14.45" customHeight="1"/>
  <cols>
    <col min="1" max="1" width="9.28515625" style="97" customWidth="1"/>
    <col min="2" max="2" width="12.85546875" style="103" customWidth="1"/>
    <col min="3" max="3" width="38.85546875" style="103" customWidth="1"/>
    <col min="4" max="4" width="5.85546875" style="103" customWidth="1"/>
    <col min="5" max="5" width="6.140625" style="99" customWidth="1"/>
    <col min="6" max="6" width="5.42578125" style="100" customWidth="1"/>
    <col min="7" max="7" width="6.28515625" style="100" customWidth="1"/>
    <col min="8" max="8" width="6.42578125" style="100" customWidth="1"/>
    <col min="9" max="9" width="5.7109375" style="100" bestFit="1" customWidth="1"/>
    <col min="10" max="10" width="7.140625" style="100" customWidth="1"/>
    <col min="11" max="11" width="9.28515625" style="101" customWidth="1"/>
    <col min="12" max="12" width="10.28515625" style="101" customWidth="1"/>
    <col min="13" max="13" width="10" style="101" customWidth="1"/>
    <col min="14" max="14" width="7.42578125" style="99" customWidth="1"/>
    <col min="15" max="15" width="9" style="102" customWidth="1"/>
    <col min="16" max="16" width="9.7109375" style="97" customWidth="1"/>
    <col min="17" max="16384" width="9.140625" style="97"/>
  </cols>
  <sheetData>
    <row r="1" spans="1:16" s="83" customFormat="1" ht="24" customHeight="1">
      <c r="A1" s="71" t="s">
        <v>75</v>
      </c>
      <c r="B1" s="72"/>
      <c r="C1" s="72"/>
      <c r="D1" s="73"/>
      <c r="E1" s="74" t="s">
        <v>50</v>
      </c>
      <c r="F1" s="75"/>
      <c r="G1" s="76"/>
      <c r="H1" s="74" t="s">
        <v>52</v>
      </c>
      <c r="I1" s="77"/>
      <c r="J1" s="78"/>
      <c r="K1" s="79" t="s">
        <v>55</v>
      </c>
      <c r="L1" s="79" t="s">
        <v>87</v>
      </c>
      <c r="M1" s="79" t="s">
        <v>61</v>
      </c>
      <c r="N1" s="80" t="s">
        <v>56</v>
      </c>
      <c r="O1" s="81" t="s">
        <v>49</v>
      </c>
      <c r="P1" s="82" t="s">
        <v>49</v>
      </c>
    </row>
    <row r="2" spans="1:16" s="68" customFormat="1" ht="19.899999999999999" customHeight="1" thickBot="1">
      <c r="A2" s="84"/>
      <c r="B2" s="85" t="s">
        <v>19</v>
      </c>
      <c r="C2" s="85" t="s">
        <v>20</v>
      </c>
      <c r="D2" s="86" t="s">
        <v>21</v>
      </c>
      <c r="E2" s="87" t="s">
        <v>13</v>
      </c>
      <c r="F2" s="85" t="s">
        <v>53</v>
      </c>
      <c r="G2" s="88" t="s">
        <v>54</v>
      </c>
      <c r="H2" s="87" t="s">
        <v>13</v>
      </c>
      <c r="I2" s="85" t="s">
        <v>53</v>
      </c>
      <c r="J2" s="88" t="s">
        <v>54</v>
      </c>
      <c r="K2" s="89" t="s">
        <v>13</v>
      </c>
      <c r="L2" s="89" t="s">
        <v>13</v>
      </c>
      <c r="M2" s="89" t="s">
        <v>49</v>
      </c>
      <c r="N2" s="90"/>
      <c r="O2" s="91" t="s">
        <v>57</v>
      </c>
      <c r="P2" s="92" t="s">
        <v>58</v>
      </c>
    </row>
    <row r="3" spans="1:16" ht="14.45" customHeight="1">
      <c r="A3" s="42">
        <v>43719</v>
      </c>
      <c r="B3" s="43" t="str">
        <f>Rollover!A3</f>
        <v>Toyota</v>
      </c>
      <c r="C3" s="43" t="str">
        <f>Rollover!B3</f>
        <v>Corolla 4DR FWD</v>
      </c>
      <c r="D3" s="9">
        <f>Rollover!C3</f>
        <v>2020</v>
      </c>
      <c r="E3" s="18">
        <f>Front!AW3</f>
        <v>5</v>
      </c>
      <c r="F3" s="43">
        <f>Front!AX3</f>
        <v>5</v>
      </c>
      <c r="G3" s="43">
        <f>Front!AY3</f>
        <v>5</v>
      </c>
      <c r="H3" s="18">
        <f>'Side MDB'!AC3</f>
        <v>5</v>
      </c>
      <c r="I3" s="18">
        <f>'Side MDB'!AD3</f>
        <v>5</v>
      </c>
      <c r="J3" s="18">
        <f>'Side MDB'!AE3</f>
        <v>5</v>
      </c>
      <c r="K3" s="93">
        <f>'Side Pole'!P3</f>
        <v>5</v>
      </c>
      <c r="L3" s="93">
        <f>'Side Pole'!S3</f>
        <v>5</v>
      </c>
      <c r="M3" s="93">
        <f>'Side Pole'!V3</f>
        <v>5</v>
      </c>
      <c r="N3" s="94">
        <f>Rollover!J3</f>
        <v>4</v>
      </c>
      <c r="O3" s="95">
        <f>ROUND(5/12*Front!AV3+4/12*'Side Pole'!U3+3/12*Rollover!I3,2)</f>
        <v>0.5</v>
      </c>
      <c r="P3" s="96">
        <f t="shared" ref="P3:P4" si="0">IF(O3&lt;0.67,5,IF(O3&lt;1,4,IF(O3&lt;1.33,3,IF(O3&lt;2.67,2,1))))</f>
        <v>5</v>
      </c>
    </row>
    <row r="4" spans="1:16" ht="14.45" customHeight="1">
      <c r="A4" s="42">
        <v>43719</v>
      </c>
      <c r="B4" s="43" t="str">
        <f>Rollover!A4</f>
        <v>Toyota</v>
      </c>
      <c r="C4" s="43" t="str">
        <f>Rollover!B4</f>
        <v>Corolla Hybrid 4DR FWD</v>
      </c>
      <c r="D4" s="9">
        <f>Rollover!C4</f>
        <v>2020</v>
      </c>
      <c r="E4" s="18">
        <f>Front!AW4</f>
        <v>5</v>
      </c>
      <c r="F4" s="43">
        <f>Front!AX4</f>
        <v>5</v>
      </c>
      <c r="G4" s="43">
        <f>Front!AY4</f>
        <v>5</v>
      </c>
      <c r="H4" s="18">
        <f>'Side MDB'!AC4</f>
        <v>5</v>
      </c>
      <c r="I4" s="18">
        <f>'Side MDB'!AD4</f>
        <v>5</v>
      </c>
      <c r="J4" s="18">
        <f>'Side MDB'!AE4</f>
        <v>5</v>
      </c>
      <c r="K4" s="93">
        <f>'Side Pole'!P4</f>
        <v>5</v>
      </c>
      <c r="L4" s="93">
        <f>'Side Pole'!S4</f>
        <v>5</v>
      </c>
      <c r="M4" s="93">
        <f>'Side Pole'!V4</f>
        <v>5</v>
      </c>
      <c r="N4" s="94">
        <f>Rollover!J4</f>
        <v>4</v>
      </c>
      <c r="O4" s="95">
        <f>ROUND(5/12*Front!AV4+4/12*'Side Pole'!U4+3/12*Rollover!I4,2)</f>
        <v>0.5</v>
      </c>
      <c r="P4" s="96">
        <f t="shared" si="0"/>
        <v>5</v>
      </c>
    </row>
    <row r="5" spans="1:16" ht="14.45" customHeight="1">
      <c r="B5" s="98"/>
      <c r="C5" s="98"/>
      <c r="D5" s="98"/>
    </row>
    <row r="6" spans="1:16" ht="14.45" customHeight="1">
      <c r="B6" s="98"/>
      <c r="C6" s="98"/>
      <c r="D6" s="98"/>
    </row>
    <row r="7" spans="1:16" ht="14.45" customHeight="1">
      <c r="B7" s="98"/>
      <c r="C7" s="98"/>
      <c r="D7" s="98"/>
    </row>
    <row r="8" spans="1:16" ht="14.45" customHeight="1">
      <c r="B8" s="98"/>
      <c r="C8" s="98"/>
      <c r="D8" s="98"/>
    </row>
    <row r="9" spans="1:16" ht="14.45" customHeight="1">
      <c r="B9" s="98"/>
      <c r="C9" s="98"/>
      <c r="D9" s="98"/>
    </row>
    <row r="10" spans="1:16" ht="14.45" customHeight="1">
      <c r="B10" s="98"/>
      <c r="C10" s="98"/>
      <c r="D10" s="98"/>
      <c r="H10" s="101"/>
      <c r="I10" s="101"/>
      <c r="J10" s="101"/>
    </row>
    <row r="11" spans="1:16" ht="14.45" customHeight="1">
      <c r="H11" s="101"/>
      <c r="I11" s="101"/>
      <c r="J11" s="101"/>
    </row>
    <row r="12" spans="1:16" ht="14.45" customHeight="1">
      <c r="H12" s="101"/>
      <c r="I12" s="101"/>
      <c r="J12" s="101"/>
    </row>
    <row r="13" spans="1:16" ht="14.45" customHeight="1">
      <c r="B13" s="104"/>
      <c r="C13" s="104"/>
      <c r="D13" s="104"/>
      <c r="E13" s="105"/>
      <c r="F13" s="98"/>
      <c r="H13" s="101"/>
      <c r="I13" s="101"/>
      <c r="J13" s="101"/>
    </row>
    <row r="14" spans="1:16" ht="14.45" customHeight="1">
      <c r="B14" s="104"/>
      <c r="C14" s="104"/>
      <c r="D14" s="104"/>
      <c r="E14" s="105"/>
      <c r="F14" s="98"/>
      <c r="H14" s="101"/>
      <c r="I14" s="101"/>
      <c r="J14" s="101"/>
    </row>
    <row r="15" spans="1:16" ht="14.45" customHeight="1">
      <c r="B15" s="104"/>
      <c r="C15" s="104"/>
      <c r="D15" s="104"/>
      <c r="E15" s="105"/>
      <c r="F15" s="98"/>
      <c r="H15" s="101"/>
      <c r="I15" s="101"/>
      <c r="J15" s="101"/>
    </row>
    <row r="16" spans="1:16" ht="14.45" customHeight="1">
      <c r="B16" s="104"/>
      <c r="C16" s="104"/>
      <c r="D16" s="104"/>
      <c r="E16" s="105"/>
      <c r="F16" s="98"/>
      <c r="H16" s="101"/>
      <c r="I16" s="101"/>
      <c r="J16" s="101"/>
    </row>
    <row r="17" spans="2:10" ht="14.45" customHeight="1">
      <c r="B17" s="104"/>
      <c r="C17" s="104"/>
      <c r="D17" s="104"/>
      <c r="E17" s="105"/>
      <c r="F17" s="98"/>
      <c r="H17" s="101"/>
      <c r="I17" s="101"/>
      <c r="J17" s="101"/>
    </row>
    <row r="18" spans="2:10" ht="14.45" customHeight="1">
      <c r="B18" s="104"/>
      <c r="C18" s="104"/>
      <c r="D18" s="104"/>
      <c r="E18" s="105"/>
      <c r="F18" s="98"/>
      <c r="H18" s="101"/>
      <c r="I18" s="101"/>
      <c r="J18" s="101"/>
    </row>
    <row r="19" spans="2:10" ht="14.45" customHeight="1">
      <c r="B19" s="104"/>
      <c r="C19" s="104"/>
      <c r="D19" s="104"/>
      <c r="E19" s="105"/>
      <c r="F19" s="98"/>
    </row>
    <row r="20" spans="2:10" ht="14.45" customHeight="1">
      <c r="B20" s="104"/>
      <c r="C20" s="104"/>
      <c r="D20" s="104"/>
      <c r="E20" s="105"/>
      <c r="F20" s="98"/>
    </row>
    <row r="21" spans="2:10" ht="14.45" customHeight="1">
      <c r="B21" s="104"/>
      <c r="C21" s="104"/>
      <c r="D21" s="104"/>
      <c r="E21" s="105"/>
      <c r="F21" s="98"/>
    </row>
    <row r="22" spans="2:10" ht="14.45" customHeight="1">
      <c r="B22" s="104"/>
      <c r="C22" s="104"/>
      <c r="D22" s="104"/>
      <c r="E22" s="105"/>
      <c r="F22" s="98"/>
    </row>
    <row r="23" spans="2:10" ht="14.45" customHeight="1">
      <c r="E23" s="105"/>
      <c r="F23" s="98"/>
    </row>
    <row r="24" spans="2:10" ht="14.45" customHeight="1">
      <c r="E24" s="105"/>
      <c r="F24" s="98"/>
    </row>
    <row r="25" spans="2:10" ht="14.45" customHeight="1">
      <c r="B25" s="104"/>
      <c r="C25" s="104"/>
      <c r="D25" s="104"/>
      <c r="E25" s="105"/>
      <c r="F25" s="98"/>
    </row>
    <row r="26" spans="2:10" ht="14.45" customHeight="1">
      <c r="B26" s="104"/>
      <c r="C26" s="104"/>
      <c r="D26" s="104"/>
      <c r="E26" s="105"/>
      <c r="F26" s="98"/>
    </row>
    <row r="27" spans="2:10" ht="14.45" customHeight="1">
      <c r="B27" s="104"/>
      <c r="C27" s="104"/>
      <c r="D27" s="104"/>
      <c r="E27" s="105"/>
      <c r="F27" s="98"/>
    </row>
    <row r="28" spans="2:10" ht="14.45" customHeight="1">
      <c r="B28" s="104"/>
      <c r="C28" s="104"/>
      <c r="D28" s="104"/>
      <c r="E28" s="105"/>
      <c r="F28" s="98"/>
      <c r="H28" s="106"/>
      <c r="I28" s="106"/>
      <c r="J28" s="106"/>
    </row>
    <row r="29" spans="2:10" ht="14.45" customHeight="1">
      <c r="B29" s="104"/>
      <c r="C29" s="104"/>
      <c r="D29" s="104"/>
      <c r="F29" s="101"/>
      <c r="G29" s="101"/>
      <c r="H29" s="106"/>
      <c r="I29" s="106"/>
      <c r="J29" s="106"/>
    </row>
    <row r="30" spans="2:10" ht="14.45" customHeight="1">
      <c r="B30" s="104"/>
      <c r="C30" s="104"/>
      <c r="D30" s="104"/>
      <c r="F30" s="101"/>
      <c r="G30" s="101"/>
      <c r="H30" s="106"/>
      <c r="I30" s="106"/>
      <c r="J30" s="106"/>
    </row>
    <row r="31" spans="2:10" ht="14.45" customHeight="1">
      <c r="B31" s="107"/>
      <c r="C31" s="107"/>
      <c r="D31" s="107"/>
      <c r="E31" s="108"/>
      <c r="F31" s="101"/>
      <c r="G31" s="101"/>
      <c r="H31" s="106"/>
      <c r="I31" s="106"/>
      <c r="J31" s="106"/>
    </row>
    <row r="32" spans="2:10" ht="14.45" customHeight="1">
      <c r="B32" s="98"/>
      <c r="C32" s="98"/>
      <c r="D32" s="98"/>
      <c r="F32" s="101"/>
      <c r="G32" s="101"/>
      <c r="H32" s="106"/>
      <c r="I32" s="106"/>
      <c r="J32" s="106"/>
    </row>
    <row r="33" spans="2:10" ht="14.45" customHeight="1">
      <c r="B33" s="104"/>
      <c r="C33" s="104"/>
      <c r="D33" s="104"/>
      <c r="F33" s="101"/>
      <c r="G33" s="101"/>
      <c r="H33" s="106"/>
      <c r="I33" s="106"/>
      <c r="J33" s="106"/>
    </row>
    <row r="34" spans="2:10" ht="14.45" customHeight="1">
      <c r="B34" s="104"/>
      <c r="C34" s="104"/>
      <c r="D34" s="104"/>
      <c r="F34" s="101"/>
      <c r="G34" s="101"/>
      <c r="H34" s="106"/>
      <c r="I34" s="106"/>
      <c r="J34" s="106"/>
    </row>
    <row r="35" spans="2:10" ht="14.45" customHeight="1">
      <c r="B35" s="104"/>
      <c r="C35" s="104"/>
      <c r="D35" s="104"/>
      <c r="F35" s="101"/>
      <c r="G35" s="101"/>
      <c r="H35" s="106"/>
      <c r="I35" s="106"/>
      <c r="J35" s="106"/>
    </row>
    <row r="36" spans="2:10" ht="14.45" customHeight="1">
      <c r="B36" s="104"/>
      <c r="C36" s="104"/>
      <c r="D36" s="104"/>
      <c r="F36" s="101"/>
      <c r="G36" s="101"/>
      <c r="H36" s="106"/>
      <c r="I36" s="106"/>
      <c r="J36" s="106"/>
    </row>
    <row r="37" spans="2:10" ht="14.45" customHeight="1">
      <c r="B37" s="98"/>
      <c r="C37" s="98"/>
      <c r="D37" s="98"/>
      <c r="F37" s="101"/>
      <c r="G37" s="101"/>
      <c r="H37" s="106"/>
      <c r="I37" s="106"/>
      <c r="J37" s="106"/>
    </row>
    <row r="38" spans="2:10" ht="14.45" customHeight="1">
      <c r="F38" s="101"/>
      <c r="G38" s="101"/>
      <c r="H38" s="106"/>
      <c r="I38" s="106"/>
      <c r="J38" s="106"/>
    </row>
    <row r="39" spans="2:10" ht="14.45" customHeight="1">
      <c r="F39" s="101"/>
      <c r="G39" s="101"/>
      <c r="H39" s="106"/>
      <c r="I39" s="106"/>
      <c r="J39" s="106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2019-09-10T18:21:46Z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