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9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data\Rulemaking\NCAPDATA\Web Database and media files\2019 web and docket data\"/>
    </mc:Choice>
  </mc:AlternateContent>
  <bookViews>
    <workbookView xWindow="8955" yWindow="735" windowWidth="11535" windowHeight="6945" activeTab="4"/>
  </bookViews>
  <sheets>
    <sheet name="Rollover" sheetId="24" r:id="rId1"/>
    <sheet name="Front" sheetId="21" r:id="rId2"/>
    <sheet name="Side MDB" sheetId="22" r:id="rId3"/>
    <sheet name="Side Pole" sheetId="29" r:id="rId4"/>
    <sheet name="Comb VSS+Overall Ratings" sheetId="31" r:id="rId5"/>
  </sheets>
  <definedNames>
    <definedName name="_xlnm.Print_Area" localSheetId="4">'Comb VSS+Overall Ratings'!$B$1:$P$2</definedName>
    <definedName name="_xlnm.Print_Area" localSheetId="1">Front!$A$2:$V$2</definedName>
    <definedName name="_xlnm.Print_Area" localSheetId="2">'Side MDB'!$A$2:$P$2</definedName>
    <definedName name="_xlnm.Print_Area" localSheetId="3">'Side Pole'!$A$2:$K$2</definedName>
    <definedName name="_xlnm.Print_Titles" localSheetId="4">'Comb VSS+Overall Ratings'!$B:$C,'Comb VSS+Overall Ratings'!$1:$2</definedName>
    <definedName name="_xlnm.Print_Titles" localSheetId="1">Front!$A:$D,Front!$2:$2</definedName>
    <definedName name="_xlnm.Print_Titles" localSheetId="0">Rollover!$2:$2</definedName>
    <definedName name="_xlnm.Print_Titles" localSheetId="2">'Side MDB'!$A:$D,'Side MDB'!$2:$2</definedName>
    <definedName name="_xlnm.Print_Titles" localSheetId="3">'Side Pole'!$A:$D,'Side Pole'!$2:$2</definedName>
  </definedNames>
  <calcPr calcId="171027"/>
</workbook>
</file>

<file path=xl/calcChain.xml><?xml version="1.0" encoding="utf-8"?>
<calcChain xmlns="http://schemas.openxmlformats.org/spreadsheetml/2006/main">
  <c r="D62" i="31" l="1"/>
  <c r="C62" i="31"/>
  <c r="B62" i="31"/>
  <c r="D61" i="31"/>
  <c r="C61" i="31"/>
  <c r="B61" i="31"/>
  <c r="M62" i="29"/>
  <c r="L62" i="29"/>
  <c r="F62" i="29"/>
  <c r="D62" i="29"/>
  <c r="C62" i="29"/>
  <c r="M61" i="29"/>
  <c r="L61" i="29"/>
  <c r="F61" i="29"/>
  <c r="D61" i="29"/>
  <c r="C61" i="29"/>
  <c r="V62" i="22"/>
  <c r="U62" i="22"/>
  <c r="T62" i="22"/>
  <c r="S62" i="22"/>
  <c r="R62" i="22"/>
  <c r="Q62" i="22"/>
  <c r="F62" i="22"/>
  <c r="D62" i="22"/>
  <c r="C62" i="22"/>
  <c r="V61" i="22"/>
  <c r="U61" i="22"/>
  <c r="T61" i="22"/>
  <c r="S61" i="22"/>
  <c r="R61" i="22"/>
  <c r="Q61" i="22"/>
  <c r="F61" i="22"/>
  <c r="D61" i="22"/>
  <c r="C61" i="22"/>
  <c r="AO62" i="21"/>
  <c r="AN62" i="21"/>
  <c r="AL62" i="21"/>
  <c r="AM62" i="21" s="1"/>
  <c r="AJ62" i="21"/>
  <c r="AI62" i="21"/>
  <c r="AH62" i="21"/>
  <c r="AG62" i="21"/>
  <c r="AE62" i="21"/>
  <c r="AD62" i="21"/>
  <c r="AB62" i="21"/>
  <c r="AC62" i="21" s="1"/>
  <c r="Z62" i="21"/>
  <c r="Y62" i="21"/>
  <c r="X62" i="21"/>
  <c r="W62" i="21"/>
  <c r="F62" i="21"/>
  <c r="D62" i="21"/>
  <c r="C62" i="21"/>
  <c r="AO61" i="21"/>
  <c r="AN61" i="21"/>
  <c r="AL61" i="21"/>
  <c r="AM61" i="21" s="1"/>
  <c r="AJ61" i="21"/>
  <c r="AI61" i="21"/>
  <c r="AH61" i="21"/>
  <c r="AG61" i="21"/>
  <c r="AE61" i="21"/>
  <c r="AD61" i="21"/>
  <c r="AB61" i="21"/>
  <c r="AC61" i="21" s="1"/>
  <c r="Z61" i="21"/>
  <c r="Y61" i="21"/>
  <c r="X61" i="21"/>
  <c r="W61" i="21"/>
  <c r="F61" i="21"/>
  <c r="D61" i="21"/>
  <c r="C61" i="21"/>
  <c r="G62" i="24"/>
  <c r="H62" i="24" s="1"/>
  <c r="I62" i="24" s="1"/>
  <c r="J62" i="24" s="1"/>
  <c r="N62" i="31" s="1"/>
  <c r="G61" i="24"/>
  <c r="H61" i="24" s="1"/>
  <c r="I61" i="24" s="1"/>
  <c r="J61" i="24" s="1"/>
  <c r="N61" i="31" s="1"/>
  <c r="D26" i="31"/>
  <c r="C26" i="31"/>
  <c r="B26" i="31"/>
  <c r="D25" i="31"/>
  <c r="C25" i="31"/>
  <c r="B25" i="31"/>
  <c r="D24" i="31"/>
  <c r="C24" i="31"/>
  <c r="B24" i="31"/>
  <c r="D23" i="31"/>
  <c r="C23" i="31"/>
  <c r="B23" i="31"/>
  <c r="M26" i="29"/>
  <c r="L26" i="29"/>
  <c r="F26" i="29"/>
  <c r="D26" i="29"/>
  <c r="C26" i="29"/>
  <c r="M25" i="29"/>
  <c r="L25" i="29"/>
  <c r="F25" i="29"/>
  <c r="D25" i="29"/>
  <c r="C25" i="29"/>
  <c r="M24" i="29"/>
  <c r="L24" i="29"/>
  <c r="F24" i="29"/>
  <c r="D24" i="29"/>
  <c r="C24" i="29"/>
  <c r="M23" i="29"/>
  <c r="L23" i="29"/>
  <c r="F23" i="29"/>
  <c r="D23" i="29"/>
  <c r="C23" i="29"/>
  <c r="V26" i="22"/>
  <c r="U26" i="22"/>
  <c r="T26" i="22"/>
  <c r="S26" i="22"/>
  <c r="R26" i="22"/>
  <c r="Q26" i="22"/>
  <c r="F26" i="22"/>
  <c r="D26" i="22"/>
  <c r="C26" i="22"/>
  <c r="V25" i="22"/>
  <c r="U25" i="22"/>
  <c r="T25" i="22"/>
  <c r="S25" i="22"/>
  <c r="R25" i="22"/>
  <c r="Q25" i="22"/>
  <c r="F25" i="22"/>
  <c r="D25" i="22"/>
  <c r="C25" i="22"/>
  <c r="V24" i="22"/>
  <c r="U24" i="22"/>
  <c r="T24" i="22"/>
  <c r="S24" i="22"/>
  <c r="R24" i="22"/>
  <c r="Q24" i="22"/>
  <c r="F24" i="22"/>
  <c r="D24" i="22"/>
  <c r="C24" i="22"/>
  <c r="V23" i="22"/>
  <c r="U23" i="22"/>
  <c r="T23" i="22"/>
  <c r="S23" i="22"/>
  <c r="R23" i="22"/>
  <c r="Q23" i="22"/>
  <c r="F23" i="22"/>
  <c r="D23" i="22"/>
  <c r="C23" i="22"/>
  <c r="AO26" i="21"/>
  <c r="AN26" i="21"/>
  <c r="AL26" i="21"/>
  <c r="AM26" i="21" s="1"/>
  <c r="AJ26" i="21"/>
  <c r="AI26" i="21"/>
  <c r="AH26" i="21"/>
  <c r="AG26" i="21"/>
  <c r="AE26" i="21"/>
  <c r="AD26" i="21"/>
  <c r="AB26" i="21"/>
  <c r="AC26" i="21" s="1"/>
  <c r="Z26" i="21"/>
  <c r="Y26" i="21"/>
  <c r="X26" i="21"/>
  <c r="W26" i="21"/>
  <c r="F26" i="21"/>
  <c r="D26" i="21"/>
  <c r="C26" i="21"/>
  <c r="AO25" i="21"/>
  <c r="AN25" i="21"/>
  <c r="AL25" i="21"/>
  <c r="AM25" i="21" s="1"/>
  <c r="AJ25" i="21"/>
  <c r="AI25" i="21"/>
  <c r="AH25" i="21"/>
  <c r="AG25" i="21"/>
  <c r="AE25" i="21"/>
  <c r="AD25" i="21"/>
  <c r="AB25" i="21"/>
  <c r="AC25" i="21" s="1"/>
  <c r="Z25" i="21"/>
  <c r="Y25" i="21"/>
  <c r="X25" i="21"/>
  <c r="W25" i="21"/>
  <c r="F25" i="21"/>
  <c r="D25" i="21"/>
  <c r="C25" i="21"/>
  <c r="AO24" i="21"/>
  <c r="AN24" i="21"/>
  <c r="AL24" i="21"/>
  <c r="AM24" i="21" s="1"/>
  <c r="AJ24" i="21"/>
  <c r="AI24" i="21"/>
  <c r="AH24" i="21"/>
  <c r="AG24" i="21"/>
  <c r="AE24" i="21"/>
  <c r="AD24" i="21"/>
  <c r="AB24" i="21"/>
  <c r="AC24" i="21" s="1"/>
  <c r="Z24" i="21"/>
  <c r="Y24" i="21"/>
  <c r="X24" i="21"/>
  <c r="W24" i="21"/>
  <c r="F24" i="21"/>
  <c r="D24" i="21"/>
  <c r="C24" i="21"/>
  <c r="AO23" i="21"/>
  <c r="AN23" i="21"/>
  <c r="AL23" i="21"/>
  <c r="AM23" i="21" s="1"/>
  <c r="AJ23" i="21"/>
  <c r="AI23" i="21"/>
  <c r="AH23" i="21"/>
  <c r="AG23" i="21"/>
  <c r="AE23" i="21"/>
  <c r="AD23" i="21"/>
  <c r="AB23" i="21"/>
  <c r="AC23" i="21" s="1"/>
  <c r="Z23" i="21"/>
  <c r="Y23" i="21"/>
  <c r="X23" i="21"/>
  <c r="W23" i="21"/>
  <c r="F23" i="21"/>
  <c r="D23" i="21"/>
  <c r="C23" i="21"/>
  <c r="G26" i="24"/>
  <c r="H26" i="24" s="1"/>
  <c r="I26" i="24" s="1"/>
  <c r="J26" i="24" s="1"/>
  <c r="N26" i="31" s="1"/>
  <c r="G25" i="24"/>
  <c r="H25" i="24" s="1"/>
  <c r="I25" i="24" s="1"/>
  <c r="J25" i="24" s="1"/>
  <c r="N25" i="31" s="1"/>
  <c r="G24" i="24"/>
  <c r="H24" i="24" s="1"/>
  <c r="I24" i="24" s="1"/>
  <c r="J24" i="24" s="1"/>
  <c r="N24" i="31" s="1"/>
  <c r="G23" i="24"/>
  <c r="H23" i="24" s="1"/>
  <c r="I23" i="24" s="1"/>
  <c r="J23" i="24" s="1"/>
  <c r="N23" i="31" s="1"/>
  <c r="D22" i="31"/>
  <c r="C22" i="31"/>
  <c r="B22" i="31"/>
  <c r="D21" i="31"/>
  <c r="C21" i="31"/>
  <c r="B21" i="31"/>
  <c r="D20" i="31"/>
  <c r="C20" i="31"/>
  <c r="B20" i="31"/>
  <c r="D19" i="31"/>
  <c r="C19" i="31"/>
  <c r="B19" i="31"/>
  <c r="M22" i="29"/>
  <c r="L22" i="29"/>
  <c r="F22" i="29"/>
  <c r="D22" i="29"/>
  <c r="C22" i="29"/>
  <c r="M21" i="29"/>
  <c r="L21" i="29"/>
  <c r="F21" i="29"/>
  <c r="D21" i="29"/>
  <c r="C21" i="29"/>
  <c r="M20" i="29"/>
  <c r="L20" i="29"/>
  <c r="F20" i="29"/>
  <c r="D20" i="29"/>
  <c r="C20" i="29"/>
  <c r="M19" i="29"/>
  <c r="L19" i="29"/>
  <c r="F19" i="29"/>
  <c r="D19" i="29"/>
  <c r="C19" i="29"/>
  <c r="V22" i="22"/>
  <c r="U22" i="22"/>
  <c r="T22" i="22"/>
  <c r="S22" i="22"/>
  <c r="R22" i="22"/>
  <c r="Q22" i="22"/>
  <c r="F22" i="22"/>
  <c r="D22" i="22"/>
  <c r="C22" i="22"/>
  <c r="V21" i="22"/>
  <c r="U21" i="22"/>
  <c r="T21" i="22"/>
  <c r="S21" i="22"/>
  <c r="R21" i="22"/>
  <c r="Q21" i="22"/>
  <c r="F21" i="22"/>
  <c r="D21" i="22"/>
  <c r="C21" i="22"/>
  <c r="V20" i="22"/>
  <c r="U20" i="22"/>
  <c r="T20" i="22"/>
  <c r="S20" i="22"/>
  <c r="R20" i="22"/>
  <c r="Q20" i="22"/>
  <c r="F20" i="22"/>
  <c r="D20" i="22"/>
  <c r="C20" i="22"/>
  <c r="V19" i="22"/>
  <c r="U19" i="22"/>
  <c r="T19" i="22"/>
  <c r="S19" i="22"/>
  <c r="R19" i="22"/>
  <c r="Q19" i="22"/>
  <c r="F19" i="22"/>
  <c r="D19" i="22"/>
  <c r="C19" i="22"/>
  <c r="AO22" i="21"/>
  <c r="AN22" i="21"/>
  <c r="AL22" i="21"/>
  <c r="AM22" i="21" s="1"/>
  <c r="AJ22" i="21"/>
  <c r="AI22" i="21"/>
  <c r="AH22" i="21"/>
  <c r="AG22" i="21"/>
  <c r="AE22" i="21"/>
  <c r="AD22" i="21"/>
  <c r="AB22" i="21"/>
  <c r="AC22" i="21" s="1"/>
  <c r="Z22" i="21"/>
  <c r="Y22" i="21"/>
  <c r="X22" i="21"/>
  <c r="W22" i="21"/>
  <c r="F22" i="21"/>
  <c r="D22" i="21"/>
  <c r="C22" i="21"/>
  <c r="AO21" i="21"/>
  <c r="AN21" i="21"/>
  <c r="AL21" i="21"/>
  <c r="AM21" i="21" s="1"/>
  <c r="AJ21" i="21"/>
  <c r="AI21" i="21"/>
  <c r="AH21" i="21"/>
  <c r="AG21" i="21"/>
  <c r="AE21" i="21"/>
  <c r="AD21" i="21"/>
  <c r="AB21" i="21"/>
  <c r="AC21" i="21" s="1"/>
  <c r="Z21" i="21"/>
  <c r="Y21" i="21"/>
  <c r="X21" i="21"/>
  <c r="W21" i="21"/>
  <c r="F21" i="21"/>
  <c r="D21" i="21"/>
  <c r="C21" i="21"/>
  <c r="AO20" i="21"/>
  <c r="AN20" i="21"/>
  <c r="AL20" i="21"/>
  <c r="AM20" i="21" s="1"/>
  <c r="AJ20" i="21"/>
  <c r="AI20" i="21"/>
  <c r="AH20" i="21"/>
  <c r="AG20" i="21"/>
  <c r="AE20" i="21"/>
  <c r="AD20" i="21"/>
  <c r="AB20" i="21"/>
  <c r="AC20" i="21" s="1"/>
  <c r="Z20" i="21"/>
  <c r="Y20" i="21"/>
  <c r="X20" i="21"/>
  <c r="W20" i="21"/>
  <c r="F20" i="21"/>
  <c r="D20" i="21"/>
  <c r="C20" i="21"/>
  <c r="AO19" i="21"/>
  <c r="AN19" i="21"/>
  <c r="AL19" i="21"/>
  <c r="AM19" i="21" s="1"/>
  <c r="AJ19" i="21"/>
  <c r="AI19" i="21"/>
  <c r="AH19" i="21"/>
  <c r="AG19" i="21"/>
  <c r="AE19" i="21"/>
  <c r="AD19" i="21"/>
  <c r="AB19" i="21"/>
  <c r="AC19" i="21" s="1"/>
  <c r="Z19" i="21"/>
  <c r="Y19" i="21"/>
  <c r="X19" i="21"/>
  <c r="W19" i="21"/>
  <c r="F19" i="21"/>
  <c r="D19" i="21"/>
  <c r="C19" i="21"/>
  <c r="G22" i="24"/>
  <c r="H22" i="24" s="1"/>
  <c r="I22" i="24" s="1"/>
  <c r="J22" i="24" s="1"/>
  <c r="N22" i="31" s="1"/>
  <c r="G21" i="24"/>
  <c r="H21" i="24" s="1"/>
  <c r="I21" i="24" s="1"/>
  <c r="J21" i="24" s="1"/>
  <c r="N21" i="31" s="1"/>
  <c r="G20" i="24"/>
  <c r="H20" i="24" s="1"/>
  <c r="I20" i="24" s="1"/>
  <c r="J20" i="24" s="1"/>
  <c r="N20" i="31" s="1"/>
  <c r="G19" i="24"/>
  <c r="H19" i="24" s="1"/>
  <c r="I19" i="24" s="1"/>
  <c r="J19" i="24" s="1"/>
  <c r="N19" i="31" s="1"/>
  <c r="AP61" i="21" l="1"/>
  <c r="AF62" i="21"/>
  <c r="X61" i="22"/>
  <c r="AA61" i="22" s="1"/>
  <c r="AD61" i="22" s="1"/>
  <c r="I61" i="31" s="1"/>
  <c r="AF21" i="21"/>
  <c r="N22" i="29"/>
  <c r="O22" i="29" s="1"/>
  <c r="P22" i="29" s="1"/>
  <c r="K22" i="31" s="1"/>
  <c r="AF25" i="21"/>
  <c r="AP26" i="21"/>
  <c r="N26" i="29"/>
  <c r="O26" i="29" s="1"/>
  <c r="P26" i="29" s="1"/>
  <c r="K26" i="31" s="1"/>
  <c r="AF19" i="21"/>
  <c r="AP20" i="21"/>
  <c r="W23" i="22"/>
  <c r="Z23" i="22" s="1"/>
  <c r="AC23" i="22" s="1"/>
  <c r="H23" i="31" s="1"/>
  <c r="X23" i="22"/>
  <c r="AA23" i="22" s="1"/>
  <c r="AD23" i="22" s="1"/>
  <c r="I23" i="31" s="1"/>
  <c r="W24" i="22"/>
  <c r="X24" i="22"/>
  <c r="AA24" i="22" s="1"/>
  <c r="AD24" i="22" s="1"/>
  <c r="I24" i="31" s="1"/>
  <c r="N24" i="29"/>
  <c r="O24" i="29" s="1"/>
  <c r="P24" i="29" s="1"/>
  <c r="K24" i="31" s="1"/>
  <c r="X21" i="22"/>
  <c r="AA21" i="22" s="1"/>
  <c r="AD21" i="22" s="1"/>
  <c r="I21" i="31" s="1"/>
  <c r="N25" i="29"/>
  <c r="O25" i="29" s="1"/>
  <c r="P25" i="29" s="1"/>
  <c r="K25" i="31" s="1"/>
  <c r="AA21" i="21"/>
  <c r="AK61" i="21"/>
  <c r="AP19" i="21"/>
  <c r="AF22" i="21"/>
  <c r="X19" i="22"/>
  <c r="AA19" i="22" s="1"/>
  <c r="AD19" i="22" s="1"/>
  <c r="I19" i="31" s="1"/>
  <c r="AF61" i="21"/>
  <c r="N62" i="29"/>
  <c r="O62" i="29" s="1"/>
  <c r="P62" i="29" s="1"/>
  <c r="K62" i="31" s="1"/>
  <c r="X22" i="22"/>
  <c r="AA22" i="22" s="1"/>
  <c r="AD22" i="22" s="1"/>
  <c r="I22" i="31" s="1"/>
  <c r="AP23" i="21"/>
  <c r="X25" i="22"/>
  <c r="AA25" i="22" s="1"/>
  <c r="AD25" i="22" s="1"/>
  <c r="I25" i="31" s="1"/>
  <c r="AF20" i="21"/>
  <c r="N19" i="29"/>
  <c r="O19" i="29" s="1"/>
  <c r="P19" i="29" s="1"/>
  <c r="K19" i="31" s="1"/>
  <c r="N20" i="29"/>
  <c r="O20" i="29" s="1"/>
  <c r="P20" i="29" s="1"/>
  <c r="K20" i="31" s="1"/>
  <c r="AP24" i="21"/>
  <c r="X26" i="22"/>
  <c r="AA26" i="22" s="1"/>
  <c r="AD26" i="22" s="1"/>
  <c r="I26" i="31" s="1"/>
  <c r="X62" i="22"/>
  <c r="AA62" i="22" s="1"/>
  <c r="AD62" i="22" s="1"/>
  <c r="I62" i="31" s="1"/>
  <c r="AK25" i="21"/>
  <c r="AP25" i="21"/>
  <c r="AA25" i="21"/>
  <c r="AK23" i="21"/>
  <c r="AA23" i="21"/>
  <c r="AF23" i="21"/>
  <c r="AK22" i="21"/>
  <c r="AP22" i="21"/>
  <c r="AP21" i="21"/>
  <c r="AK20" i="21"/>
  <c r="AA19" i="21"/>
  <c r="AP62" i="21"/>
  <c r="AA61" i="21"/>
  <c r="AK19" i="21"/>
  <c r="AA20" i="21"/>
  <c r="AK21" i="21"/>
  <c r="AA22" i="21"/>
  <c r="AK24" i="21"/>
  <c r="AK26" i="21"/>
  <c r="AA62" i="21"/>
  <c r="AA24" i="21"/>
  <c r="AF24" i="21"/>
  <c r="AA26" i="21"/>
  <c r="AF26" i="21"/>
  <c r="AK62" i="21"/>
  <c r="N61" i="29"/>
  <c r="O61" i="29" s="1"/>
  <c r="P61" i="29" s="1"/>
  <c r="K61" i="31" s="1"/>
  <c r="W62" i="22"/>
  <c r="W61" i="22"/>
  <c r="N23" i="29"/>
  <c r="W25" i="22"/>
  <c r="W26" i="22"/>
  <c r="N21" i="29"/>
  <c r="O21" i="29" s="1"/>
  <c r="P21" i="29" s="1"/>
  <c r="K21" i="31" s="1"/>
  <c r="W20" i="22"/>
  <c r="Z20" i="22" s="1"/>
  <c r="AC20" i="22" s="1"/>
  <c r="H20" i="31" s="1"/>
  <c r="X20" i="22"/>
  <c r="AA20" i="22" s="1"/>
  <c r="AD20" i="22" s="1"/>
  <c r="I20" i="31" s="1"/>
  <c r="W21" i="22"/>
  <c r="W19" i="22"/>
  <c r="W22" i="22"/>
  <c r="Q23" i="29" l="1"/>
  <c r="R23" i="29" s="1"/>
  <c r="S23" i="29" s="1"/>
  <c r="L23" i="31" s="1"/>
  <c r="AQ19" i="21"/>
  <c r="AT19" i="21" s="1"/>
  <c r="AW19" i="21" s="1"/>
  <c r="E19" i="31" s="1"/>
  <c r="AR61" i="21"/>
  <c r="AU61" i="21" s="1"/>
  <c r="AX61" i="21" s="1"/>
  <c r="F61" i="31" s="1"/>
  <c r="AQ22" i="21"/>
  <c r="AT22" i="21" s="1"/>
  <c r="AW22" i="21" s="1"/>
  <c r="E22" i="31" s="1"/>
  <c r="AQ21" i="21"/>
  <c r="AT21" i="21" s="1"/>
  <c r="AW21" i="21" s="1"/>
  <c r="E21" i="31" s="1"/>
  <c r="Q24" i="29"/>
  <c r="R24" i="29" s="1"/>
  <c r="S24" i="29" s="1"/>
  <c r="L24" i="31" s="1"/>
  <c r="Q22" i="29"/>
  <c r="R22" i="29" s="1"/>
  <c r="S22" i="29" s="1"/>
  <c r="L22" i="31" s="1"/>
  <c r="T24" i="29"/>
  <c r="U24" i="29" s="1"/>
  <c r="AQ25" i="21"/>
  <c r="AT25" i="21" s="1"/>
  <c r="AW25" i="21" s="1"/>
  <c r="E25" i="31" s="1"/>
  <c r="AQ62" i="21"/>
  <c r="AT62" i="21" s="1"/>
  <c r="AW62" i="21" s="1"/>
  <c r="E62" i="31" s="1"/>
  <c r="Z24" i="22"/>
  <c r="AC24" i="22" s="1"/>
  <c r="H24" i="31" s="1"/>
  <c r="AQ61" i="21"/>
  <c r="AT61" i="21" s="1"/>
  <c r="AW61" i="21" s="1"/>
  <c r="E61" i="31" s="1"/>
  <c r="AQ26" i="21"/>
  <c r="AT26" i="21" s="1"/>
  <c r="AW26" i="21" s="1"/>
  <c r="E26" i="31" s="1"/>
  <c r="AR26" i="21"/>
  <c r="AU26" i="21" s="1"/>
  <c r="AX26" i="21" s="1"/>
  <c r="F26" i="31" s="1"/>
  <c r="Y24" i="22"/>
  <c r="AB24" i="22" s="1"/>
  <c r="AE24" i="22" s="1"/>
  <c r="J24" i="31" s="1"/>
  <c r="AR20" i="21"/>
  <c r="AU20" i="21" s="1"/>
  <c r="AX20" i="21" s="1"/>
  <c r="F20" i="31" s="1"/>
  <c r="Q26" i="29"/>
  <c r="R26" i="29" s="1"/>
  <c r="S26" i="29" s="1"/>
  <c r="L26" i="31" s="1"/>
  <c r="AR22" i="21"/>
  <c r="AR23" i="21"/>
  <c r="AU23" i="21" s="1"/>
  <c r="AX23" i="21" s="1"/>
  <c r="F23" i="31" s="1"/>
  <c r="T19" i="29"/>
  <c r="U19" i="29" s="1"/>
  <c r="V19" i="29" s="1"/>
  <c r="M19" i="31" s="1"/>
  <c r="T25" i="29"/>
  <c r="U25" i="29" s="1"/>
  <c r="V25" i="29" s="1"/>
  <c r="M25" i="31" s="1"/>
  <c r="AR62" i="21"/>
  <c r="AR19" i="21"/>
  <c r="Y23" i="22"/>
  <c r="AB23" i="22" s="1"/>
  <c r="AE23" i="22" s="1"/>
  <c r="J23" i="31" s="1"/>
  <c r="Q25" i="29"/>
  <c r="R25" i="29" s="1"/>
  <c r="S25" i="29" s="1"/>
  <c r="L25" i="31" s="1"/>
  <c r="Q21" i="29"/>
  <c r="R21" i="29" s="1"/>
  <c r="S21" i="29" s="1"/>
  <c r="L21" i="31" s="1"/>
  <c r="Z25" i="22"/>
  <c r="AC25" i="22" s="1"/>
  <c r="H25" i="31" s="1"/>
  <c r="Q19" i="29"/>
  <c r="R19" i="29" s="1"/>
  <c r="S19" i="29" s="1"/>
  <c r="L19" i="31" s="1"/>
  <c r="Y19" i="22"/>
  <c r="AB19" i="22" s="1"/>
  <c r="AE19" i="22" s="1"/>
  <c r="J19" i="31" s="1"/>
  <c r="Y25" i="22"/>
  <c r="AB25" i="22" s="1"/>
  <c r="AE25" i="22" s="1"/>
  <c r="J25" i="31" s="1"/>
  <c r="Q62" i="29"/>
  <c r="R62" i="29" s="1"/>
  <c r="S62" i="29" s="1"/>
  <c r="L62" i="31" s="1"/>
  <c r="Y21" i="22"/>
  <c r="AB21" i="22" s="1"/>
  <c r="AE21" i="22" s="1"/>
  <c r="J21" i="31" s="1"/>
  <c r="Q20" i="29"/>
  <c r="R20" i="29" s="1"/>
  <c r="S20" i="29" s="1"/>
  <c r="L20" i="31" s="1"/>
  <c r="AR24" i="21"/>
  <c r="AU24" i="21" s="1"/>
  <c r="AX24" i="21" s="1"/>
  <c r="F24" i="31" s="1"/>
  <c r="Q61" i="29"/>
  <c r="R61" i="29" s="1"/>
  <c r="S61" i="29" s="1"/>
  <c r="L61" i="31" s="1"/>
  <c r="O23" i="29"/>
  <c r="P23" i="29" s="1"/>
  <c r="K23" i="31" s="1"/>
  <c r="Z19" i="22"/>
  <c r="AC19" i="22" s="1"/>
  <c r="H19" i="31" s="1"/>
  <c r="Y26" i="22"/>
  <c r="AB26" i="22" s="1"/>
  <c r="AE26" i="22" s="1"/>
  <c r="J26" i="31" s="1"/>
  <c r="Y61" i="22"/>
  <c r="AB61" i="22" s="1"/>
  <c r="AE61" i="22" s="1"/>
  <c r="J61" i="31" s="1"/>
  <c r="AR21" i="21"/>
  <c r="AU21" i="21" s="1"/>
  <c r="AX21" i="21" s="1"/>
  <c r="F21" i="31" s="1"/>
  <c r="Z22" i="22"/>
  <c r="AC22" i="22" s="1"/>
  <c r="H22" i="31" s="1"/>
  <c r="T21" i="29"/>
  <c r="U21" i="29" s="1"/>
  <c r="V21" i="29" s="1"/>
  <c r="M21" i="31" s="1"/>
  <c r="T23" i="29"/>
  <c r="U23" i="29" s="1"/>
  <c r="V23" i="29" s="1"/>
  <c r="M23" i="31" s="1"/>
  <c r="Y62" i="22"/>
  <c r="AB62" i="22" s="1"/>
  <c r="AE62" i="22" s="1"/>
  <c r="J62" i="31" s="1"/>
  <c r="Z21" i="22"/>
  <c r="AC21" i="22" s="1"/>
  <c r="H21" i="31" s="1"/>
  <c r="T20" i="29"/>
  <c r="U20" i="29" s="1"/>
  <c r="V20" i="29" s="1"/>
  <c r="M20" i="31" s="1"/>
  <c r="T26" i="29"/>
  <c r="U26" i="29" s="1"/>
  <c r="V26" i="29" s="1"/>
  <c r="M26" i="31" s="1"/>
  <c r="Z61" i="22"/>
  <c r="AC61" i="22" s="1"/>
  <c r="H61" i="31" s="1"/>
  <c r="T61" i="29"/>
  <c r="U61" i="29" s="1"/>
  <c r="V61" i="29" s="1"/>
  <c r="M61" i="31" s="1"/>
  <c r="AQ20" i="21"/>
  <c r="AT20" i="21" s="1"/>
  <c r="AW20" i="21" s="1"/>
  <c r="E20" i="31" s="1"/>
  <c r="AQ23" i="21"/>
  <c r="AT23" i="21" s="1"/>
  <c r="AW23" i="21" s="1"/>
  <c r="E23" i="31" s="1"/>
  <c r="AR25" i="21"/>
  <c r="AQ24" i="21"/>
  <c r="T62" i="29"/>
  <c r="U62" i="29" s="1"/>
  <c r="V62" i="29" s="1"/>
  <c r="M62" i="31" s="1"/>
  <c r="Z62" i="22"/>
  <c r="AC62" i="22" s="1"/>
  <c r="H62" i="31" s="1"/>
  <c r="V24" i="29"/>
  <c r="M24" i="31" s="1"/>
  <c r="Z26" i="22"/>
  <c r="AC26" i="22" s="1"/>
  <c r="H26" i="31" s="1"/>
  <c r="Y20" i="22"/>
  <c r="AB20" i="22" s="1"/>
  <c r="AE20" i="22" s="1"/>
  <c r="J20" i="31" s="1"/>
  <c r="T22" i="29"/>
  <c r="U22" i="29" s="1"/>
  <c r="Y22" i="22"/>
  <c r="AB22" i="22" s="1"/>
  <c r="AE22" i="22" s="1"/>
  <c r="J22" i="31" s="1"/>
  <c r="AS22" i="21" l="1"/>
  <c r="AV22" i="21" s="1"/>
  <c r="AY22" i="21" s="1"/>
  <c r="G22" i="31" s="1"/>
  <c r="AS20" i="21"/>
  <c r="AV20" i="21" s="1"/>
  <c r="AY20" i="21" s="1"/>
  <c r="G20" i="31" s="1"/>
  <c r="AS19" i="21"/>
  <c r="AV19" i="21" s="1"/>
  <c r="AY19" i="21" s="1"/>
  <c r="G19" i="31" s="1"/>
  <c r="AS21" i="21"/>
  <c r="AV21" i="21" s="1"/>
  <c r="AY21" i="21" s="1"/>
  <c r="G21" i="31" s="1"/>
  <c r="AU22" i="21"/>
  <c r="AX22" i="21" s="1"/>
  <c r="F22" i="31" s="1"/>
  <c r="AS62" i="21"/>
  <c r="AV62" i="21" s="1"/>
  <c r="AY62" i="21" s="1"/>
  <c r="G62" i="31" s="1"/>
  <c r="AS25" i="21"/>
  <c r="AV25" i="21" s="1"/>
  <c r="AY25" i="21" s="1"/>
  <c r="G25" i="31" s="1"/>
  <c r="AS61" i="21"/>
  <c r="AV61" i="21" s="1"/>
  <c r="AY61" i="21" s="1"/>
  <c r="G61" i="31" s="1"/>
  <c r="AS26" i="21"/>
  <c r="AV26" i="21" s="1"/>
  <c r="AY26" i="21" s="1"/>
  <c r="G26" i="31" s="1"/>
  <c r="AU25" i="21"/>
  <c r="AX25" i="21" s="1"/>
  <c r="F25" i="31" s="1"/>
  <c r="AU19" i="21"/>
  <c r="AX19" i="21" s="1"/>
  <c r="F19" i="31" s="1"/>
  <c r="AU62" i="21"/>
  <c r="AX62" i="21" s="1"/>
  <c r="F62" i="31" s="1"/>
  <c r="AS23" i="21"/>
  <c r="AV23" i="21" s="1"/>
  <c r="AY23" i="21" s="1"/>
  <c r="G23" i="31" s="1"/>
  <c r="O20" i="31"/>
  <c r="P20" i="31" s="1"/>
  <c r="AT24" i="21"/>
  <c r="AW24" i="21" s="1"/>
  <c r="E24" i="31" s="1"/>
  <c r="AS24" i="21"/>
  <c r="AV24" i="21" s="1"/>
  <c r="V22" i="29"/>
  <c r="M22" i="31" s="1"/>
  <c r="O22" i="31"/>
  <c r="P22" i="31" s="1"/>
  <c r="O19" i="31" l="1"/>
  <c r="P19" i="31" s="1"/>
  <c r="O62" i="31"/>
  <c r="P62" i="31" s="1"/>
  <c r="O21" i="31"/>
  <c r="P21" i="31" s="1"/>
  <c r="O26" i="31"/>
  <c r="P26" i="31" s="1"/>
  <c r="O61" i="31"/>
  <c r="P61" i="31" s="1"/>
  <c r="O25" i="31"/>
  <c r="P25" i="31" s="1"/>
  <c r="O23" i="31"/>
  <c r="P23" i="31" s="1"/>
  <c r="AY24" i="21"/>
  <c r="G24" i="31" s="1"/>
  <c r="O24" i="31"/>
  <c r="P24" i="31" s="1"/>
  <c r="D18" i="31" l="1"/>
  <c r="C18" i="31"/>
  <c r="B18" i="31"/>
  <c r="D17" i="31"/>
  <c r="C17" i="31"/>
  <c r="B17" i="31"/>
  <c r="D16" i="31"/>
  <c r="C16" i="31"/>
  <c r="B16" i="31"/>
  <c r="D15" i="31"/>
  <c r="C15" i="31"/>
  <c r="B15" i="31"/>
  <c r="M18" i="29"/>
  <c r="L18" i="29"/>
  <c r="F18" i="29"/>
  <c r="D18" i="29"/>
  <c r="C18" i="29"/>
  <c r="M17" i="29"/>
  <c r="L17" i="29"/>
  <c r="F17" i="29"/>
  <c r="D17" i="29"/>
  <c r="C17" i="29"/>
  <c r="M16" i="29"/>
  <c r="L16" i="29"/>
  <c r="F16" i="29"/>
  <c r="D16" i="29"/>
  <c r="C16" i="29"/>
  <c r="M15" i="29"/>
  <c r="L15" i="29"/>
  <c r="F15" i="29"/>
  <c r="D15" i="29"/>
  <c r="C15" i="29"/>
  <c r="C27" i="29"/>
  <c r="D27" i="29"/>
  <c r="F27" i="29"/>
  <c r="L27" i="29"/>
  <c r="M27" i="29"/>
  <c r="C28" i="29"/>
  <c r="D28" i="29"/>
  <c r="F28" i="29"/>
  <c r="L28" i="29"/>
  <c r="M28" i="29"/>
  <c r="X18" i="22"/>
  <c r="AA18" i="22" s="1"/>
  <c r="AD18" i="22" s="1"/>
  <c r="I18" i="31" s="1"/>
  <c r="V18" i="22"/>
  <c r="U18" i="22"/>
  <c r="T18" i="22"/>
  <c r="S18" i="22"/>
  <c r="R18" i="22"/>
  <c r="Q18" i="22"/>
  <c r="F18" i="22"/>
  <c r="D18" i="22"/>
  <c r="C18" i="22"/>
  <c r="V17" i="22"/>
  <c r="U17" i="22"/>
  <c r="X17" i="22" s="1"/>
  <c r="AA17" i="22" s="1"/>
  <c r="AD17" i="22" s="1"/>
  <c r="I17" i="31" s="1"/>
  <c r="T17" i="22"/>
  <c r="S17" i="22"/>
  <c r="R17" i="22"/>
  <c r="Q17" i="22"/>
  <c r="F17" i="22"/>
  <c r="D17" i="22"/>
  <c r="C17" i="22"/>
  <c r="X16" i="22"/>
  <c r="AA16" i="22" s="1"/>
  <c r="AD16" i="22" s="1"/>
  <c r="I16" i="31" s="1"/>
  <c r="V16" i="22"/>
  <c r="U16" i="22"/>
  <c r="T16" i="22"/>
  <c r="S16" i="22"/>
  <c r="R16" i="22"/>
  <c r="Q16" i="22"/>
  <c r="F16" i="22"/>
  <c r="D16" i="22"/>
  <c r="C16" i="22"/>
  <c r="V15" i="22"/>
  <c r="U15" i="22"/>
  <c r="X15" i="22" s="1"/>
  <c r="AA15" i="22" s="1"/>
  <c r="AD15" i="22" s="1"/>
  <c r="I15" i="31" s="1"/>
  <c r="T15" i="22"/>
  <c r="S15" i="22"/>
  <c r="R15" i="22"/>
  <c r="Q15" i="22"/>
  <c r="F15" i="22"/>
  <c r="D15" i="22"/>
  <c r="C15" i="22"/>
  <c r="AO18" i="21"/>
  <c r="AN18" i="21"/>
  <c r="AL18" i="21"/>
  <c r="AM18" i="21" s="1"/>
  <c r="AJ18" i="21"/>
  <c r="AI18" i="21"/>
  <c r="AH18" i="21"/>
  <c r="AG18" i="21"/>
  <c r="AE18" i="21"/>
  <c r="AD18" i="21"/>
  <c r="AB18" i="21"/>
  <c r="AC18" i="21" s="1"/>
  <c r="Z18" i="21"/>
  <c r="Y18" i="21"/>
  <c r="X18" i="21"/>
  <c r="W18" i="21"/>
  <c r="F18" i="21"/>
  <c r="D18" i="21"/>
  <c r="C18" i="21"/>
  <c r="AO17" i="21"/>
  <c r="AN17" i="21"/>
  <c r="AL17" i="21"/>
  <c r="AM17" i="21" s="1"/>
  <c r="AJ17" i="21"/>
  <c r="AI17" i="21"/>
  <c r="AH17" i="21"/>
  <c r="AG17" i="21"/>
  <c r="AE17" i="21"/>
  <c r="AD17" i="21"/>
  <c r="AB17" i="21"/>
  <c r="AC17" i="21" s="1"/>
  <c r="Z17" i="21"/>
  <c r="Y17" i="21"/>
  <c r="X17" i="21"/>
  <c r="W17" i="21"/>
  <c r="F17" i="21"/>
  <c r="D17" i="21"/>
  <c r="C17" i="21"/>
  <c r="AO16" i="21"/>
  <c r="AN16" i="21"/>
  <c r="AL16" i="21"/>
  <c r="AM16" i="21" s="1"/>
  <c r="AJ16" i="21"/>
  <c r="AI16" i="21"/>
  <c r="AH16" i="21"/>
  <c r="AG16" i="21"/>
  <c r="AE16" i="21"/>
  <c r="AD16" i="21"/>
  <c r="AB16" i="21"/>
  <c r="AC16" i="21" s="1"/>
  <c r="Z16" i="21"/>
  <c r="Y16" i="21"/>
  <c r="X16" i="21"/>
  <c r="W16" i="21"/>
  <c r="F16" i="21"/>
  <c r="D16" i="21"/>
  <c r="C16" i="21"/>
  <c r="AO15" i="21"/>
  <c r="AN15" i="21"/>
  <c r="AL15" i="21"/>
  <c r="AM15" i="21" s="1"/>
  <c r="AJ15" i="21"/>
  <c r="AI15" i="21"/>
  <c r="AH15" i="21"/>
  <c r="AG15" i="21"/>
  <c r="AE15" i="21"/>
  <c r="AD15" i="21"/>
  <c r="AB15" i="21"/>
  <c r="AC15" i="21" s="1"/>
  <c r="Z15" i="21"/>
  <c r="Y15" i="21"/>
  <c r="X15" i="21"/>
  <c r="W15" i="21"/>
  <c r="F15" i="21"/>
  <c r="D15" i="21"/>
  <c r="C15" i="21"/>
  <c r="G18" i="24"/>
  <c r="H18" i="24" s="1"/>
  <c r="I18" i="24" s="1"/>
  <c r="J18" i="24" s="1"/>
  <c r="N18" i="31" s="1"/>
  <c r="G17" i="24"/>
  <c r="H17" i="24" s="1"/>
  <c r="I17" i="24" s="1"/>
  <c r="J17" i="24" s="1"/>
  <c r="N17" i="31" s="1"/>
  <c r="G16" i="24"/>
  <c r="H16" i="24" s="1"/>
  <c r="I16" i="24" s="1"/>
  <c r="J16" i="24" s="1"/>
  <c r="N16" i="31" s="1"/>
  <c r="G15" i="24"/>
  <c r="H15" i="24" s="1"/>
  <c r="I15" i="24" s="1"/>
  <c r="J15" i="24" s="1"/>
  <c r="N15" i="31" s="1"/>
  <c r="N16" i="29" l="1"/>
  <c r="O16" i="29" s="1"/>
  <c r="P16" i="29" s="1"/>
  <c r="K16" i="31" s="1"/>
  <c r="AP15" i="21"/>
  <c r="AF16" i="21"/>
  <c r="AF15" i="21"/>
  <c r="AK16" i="21"/>
  <c r="AP16" i="21"/>
  <c r="AA18" i="21"/>
  <c r="AF17" i="21"/>
  <c r="AP17" i="21"/>
  <c r="AK18" i="21"/>
  <c r="AP18" i="21"/>
  <c r="AA16" i="21"/>
  <c r="AF18" i="21"/>
  <c r="N28" i="29"/>
  <c r="O28" i="29" s="1"/>
  <c r="P28" i="29" s="1"/>
  <c r="N15" i="29"/>
  <c r="O15" i="29" s="1"/>
  <c r="P15" i="29" s="1"/>
  <c r="K15" i="31" s="1"/>
  <c r="N17" i="29"/>
  <c r="O17" i="29" s="1"/>
  <c r="P17" i="29" s="1"/>
  <c r="K17" i="31" s="1"/>
  <c r="N18" i="29"/>
  <c r="O18" i="29" s="1"/>
  <c r="P18" i="29" s="1"/>
  <c r="K18" i="31" s="1"/>
  <c r="N27" i="29"/>
  <c r="W17" i="22"/>
  <c r="W18" i="22"/>
  <c r="Z18" i="22" s="1"/>
  <c r="AC18" i="22" s="1"/>
  <c r="H18" i="31" s="1"/>
  <c r="W15" i="22"/>
  <c r="Y15" i="22" s="1"/>
  <c r="AB15" i="22" s="1"/>
  <c r="AE15" i="22" s="1"/>
  <c r="J15" i="31" s="1"/>
  <c r="W16" i="22"/>
  <c r="Z16" i="22" s="1"/>
  <c r="AC16" i="22" s="1"/>
  <c r="H16" i="31" s="1"/>
  <c r="Y17" i="22"/>
  <c r="AB17" i="22" s="1"/>
  <c r="AE17" i="22" s="1"/>
  <c r="J17" i="31" s="1"/>
  <c r="AA15" i="21"/>
  <c r="AA17" i="21"/>
  <c r="AK15" i="21"/>
  <c r="AK17" i="21"/>
  <c r="Q17" i="29" l="1"/>
  <c r="R17" i="29" s="1"/>
  <c r="S17" i="29" s="1"/>
  <c r="L17" i="31" s="1"/>
  <c r="AR17" i="21"/>
  <c r="AU17" i="21" s="1"/>
  <c r="AX17" i="21" s="1"/>
  <c r="F17" i="31" s="1"/>
  <c r="AQ17" i="21"/>
  <c r="AT17" i="21" s="1"/>
  <c r="AW17" i="21" s="1"/>
  <c r="E17" i="31" s="1"/>
  <c r="AQ15" i="21"/>
  <c r="AT15" i="21" s="1"/>
  <c r="AW15" i="21" s="1"/>
  <c r="E15" i="31" s="1"/>
  <c r="AR16" i="21"/>
  <c r="AU16" i="21" s="1"/>
  <c r="AX16" i="21" s="1"/>
  <c r="F16" i="31" s="1"/>
  <c r="AR15" i="21"/>
  <c r="Y16" i="22"/>
  <c r="AB16" i="22" s="1"/>
  <c r="AE16" i="22" s="1"/>
  <c r="J16" i="31" s="1"/>
  <c r="AQ18" i="21"/>
  <c r="AT18" i="21" s="1"/>
  <c r="AW18" i="21" s="1"/>
  <c r="E18" i="31" s="1"/>
  <c r="AQ16" i="21"/>
  <c r="AT16" i="21" s="1"/>
  <c r="AW16" i="21" s="1"/>
  <c r="E16" i="31" s="1"/>
  <c r="Y18" i="22"/>
  <c r="AB18" i="22" s="1"/>
  <c r="AE18" i="22" s="1"/>
  <c r="J18" i="31" s="1"/>
  <c r="T17" i="29"/>
  <c r="U17" i="29" s="1"/>
  <c r="V17" i="29" s="1"/>
  <c r="M17" i="31" s="1"/>
  <c r="T18" i="29"/>
  <c r="U18" i="29" s="1"/>
  <c r="V18" i="29" s="1"/>
  <c r="M18" i="31" s="1"/>
  <c r="Z17" i="22"/>
  <c r="AC17" i="22" s="1"/>
  <c r="H17" i="31" s="1"/>
  <c r="Q16" i="29"/>
  <c r="R16" i="29" s="1"/>
  <c r="S16" i="29" s="1"/>
  <c r="L16" i="31" s="1"/>
  <c r="Q18" i="29"/>
  <c r="R18" i="29" s="1"/>
  <c r="S18" i="29" s="1"/>
  <c r="L18" i="31" s="1"/>
  <c r="AR18" i="21"/>
  <c r="AS18" i="21" s="1"/>
  <c r="AV18" i="21" s="1"/>
  <c r="AY18" i="21" s="1"/>
  <c r="G18" i="31" s="1"/>
  <c r="T16" i="29"/>
  <c r="U16" i="29" s="1"/>
  <c r="V16" i="29" s="1"/>
  <c r="M16" i="31" s="1"/>
  <c r="Q15" i="29"/>
  <c r="R15" i="29" s="1"/>
  <c r="S15" i="29" s="1"/>
  <c r="L15" i="31" s="1"/>
  <c r="O27" i="29"/>
  <c r="P27" i="29" s="1"/>
  <c r="T15" i="29"/>
  <c r="U15" i="29" s="1"/>
  <c r="Z15" i="22"/>
  <c r="AC15" i="22" s="1"/>
  <c r="H15" i="31" s="1"/>
  <c r="AS15" i="21" l="1"/>
  <c r="AV15" i="21" s="1"/>
  <c r="AY15" i="21" s="1"/>
  <c r="G15" i="31" s="1"/>
  <c r="AS16" i="21"/>
  <c r="AV16" i="21" s="1"/>
  <c r="AY16" i="21" s="1"/>
  <c r="G16" i="31" s="1"/>
  <c r="AS17" i="21"/>
  <c r="AV17" i="21" s="1"/>
  <c r="AY17" i="21" s="1"/>
  <c r="G17" i="31" s="1"/>
  <c r="AU15" i="21"/>
  <c r="AX15" i="21" s="1"/>
  <c r="F15" i="31" s="1"/>
  <c r="AU18" i="21"/>
  <c r="AX18" i="21" s="1"/>
  <c r="F18" i="31" s="1"/>
  <c r="O18" i="31"/>
  <c r="P18" i="31" s="1"/>
  <c r="V15" i="29"/>
  <c r="M15" i="31" s="1"/>
  <c r="O15" i="31" l="1"/>
  <c r="P15" i="31" s="1"/>
  <c r="O16" i="31"/>
  <c r="P16" i="31" s="1"/>
  <c r="O17" i="31"/>
  <c r="P17" i="31" s="1"/>
  <c r="D5" i="31"/>
  <c r="C5" i="31"/>
  <c r="B5" i="31"/>
  <c r="M5" i="29"/>
  <c r="L5" i="29"/>
  <c r="F5" i="29"/>
  <c r="D5" i="29"/>
  <c r="C5" i="29"/>
  <c r="V5" i="22"/>
  <c r="U5" i="22"/>
  <c r="T5" i="22"/>
  <c r="S5" i="22"/>
  <c r="R5" i="22"/>
  <c r="Q5" i="22"/>
  <c r="F5" i="22"/>
  <c r="D5" i="22"/>
  <c r="C5" i="22"/>
  <c r="AO5" i="21"/>
  <c r="AN5" i="21"/>
  <c r="AL5" i="21"/>
  <c r="AM5" i="21" s="1"/>
  <c r="AJ5" i="21"/>
  <c r="AI5" i="21"/>
  <c r="AH5" i="21"/>
  <c r="AG5" i="21"/>
  <c r="AE5" i="21"/>
  <c r="AD5" i="21"/>
  <c r="AB5" i="21"/>
  <c r="AC5" i="21" s="1"/>
  <c r="Z5" i="21"/>
  <c r="Y5" i="21"/>
  <c r="X5" i="21"/>
  <c r="W5" i="21"/>
  <c r="F5" i="21"/>
  <c r="D5" i="21"/>
  <c r="C5" i="21"/>
  <c r="G5" i="24"/>
  <c r="H5" i="24" s="1"/>
  <c r="I5" i="24" s="1"/>
  <c r="J5" i="24" s="1"/>
  <c r="N5" i="31" s="1"/>
  <c r="AF5" i="21" l="1"/>
  <c r="AP5" i="21"/>
  <c r="X5" i="22"/>
  <c r="AA5" i="22" s="1"/>
  <c r="AD5" i="22" s="1"/>
  <c r="I5" i="31" s="1"/>
  <c r="N5" i="29"/>
  <c r="O5" i="29" s="1"/>
  <c r="P5" i="29" s="1"/>
  <c r="K5" i="31" s="1"/>
  <c r="AK5" i="21"/>
  <c r="AA5" i="21"/>
  <c r="W5" i="22"/>
  <c r="Z5" i="22" s="1"/>
  <c r="AC5" i="22" s="1"/>
  <c r="H5" i="31" s="1"/>
  <c r="D59" i="29"/>
  <c r="AR5" i="21" l="1"/>
  <c r="AU5" i="21" s="1"/>
  <c r="AX5" i="21" s="1"/>
  <c r="F5" i="31" s="1"/>
  <c r="AQ5" i="21"/>
  <c r="AT5" i="21" s="1"/>
  <c r="AW5" i="21" s="1"/>
  <c r="E5" i="31" s="1"/>
  <c r="T5" i="29"/>
  <c r="U5" i="29" s="1"/>
  <c r="V5" i="29" s="1"/>
  <c r="M5" i="31" s="1"/>
  <c r="Q5" i="29"/>
  <c r="R5" i="29" s="1"/>
  <c r="S5" i="29" s="1"/>
  <c r="L5" i="31" s="1"/>
  <c r="Y5" i="22"/>
  <c r="AB5" i="22" s="1"/>
  <c r="AE5" i="22" s="1"/>
  <c r="J5" i="31" s="1"/>
  <c r="AS5" i="21" l="1"/>
  <c r="AV5" i="21" s="1"/>
  <c r="AY5" i="21" s="1"/>
  <c r="G5" i="31" s="1"/>
  <c r="D32" i="31"/>
  <c r="C32" i="31"/>
  <c r="B32" i="31"/>
  <c r="M32" i="29"/>
  <c r="L32" i="29"/>
  <c r="F32" i="29"/>
  <c r="D32" i="29"/>
  <c r="C32" i="29"/>
  <c r="V32" i="22"/>
  <c r="U32" i="22"/>
  <c r="T32" i="22"/>
  <c r="S32" i="22"/>
  <c r="R32" i="22"/>
  <c r="Q32" i="22"/>
  <c r="F32" i="22"/>
  <c r="D32" i="22"/>
  <c r="C32" i="22"/>
  <c r="AO32" i="21"/>
  <c r="AN32" i="21"/>
  <c r="AL32" i="21"/>
  <c r="AM32" i="21" s="1"/>
  <c r="AJ32" i="21"/>
  <c r="AI32" i="21"/>
  <c r="AH32" i="21"/>
  <c r="AG32" i="21"/>
  <c r="AE32" i="21"/>
  <c r="AD32" i="21"/>
  <c r="AB32" i="21"/>
  <c r="AC32" i="21" s="1"/>
  <c r="Z32" i="21"/>
  <c r="Y32" i="21"/>
  <c r="X32" i="21"/>
  <c r="W32" i="21"/>
  <c r="F32" i="21"/>
  <c r="D32" i="21"/>
  <c r="C32" i="21"/>
  <c r="G32" i="24"/>
  <c r="H32" i="24" s="1"/>
  <c r="I32" i="24" s="1"/>
  <c r="J32" i="24" s="1"/>
  <c r="N32" i="31" s="1"/>
  <c r="O5" i="31" l="1"/>
  <c r="P5" i="31" s="1"/>
  <c r="X32" i="22"/>
  <c r="AA32" i="22" s="1"/>
  <c r="AD32" i="22" s="1"/>
  <c r="I32" i="31" s="1"/>
  <c r="N32" i="29"/>
  <c r="W32" i="22"/>
  <c r="AF32" i="21"/>
  <c r="AP32" i="21"/>
  <c r="AA32" i="21"/>
  <c r="AK32" i="21"/>
  <c r="D39" i="31"/>
  <c r="C39" i="31"/>
  <c r="B39" i="31"/>
  <c r="M39" i="29"/>
  <c r="L39" i="29"/>
  <c r="F39" i="29"/>
  <c r="D39" i="29"/>
  <c r="C39" i="29"/>
  <c r="V39" i="22"/>
  <c r="U39" i="22"/>
  <c r="T39" i="22"/>
  <c r="S39" i="22"/>
  <c r="R39" i="22"/>
  <c r="Q39" i="22"/>
  <c r="F39" i="22"/>
  <c r="D39" i="22"/>
  <c r="C39" i="22"/>
  <c r="AO39" i="21"/>
  <c r="AN39" i="21"/>
  <c r="AL39" i="21"/>
  <c r="AM39" i="21" s="1"/>
  <c r="AJ39" i="21"/>
  <c r="AI39" i="21"/>
  <c r="AH39" i="21"/>
  <c r="AG39" i="21"/>
  <c r="AE39" i="21"/>
  <c r="AD39" i="21"/>
  <c r="AB39" i="21"/>
  <c r="AC39" i="21" s="1"/>
  <c r="Z39" i="21"/>
  <c r="Y39" i="21"/>
  <c r="X39" i="21"/>
  <c r="W39" i="21"/>
  <c r="F39" i="21"/>
  <c r="D39" i="21"/>
  <c r="C39" i="21"/>
  <c r="G39" i="24"/>
  <c r="H39" i="24" s="1"/>
  <c r="I39" i="24" s="1"/>
  <c r="J39" i="24" s="1"/>
  <c r="N39" i="31" s="1"/>
  <c r="AR32" i="21" l="1"/>
  <c r="AU32" i="21" s="1"/>
  <c r="AX32" i="21" s="1"/>
  <c r="F32" i="31" s="1"/>
  <c r="AQ32" i="21"/>
  <c r="AT32" i="21" s="1"/>
  <c r="AW32" i="21" s="1"/>
  <c r="E32" i="31" s="1"/>
  <c r="T32" i="29"/>
  <c r="U32" i="29" s="1"/>
  <c r="V32" i="29" s="1"/>
  <c r="M32" i="31" s="1"/>
  <c r="O32" i="29"/>
  <c r="P32" i="29" s="1"/>
  <c r="K32" i="31" s="1"/>
  <c r="Q32" i="29"/>
  <c r="R32" i="29" s="1"/>
  <c r="S32" i="29" s="1"/>
  <c r="L32" i="31" s="1"/>
  <c r="X39" i="22"/>
  <c r="AA39" i="22" s="1"/>
  <c r="AD39" i="22" s="1"/>
  <c r="I39" i="31" s="1"/>
  <c r="N39" i="29"/>
  <c r="O39" i="29" s="1"/>
  <c r="P39" i="29" s="1"/>
  <c r="K39" i="31" s="1"/>
  <c r="Y32" i="22"/>
  <c r="AB32" i="22" s="1"/>
  <c r="AE32" i="22" s="1"/>
  <c r="J32" i="31" s="1"/>
  <c r="Z32" i="22"/>
  <c r="AC32" i="22" s="1"/>
  <c r="H32" i="31" s="1"/>
  <c r="AF39" i="21"/>
  <c r="AK39" i="21"/>
  <c r="W39" i="22"/>
  <c r="AA39" i="21"/>
  <c r="AP39" i="21"/>
  <c r="AR39" i="21" l="1"/>
  <c r="AU39" i="21" s="1"/>
  <c r="AX39" i="21" s="1"/>
  <c r="F39" i="31" s="1"/>
  <c r="AS32" i="21"/>
  <c r="AV32" i="21" s="1"/>
  <c r="O32" i="31" s="1"/>
  <c r="P32" i="31" s="1"/>
  <c r="AQ39" i="21"/>
  <c r="AT39" i="21" s="1"/>
  <c r="AW39" i="21" s="1"/>
  <c r="E39" i="31" s="1"/>
  <c r="Q39" i="29"/>
  <c r="R39" i="29" s="1"/>
  <c r="S39" i="29" s="1"/>
  <c r="L39" i="31" s="1"/>
  <c r="Z39" i="22"/>
  <c r="AC39" i="22" s="1"/>
  <c r="H39" i="31" s="1"/>
  <c r="T39" i="29"/>
  <c r="U39" i="29" s="1"/>
  <c r="V39" i="29" s="1"/>
  <c r="M39" i="31" s="1"/>
  <c r="Y39" i="22"/>
  <c r="AB39" i="22" s="1"/>
  <c r="AE39" i="22" s="1"/>
  <c r="J39" i="31" s="1"/>
  <c r="AY32" i="21" l="1"/>
  <c r="G32" i="31" s="1"/>
  <c r="AS39" i="21"/>
  <c r="AV39" i="21" s="1"/>
  <c r="O39" i="31" s="1"/>
  <c r="P39" i="31" s="1"/>
  <c r="AY39" i="21" l="1"/>
  <c r="G39" i="31" s="1"/>
  <c r="D40" i="31"/>
  <c r="C40" i="31"/>
  <c r="B40" i="31"/>
  <c r="M40" i="29"/>
  <c r="L40" i="29"/>
  <c r="F40" i="29"/>
  <c r="D40" i="29"/>
  <c r="C40" i="29"/>
  <c r="V40" i="22"/>
  <c r="U40" i="22"/>
  <c r="T40" i="22"/>
  <c r="S40" i="22"/>
  <c r="R40" i="22"/>
  <c r="Q40" i="22"/>
  <c r="F40" i="22"/>
  <c r="D40" i="22"/>
  <c r="C40" i="22"/>
  <c r="AO40" i="21"/>
  <c r="AN40" i="21"/>
  <c r="AL40" i="21"/>
  <c r="AM40" i="21" s="1"/>
  <c r="AJ40" i="21"/>
  <c r="AI40" i="21"/>
  <c r="AH40" i="21"/>
  <c r="AG40" i="21"/>
  <c r="AE40" i="21"/>
  <c r="AD40" i="21"/>
  <c r="AB40" i="21"/>
  <c r="AC40" i="21" s="1"/>
  <c r="Z40" i="21"/>
  <c r="Y40" i="21"/>
  <c r="X40" i="21"/>
  <c r="W40" i="21"/>
  <c r="F40" i="21"/>
  <c r="D40" i="21"/>
  <c r="C40" i="21"/>
  <c r="G40" i="24"/>
  <c r="H40" i="24" s="1"/>
  <c r="I40" i="24" s="1"/>
  <c r="J40" i="24" s="1"/>
  <c r="N40" i="31" s="1"/>
  <c r="AF40" i="21" l="1"/>
  <c r="AK40" i="21"/>
  <c r="AA40" i="21"/>
  <c r="AP40" i="21"/>
  <c r="X40" i="22"/>
  <c r="AA40" i="22" s="1"/>
  <c r="AD40" i="22" s="1"/>
  <c r="I40" i="31" s="1"/>
  <c r="W40" i="22"/>
  <c r="N40" i="29"/>
  <c r="O40" i="29" s="1"/>
  <c r="P40" i="29" s="1"/>
  <c r="K40" i="31" s="1"/>
  <c r="AQ40" i="21" l="1"/>
  <c r="AT40" i="21" s="1"/>
  <c r="AW40" i="21" s="1"/>
  <c r="E40" i="31" s="1"/>
  <c r="AR40" i="21"/>
  <c r="AU40" i="21" s="1"/>
  <c r="AX40" i="21" s="1"/>
  <c r="F40" i="31" s="1"/>
  <c r="Q40" i="29"/>
  <c r="R40" i="29" s="1"/>
  <c r="S40" i="29" s="1"/>
  <c r="L40" i="31" s="1"/>
  <c r="Z40" i="22"/>
  <c r="AC40" i="22" s="1"/>
  <c r="H40" i="31" s="1"/>
  <c r="Y40" i="22"/>
  <c r="AB40" i="22" s="1"/>
  <c r="AE40" i="22" s="1"/>
  <c r="J40" i="31" s="1"/>
  <c r="T40" i="29"/>
  <c r="U40" i="29" s="1"/>
  <c r="V40" i="29" s="1"/>
  <c r="M40" i="31" s="1"/>
  <c r="AS40" i="21" l="1"/>
  <c r="AV40" i="21" s="1"/>
  <c r="AY40" i="21" s="1"/>
  <c r="G40" i="31" s="1"/>
  <c r="O40" i="31" l="1"/>
  <c r="P40" i="31" s="1"/>
  <c r="F31" i="21"/>
  <c r="V30" i="22" l="1"/>
  <c r="D41" i="29" l="1"/>
  <c r="D4" i="31" l="1"/>
  <c r="C4" i="31"/>
  <c r="B4" i="31"/>
  <c r="M4" i="29"/>
  <c r="L4" i="29"/>
  <c r="F4" i="29"/>
  <c r="D4" i="29"/>
  <c r="C4" i="29"/>
  <c r="F4" i="22"/>
  <c r="V4" i="22"/>
  <c r="U4" i="22"/>
  <c r="T4" i="22"/>
  <c r="S4" i="22"/>
  <c r="R4" i="22"/>
  <c r="Q4" i="22"/>
  <c r="D4" i="22"/>
  <c r="C4" i="22"/>
  <c r="AO4" i="21"/>
  <c r="AN4" i="21"/>
  <c r="AL4" i="21"/>
  <c r="AM4" i="21" s="1"/>
  <c r="AJ4" i="21"/>
  <c r="AI4" i="21"/>
  <c r="AH4" i="21"/>
  <c r="AG4" i="21"/>
  <c r="AE4" i="21"/>
  <c r="AD4" i="21"/>
  <c r="AB4" i="21"/>
  <c r="AC4" i="21" s="1"/>
  <c r="Z4" i="21"/>
  <c r="Y4" i="21"/>
  <c r="X4" i="21"/>
  <c r="W4" i="21"/>
  <c r="F4" i="21"/>
  <c r="D4" i="21"/>
  <c r="C4" i="21"/>
  <c r="G4" i="24"/>
  <c r="H4" i="24" s="1"/>
  <c r="I4" i="24" s="1"/>
  <c r="J4" i="24" s="1"/>
  <c r="N4" i="31" s="1"/>
  <c r="W4" i="22" l="1"/>
  <c r="Z4" i="22" s="1"/>
  <c r="AC4" i="22" s="1"/>
  <c r="H4" i="31" s="1"/>
  <c r="AF4" i="21"/>
  <c r="X4" i="22"/>
  <c r="AA4" i="22" s="1"/>
  <c r="AD4" i="22" s="1"/>
  <c r="I4" i="31" s="1"/>
  <c r="AK4" i="21"/>
  <c r="AA4" i="21"/>
  <c r="AP4" i="21"/>
  <c r="N4" i="29"/>
  <c r="D30" i="22"/>
  <c r="Q4" i="29" l="1"/>
  <c r="R4" i="29" s="1"/>
  <c r="S4" i="29" s="1"/>
  <c r="L4" i="31" s="1"/>
  <c r="AQ4" i="21"/>
  <c r="AT4" i="21" s="1"/>
  <c r="AW4" i="21" s="1"/>
  <c r="E4" i="31" s="1"/>
  <c r="Y4" i="22"/>
  <c r="AB4" i="22" s="1"/>
  <c r="AE4" i="22" s="1"/>
  <c r="J4" i="31" s="1"/>
  <c r="AR4" i="21"/>
  <c r="AU4" i="21" s="1"/>
  <c r="AX4" i="21" s="1"/>
  <c r="F4" i="31" s="1"/>
  <c r="O4" i="29"/>
  <c r="P4" i="29" s="1"/>
  <c r="K4" i="31" s="1"/>
  <c r="T4" i="29"/>
  <c r="U4" i="29" s="1"/>
  <c r="V4" i="29" s="1"/>
  <c r="M4" i="31" s="1"/>
  <c r="AS4" i="21" l="1"/>
  <c r="AV4" i="21" s="1"/>
  <c r="AY4" i="21" s="1"/>
  <c r="G4" i="31" s="1"/>
  <c r="O4" i="31" l="1"/>
  <c r="P4" i="31" s="1"/>
  <c r="B49" i="31"/>
  <c r="B50" i="31"/>
  <c r="D10" i="31" l="1"/>
  <c r="C10" i="31"/>
  <c r="B10" i="31"/>
  <c r="M10" i="29"/>
  <c r="L10" i="29"/>
  <c r="F10" i="29"/>
  <c r="D10" i="29"/>
  <c r="C10" i="29"/>
  <c r="V10" i="22"/>
  <c r="U10" i="22"/>
  <c r="T10" i="22"/>
  <c r="S10" i="22"/>
  <c r="R10" i="22"/>
  <c r="Q10" i="22"/>
  <c r="F10" i="22"/>
  <c r="D10" i="22"/>
  <c r="C10" i="22"/>
  <c r="AO10" i="21"/>
  <c r="AN10" i="21"/>
  <c r="AL10" i="21"/>
  <c r="AM10" i="21" s="1"/>
  <c r="AJ10" i="21"/>
  <c r="AI10" i="21"/>
  <c r="AH10" i="21"/>
  <c r="AG10" i="21"/>
  <c r="AE10" i="21"/>
  <c r="AD10" i="21"/>
  <c r="AB10" i="21"/>
  <c r="AC10" i="21" s="1"/>
  <c r="Z10" i="21"/>
  <c r="Y10" i="21"/>
  <c r="X10" i="21"/>
  <c r="W10" i="21"/>
  <c r="F10" i="21"/>
  <c r="D10" i="21"/>
  <c r="C10" i="21"/>
  <c r="G10" i="24"/>
  <c r="H10" i="24" s="1"/>
  <c r="I10" i="24" s="1"/>
  <c r="J10" i="24" s="1"/>
  <c r="N10" i="31" s="1"/>
  <c r="N10" i="29" l="1"/>
  <c r="O10" i="29" s="1"/>
  <c r="P10" i="29" s="1"/>
  <c r="K10" i="31" s="1"/>
  <c r="AP10" i="21"/>
  <c r="X10" i="22"/>
  <c r="AA10" i="22" s="1"/>
  <c r="AD10" i="22" s="1"/>
  <c r="I10" i="31" s="1"/>
  <c r="AA10" i="21"/>
  <c r="AF10" i="21"/>
  <c r="W10" i="22"/>
  <c r="Z10" i="22" s="1"/>
  <c r="AC10" i="22" s="1"/>
  <c r="H10" i="31" s="1"/>
  <c r="AK10" i="21"/>
  <c r="AR10" i="21" l="1"/>
  <c r="AU10" i="21" s="1"/>
  <c r="AX10" i="21" s="1"/>
  <c r="F10" i="31" s="1"/>
  <c r="AQ10" i="21"/>
  <c r="AT10" i="21" s="1"/>
  <c r="AW10" i="21" s="1"/>
  <c r="E10" i="31" s="1"/>
  <c r="T10" i="29"/>
  <c r="U10" i="29" s="1"/>
  <c r="V10" i="29" s="1"/>
  <c r="M10" i="31" s="1"/>
  <c r="Y10" i="22"/>
  <c r="AB10" i="22" s="1"/>
  <c r="AE10" i="22" s="1"/>
  <c r="J10" i="31" s="1"/>
  <c r="Q10" i="29"/>
  <c r="R10" i="29" s="1"/>
  <c r="S10" i="29" s="1"/>
  <c r="L10" i="31" s="1"/>
  <c r="C3" i="21"/>
  <c r="C6" i="21"/>
  <c r="C7" i="21"/>
  <c r="C8" i="21"/>
  <c r="C9" i="21"/>
  <c r="C11" i="21"/>
  <c r="C12" i="21"/>
  <c r="C13" i="21"/>
  <c r="C14" i="21"/>
  <c r="C27" i="21"/>
  <c r="C28" i="21"/>
  <c r="C29" i="21"/>
  <c r="C30" i="21"/>
  <c r="C31" i="21"/>
  <c r="C33" i="21"/>
  <c r="C34" i="21"/>
  <c r="C35" i="21"/>
  <c r="C36" i="21"/>
  <c r="C37" i="21"/>
  <c r="C38" i="21"/>
  <c r="C41" i="21"/>
  <c r="C42" i="21"/>
  <c r="C43" i="21"/>
  <c r="C44" i="21"/>
  <c r="C45" i="21"/>
  <c r="C46" i="21"/>
  <c r="C47" i="21"/>
  <c r="C48" i="21"/>
  <c r="C49" i="21"/>
  <c r="C50" i="21"/>
  <c r="C51" i="21"/>
  <c r="C52" i="21"/>
  <c r="C53" i="21"/>
  <c r="C54" i="21"/>
  <c r="C55" i="21"/>
  <c r="C56" i="21"/>
  <c r="C57" i="21"/>
  <c r="C58" i="21"/>
  <c r="C59" i="21"/>
  <c r="C60" i="21"/>
  <c r="C63" i="21"/>
  <c r="C64" i="21"/>
  <c r="C65" i="21"/>
  <c r="AS10" i="21" l="1"/>
  <c r="AV10" i="21" s="1"/>
  <c r="AY10" i="21" s="1"/>
  <c r="G10" i="31" s="1"/>
  <c r="D47" i="31"/>
  <c r="C47" i="31"/>
  <c r="B47" i="31"/>
  <c r="D46" i="31"/>
  <c r="C46" i="31"/>
  <c r="B46" i="31"/>
  <c r="M47" i="29"/>
  <c r="L47" i="29"/>
  <c r="F47" i="29"/>
  <c r="D47" i="29"/>
  <c r="C47" i="29"/>
  <c r="M46" i="29"/>
  <c r="L46" i="29"/>
  <c r="F46" i="29"/>
  <c r="D46" i="29"/>
  <c r="C46" i="29"/>
  <c r="V47" i="22"/>
  <c r="U47" i="22"/>
  <c r="T47" i="22"/>
  <c r="S47" i="22"/>
  <c r="R47" i="22"/>
  <c r="Q47" i="22"/>
  <c r="F47" i="22"/>
  <c r="D47" i="22"/>
  <c r="C47" i="22"/>
  <c r="V46" i="22"/>
  <c r="U46" i="22"/>
  <c r="T46" i="22"/>
  <c r="S46" i="22"/>
  <c r="R46" i="22"/>
  <c r="Q46" i="22"/>
  <c r="F46" i="22"/>
  <c r="D46" i="22"/>
  <c r="C46" i="22"/>
  <c r="AO47" i="21"/>
  <c r="AN47" i="21"/>
  <c r="AL47" i="21"/>
  <c r="AM47" i="21" s="1"/>
  <c r="AJ47" i="21"/>
  <c r="AI47" i="21"/>
  <c r="AH47" i="21"/>
  <c r="AG47" i="21"/>
  <c r="AE47" i="21"/>
  <c r="AD47" i="21"/>
  <c r="AB47" i="21"/>
  <c r="AC47" i="21" s="1"/>
  <c r="Z47" i="21"/>
  <c r="Y47" i="21"/>
  <c r="X47" i="21"/>
  <c r="W47" i="21"/>
  <c r="F47" i="21"/>
  <c r="D47" i="21"/>
  <c r="AO46" i="21"/>
  <c r="AN46" i="21"/>
  <c r="AL46" i="21"/>
  <c r="AM46" i="21" s="1"/>
  <c r="AJ46" i="21"/>
  <c r="AI46" i="21"/>
  <c r="AH46" i="21"/>
  <c r="AG46" i="21"/>
  <c r="AE46" i="21"/>
  <c r="AD46" i="21"/>
  <c r="AB46" i="21"/>
  <c r="AC46" i="21" s="1"/>
  <c r="Z46" i="21"/>
  <c r="Y46" i="21"/>
  <c r="X46" i="21"/>
  <c r="W46" i="21"/>
  <c r="F46" i="21"/>
  <c r="D46" i="21"/>
  <c r="G47" i="24"/>
  <c r="H47" i="24" s="1"/>
  <c r="I47" i="24" s="1"/>
  <c r="J47" i="24" s="1"/>
  <c r="N47" i="31" s="1"/>
  <c r="G46" i="24"/>
  <c r="H46" i="24" s="1"/>
  <c r="I46" i="24" s="1"/>
  <c r="J46" i="24" s="1"/>
  <c r="N46" i="31" s="1"/>
  <c r="O10" i="31" l="1"/>
  <c r="P10" i="31" s="1"/>
  <c r="AP47" i="21"/>
  <c r="X46" i="22"/>
  <c r="AA46" i="22" s="1"/>
  <c r="AD46" i="22" s="1"/>
  <c r="I46" i="31" s="1"/>
  <c r="N47" i="29"/>
  <c r="W47" i="22"/>
  <c r="AA47" i="21"/>
  <c r="AA46" i="21"/>
  <c r="AP46" i="21"/>
  <c r="AF46" i="21"/>
  <c r="X47" i="22"/>
  <c r="AA47" i="22" s="1"/>
  <c r="AD47" i="22" s="1"/>
  <c r="I47" i="31" s="1"/>
  <c r="AK47" i="21"/>
  <c r="AK46" i="21"/>
  <c r="AF47" i="21"/>
  <c r="W46" i="22"/>
  <c r="Z46" i="22" s="1"/>
  <c r="AC46" i="22" s="1"/>
  <c r="H46" i="31" s="1"/>
  <c r="N46" i="29"/>
  <c r="O46" i="29" s="1"/>
  <c r="P46" i="29" s="1"/>
  <c r="K46" i="31" s="1"/>
  <c r="O47" i="29"/>
  <c r="P47" i="29" s="1"/>
  <c r="K47" i="31" s="1"/>
  <c r="F36" i="21"/>
  <c r="D36" i="31"/>
  <c r="C36" i="31"/>
  <c r="B36" i="31"/>
  <c r="B37" i="31"/>
  <c r="C37" i="31"/>
  <c r="D37" i="31"/>
  <c r="M36" i="29"/>
  <c r="L36" i="29"/>
  <c r="F36" i="29"/>
  <c r="D36" i="29"/>
  <c r="C36" i="29"/>
  <c r="V36" i="22"/>
  <c r="U36" i="22"/>
  <c r="T36" i="22"/>
  <c r="S36" i="22"/>
  <c r="R36" i="22"/>
  <c r="Q36" i="22"/>
  <c r="F36" i="22"/>
  <c r="D36" i="22"/>
  <c r="C36" i="22"/>
  <c r="AO36" i="21"/>
  <c r="AN36" i="21"/>
  <c r="AL36" i="21"/>
  <c r="AM36" i="21" s="1"/>
  <c r="AJ36" i="21"/>
  <c r="AI36" i="21"/>
  <c r="AH36" i="21"/>
  <c r="AG36" i="21"/>
  <c r="AE36" i="21"/>
  <c r="AD36" i="21"/>
  <c r="AB36" i="21"/>
  <c r="AC36" i="21" s="1"/>
  <c r="Z36" i="21"/>
  <c r="Y36" i="21"/>
  <c r="X36" i="21"/>
  <c r="W36" i="21"/>
  <c r="D36" i="21"/>
  <c r="G36" i="24"/>
  <c r="H36" i="24" s="1"/>
  <c r="I36" i="24" s="1"/>
  <c r="J36" i="24" s="1"/>
  <c r="N36" i="31" s="1"/>
  <c r="AR47" i="21" l="1"/>
  <c r="AU47" i="21" s="1"/>
  <c r="AX47" i="21" s="1"/>
  <c r="F47" i="31" s="1"/>
  <c r="AF36" i="21"/>
  <c r="N36" i="29"/>
  <c r="O36" i="29" s="1"/>
  <c r="P36" i="29" s="1"/>
  <c r="K36" i="31" s="1"/>
  <c r="Y46" i="22"/>
  <c r="AB46" i="22" s="1"/>
  <c r="AE46" i="22" s="1"/>
  <c r="J46" i="31" s="1"/>
  <c r="AQ46" i="21"/>
  <c r="AT46" i="21" s="1"/>
  <c r="AW46" i="21" s="1"/>
  <c r="E46" i="31" s="1"/>
  <c r="Q47" i="29"/>
  <c r="R47" i="29" s="1"/>
  <c r="S47" i="29" s="1"/>
  <c r="L47" i="31" s="1"/>
  <c r="Q46" i="29"/>
  <c r="R46" i="29" s="1"/>
  <c r="S46" i="29" s="1"/>
  <c r="L46" i="31" s="1"/>
  <c r="Y47" i="22"/>
  <c r="AB47" i="22" s="1"/>
  <c r="AE47" i="22" s="1"/>
  <c r="J47" i="31" s="1"/>
  <c r="T47" i="29"/>
  <c r="U47" i="29" s="1"/>
  <c r="V47" i="29" s="1"/>
  <c r="M47" i="31" s="1"/>
  <c r="Z47" i="22"/>
  <c r="AC47" i="22" s="1"/>
  <c r="H47" i="31" s="1"/>
  <c r="AQ47" i="21"/>
  <c r="AT47" i="21" s="1"/>
  <c r="AW47" i="21" s="1"/>
  <c r="E47" i="31" s="1"/>
  <c r="W36" i="22"/>
  <c r="X36" i="22"/>
  <c r="AA36" i="22" s="1"/>
  <c r="AD36" i="22" s="1"/>
  <c r="I36" i="31" s="1"/>
  <c r="T46" i="29"/>
  <c r="U46" i="29" s="1"/>
  <c r="V46" i="29" s="1"/>
  <c r="M46" i="31" s="1"/>
  <c r="AR46" i="21"/>
  <c r="AP36" i="21"/>
  <c r="AK36" i="21"/>
  <c r="AA36" i="21"/>
  <c r="AQ36" i="21" s="1"/>
  <c r="AT36" i="21" s="1"/>
  <c r="AW36" i="21" s="1"/>
  <c r="E36" i="31" s="1"/>
  <c r="D56" i="21"/>
  <c r="Q36" i="29" l="1"/>
  <c r="R36" i="29" s="1"/>
  <c r="S36" i="29" s="1"/>
  <c r="L36" i="31" s="1"/>
  <c r="AS47" i="21"/>
  <c r="AV47" i="21" s="1"/>
  <c r="AY47" i="21" s="1"/>
  <c r="G47" i="31" s="1"/>
  <c r="Z36" i="22"/>
  <c r="AC36" i="22" s="1"/>
  <c r="H36" i="31" s="1"/>
  <c r="T36" i="29"/>
  <c r="U36" i="29" s="1"/>
  <c r="V36" i="29" s="1"/>
  <c r="M36" i="31" s="1"/>
  <c r="AU46" i="21"/>
  <c r="AX46" i="21" s="1"/>
  <c r="F46" i="31" s="1"/>
  <c r="AS46" i="21"/>
  <c r="AV46" i="21" s="1"/>
  <c r="Y36" i="22"/>
  <c r="AB36" i="22" s="1"/>
  <c r="AE36" i="22" s="1"/>
  <c r="J36" i="31" s="1"/>
  <c r="AR36" i="21"/>
  <c r="AU36" i="21" s="1"/>
  <c r="AX36" i="21" s="1"/>
  <c r="F36" i="31" s="1"/>
  <c r="O47" i="31" l="1"/>
  <c r="P47" i="31" s="1"/>
  <c r="AY46" i="21"/>
  <c r="G46" i="31" s="1"/>
  <c r="O46" i="31"/>
  <c r="P46" i="31" s="1"/>
  <c r="AS36" i="21"/>
  <c r="AV36" i="21" s="1"/>
  <c r="C6" i="22"/>
  <c r="D6" i="22"/>
  <c r="F6" i="22"/>
  <c r="Q6" i="22"/>
  <c r="R6" i="22"/>
  <c r="S6" i="22"/>
  <c r="T6" i="22"/>
  <c r="U6" i="22"/>
  <c r="V6" i="22"/>
  <c r="AY36" i="21" l="1"/>
  <c r="G36" i="31" s="1"/>
  <c r="O36" i="31"/>
  <c r="P36" i="31" s="1"/>
  <c r="X6" i="22"/>
  <c r="AA6" i="22" s="1"/>
  <c r="AD6" i="22" s="1"/>
  <c r="I6" i="31" s="1"/>
  <c r="W6" i="22"/>
  <c r="D3" i="31"/>
  <c r="C3" i="31"/>
  <c r="B3" i="31"/>
  <c r="M3" i="29"/>
  <c r="L3" i="29"/>
  <c r="F3" i="29"/>
  <c r="D3" i="29"/>
  <c r="C3" i="29"/>
  <c r="V3" i="22"/>
  <c r="U3" i="22"/>
  <c r="T3" i="22"/>
  <c r="S3" i="22"/>
  <c r="R3" i="22"/>
  <c r="Q3" i="22"/>
  <c r="F3" i="22"/>
  <c r="D3" i="22"/>
  <c r="C3" i="22"/>
  <c r="AO3" i="21"/>
  <c r="AN3" i="21"/>
  <c r="AL3" i="21"/>
  <c r="AM3" i="21" s="1"/>
  <c r="AJ3" i="21"/>
  <c r="AI3" i="21"/>
  <c r="AH3" i="21"/>
  <c r="AG3" i="21"/>
  <c r="AE3" i="21"/>
  <c r="AD3" i="21"/>
  <c r="AB3" i="21"/>
  <c r="AC3" i="21" s="1"/>
  <c r="Z3" i="21"/>
  <c r="Y3" i="21"/>
  <c r="X3" i="21"/>
  <c r="W3" i="21"/>
  <c r="F3" i="21"/>
  <c r="D3" i="21"/>
  <c r="G3" i="24"/>
  <c r="H3" i="24" s="1"/>
  <c r="I3" i="24" s="1"/>
  <c r="J3" i="24" s="1"/>
  <c r="N3" i="31" s="1"/>
  <c r="D49" i="31"/>
  <c r="C49" i="31"/>
  <c r="M49" i="29"/>
  <c r="L49" i="29"/>
  <c r="F49" i="29"/>
  <c r="D49" i="29"/>
  <c r="C49" i="29"/>
  <c r="V49" i="22"/>
  <c r="U49" i="22"/>
  <c r="T49" i="22"/>
  <c r="S49" i="22"/>
  <c r="R49" i="22"/>
  <c r="Q49" i="22"/>
  <c r="F49" i="22"/>
  <c r="D49" i="22"/>
  <c r="C49" i="22"/>
  <c r="AO49" i="21"/>
  <c r="AN49" i="21"/>
  <c r="AL49" i="21"/>
  <c r="AM49" i="21" s="1"/>
  <c r="AJ49" i="21"/>
  <c r="AI49" i="21"/>
  <c r="AH49" i="21"/>
  <c r="AG49" i="21"/>
  <c r="AE49" i="21"/>
  <c r="AD49" i="21"/>
  <c r="AB49" i="21"/>
  <c r="AC49" i="21" s="1"/>
  <c r="Z49" i="21"/>
  <c r="Y49" i="21"/>
  <c r="X49" i="21"/>
  <c r="W49" i="21"/>
  <c r="F49" i="21"/>
  <c r="D49" i="21"/>
  <c r="G49" i="24"/>
  <c r="H49" i="24" s="1"/>
  <c r="I49" i="24" s="1"/>
  <c r="J49" i="24" s="1"/>
  <c r="N49" i="31" s="1"/>
  <c r="D28" i="31"/>
  <c r="C28" i="31"/>
  <c r="B28" i="31"/>
  <c r="D27" i="31"/>
  <c r="C27" i="31"/>
  <c r="B27" i="31"/>
  <c r="D14" i="31"/>
  <c r="C14" i="31"/>
  <c r="B14" i="31"/>
  <c r="D13" i="31"/>
  <c r="C13" i="31"/>
  <c r="B13" i="31"/>
  <c r="D12" i="31"/>
  <c r="C12" i="31"/>
  <c r="B12" i="31"/>
  <c r="M14" i="29"/>
  <c r="L14" i="29"/>
  <c r="F14" i="29"/>
  <c r="D14" i="29"/>
  <c r="C14" i="29"/>
  <c r="M13" i="29"/>
  <c r="L13" i="29"/>
  <c r="F13" i="29"/>
  <c r="D13" i="29"/>
  <c r="C13" i="29"/>
  <c r="M12" i="29"/>
  <c r="L12" i="29"/>
  <c r="F12" i="29"/>
  <c r="D12" i="29"/>
  <c r="C12" i="29"/>
  <c r="V28" i="22"/>
  <c r="U28" i="22"/>
  <c r="T28" i="22"/>
  <c r="S28" i="22"/>
  <c r="R28" i="22"/>
  <c r="Q28" i="22"/>
  <c r="F28" i="22"/>
  <c r="D28" i="22"/>
  <c r="C28" i="22"/>
  <c r="V27" i="22"/>
  <c r="U27" i="22"/>
  <c r="T27" i="22"/>
  <c r="S27" i="22"/>
  <c r="R27" i="22"/>
  <c r="Q27" i="22"/>
  <c r="F27" i="22"/>
  <c r="D27" i="22"/>
  <c r="C27" i="22"/>
  <c r="V14" i="22"/>
  <c r="U14" i="22"/>
  <c r="T14" i="22"/>
  <c r="S14" i="22"/>
  <c r="R14" i="22"/>
  <c r="Q14" i="22"/>
  <c r="F14" i="22"/>
  <c r="D14" i="22"/>
  <c r="C14" i="22"/>
  <c r="V13" i="22"/>
  <c r="U13" i="22"/>
  <c r="T13" i="22"/>
  <c r="S13" i="22"/>
  <c r="R13" i="22"/>
  <c r="Q13" i="22"/>
  <c r="F13" i="22"/>
  <c r="D13" i="22"/>
  <c r="C13" i="22"/>
  <c r="V12" i="22"/>
  <c r="U12" i="22"/>
  <c r="T12" i="22"/>
  <c r="S12" i="22"/>
  <c r="R12" i="22"/>
  <c r="Q12" i="22"/>
  <c r="F12" i="22"/>
  <c r="D12" i="22"/>
  <c r="C12" i="22"/>
  <c r="AO28" i="21"/>
  <c r="AN28" i="21"/>
  <c r="AL28" i="21"/>
  <c r="AM28" i="21" s="1"/>
  <c r="AJ28" i="21"/>
  <c r="AI28" i="21"/>
  <c r="AH28" i="21"/>
  <c r="AG28" i="21"/>
  <c r="AE28" i="21"/>
  <c r="AD28" i="21"/>
  <c r="AB28" i="21"/>
  <c r="AC28" i="21" s="1"/>
  <c r="Z28" i="21"/>
  <c r="Y28" i="21"/>
  <c r="X28" i="21"/>
  <c r="W28" i="21"/>
  <c r="F28" i="21"/>
  <c r="D28" i="21"/>
  <c r="AO27" i="21"/>
  <c r="AN27" i="21"/>
  <c r="AL27" i="21"/>
  <c r="AM27" i="21" s="1"/>
  <c r="AJ27" i="21"/>
  <c r="AI27" i="21"/>
  <c r="AH27" i="21"/>
  <c r="AG27" i="21"/>
  <c r="AE27" i="21"/>
  <c r="AD27" i="21"/>
  <c r="AB27" i="21"/>
  <c r="AC27" i="21" s="1"/>
  <c r="Z27" i="21"/>
  <c r="Y27" i="21"/>
  <c r="X27" i="21"/>
  <c r="W27" i="21"/>
  <c r="F27" i="21"/>
  <c r="D27" i="21"/>
  <c r="AO14" i="21"/>
  <c r="AN14" i="21"/>
  <c r="AL14" i="21"/>
  <c r="AM14" i="21" s="1"/>
  <c r="AJ14" i="21"/>
  <c r="AI14" i="21"/>
  <c r="AH14" i="21"/>
  <c r="AG14" i="21"/>
  <c r="AE14" i="21"/>
  <c r="AD14" i="21"/>
  <c r="AB14" i="21"/>
  <c r="AC14" i="21" s="1"/>
  <c r="Z14" i="21"/>
  <c r="Y14" i="21"/>
  <c r="X14" i="21"/>
  <c r="W14" i="21"/>
  <c r="F14" i="21"/>
  <c r="D14" i="21"/>
  <c r="AO13" i="21"/>
  <c r="AN13" i="21"/>
  <c r="AL13" i="21"/>
  <c r="AM13" i="21" s="1"/>
  <c r="AJ13" i="21"/>
  <c r="AI13" i="21"/>
  <c r="AH13" i="21"/>
  <c r="AG13" i="21"/>
  <c r="AE13" i="21"/>
  <c r="AD13" i="21"/>
  <c r="AB13" i="21"/>
  <c r="AC13" i="21" s="1"/>
  <c r="Z13" i="21"/>
  <c r="Y13" i="21"/>
  <c r="X13" i="21"/>
  <c r="W13" i="21"/>
  <c r="F13" i="21"/>
  <c r="D13" i="21"/>
  <c r="AO12" i="21"/>
  <c r="AN12" i="21"/>
  <c r="AL12" i="21"/>
  <c r="AM12" i="21" s="1"/>
  <c r="AJ12" i="21"/>
  <c r="AI12" i="21"/>
  <c r="AH12" i="21"/>
  <c r="AG12" i="21"/>
  <c r="AE12" i="21"/>
  <c r="AD12" i="21"/>
  <c r="AB12" i="21"/>
  <c r="AC12" i="21" s="1"/>
  <c r="Z12" i="21"/>
  <c r="Y12" i="21"/>
  <c r="X12" i="21"/>
  <c r="W12" i="21"/>
  <c r="F12" i="21"/>
  <c r="D12" i="21"/>
  <c r="G28" i="24"/>
  <c r="H28" i="24" s="1"/>
  <c r="I28" i="24" s="1"/>
  <c r="J28" i="24" s="1"/>
  <c r="N28" i="31" s="1"/>
  <c r="G27" i="24"/>
  <c r="H27" i="24" s="1"/>
  <c r="I27" i="24" s="1"/>
  <c r="J27" i="24" s="1"/>
  <c r="N27" i="31" s="1"/>
  <c r="G14" i="24"/>
  <c r="H14" i="24" s="1"/>
  <c r="I14" i="24" s="1"/>
  <c r="G13" i="24"/>
  <c r="H13" i="24" s="1"/>
  <c r="I13" i="24" s="1"/>
  <c r="J13" i="24" s="1"/>
  <c r="N13" i="31" s="1"/>
  <c r="G12" i="24"/>
  <c r="H12" i="24" s="1"/>
  <c r="I12" i="24" s="1"/>
  <c r="J12" i="24" s="1"/>
  <c r="N12" i="31" s="1"/>
  <c r="D9" i="31"/>
  <c r="C9" i="31"/>
  <c r="B9" i="31"/>
  <c r="D8" i="31"/>
  <c r="C8" i="31"/>
  <c r="B8" i="31"/>
  <c r="D7" i="31"/>
  <c r="C7" i="31"/>
  <c r="B7" i="31"/>
  <c r="D6" i="31"/>
  <c r="C6" i="31"/>
  <c r="B6" i="31"/>
  <c r="M9" i="29"/>
  <c r="L9" i="29"/>
  <c r="F9" i="29"/>
  <c r="D9" i="29"/>
  <c r="C9" i="29"/>
  <c r="M8" i="29"/>
  <c r="L8" i="29"/>
  <c r="F8" i="29"/>
  <c r="D8" i="29"/>
  <c r="C8" i="29"/>
  <c r="M7" i="29"/>
  <c r="L7" i="29"/>
  <c r="F7" i="29"/>
  <c r="D7" i="29"/>
  <c r="C7" i="29"/>
  <c r="M6" i="29"/>
  <c r="L6" i="29"/>
  <c r="F6" i="29"/>
  <c r="D6" i="29"/>
  <c r="C6" i="29"/>
  <c r="V9" i="22"/>
  <c r="U9" i="22"/>
  <c r="T9" i="22"/>
  <c r="S9" i="22"/>
  <c r="R9" i="22"/>
  <c r="Q9" i="22"/>
  <c r="F9" i="22"/>
  <c r="D9" i="22"/>
  <c r="C9" i="22"/>
  <c r="V8" i="22"/>
  <c r="U8" i="22"/>
  <c r="T8" i="22"/>
  <c r="S8" i="22"/>
  <c r="R8" i="22"/>
  <c r="Q8" i="22"/>
  <c r="F8" i="22"/>
  <c r="D8" i="22"/>
  <c r="C8" i="22"/>
  <c r="V7" i="22"/>
  <c r="U7" i="22"/>
  <c r="T7" i="22"/>
  <c r="S7" i="22"/>
  <c r="R7" i="22"/>
  <c r="Q7" i="22"/>
  <c r="F7" i="22"/>
  <c r="D7" i="22"/>
  <c r="C7" i="22"/>
  <c r="AO9" i="21"/>
  <c r="AN9" i="21"/>
  <c r="AL9" i="21"/>
  <c r="AM9" i="21" s="1"/>
  <c r="AJ9" i="21"/>
  <c r="AI9" i="21"/>
  <c r="AH9" i="21"/>
  <c r="AG9" i="21"/>
  <c r="AE9" i="21"/>
  <c r="AD9" i="21"/>
  <c r="AB9" i="21"/>
  <c r="AC9" i="21" s="1"/>
  <c r="Z9" i="21"/>
  <c r="Y9" i="21"/>
  <c r="X9" i="21"/>
  <c r="W9" i="21"/>
  <c r="F9" i="21"/>
  <c r="D9" i="21"/>
  <c r="AO8" i="21"/>
  <c r="AN8" i="21"/>
  <c r="AL8" i="21"/>
  <c r="AM8" i="21" s="1"/>
  <c r="AJ8" i="21"/>
  <c r="AI8" i="21"/>
  <c r="AH8" i="21"/>
  <c r="AG8" i="21"/>
  <c r="AE8" i="21"/>
  <c r="AD8" i="21"/>
  <c r="AB8" i="21"/>
  <c r="AC8" i="21" s="1"/>
  <c r="Z8" i="21"/>
  <c r="Y8" i="21"/>
  <c r="X8" i="21"/>
  <c r="W8" i="21"/>
  <c r="F8" i="21"/>
  <c r="D8" i="21"/>
  <c r="AO7" i="21"/>
  <c r="AN7" i="21"/>
  <c r="AL7" i="21"/>
  <c r="AM7" i="21" s="1"/>
  <c r="AJ7" i="21"/>
  <c r="AI7" i="21"/>
  <c r="AH7" i="21"/>
  <c r="AG7" i="21"/>
  <c r="AE7" i="21"/>
  <c r="AD7" i="21"/>
  <c r="AB7" i="21"/>
  <c r="AC7" i="21" s="1"/>
  <c r="Z7" i="21"/>
  <c r="Y7" i="21"/>
  <c r="X7" i="21"/>
  <c r="W7" i="21"/>
  <c r="F7" i="21"/>
  <c r="D7" i="21"/>
  <c r="AO6" i="21"/>
  <c r="AN6" i="21"/>
  <c r="AL6" i="21"/>
  <c r="AM6" i="21" s="1"/>
  <c r="AJ6" i="21"/>
  <c r="AI6" i="21"/>
  <c r="AH6" i="21"/>
  <c r="AG6" i="21"/>
  <c r="AE6" i="21"/>
  <c r="AD6" i="21"/>
  <c r="AB6" i="21"/>
  <c r="AC6" i="21" s="1"/>
  <c r="Z6" i="21"/>
  <c r="Y6" i="21"/>
  <c r="X6" i="21"/>
  <c r="W6" i="21"/>
  <c r="F6" i="21"/>
  <c r="D6" i="21"/>
  <c r="G9" i="24"/>
  <c r="H9" i="24" s="1"/>
  <c r="I9" i="24" s="1"/>
  <c r="G8" i="24"/>
  <c r="H8" i="24" s="1"/>
  <c r="I8" i="24" s="1"/>
  <c r="J8" i="24" s="1"/>
  <c r="N8" i="31" s="1"/>
  <c r="G7" i="24"/>
  <c r="H7" i="24" s="1"/>
  <c r="I7" i="24" s="1"/>
  <c r="G6" i="24"/>
  <c r="H6" i="24" s="1"/>
  <c r="I6" i="24" s="1"/>
  <c r="G11" i="24"/>
  <c r="H11" i="24" s="1"/>
  <c r="I11" i="24" s="1"/>
  <c r="J11" i="24" s="1"/>
  <c r="N11" i="31" s="1"/>
  <c r="G29" i="24"/>
  <c r="H29" i="24" s="1"/>
  <c r="I29" i="24" s="1"/>
  <c r="J29" i="24" s="1"/>
  <c r="N29" i="31" s="1"/>
  <c r="G30" i="24"/>
  <c r="H30" i="24" s="1"/>
  <c r="I30" i="24" s="1"/>
  <c r="J30" i="24" s="1"/>
  <c r="N30" i="31" s="1"/>
  <c r="G31" i="24"/>
  <c r="H31" i="24" s="1"/>
  <c r="I31" i="24" s="1"/>
  <c r="J31" i="24" s="1"/>
  <c r="N31" i="31" s="1"/>
  <c r="D33" i="21"/>
  <c r="D57" i="21"/>
  <c r="D58" i="21"/>
  <c r="D59" i="21"/>
  <c r="D60" i="21"/>
  <c r="D63" i="21"/>
  <c r="D64" i="21"/>
  <c r="D65" i="21"/>
  <c r="D11" i="21"/>
  <c r="D29" i="21"/>
  <c r="D30" i="21"/>
  <c r="D31" i="21"/>
  <c r="D34" i="21"/>
  <c r="D35" i="21"/>
  <c r="D37" i="21"/>
  <c r="D38" i="21"/>
  <c r="D41" i="21"/>
  <c r="D42" i="21"/>
  <c r="D43" i="21"/>
  <c r="D44" i="21"/>
  <c r="D45" i="21"/>
  <c r="D48" i="21"/>
  <c r="D50" i="21"/>
  <c r="D51" i="21"/>
  <c r="D52" i="21"/>
  <c r="D53" i="21"/>
  <c r="D54" i="21"/>
  <c r="D55" i="21"/>
  <c r="F31" i="29"/>
  <c r="M59" i="29"/>
  <c r="L59" i="29"/>
  <c r="C60" i="22"/>
  <c r="D41" i="31"/>
  <c r="C41" i="31"/>
  <c r="B41" i="31"/>
  <c r="M41" i="29"/>
  <c r="L41" i="29"/>
  <c r="F41" i="29"/>
  <c r="C41" i="29"/>
  <c r="V41" i="22"/>
  <c r="U41" i="22"/>
  <c r="T41" i="22"/>
  <c r="S41" i="22"/>
  <c r="R41" i="22"/>
  <c r="Q41" i="22"/>
  <c r="F41" i="22"/>
  <c r="D41" i="22"/>
  <c r="C41" i="22"/>
  <c r="AO41" i="21"/>
  <c r="AN41" i="21"/>
  <c r="AL41" i="21"/>
  <c r="AM41" i="21" s="1"/>
  <c r="AJ41" i="21"/>
  <c r="AI41" i="21"/>
  <c r="AH41" i="21"/>
  <c r="AG41" i="21"/>
  <c r="AE41" i="21"/>
  <c r="AD41" i="21"/>
  <c r="AB41" i="21"/>
  <c r="AC41" i="21" s="1"/>
  <c r="Z41" i="21"/>
  <c r="Y41" i="21"/>
  <c r="X41" i="21"/>
  <c r="W41" i="21"/>
  <c r="F41" i="21"/>
  <c r="G41" i="24"/>
  <c r="H41" i="24" s="1"/>
  <c r="I41" i="24" s="1"/>
  <c r="J41" i="24" s="1"/>
  <c r="N41" i="31" s="1"/>
  <c r="D64" i="31"/>
  <c r="C64" i="31"/>
  <c r="B64" i="31"/>
  <c r="D63" i="31"/>
  <c r="C63" i="31"/>
  <c r="B63" i="31"/>
  <c r="D60" i="31"/>
  <c r="C60" i="31"/>
  <c r="B60" i="31"/>
  <c r="M64" i="29"/>
  <c r="L64" i="29"/>
  <c r="F64" i="29"/>
  <c r="D64" i="29"/>
  <c r="C64" i="29"/>
  <c r="M63" i="29"/>
  <c r="L63" i="29"/>
  <c r="F63" i="29"/>
  <c r="D63" i="29"/>
  <c r="C63" i="29"/>
  <c r="M60" i="29"/>
  <c r="L60" i="29"/>
  <c r="F60" i="29"/>
  <c r="D60" i="29"/>
  <c r="C60" i="29"/>
  <c r="V64" i="22"/>
  <c r="U64" i="22"/>
  <c r="T64" i="22"/>
  <c r="S64" i="22"/>
  <c r="R64" i="22"/>
  <c r="Q64" i="22"/>
  <c r="F64" i="22"/>
  <c r="D64" i="22"/>
  <c r="C64" i="22"/>
  <c r="V63" i="22"/>
  <c r="U63" i="22"/>
  <c r="T63" i="22"/>
  <c r="S63" i="22"/>
  <c r="R63" i="22"/>
  <c r="Q63" i="22"/>
  <c r="F63" i="22"/>
  <c r="D63" i="22"/>
  <c r="C63" i="22"/>
  <c r="V60" i="22"/>
  <c r="U60" i="22"/>
  <c r="T60" i="22"/>
  <c r="S60" i="22"/>
  <c r="R60" i="22"/>
  <c r="Q60" i="22"/>
  <c r="F60" i="22"/>
  <c r="D60" i="22"/>
  <c r="AO64" i="21"/>
  <c r="AN64" i="21"/>
  <c r="AL64" i="21"/>
  <c r="AM64" i="21" s="1"/>
  <c r="AJ64" i="21"/>
  <c r="AI64" i="21"/>
  <c r="AH64" i="21"/>
  <c r="AG64" i="21"/>
  <c r="AE64" i="21"/>
  <c r="AD64" i="21"/>
  <c r="AB64" i="21"/>
  <c r="AC64" i="21" s="1"/>
  <c r="Z64" i="21"/>
  <c r="Y64" i="21"/>
  <c r="X64" i="21"/>
  <c r="W64" i="21"/>
  <c r="F64" i="21"/>
  <c r="AO63" i="21"/>
  <c r="AN63" i="21"/>
  <c r="AL63" i="21"/>
  <c r="AM63" i="21" s="1"/>
  <c r="AJ63" i="21"/>
  <c r="AI63" i="21"/>
  <c r="AH63" i="21"/>
  <c r="AG63" i="21"/>
  <c r="AE63" i="21"/>
  <c r="AD63" i="21"/>
  <c r="AB63" i="21"/>
  <c r="AC63" i="21" s="1"/>
  <c r="Z63" i="21"/>
  <c r="Y63" i="21"/>
  <c r="X63" i="21"/>
  <c r="W63" i="21"/>
  <c r="F63" i="21"/>
  <c r="AO60" i="21"/>
  <c r="AN60" i="21"/>
  <c r="AL60" i="21"/>
  <c r="AM60" i="21" s="1"/>
  <c r="AJ60" i="21"/>
  <c r="AI60" i="21"/>
  <c r="AH60" i="21"/>
  <c r="AG60" i="21"/>
  <c r="AE60" i="21"/>
  <c r="AD60" i="21"/>
  <c r="AB60" i="21"/>
  <c r="AC60" i="21" s="1"/>
  <c r="Z60" i="21"/>
  <c r="Y60" i="21"/>
  <c r="X60" i="21"/>
  <c r="W60" i="21"/>
  <c r="F60" i="21"/>
  <c r="G64" i="24"/>
  <c r="H64" i="24" s="1"/>
  <c r="I64" i="24" s="1"/>
  <c r="J64" i="24" s="1"/>
  <c r="N64" i="31" s="1"/>
  <c r="G63" i="24"/>
  <c r="H63" i="24" s="1"/>
  <c r="I63" i="24" s="1"/>
  <c r="J63" i="24" s="1"/>
  <c r="N63" i="31" s="1"/>
  <c r="G60" i="24"/>
  <c r="H60" i="24" s="1"/>
  <c r="I60" i="24" s="1"/>
  <c r="J60" i="24" s="1"/>
  <c r="N60" i="31" s="1"/>
  <c r="D55" i="31"/>
  <c r="C55" i="31"/>
  <c r="B55" i="31"/>
  <c r="M55" i="29"/>
  <c r="L55" i="29"/>
  <c r="F55" i="29"/>
  <c r="D55" i="29"/>
  <c r="C55" i="29"/>
  <c r="V55" i="22"/>
  <c r="U55" i="22"/>
  <c r="T55" i="22"/>
  <c r="S55" i="22"/>
  <c r="R55" i="22"/>
  <c r="Q55" i="22"/>
  <c r="F55" i="22"/>
  <c r="D55" i="22"/>
  <c r="C55" i="22"/>
  <c r="AO55" i="21"/>
  <c r="AN55" i="21"/>
  <c r="AL55" i="21"/>
  <c r="AM55" i="21" s="1"/>
  <c r="AJ55" i="21"/>
  <c r="AI55" i="21"/>
  <c r="AH55" i="21"/>
  <c r="AG55" i="21"/>
  <c r="AE55" i="21"/>
  <c r="AD55" i="21"/>
  <c r="AB55" i="21"/>
  <c r="AC55" i="21" s="1"/>
  <c r="Z55" i="21"/>
  <c r="Y55" i="21"/>
  <c r="X55" i="21"/>
  <c r="W55" i="21"/>
  <c r="F55" i="21"/>
  <c r="G55" i="24"/>
  <c r="H55" i="24" s="1"/>
  <c r="I55" i="24" s="1"/>
  <c r="J55" i="24" s="1"/>
  <c r="N55" i="31" s="1"/>
  <c r="D31" i="31"/>
  <c r="C31" i="31"/>
  <c r="B31" i="31"/>
  <c r="D31" i="29"/>
  <c r="C31" i="29"/>
  <c r="M31" i="29"/>
  <c r="L31" i="29"/>
  <c r="V31" i="22"/>
  <c r="U31" i="22"/>
  <c r="T31" i="22"/>
  <c r="S31" i="22"/>
  <c r="R31" i="22"/>
  <c r="Q31" i="22"/>
  <c r="F31" i="22"/>
  <c r="D31" i="22"/>
  <c r="C31" i="22"/>
  <c r="AO31" i="21"/>
  <c r="AN31" i="21"/>
  <c r="AL31" i="21"/>
  <c r="AM31" i="21" s="1"/>
  <c r="AJ31" i="21"/>
  <c r="AI31" i="21"/>
  <c r="AH31" i="21"/>
  <c r="AG31" i="21"/>
  <c r="AE31" i="21"/>
  <c r="AD31" i="21"/>
  <c r="AB31" i="21"/>
  <c r="AC31" i="21" s="1"/>
  <c r="Z31" i="21"/>
  <c r="Y31" i="21"/>
  <c r="X31" i="21"/>
  <c r="W31" i="21"/>
  <c r="C29" i="22"/>
  <c r="D29" i="22"/>
  <c r="F29" i="22"/>
  <c r="Q29" i="22"/>
  <c r="R29" i="22"/>
  <c r="S29" i="22"/>
  <c r="T29" i="22"/>
  <c r="U29" i="22"/>
  <c r="V29" i="22"/>
  <c r="C30" i="22"/>
  <c r="F30" i="22"/>
  <c r="Q30" i="22"/>
  <c r="R30" i="22"/>
  <c r="S30" i="22"/>
  <c r="T30" i="22"/>
  <c r="U30" i="22"/>
  <c r="F29" i="21"/>
  <c r="W29" i="21"/>
  <c r="X29" i="21"/>
  <c r="Y29" i="21"/>
  <c r="Z29" i="21"/>
  <c r="AB29" i="21"/>
  <c r="AC29" i="21" s="1"/>
  <c r="AD29" i="21"/>
  <c r="AE29" i="21"/>
  <c r="AG29" i="21"/>
  <c r="AH29" i="21"/>
  <c r="AI29" i="21"/>
  <c r="AJ29" i="21"/>
  <c r="AL29" i="21"/>
  <c r="AM29" i="21" s="1"/>
  <c r="AN29" i="21"/>
  <c r="AO29" i="21"/>
  <c r="D56" i="31"/>
  <c r="C56" i="31"/>
  <c r="B56" i="31"/>
  <c r="D54" i="31"/>
  <c r="C54" i="31"/>
  <c r="B54" i="31"/>
  <c r="M56" i="29"/>
  <c r="L56" i="29"/>
  <c r="F56" i="29"/>
  <c r="D56" i="29"/>
  <c r="C56" i="29"/>
  <c r="M54" i="29"/>
  <c r="L54" i="29"/>
  <c r="F54" i="29"/>
  <c r="D54" i="29"/>
  <c r="C54" i="29"/>
  <c r="V56" i="22"/>
  <c r="U56" i="22"/>
  <c r="T56" i="22"/>
  <c r="S56" i="22"/>
  <c r="R56" i="22"/>
  <c r="Q56" i="22"/>
  <c r="F56" i="22"/>
  <c r="D56" i="22"/>
  <c r="C56" i="22"/>
  <c r="V54" i="22"/>
  <c r="U54" i="22"/>
  <c r="T54" i="22"/>
  <c r="S54" i="22"/>
  <c r="R54" i="22"/>
  <c r="Q54" i="22"/>
  <c r="F54" i="22"/>
  <c r="D54" i="22"/>
  <c r="C54" i="22"/>
  <c r="AO56" i="21"/>
  <c r="AN56" i="21"/>
  <c r="AL56" i="21"/>
  <c r="AM56" i="21" s="1"/>
  <c r="AJ56" i="21"/>
  <c r="AI56" i="21"/>
  <c r="AH56" i="21"/>
  <c r="AG56" i="21"/>
  <c r="AE56" i="21"/>
  <c r="AD56" i="21"/>
  <c r="AB56" i="21"/>
  <c r="AC56" i="21" s="1"/>
  <c r="Z56" i="21"/>
  <c r="Y56" i="21"/>
  <c r="X56" i="21"/>
  <c r="W56" i="21"/>
  <c r="F56" i="21"/>
  <c r="AO54" i="21"/>
  <c r="AN54" i="21"/>
  <c r="AL54" i="21"/>
  <c r="AM54" i="21" s="1"/>
  <c r="AJ54" i="21"/>
  <c r="AI54" i="21"/>
  <c r="AH54" i="21"/>
  <c r="AG54" i="21"/>
  <c r="AE54" i="21"/>
  <c r="AD54" i="21"/>
  <c r="AB54" i="21"/>
  <c r="AC54" i="21" s="1"/>
  <c r="Z54" i="21"/>
  <c r="Y54" i="21"/>
  <c r="X54" i="21"/>
  <c r="W54" i="21"/>
  <c r="F54" i="21"/>
  <c r="G56" i="24"/>
  <c r="H56" i="24" s="1"/>
  <c r="I56" i="24" s="1"/>
  <c r="J56" i="24" s="1"/>
  <c r="N56" i="31" s="1"/>
  <c r="G54" i="24"/>
  <c r="H54" i="24" s="1"/>
  <c r="I54" i="24" s="1"/>
  <c r="J54" i="24" s="1"/>
  <c r="N54" i="31" s="1"/>
  <c r="D51" i="31"/>
  <c r="C51" i="31"/>
  <c r="B51" i="31"/>
  <c r="D50" i="31"/>
  <c r="C50" i="31"/>
  <c r="D48" i="31"/>
  <c r="C48" i="31"/>
  <c r="B48" i="31"/>
  <c r="D45" i="31"/>
  <c r="C45" i="31"/>
  <c r="B45" i="31"/>
  <c r="D44" i="31"/>
  <c r="C44" i="31"/>
  <c r="B44" i="31"/>
  <c r="D43" i="31"/>
  <c r="C43" i="31"/>
  <c r="B43" i="31"/>
  <c r="M51" i="29"/>
  <c r="L51" i="29"/>
  <c r="F51" i="29"/>
  <c r="D51" i="29"/>
  <c r="C51" i="29"/>
  <c r="M50" i="29"/>
  <c r="L50" i="29"/>
  <c r="F50" i="29"/>
  <c r="D50" i="29"/>
  <c r="C50" i="29"/>
  <c r="M48" i="29"/>
  <c r="L48" i="29"/>
  <c r="F48" i="29"/>
  <c r="D48" i="29"/>
  <c r="C48" i="29"/>
  <c r="M45" i="29"/>
  <c r="L45" i="29"/>
  <c r="F45" i="29"/>
  <c r="D45" i="29"/>
  <c r="C45" i="29"/>
  <c r="M44" i="29"/>
  <c r="L44" i="29"/>
  <c r="F44" i="29"/>
  <c r="D44" i="29"/>
  <c r="C44" i="29"/>
  <c r="M43" i="29"/>
  <c r="L43" i="29"/>
  <c r="F43" i="29"/>
  <c r="D43" i="29"/>
  <c r="C43" i="29"/>
  <c r="V51" i="22"/>
  <c r="U51" i="22"/>
  <c r="T51" i="22"/>
  <c r="S51" i="22"/>
  <c r="R51" i="22"/>
  <c r="Q51" i="22"/>
  <c r="F51" i="22"/>
  <c r="D51" i="22"/>
  <c r="C51" i="22"/>
  <c r="V50" i="22"/>
  <c r="U50" i="22"/>
  <c r="T50" i="22"/>
  <c r="S50" i="22"/>
  <c r="R50" i="22"/>
  <c r="Q50" i="22"/>
  <c r="F50" i="22"/>
  <c r="D50" i="22"/>
  <c r="C50" i="22"/>
  <c r="V48" i="22"/>
  <c r="U48" i="22"/>
  <c r="T48" i="22"/>
  <c r="S48" i="22"/>
  <c r="R48" i="22"/>
  <c r="Q48" i="22"/>
  <c r="F48" i="22"/>
  <c r="D48" i="22"/>
  <c r="C48" i="22"/>
  <c r="V45" i="22"/>
  <c r="U45" i="22"/>
  <c r="T45" i="22"/>
  <c r="S45" i="22"/>
  <c r="R45" i="22"/>
  <c r="Q45" i="22"/>
  <c r="F45" i="22"/>
  <c r="D45" i="22"/>
  <c r="C45" i="22"/>
  <c r="V44" i="22"/>
  <c r="U44" i="22"/>
  <c r="T44" i="22"/>
  <c r="S44" i="22"/>
  <c r="R44" i="22"/>
  <c r="Q44" i="22"/>
  <c r="F44" i="22"/>
  <c r="D44" i="22"/>
  <c r="C44" i="22"/>
  <c r="V43" i="22"/>
  <c r="U43" i="22"/>
  <c r="T43" i="22"/>
  <c r="S43" i="22"/>
  <c r="R43" i="22"/>
  <c r="Q43" i="22"/>
  <c r="F43" i="22"/>
  <c r="D43" i="22"/>
  <c r="C43" i="22"/>
  <c r="AO51" i="21"/>
  <c r="AN51" i="21"/>
  <c r="AL51" i="21"/>
  <c r="AM51" i="21" s="1"/>
  <c r="AJ51" i="21"/>
  <c r="AI51" i="21"/>
  <c r="AH51" i="21"/>
  <c r="AG51" i="21"/>
  <c r="AE51" i="21"/>
  <c r="AD51" i="21"/>
  <c r="AB51" i="21"/>
  <c r="AC51" i="21" s="1"/>
  <c r="Z51" i="21"/>
  <c r="Y51" i="21"/>
  <c r="X51" i="21"/>
  <c r="W51" i="21"/>
  <c r="F51" i="21"/>
  <c r="AO50" i="21"/>
  <c r="AN50" i="21"/>
  <c r="AL50" i="21"/>
  <c r="AM50" i="21" s="1"/>
  <c r="AJ50" i="21"/>
  <c r="AI50" i="21"/>
  <c r="AH50" i="21"/>
  <c r="AG50" i="21"/>
  <c r="AE50" i="21"/>
  <c r="AD50" i="21"/>
  <c r="AB50" i="21"/>
  <c r="AC50" i="21" s="1"/>
  <c r="Z50" i="21"/>
  <c r="Y50" i="21"/>
  <c r="X50" i="21"/>
  <c r="W50" i="21"/>
  <c r="F50" i="21"/>
  <c r="AO48" i="21"/>
  <c r="AN48" i="21"/>
  <c r="AL48" i="21"/>
  <c r="AM48" i="21" s="1"/>
  <c r="AJ48" i="21"/>
  <c r="AI48" i="21"/>
  <c r="AH48" i="21"/>
  <c r="AG48" i="21"/>
  <c r="AE48" i="21"/>
  <c r="AD48" i="21"/>
  <c r="AB48" i="21"/>
  <c r="AC48" i="21" s="1"/>
  <c r="Z48" i="21"/>
  <c r="Y48" i="21"/>
  <c r="X48" i="21"/>
  <c r="W48" i="21"/>
  <c r="F48" i="21"/>
  <c r="AO45" i="21"/>
  <c r="AN45" i="21"/>
  <c r="AL45" i="21"/>
  <c r="AM45" i="21" s="1"/>
  <c r="AJ45" i="21"/>
  <c r="AI45" i="21"/>
  <c r="AH45" i="21"/>
  <c r="AG45" i="21"/>
  <c r="AE45" i="21"/>
  <c r="AD45" i="21"/>
  <c r="AB45" i="21"/>
  <c r="AC45" i="21" s="1"/>
  <c r="Z45" i="21"/>
  <c r="Y45" i="21"/>
  <c r="X45" i="21"/>
  <c r="W45" i="21"/>
  <c r="F45" i="21"/>
  <c r="AO44" i="21"/>
  <c r="AN44" i="21"/>
  <c r="AL44" i="21"/>
  <c r="AM44" i="21" s="1"/>
  <c r="AJ44" i="21"/>
  <c r="AI44" i="21"/>
  <c r="AH44" i="21"/>
  <c r="AG44" i="21"/>
  <c r="AE44" i="21"/>
  <c r="AD44" i="21"/>
  <c r="AB44" i="21"/>
  <c r="AC44" i="21" s="1"/>
  <c r="Z44" i="21"/>
  <c r="Y44" i="21"/>
  <c r="X44" i="21"/>
  <c r="W44" i="21"/>
  <c r="F44" i="21"/>
  <c r="AO43" i="21"/>
  <c r="AN43" i="21"/>
  <c r="AL43" i="21"/>
  <c r="AM43" i="21" s="1"/>
  <c r="AJ43" i="21"/>
  <c r="AI43" i="21"/>
  <c r="AH43" i="21"/>
  <c r="AG43" i="21"/>
  <c r="AE43" i="21"/>
  <c r="AD43" i="21"/>
  <c r="AB43" i="21"/>
  <c r="AC43" i="21" s="1"/>
  <c r="Z43" i="21"/>
  <c r="Y43" i="21"/>
  <c r="X43" i="21"/>
  <c r="W43" i="21"/>
  <c r="F43" i="21"/>
  <c r="G51" i="24"/>
  <c r="H51" i="24" s="1"/>
  <c r="I51" i="24" s="1"/>
  <c r="J51" i="24" s="1"/>
  <c r="N51" i="31" s="1"/>
  <c r="G50" i="24"/>
  <c r="H50" i="24" s="1"/>
  <c r="I50" i="24" s="1"/>
  <c r="J50" i="24" s="1"/>
  <c r="N50" i="31" s="1"/>
  <c r="G48" i="24"/>
  <c r="H48" i="24" s="1"/>
  <c r="I48" i="24" s="1"/>
  <c r="J48" i="24" s="1"/>
  <c r="N48" i="31" s="1"/>
  <c r="G45" i="24"/>
  <c r="H45" i="24" s="1"/>
  <c r="I45" i="24" s="1"/>
  <c r="J45" i="24" s="1"/>
  <c r="N45" i="31" s="1"/>
  <c r="G44" i="24"/>
  <c r="H44" i="24" s="1"/>
  <c r="I44" i="24" s="1"/>
  <c r="J44" i="24" s="1"/>
  <c r="N44" i="31" s="1"/>
  <c r="G43" i="24"/>
  <c r="H43" i="24" s="1"/>
  <c r="I43" i="24" s="1"/>
  <c r="J43" i="24" s="1"/>
  <c r="N43" i="31" s="1"/>
  <c r="D38" i="31"/>
  <c r="C38" i="31"/>
  <c r="B38" i="31"/>
  <c r="D35" i="31"/>
  <c r="C35" i="31"/>
  <c r="B35" i="31"/>
  <c r="D34" i="31"/>
  <c r="C34" i="31"/>
  <c r="B34" i="31"/>
  <c r="D30" i="31"/>
  <c r="C30" i="31"/>
  <c r="B30" i="31"/>
  <c r="D29" i="31"/>
  <c r="C29" i="31"/>
  <c r="B29" i="31"/>
  <c r="D11" i="31"/>
  <c r="C11" i="31"/>
  <c r="B11" i="31"/>
  <c r="M38" i="29"/>
  <c r="L38" i="29"/>
  <c r="F38" i="29"/>
  <c r="D38" i="29"/>
  <c r="C38" i="29"/>
  <c r="M37" i="29"/>
  <c r="L37" i="29"/>
  <c r="F37" i="29"/>
  <c r="D37" i="29"/>
  <c r="C37" i="29"/>
  <c r="M35" i="29"/>
  <c r="L35" i="29"/>
  <c r="F35" i="29"/>
  <c r="D35" i="29"/>
  <c r="C35" i="29"/>
  <c r="M34" i="29"/>
  <c r="L34" i="29"/>
  <c r="F34" i="29"/>
  <c r="D34" i="29"/>
  <c r="C34" i="29"/>
  <c r="M30" i="29"/>
  <c r="L30" i="29"/>
  <c r="F30" i="29"/>
  <c r="D30" i="29"/>
  <c r="C30" i="29"/>
  <c r="M29" i="29"/>
  <c r="L29" i="29"/>
  <c r="F29" i="29"/>
  <c r="D29" i="29"/>
  <c r="C29" i="29"/>
  <c r="M11" i="29"/>
  <c r="L11" i="29"/>
  <c r="F11" i="29"/>
  <c r="D11" i="29"/>
  <c r="C11" i="29"/>
  <c r="V38" i="22"/>
  <c r="U38" i="22"/>
  <c r="T38" i="22"/>
  <c r="S38" i="22"/>
  <c r="R38" i="22"/>
  <c r="Q38" i="22"/>
  <c r="F38" i="22"/>
  <c r="D38" i="22"/>
  <c r="C38" i="22"/>
  <c r="V37" i="22"/>
  <c r="U37" i="22"/>
  <c r="T37" i="22"/>
  <c r="S37" i="22"/>
  <c r="R37" i="22"/>
  <c r="Q37" i="22"/>
  <c r="F37" i="22"/>
  <c r="D37" i="22"/>
  <c r="C37" i="22"/>
  <c r="V35" i="22"/>
  <c r="U35" i="22"/>
  <c r="T35" i="22"/>
  <c r="S35" i="22"/>
  <c r="R35" i="22"/>
  <c r="Q35" i="22"/>
  <c r="F35" i="22"/>
  <c r="D35" i="22"/>
  <c r="C35" i="22"/>
  <c r="V34" i="22"/>
  <c r="U34" i="22"/>
  <c r="T34" i="22"/>
  <c r="S34" i="22"/>
  <c r="R34" i="22"/>
  <c r="Q34" i="22"/>
  <c r="F34" i="22"/>
  <c r="D34" i="22"/>
  <c r="C34" i="22"/>
  <c r="V11" i="22"/>
  <c r="U11" i="22"/>
  <c r="T11" i="22"/>
  <c r="S11" i="22"/>
  <c r="R11" i="22"/>
  <c r="Q11" i="22"/>
  <c r="F11" i="22"/>
  <c r="D11" i="22"/>
  <c r="C11" i="22"/>
  <c r="AO38" i="21"/>
  <c r="AN38" i="21"/>
  <c r="AL38" i="21"/>
  <c r="AM38" i="21" s="1"/>
  <c r="AJ38" i="21"/>
  <c r="AI38" i="21"/>
  <c r="AH38" i="21"/>
  <c r="AG38" i="21"/>
  <c r="AE38" i="21"/>
  <c r="AD38" i="21"/>
  <c r="AB38" i="21"/>
  <c r="AC38" i="21" s="1"/>
  <c r="Z38" i="21"/>
  <c r="Y38" i="21"/>
  <c r="X38" i="21"/>
  <c r="W38" i="21"/>
  <c r="F38" i="21"/>
  <c r="AO37" i="21"/>
  <c r="AN37" i="21"/>
  <c r="AL37" i="21"/>
  <c r="AM37" i="21" s="1"/>
  <c r="AJ37" i="21"/>
  <c r="AI37" i="21"/>
  <c r="AH37" i="21"/>
  <c r="AG37" i="21"/>
  <c r="AE37" i="21"/>
  <c r="AD37" i="21"/>
  <c r="AB37" i="21"/>
  <c r="AC37" i="21" s="1"/>
  <c r="Z37" i="21"/>
  <c r="Y37" i="21"/>
  <c r="X37" i="21"/>
  <c r="W37" i="21"/>
  <c r="F37" i="21"/>
  <c r="AO35" i="21"/>
  <c r="AN35" i="21"/>
  <c r="AL35" i="21"/>
  <c r="AM35" i="21" s="1"/>
  <c r="AJ35" i="21"/>
  <c r="AI35" i="21"/>
  <c r="AH35" i="21"/>
  <c r="AG35" i="21"/>
  <c r="AE35" i="21"/>
  <c r="AD35" i="21"/>
  <c r="AB35" i="21"/>
  <c r="AC35" i="21" s="1"/>
  <c r="Z35" i="21"/>
  <c r="Y35" i="21"/>
  <c r="X35" i="21"/>
  <c r="W35" i="21"/>
  <c r="F35" i="21"/>
  <c r="AO34" i="21"/>
  <c r="AN34" i="21"/>
  <c r="AL34" i="21"/>
  <c r="AM34" i="21" s="1"/>
  <c r="AJ34" i="21"/>
  <c r="AI34" i="21"/>
  <c r="AH34" i="21"/>
  <c r="AG34" i="21"/>
  <c r="AE34" i="21"/>
  <c r="AD34" i="21"/>
  <c r="AB34" i="21"/>
  <c r="AC34" i="21" s="1"/>
  <c r="Z34" i="21"/>
  <c r="Y34" i="21"/>
  <c r="X34" i="21"/>
  <c r="W34" i="21"/>
  <c r="F34" i="21"/>
  <c r="AO30" i="21"/>
  <c r="AN30" i="21"/>
  <c r="AL30" i="21"/>
  <c r="AM30" i="21" s="1"/>
  <c r="AJ30" i="21"/>
  <c r="AI30" i="21"/>
  <c r="AH30" i="21"/>
  <c r="AG30" i="21"/>
  <c r="AE30" i="21"/>
  <c r="AD30" i="21"/>
  <c r="AB30" i="21"/>
  <c r="AC30" i="21" s="1"/>
  <c r="Z30" i="21"/>
  <c r="Y30" i="21"/>
  <c r="X30" i="21"/>
  <c r="W30" i="21"/>
  <c r="F30" i="21"/>
  <c r="AO11" i="21"/>
  <c r="AN11" i="21"/>
  <c r="AL11" i="21"/>
  <c r="AM11" i="21" s="1"/>
  <c r="AJ11" i="21"/>
  <c r="AI11" i="21"/>
  <c r="AH11" i="21"/>
  <c r="AG11" i="21"/>
  <c r="AE11" i="21"/>
  <c r="AD11" i="21"/>
  <c r="AB11" i="21"/>
  <c r="AC11" i="21" s="1"/>
  <c r="Z11" i="21"/>
  <c r="Y11" i="21"/>
  <c r="X11" i="21"/>
  <c r="W11" i="21"/>
  <c r="F11" i="21"/>
  <c r="G38" i="24"/>
  <c r="H38" i="24" s="1"/>
  <c r="I38" i="24" s="1"/>
  <c r="J38" i="24" s="1"/>
  <c r="N38" i="31" s="1"/>
  <c r="G37" i="24"/>
  <c r="H37" i="24" s="1"/>
  <c r="I37" i="24" s="1"/>
  <c r="J37" i="24" s="1"/>
  <c r="N37" i="31" s="1"/>
  <c r="G35" i="24"/>
  <c r="H35" i="24" s="1"/>
  <c r="I35" i="24" s="1"/>
  <c r="J35" i="24" s="1"/>
  <c r="N35" i="31" s="1"/>
  <c r="G34" i="24"/>
  <c r="H34" i="24" s="1"/>
  <c r="I34" i="24" s="1"/>
  <c r="J34" i="24" s="1"/>
  <c r="N34" i="31" s="1"/>
  <c r="M65" i="29"/>
  <c r="L65" i="29"/>
  <c r="F65" i="29"/>
  <c r="D65" i="29"/>
  <c r="C65" i="29"/>
  <c r="F59" i="29"/>
  <c r="C59" i="29"/>
  <c r="M58" i="29"/>
  <c r="L58" i="29"/>
  <c r="F58" i="29"/>
  <c r="D58" i="29"/>
  <c r="C58" i="29"/>
  <c r="M57" i="29"/>
  <c r="L57" i="29"/>
  <c r="F57" i="29"/>
  <c r="D57" i="29"/>
  <c r="C57" i="29"/>
  <c r="M33" i="29"/>
  <c r="L33" i="29"/>
  <c r="F33" i="29"/>
  <c r="D33" i="29"/>
  <c r="C33" i="29"/>
  <c r="G53" i="24"/>
  <c r="H53" i="24" s="1"/>
  <c r="I53" i="24" s="1"/>
  <c r="J53" i="24" s="1"/>
  <c r="N53" i="31" s="1"/>
  <c r="G52" i="24"/>
  <c r="H52" i="24" s="1"/>
  <c r="I52" i="24" s="1"/>
  <c r="J52" i="24" s="1"/>
  <c r="N52" i="31" s="1"/>
  <c r="D57" i="31"/>
  <c r="C57" i="31"/>
  <c r="B57" i="31"/>
  <c r="D53" i="31"/>
  <c r="C53" i="31"/>
  <c r="B53" i="31"/>
  <c r="D52" i="31"/>
  <c r="C52" i="31"/>
  <c r="B52" i="31"/>
  <c r="M53" i="29"/>
  <c r="L53" i="29"/>
  <c r="F53" i="29"/>
  <c r="D53" i="29"/>
  <c r="C53" i="29"/>
  <c r="M52" i="29"/>
  <c r="L52" i="29"/>
  <c r="F52" i="29"/>
  <c r="D52" i="29"/>
  <c r="C52" i="29"/>
  <c r="V53" i="22"/>
  <c r="U53" i="22"/>
  <c r="T53" i="22"/>
  <c r="S53" i="22"/>
  <c r="R53" i="22"/>
  <c r="Q53" i="22"/>
  <c r="F53" i="22"/>
  <c r="D53" i="22"/>
  <c r="C53" i="22"/>
  <c r="V52" i="22"/>
  <c r="U52" i="22"/>
  <c r="T52" i="22"/>
  <c r="S52" i="22"/>
  <c r="R52" i="22"/>
  <c r="Q52" i="22"/>
  <c r="F52" i="22"/>
  <c r="D52" i="22"/>
  <c r="C52" i="22"/>
  <c r="AO53" i="21"/>
  <c r="AN53" i="21"/>
  <c r="AL53" i="21"/>
  <c r="AM53" i="21" s="1"/>
  <c r="AJ53" i="21"/>
  <c r="AI53" i="21"/>
  <c r="AH53" i="21"/>
  <c r="AG53" i="21"/>
  <c r="AE53" i="21"/>
  <c r="AD53" i="21"/>
  <c r="AB53" i="21"/>
  <c r="AC53" i="21" s="1"/>
  <c r="Z53" i="21"/>
  <c r="Y53" i="21"/>
  <c r="X53" i="21"/>
  <c r="W53" i="21"/>
  <c r="F53" i="21"/>
  <c r="AO52" i="21"/>
  <c r="AN52" i="21"/>
  <c r="AL52" i="21"/>
  <c r="AM52" i="21" s="1"/>
  <c r="AJ52" i="21"/>
  <c r="AI52" i="21"/>
  <c r="AH52" i="21"/>
  <c r="AG52" i="21"/>
  <c r="AE52" i="21"/>
  <c r="AD52" i="21"/>
  <c r="AB52" i="21"/>
  <c r="AC52" i="21" s="1"/>
  <c r="Z52" i="21"/>
  <c r="Y52" i="21"/>
  <c r="X52" i="21"/>
  <c r="W52" i="21"/>
  <c r="F52" i="21"/>
  <c r="B42" i="31"/>
  <c r="F33" i="21"/>
  <c r="F57" i="21"/>
  <c r="F58" i="21"/>
  <c r="F59" i="21"/>
  <c r="F65" i="21"/>
  <c r="F42" i="21"/>
  <c r="D59" i="31"/>
  <c r="C59" i="31"/>
  <c r="B59" i="31"/>
  <c r="V59" i="22"/>
  <c r="U59" i="22"/>
  <c r="T59" i="22"/>
  <c r="S59" i="22"/>
  <c r="R59" i="22"/>
  <c r="Q59" i="22"/>
  <c r="F59" i="22"/>
  <c r="D59" i="22"/>
  <c r="C59" i="22"/>
  <c r="AO59" i="21"/>
  <c r="AN59" i="21"/>
  <c r="AL59" i="21"/>
  <c r="AM59" i="21" s="1"/>
  <c r="AJ59" i="21"/>
  <c r="AI59" i="21"/>
  <c r="AH59" i="21"/>
  <c r="AG59" i="21"/>
  <c r="AE59" i="21"/>
  <c r="AD59" i="21"/>
  <c r="AB59" i="21"/>
  <c r="AC59" i="21" s="1"/>
  <c r="Z59" i="21"/>
  <c r="Y59" i="21"/>
  <c r="X59" i="21"/>
  <c r="W59" i="21"/>
  <c r="G59" i="24"/>
  <c r="H59" i="24" s="1"/>
  <c r="I59" i="24" s="1"/>
  <c r="J59" i="24" s="1"/>
  <c r="N59" i="31" s="1"/>
  <c r="F33" i="22"/>
  <c r="F57" i="22"/>
  <c r="F58" i="22"/>
  <c r="F65" i="22"/>
  <c r="B33" i="31"/>
  <c r="C33" i="31"/>
  <c r="B58" i="31"/>
  <c r="C58" i="31"/>
  <c r="B65" i="31"/>
  <c r="C65" i="31"/>
  <c r="V57" i="22"/>
  <c r="U57" i="22"/>
  <c r="T57" i="22"/>
  <c r="S57" i="22"/>
  <c r="R57" i="22"/>
  <c r="Q57" i="22"/>
  <c r="D57" i="22"/>
  <c r="C57" i="22"/>
  <c r="AO57" i="21"/>
  <c r="AN57" i="21"/>
  <c r="AL57" i="21"/>
  <c r="AM57" i="21" s="1"/>
  <c r="AJ57" i="21"/>
  <c r="AI57" i="21"/>
  <c r="AH57" i="21"/>
  <c r="AG57" i="21"/>
  <c r="AE57" i="21"/>
  <c r="AD57" i="21"/>
  <c r="AB57" i="21"/>
  <c r="AC57" i="21" s="1"/>
  <c r="Z57" i="21"/>
  <c r="Y57" i="21"/>
  <c r="X57" i="21"/>
  <c r="W57" i="21"/>
  <c r="G57" i="24"/>
  <c r="H57" i="24" s="1"/>
  <c r="I57" i="24" s="1"/>
  <c r="J57" i="24" s="1"/>
  <c r="N57" i="31" s="1"/>
  <c r="D33" i="31"/>
  <c r="V33" i="22"/>
  <c r="U33" i="22"/>
  <c r="T33" i="22"/>
  <c r="S33" i="22"/>
  <c r="R33" i="22"/>
  <c r="Q33" i="22"/>
  <c r="D33" i="22"/>
  <c r="C33" i="22"/>
  <c r="C58" i="22"/>
  <c r="D58" i="22"/>
  <c r="Q58" i="22"/>
  <c r="R58" i="22"/>
  <c r="S58" i="22"/>
  <c r="T58" i="22"/>
  <c r="U58" i="22"/>
  <c r="V58" i="22"/>
  <c r="AO33" i="21"/>
  <c r="AN33" i="21"/>
  <c r="AL33" i="21"/>
  <c r="AM33" i="21" s="1"/>
  <c r="AJ33" i="21"/>
  <c r="AI33" i="21"/>
  <c r="AH33" i="21"/>
  <c r="AG33" i="21"/>
  <c r="AE33" i="21"/>
  <c r="AD33" i="21"/>
  <c r="AB33" i="21"/>
  <c r="AC33" i="21" s="1"/>
  <c r="Z33" i="21"/>
  <c r="Y33" i="21"/>
  <c r="X33" i="21"/>
  <c r="W33" i="21"/>
  <c r="G33" i="24"/>
  <c r="H33" i="24" s="1"/>
  <c r="I33" i="24" s="1"/>
  <c r="C65" i="22"/>
  <c r="M42" i="29"/>
  <c r="L42" i="29"/>
  <c r="F42" i="29"/>
  <c r="D42" i="29"/>
  <c r="C42" i="29"/>
  <c r="V65" i="22"/>
  <c r="U65" i="22"/>
  <c r="T65" i="22"/>
  <c r="S65" i="22"/>
  <c r="R65" i="22"/>
  <c r="Q65" i="22"/>
  <c r="D65" i="22"/>
  <c r="V42" i="22"/>
  <c r="U42" i="22"/>
  <c r="T42" i="22"/>
  <c r="S42" i="22"/>
  <c r="R42" i="22"/>
  <c r="Q42" i="22"/>
  <c r="F42" i="22"/>
  <c r="D42" i="22"/>
  <c r="C42" i="22"/>
  <c r="AO65" i="21"/>
  <c r="AN65" i="21"/>
  <c r="AL65" i="21"/>
  <c r="AM65" i="21" s="1"/>
  <c r="AJ65" i="21"/>
  <c r="AI65" i="21"/>
  <c r="AH65" i="21"/>
  <c r="AG65" i="21"/>
  <c r="AE65" i="21"/>
  <c r="AD65" i="21"/>
  <c r="AB65" i="21"/>
  <c r="AC65" i="21" s="1"/>
  <c r="Z65" i="21"/>
  <c r="Y65" i="21"/>
  <c r="X65" i="21"/>
  <c r="W65" i="21"/>
  <c r="AO58" i="21"/>
  <c r="AN58" i="21"/>
  <c r="AL58" i="21"/>
  <c r="AM58" i="21" s="1"/>
  <c r="AJ58" i="21"/>
  <c r="AI58" i="21"/>
  <c r="AH58" i="21"/>
  <c r="AG58" i="21"/>
  <c r="AE58" i="21"/>
  <c r="AD58" i="21"/>
  <c r="AB58" i="21"/>
  <c r="AC58" i="21" s="1"/>
  <c r="Z58" i="21"/>
  <c r="Y58" i="21"/>
  <c r="X58" i="21"/>
  <c r="W58" i="21"/>
  <c r="AO42" i="21"/>
  <c r="AN42" i="21"/>
  <c r="AL42" i="21"/>
  <c r="AM42" i="21" s="1"/>
  <c r="AJ42" i="21"/>
  <c r="AI42" i="21"/>
  <c r="AH42" i="21"/>
  <c r="AG42" i="21"/>
  <c r="AE42" i="21"/>
  <c r="AD42" i="21"/>
  <c r="AB42" i="21"/>
  <c r="AC42" i="21" s="1"/>
  <c r="Z42" i="21"/>
  <c r="Y42" i="21"/>
  <c r="X42" i="21"/>
  <c r="W42" i="21"/>
  <c r="G65" i="24"/>
  <c r="H65" i="24" s="1"/>
  <c r="I65" i="24" s="1"/>
  <c r="J65" i="24" s="1"/>
  <c r="N65" i="31" s="1"/>
  <c r="G58" i="24"/>
  <c r="H58" i="24" s="1"/>
  <c r="I58" i="24" s="1"/>
  <c r="J58" i="24" s="1"/>
  <c r="N58" i="31" s="1"/>
  <c r="G42" i="24"/>
  <c r="H42" i="24" s="1"/>
  <c r="I42" i="24" s="1"/>
  <c r="J42" i="24" s="1"/>
  <c r="N42" i="31" s="1"/>
  <c r="D65" i="31"/>
  <c r="D58" i="31"/>
  <c r="D42" i="31"/>
  <c r="C42" i="31"/>
  <c r="X14" i="22" l="1"/>
  <c r="AA14" i="22" s="1"/>
  <c r="AD14" i="22" s="1"/>
  <c r="I14" i="31" s="1"/>
  <c r="N8" i="29"/>
  <c r="O8" i="29" s="1"/>
  <c r="P8" i="29" s="1"/>
  <c r="K8" i="31" s="1"/>
  <c r="AF14" i="21"/>
  <c r="X49" i="22"/>
  <c r="AA49" i="22" s="1"/>
  <c r="AD49" i="22" s="1"/>
  <c r="I49" i="31" s="1"/>
  <c r="AF6" i="21"/>
  <c r="AF12" i="21"/>
  <c r="AK3" i="21"/>
  <c r="W33" i="22"/>
  <c r="Z33" i="22" s="1"/>
  <c r="AC33" i="22" s="1"/>
  <c r="H33" i="31" s="1"/>
  <c r="AA57" i="21"/>
  <c r="N58" i="29"/>
  <c r="O58" i="29" s="1"/>
  <c r="P58" i="29" s="1"/>
  <c r="K58" i="31" s="1"/>
  <c r="N56" i="29"/>
  <c r="O56" i="29" s="1"/>
  <c r="P56" i="29" s="1"/>
  <c r="K56" i="31" s="1"/>
  <c r="N9" i="29"/>
  <c r="O9" i="29" s="1"/>
  <c r="P9" i="29" s="1"/>
  <c r="K9" i="31" s="1"/>
  <c r="AF58" i="21"/>
  <c r="N42" i="29"/>
  <c r="O42" i="29" s="1"/>
  <c r="P42" i="29" s="1"/>
  <c r="K42" i="31" s="1"/>
  <c r="N65" i="29"/>
  <c r="O65" i="29" s="1"/>
  <c r="P65" i="29" s="1"/>
  <c r="K65" i="31" s="1"/>
  <c r="X59" i="22"/>
  <c r="AA59" i="22" s="1"/>
  <c r="AD59" i="22" s="1"/>
  <c r="I59" i="31" s="1"/>
  <c r="N59" i="29"/>
  <c r="O59" i="29" s="1"/>
  <c r="P59" i="29" s="1"/>
  <c r="K59" i="31" s="1"/>
  <c r="AP59" i="21"/>
  <c r="X35" i="22"/>
  <c r="AA35" i="22" s="1"/>
  <c r="AD35" i="22" s="1"/>
  <c r="I35" i="31" s="1"/>
  <c r="AA59" i="21"/>
  <c r="AP58" i="21"/>
  <c r="X33" i="22"/>
  <c r="AA33" i="22" s="1"/>
  <c r="AD33" i="22" s="1"/>
  <c r="I33" i="31" s="1"/>
  <c r="AP43" i="21"/>
  <c r="AP51" i="21"/>
  <c r="AK33" i="21"/>
  <c r="N53" i="29"/>
  <c r="O53" i="29" s="1"/>
  <c r="P53" i="29" s="1"/>
  <c r="K53" i="31" s="1"/>
  <c r="X51" i="22"/>
  <c r="AA51" i="22" s="1"/>
  <c r="AD51" i="22" s="1"/>
  <c r="I51" i="31" s="1"/>
  <c r="X31" i="22"/>
  <c r="AA31" i="22" s="1"/>
  <c r="AD31" i="22" s="1"/>
  <c r="I31" i="31" s="1"/>
  <c r="AF56" i="21"/>
  <c r="N54" i="29"/>
  <c r="O54" i="29" s="1"/>
  <c r="P54" i="29" s="1"/>
  <c r="K54" i="31" s="1"/>
  <c r="AP31" i="21"/>
  <c r="AK54" i="21"/>
  <c r="X54" i="22"/>
  <c r="AA54" i="22" s="1"/>
  <c r="AD54" i="22" s="1"/>
  <c r="I54" i="31" s="1"/>
  <c r="AK58" i="21"/>
  <c r="AA33" i="21"/>
  <c r="AK57" i="21"/>
  <c r="AF30" i="21"/>
  <c r="AF38" i="21"/>
  <c r="AP65" i="21"/>
  <c r="AK30" i="21"/>
  <c r="AP30" i="21"/>
  <c r="AP34" i="21"/>
  <c r="AK38" i="21"/>
  <c r="X45" i="22"/>
  <c r="AA45" i="22" s="1"/>
  <c r="AD45" i="22" s="1"/>
  <c r="I45" i="31" s="1"/>
  <c r="X48" i="22"/>
  <c r="AA48" i="22" s="1"/>
  <c r="AD48" i="22" s="1"/>
  <c r="I48" i="31" s="1"/>
  <c r="N44" i="29"/>
  <c r="O44" i="29" s="1"/>
  <c r="P44" i="29" s="1"/>
  <c r="K44" i="31" s="1"/>
  <c r="N48" i="29"/>
  <c r="O48" i="29" s="1"/>
  <c r="P48" i="29" s="1"/>
  <c r="K48" i="31" s="1"/>
  <c r="N55" i="29"/>
  <c r="O55" i="29" s="1"/>
  <c r="P55" i="29" s="1"/>
  <c r="K55" i="31" s="1"/>
  <c r="AA7" i="21"/>
  <c r="AK13" i="21"/>
  <c r="AK31" i="21"/>
  <c r="AA55" i="21"/>
  <c r="X55" i="22"/>
  <c r="AA55" i="22" s="1"/>
  <c r="AD55" i="22" s="1"/>
  <c r="I55" i="31" s="1"/>
  <c r="AP60" i="21"/>
  <c r="AP12" i="21"/>
  <c r="X28" i="22"/>
  <c r="AF33" i="21"/>
  <c r="X58" i="22"/>
  <c r="AA58" i="22" s="1"/>
  <c r="AD58" i="22" s="1"/>
  <c r="I58" i="31" s="1"/>
  <c r="W58" i="22"/>
  <c r="AF57" i="21"/>
  <c r="AP57" i="21"/>
  <c r="AF11" i="21"/>
  <c r="AK11" i="21"/>
  <c r="AP11" i="21"/>
  <c r="AA30" i="21"/>
  <c r="X37" i="22"/>
  <c r="AA37" i="22" s="1"/>
  <c r="AD37" i="22" s="1"/>
  <c r="I37" i="31" s="1"/>
  <c r="N11" i="29"/>
  <c r="O11" i="29" s="1"/>
  <c r="P11" i="29" s="1"/>
  <c r="K11" i="31" s="1"/>
  <c r="N34" i="29"/>
  <c r="O34" i="29" s="1"/>
  <c r="P34" i="29" s="1"/>
  <c r="K34" i="31" s="1"/>
  <c r="X44" i="22"/>
  <c r="W50" i="22"/>
  <c r="N43" i="29"/>
  <c r="N51" i="29"/>
  <c r="O51" i="29" s="1"/>
  <c r="P51" i="29" s="1"/>
  <c r="K51" i="31" s="1"/>
  <c r="AA54" i="21"/>
  <c r="AF54" i="21"/>
  <c r="AP56" i="21"/>
  <c r="W54" i="22"/>
  <c r="Z54" i="22" s="1"/>
  <c r="AC54" i="22" s="1"/>
  <c r="H54" i="31" s="1"/>
  <c r="AP42" i="21"/>
  <c r="AA42" i="21"/>
  <c r="W42" i="22"/>
  <c r="X42" i="22"/>
  <c r="AA42" i="22" s="1"/>
  <c r="AD42" i="22" s="1"/>
  <c r="I42" i="31" s="1"/>
  <c r="W65" i="22"/>
  <c r="X65" i="22"/>
  <c r="AA65" i="22" s="1"/>
  <c r="AD65" i="22" s="1"/>
  <c r="I65" i="31" s="1"/>
  <c r="AF55" i="21"/>
  <c r="X13" i="22"/>
  <c r="AA13" i="22" s="1"/>
  <c r="AD13" i="22" s="1"/>
  <c r="I13" i="31" s="1"/>
  <c r="AP53" i="21"/>
  <c r="AP37" i="21"/>
  <c r="AP45" i="21"/>
  <c r="AF51" i="21"/>
  <c r="W43" i="22"/>
  <c r="Z43" i="22" s="1"/>
  <c r="AC43" i="22" s="1"/>
  <c r="H43" i="31" s="1"/>
  <c r="X43" i="22"/>
  <c r="AA43" i="22" s="1"/>
  <c r="AD43" i="22" s="1"/>
  <c r="I43" i="31" s="1"/>
  <c r="N45" i="29"/>
  <c r="O45" i="29" s="1"/>
  <c r="P45" i="29" s="1"/>
  <c r="K45" i="31" s="1"/>
  <c r="N50" i="29"/>
  <c r="O50" i="29" s="1"/>
  <c r="P50" i="29" s="1"/>
  <c r="K50" i="31" s="1"/>
  <c r="AP54" i="21"/>
  <c r="X56" i="22"/>
  <c r="AA56" i="22" s="1"/>
  <c r="AD56" i="22" s="1"/>
  <c r="I56" i="31" s="1"/>
  <c r="AF13" i="21"/>
  <c r="AK52" i="21"/>
  <c r="AA53" i="21"/>
  <c r="X34" i="22"/>
  <c r="AA34" i="22" s="1"/>
  <c r="AD34" i="22" s="1"/>
  <c r="I34" i="31" s="1"/>
  <c r="N30" i="29"/>
  <c r="N38" i="29"/>
  <c r="O38" i="29" s="1"/>
  <c r="P38" i="29" s="1"/>
  <c r="K38" i="31" s="1"/>
  <c r="AA44" i="21"/>
  <c r="AF7" i="21"/>
  <c r="AA12" i="21"/>
  <c r="AP14" i="21"/>
  <c r="AA28" i="21"/>
  <c r="AF28" i="21"/>
  <c r="X12" i="22"/>
  <c r="AA12" i="22" s="1"/>
  <c r="AD12" i="22" s="1"/>
  <c r="I12" i="31" s="1"/>
  <c r="X27" i="22"/>
  <c r="AA27" i="22" s="1"/>
  <c r="AD27" i="22" s="1"/>
  <c r="I27" i="31" s="1"/>
  <c r="N14" i="29"/>
  <c r="O14" i="29" s="1"/>
  <c r="P14" i="29" s="1"/>
  <c r="K14" i="31" s="1"/>
  <c r="K28" i="31"/>
  <c r="AA49" i="21"/>
  <c r="AF49" i="21"/>
  <c r="AF34" i="21"/>
  <c r="AK34" i="21"/>
  <c r="AF35" i="21"/>
  <c r="AP35" i="21"/>
  <c r="AP29" i="21"/>
  <c r="AK29" i="21"/>
  <c r="AF29" i="21"/>
  <c r="X30" i="22"/>
  <c r="AA30" i="22" s="1"/>
  <c r="AD30" i="22" s="1"/>
  <c r="I30" i="31" s="1"/>
  <c r="X29" i="22"/>
  <c r="AA29" i="22" s="1"/>
  <c r="AD29" i="22" s="1"/>
  <c r="I29" i="31" s="1"/>
  <c r="W31" i="22"/>
  <c r="N31" i="29"/>
  <c r="O31" i="29" s="1"/>
  <c r="P31" i="29" s="1"/>
  <c r="K31" i="31" s="1"/>
  <c r="AK55" i="21"/>
  <c r="AP55" i="21"/>
  <c r="W55" i="22"/>
  <c r="AP63" i="21"/>
  <c r="AA64" i="21"/>
  <c r="X63" i="22"/>
  <c r="AA63" i="22" s="1"/>
  <c r="AD63" i="22" s="1"/>
  <c r="I63" i="31" s="1"/>
  <c r="N64" i="29"/>
  <c r="O64" i="29" s="1"/>
  <c r="P64" i="29" s="1"/>
  <c r="K64" i="31" s="1"/>
  <c r="AA41" i="21"/>
  <c r="AP41" i="21"/>
  <c r="N41" i="29"/>
  <c r="O41" i="29" s="1"/>
  <c r="P41" i="29" s="1"/>
  <c r="K41" i="31" s="1"/>
  <c r="AP7" i="21"/>
  <c r="AF27" i="21"/>
  <c r="AP27" i="21"/>
  <c r="N49" i="29"/>
  <c r="O49" i="29" s="1"/>
  <c r="P49" i="29" s="1"/>
  <c r="K49" i="31" s="1"/>
  <c r="AA3" i="21"/>
  <c r="AF3" i="21"/>
  <c r="AA65" i="21"/>
  <c r="AK65" i="21"/>
  <c r="AP33" i="21"/>
  <c r="W57" i="22"/>
  <c r="X57" i="22"/>
  <c r="AA57" i="22" s="1"/>
  <c r="AD57" i="22" s="1"/>
  <c r="I57" i="31" s="1"/>
  <c r="AF59" i="21"/>
  <c r="AK59" i="21"/>
  <c r="W59" i="22"/>
  <c r="N33" i="29"/>
  <c r="AA58" i="21"/>
  <c r="X53" i="22"/>
  <c r="AA53" i="22" s="1"/>
  <c r="AD53" i="22" s="1"/>
  <c r="I53" i="31" s="1"/>
  <c r="AK7" i="21"/>
  <c r="AK28" i="21"/>
  <c r="AP28" i="21"/>
  <c r="W12" i="22"/>
  <c r="Z12" i="22" s="1"/>
  <c r="AC12" i="22" s="1"/>
  <c r="H12" i="31" s="1"/>
  <c r="W13" i="22"/>
  <c r="W14" i="22"/>
  <c r="W27" i="22"/>
  <c r="W28" i="22"/>
  <c r="N13" i="29"/>
  <c r="O13" i="29" s="1"/>
  <c r="P13" i="29" s="1"/>
  <c r="K13" i="31" s="1"/>
  <c r="K27" i="31"/>
  <c r="AK49" i="21"/>
  <c r="AP49" i="21"/>
  <c r="W49" i="22"/>
  <c r="N57" i="29"/>
  <c r="O57" i="29" s="1"/>
  <c r="P57" i="29" s="1"/>
  <c r="K57" i="31" s="1"/>
  <c r="AA11" i="21"/>
  <c r="W11" i="22"/>
  <c r="X11" i="22"/>
  <c r="AA11" i="22" s="1"/>
  <c r="AD11" i="22" s="1"/>
  <c r="I11" i="31" s="1"/>
  <c r="W34" i="22"/>
  <c r="W38" i="22"/>
  <c r="X38" i="22"/>
  <c r="N29" i="29"/>
  <c r="O29" i="29" s="1"/>
  <c r="P29" i="29" s="1"/>
  <c r="K29" i="31" s="1"/>
  <c r="N37" i="29"/>
  <c r="O37" i="29" s="1"/>
  <c r="P37" i="29" s="1"/>
  <c r="K37" i="31" s="1"/>
  <c r="W30" i="22"/>
  <c r="W29" i="22"/>
  <c r="AP64" i="21"/>
  <c r="X60" i="22"/>
  <c r="AA60" i="22" s="1"/>
  <c r="AD60" i="22" s="1"/>
  <c r="I60" i="31" s="1"/>
  <c r="N63" i="29"/>
  <c r="O63" i="29" s="1"/>
  <c r="P63" i="29" s="1"/>
  <c r="K63" i="31" s="1"/>
  <c r="AK14" i="21"/>
  <c r="AK51" i="21"/>
  <c r="W48" i="22"/>
  <c r="W56" i="22"/>
  <c r="AK6" i="21"/>
  <c r="AA9" i="21"/>
  <c r="AA35" i="21"/>
  <c r="AK35" i="21"/>
  <c r="AF37" i="21"/>
  <c r="AK37" i="21"/>
  <c r="AA38" i="21"/>
  <c r="AP38" i="21"/>
  <c r="N35" i="29"/>
  <c r="O35" i="29" s="1"/>
  <c r="P35" i="29" s="1"/>
  <c r="K35" i="31" s="1"/>
  <c r="AP48" i="21"/>
  <c r="AA51" i="21"/>
  <c r="AF60" i="21"/>
  <c r="AK60" i="21"/>
  <c r="AA63" i="21"/>
  <c r="AF41" i="21"/>
  <c r="X41" i="22"/>
  <c r="AA41" i="22" s="1"/>
  <c r="AD41" i="22" s="1"/>
  <c r="I41" i="31" s="1"/>
  <c r="X8" i="22"/>
  <c r="AA8" i="22" s="1"/>
  <c r="AD8" i="22" s="1"/>
  <c r="I8" i="31" s="1"/>
  <c r="X9" i="22"/>
  <c r="AA9" i="22" s="1"/>
  <c r="AD9" i="22" s="1"/>
  <c r="I9" i="31" s="1"/>
  <c r="N6" i="29"/>
  <c r="O6" i="29" s="1"/>
  <c r="P6" i="29" s="1"/>
  <c r="K6" i="31" s="1"/>
  <c r="AK12" i="21"/>
  <c r="AA13" i="21"/>
  <c r="AA14" i="21"/>
  <c r="AP13" i="21"/>
  <c r="AK43" i="21"/>
  <c r="W44" i="22"/>
  <c r="Z44" i="22" s="1"/>
  <c r="AC44" i="22" s="1"/>
  <c r="H44" i="31" s="1"/>
  <c r="AA56" i="21"/>
  <c r="AK56" i="21"/>
  <c r="AA31" i="21"/>
  <c r="AF31" i="21"/>
  <c r="AF63" i="21"/>
  <c r="AK63" i="21"/>
  <c r="AA6" i="21"/>
  <c r="AP6" i="21"/>
  <c r="W7" i="22"/>
  <c r="Z7" i="22" s="1"/>
  <c r="AC7" i="22" s="1"/>
  <c r="H7" i="31" s="1"/>
  <c r="X7" i="22"/>
  <c r="N7" i="29"/>
  <c r="O7" i="29" s="1"/>
  <c r="P7" i="29" s="1"/>
  <c r="K7" i="31" s="1"/>
  <c r="X3" i="22"/>
  <c r="AA3" i="22" s="1"/>
  <c r="AD3" i="22" s="1"/>
  <c r="I3" i="31" s="1"/>
  <c r="AF9" i="21"/>
  <c r="AK9" i="21"/>
  <c r="AP9" i="21"/>
  <c r="AA8" i="21"/>
  <c r="AF8" i="21"/>
  <c r="AK8" i="21"/>
  <c r="AA45" i="21"/>
  <c r="AF45" i="21"/>
  <c r="AK45" i="21"/>
  <c r="AF44" i="21"/>
  <c r="AK44" i="21"/>
  <c r="AP44" i="21"/>
  <c r="AF43" i="21"/>
  <c r="AA43" i="21"/>
  <c r="AF42" i="21"/>
  <c r="AK42" i="21"/>
  <c r="AF65" i="21"/>
  <c r="AF53" i="21"/>
  <c r="AF52" i="21"/>
  <c r="W45" i="22"/>
  <c r="AP52" i="21"/>
  <c r="AK53" i="21"/>
  <c r="AA34" i="21"/>
  <c r="AA37" i="21"/>
  <c r="W35" i="22"/>
  <c r="W37" i="22"/>
  <c r="AA29" i="21"/>
  <c r="AK64" i="21"/>
  <c r="W51" i="22"/>
  <c r="AF64" i="21"/>
  <c r="AA48" i="21"/>
  <c r="AF48" i="21"/>
  <c r="AK48" i="21"/>
  <c r="W63" i="22"/>
  <c r="W64" i="22"/>
  <c r="Z64" i="22" s="1"/>
  <c r="AC64" i="22" s="1"/>
  <c r="H64" i="31" s="1"/>
  <c r="X64" i="22"/>
  <c r="AA64" i="22" s="1"/>
  <c r="AD64" i="22" s="1"/>
  <c r="I64" i="31" s="1"/>
  <c r="N60" i="29"/>
  <c r="O60" i="29" s="1"/>
  <c r="P60" i="29" s="1"/>
  <c r="K60" i="31" s="1"/>
  <c r="AK41" i="21"/>
  <c r="W41" i="22"/>
  <c r="N3" i="29"/>
  <c r="AP8" i="21"/>
  <c r="AA27" i="21"/>
  <c r="AK27" i="21"/>
  <c r="N12" i="29"/>
  <c r="O12" i="29" s="1"/>
  <c r="P12" i="29" s="1"/>
  <c r="K12" i="31" s="1"/>
  <c r="Z6" i="22"/>
  <c r="AC6" i="22" s="1"/>
  <c r="H6" i="31" s="1"/>
  <c r="Y6" i="22"/>
  <c r="AB6" i="22" s="1"/>
  <c r="AE6" i="22" s="1"/>
  <c r="J6" i="31" s="1"/>
  <c r="W8" i="22"/>
  <c r="W9" i="22"/>
  <c r="J33" i="24"/>
  <c r="N33" i="31" s="1"/>
  <c r="J14" i="24"/>
  <c r="N14" i="31" s="1"/>
  <c r="J6" i="24"/>
  <c r="N6" i="31" s="1"/>
  <c r="J7" i="24"/>
  <c r="N7" i="31" s="1"/>
  <c r="J9" i="24"/>
  <c r="N9" i="31" s="1"/>
  <c r="N52" i="29"/>
  <c r="O52" i="29" s="1"/>
  <c r="P52" i="29" s="1"/>
  <c r="K52" i="31" s="1"/>
  <c r="AP3" i="21"/>
  <c r="AA52" i="21"/>
  <c r="W52" i="22"/>
  <c r="Z52" i="22" s="1"/>
  <c r="AC52" i="22" s="1"/>
  <c r="H52" i="31" s="1"/>
  <c r="X52" i="22"/>
  <c r="AA52" i="22" s="1"/>
  <c r="AD52" i="22" s="1"/>
  <c r="I52" i="31" s="1"/>
  <c r="W53" i="22"/>
  <c r="AA60" i="21"/>
  <c r="W60" i="22"/>
  <c r="AA50" i="21"/>
  <c r="AF50" i="21"/>
  <c r="AK50" i="21"/>
  <c r="AP50" i="21"/>
  <c r="X50" i="22"/>
  <c r="W3" i="22"/>
  <c r="Y63" i="22" l="1"/>
  <c r="AB63" i="22" s="1"/>
  <c r="AE63" i="22" s="1"/>
  <c r="J63" i="31" s="1"/>
  <c r="Z28" i="22"/>
  <c r="AC28" i="22" s="1"/>
  <c r="H28" i="31" s="1"/>
  <c r="Q28" i="29"/>
  <c r="R28" i="29" s="1"/>
  <c r="S28" i="29" s="1"/>
  <c r="L28" i="31" s="1"/>
  <c r="T28" i="29"/>
  <c r="U28" i="29" s="1"/>
  <c r="V28" i="29" s="1"/>
  <c r="M28" i="31" s="1"/>
  <c r="Z27" i="22"/>
  <c r="AC27" i="22" s="1"/>
  <c r="H27" i="31" s="1"/>
  <c r="Q27" i="29"/>
  <c r="R27" i="29" s="1"/>
  <c r="S27" i="29" s="1"/>
  <c r="L27" i="31" s="1"/>
  <c r="T27" i="29"/>
  <c r="U27" i="29" s="1"/>
  <c r="V27" i="29" s="1"/>
  <c r="M27" i="31" s="1"/>
  <c r="Z50" i="22"/>
  <c r="AC50" i="22" s="1"/>
  <c r="H50" i="31" s="1"/>
  <c r="Y49" i="22"/>
  <c r="AB49" i="22" s="1"/>
  <c r="AE49" i="22" s="1"/>
  <c r="J49" i="31" s="1"/>
  <c r="AR3" i="21"/>
  <c r="AU3" i="21" s="1"/>
  <c r="AX3" i="21" s="1"/>
  <c r="F3" i="31" s="1"/>
  <c r="AQ60" i="21"/>
  <c r="AT60" i="21" s="1"/>
  <c r="AW60" i="21" s="1"/>
  <c r="E60" i="31" s="1"/>
  <c r="AQ58" i="21"/>
  <c r="AT58" i="21" s="1"/>
  <c r="AW58" i="21" s="1"/>
  <c r="E58" i="31" s="1"/>
  <c r="AQ14" i="21"/>
  <c r="AT14" i="21" s="1"/>
  <c r="AW14" i="21" s="1"/>
  <c r="E14" i="31" s="1"/>
  <c r="AR65" i="21"/>
  <c r="AU65" i="21" s="1"/>
  <c r="AX65" i="21" s="1"/>
  <c r="F65" i="31" s="1"/>
  <c r="AR43" i="21"/>
  <c r="AU43" i="21" s="1"/>
  <c r="AX43" i="21" s="1"/>
  <c r="F43" i="31" s="1"/>
  <c r="AR59" i="21"/>
  <c r="AQ49" i="21"/>
  <c r="AT49" i="21" s="1"/>
  <c r="AW49" i="21" s="1"/>
  <c r="E49" i="31" s="1"/>
  <c r="AQ11" i="21"/>
  <c r="AT11" i="21" s="1"/>
  <c r="AW11" i="21" s="1"/>
  <c r="E11" i="31" s="1"/>
  <c r="Y33" i="22"/>
  <c r="AB33" i="22" s="1"/>
  <c r="AE33" i="22" s="1"/>
  <c r="J33" i="31" s="1"/>
  <c r="Q53" i="29"/>
  <c r="R53" i="29" s="1"/>
  <c r="S53" i="29" s="1"/>
  <c r="L53" i="31" s="1"/>
  <c r="AQ6" i="21"/>
  <c r="AT6" i="21" s="1"/>
  <c r="AW6" i="21" s="1"/>
  <c r="E6" i="31" s="1"/>
  <c r="Q38" i="29"/>
  <c r="R38" i="29" s="1"/>
  <c r="S38" i="29" s="1"/>
  <c r="L38" i="31" s="1"/>
  <c r="T56" i="29"/>
  <c r="U56" i="29" s="1"/>
  <c r="V56" i="29" s="1"/>
  <c r="M56" i="31" s="1"/>
  <c r="T31" i="29"/>
  <c r="U31" i="29" s="1"/>
  <c r="V31" i="29" s="1"/>
  <c r="M31" i="31" s="1"/>
  <c r="AQ51" i="21"/>
  <c r="AT51" i="21" s="1"/>
  <c r="AW51" i="21" s="1"/>
  <c r="E51" i="31" s="1"/>
  <c r="AQ38" i="21"/>
  <c r="AT38" i="21" s="1"/>
  <c r="AW38" i="21" s="1"/>
  <c r="E38" i="31" s="1"/>
  <c r="AR51" i="21"/>
  <c r="AU51" i="21" s="1"/>
  <c r="AX51" i="21" s="1"/>
  <c r="F51" i="31" s="1"/>
  <c r="AQ3" i="21"/>
  <c r="AT3" i="21" s="1"/>
  <c r="AW3" i="21" s="1"/>
  <c r="E3" i="31" s="1"/>
  <c r="AQ57" i="21"/>
  <c r="AT57" i="21" s="1"/>
  <c r="AW57" i="21" s="1"/>
  <c r="E57" i="31" s="1"/>
  <c r="AQ12" i="21"/>
  <c r="AT12" i="21" s="1"/>
  <c r="AW12" i="21" s="1"/>
  <c r="E12" i="31" s="1"/>
  <c r="Q34" i="29"/>
  <c r="R34" i="29" s="1"/>
  <c r="S34" i="29" s="1"/>
  <c r="L34" i="31" s="1"/>
  <c r="Y42" i="22"/>
  <c r="AB42" i="22" s="1"/>
  <c r="AE42" i="22" s="1"/>
  <c r="J42" i="31" s="1"/>
  <c r="AQ35" i="21"/>
  <c r="AT35" i="21" s="1"/>
  <c r="AW35" i="21" s="1"/>
  <c r="E35" i="31" s="1"/>
  <c r="T29" i="29"/>
  <c r="U29" i="29" s="1"/>
  <c r="V29" i="29" s="1"/>
  <c r="M29" i="31" s="1"/>
  <c r="AR7" i="21"/>
  <c r="AU7" i="21" s="1"/>
  <c r="AX7" i="21" s="1"/>
  <c r="F7" i="31" s="1"/>
  <c r="AR30" i="21"/>
  <c r="AU30" i="21" s="1"/>
  <c r="AX30" i="21" s="1"/>
  <c r="F30" i="31" s="1"/>
  <c r="Z38" i="22"/>
  <c r="AC38" i="22" s="1"/>
  <c r="H38" i="31" s="1"/>
  <c r="AQ52" i="21"/>
  <c r="AT52" i="21" s="1"/>
  <c r="AW52" i="21" s="1"/>
  <c r="E52" i="31" s="1"/>
  <c r="AQ41" i="21"/>
  <c r="AT41" i="21" s="1"/>
  <c r="AW41" i="21" s="1"/>
  <c r="E41" i="31" s="1"/>
  <c r="AR12" i="21"/>
  <c r="AQ56" i="21"/>
  <c r="AT56" i="21" s="1"/>
  <c r="AW56" i="21" s="1"/>
  <c r="E56" i="31" s="1"/>
  <c r="AR54" i="21"/>
  <c r="AU54" i="21" s="1"/>
  <c r="AX54" i="21" s="1"/>
  <c r="F54" i="31" s="1"/>
  <c r="AR58" i="21"/>
  <c r="T14" i="29"/>
  <c r="U14" i="29" s="1"/>
  <c r="V14" i="29" s="1"/>
  <c r="M14" i="31" s="1"/>
  <c r="Y51" i="22"/>
  <c r="AB51" i="22" s="1"/>
  <c r="AE51" i="22" s="1"/>
  <c r="J51" i="31" s="1"/>
  <c r="AR35" i="21"/>
  <c r="AR57" i="21"/>
  <c r="AR53" i="21"/>
  <c r="AU53" i="21" s="1"/>
  <c r="AX53" i="21" s="1"/>
  <c r="F53" i="31" s="1"/>
  <c r="Z34" i="22"/>
  <c r="AC34" i="22" s="1"/>
  <c r="H34" i="31" s="1"/>
  <c r="AQ9" i="21"/>
  <c r="AT9" i="21" s="1"/>
  <c r="AW9" i="21" s="1"/>
  <c r="E9" i="31" s="1"/>
  <c r="Y28" i="22"/>
  <c r="AB28" i="22" s="1"/>
  <c r="AE28" i="22" s="1"/>
  <c r="J28" i="31" s="1"/>
  <c r="AR52" i="21"/>
  <c r="AU52" i="21" s="1"/>
  <c r="AX52" i="21" s="1"/>
  <c r="F52" i="31" s="1"/>
  <c r="AQ44" i="21"/>
  <c r="AT44" i="21" s="1"/>
  <c r="AW44" i="21" s="1"/>
  <c r="E44" i="31" s="1"/>
  <c r="AR14" i="21"/>
  <c r="AU14" i="21" s="1"/>
  <c r="AX14" i="21" s="1"/>
  <c r="F14" i="31" s="1"/>
  <c r="AR34" i="21"/>
  <c r="AU34" i="21" s="1"/>
  <c r="AX34" i="21" s="1"/>
  <c r="F34" i="31" s="1"/>
  <c r="AQ55" i="21"/>
  <c r="AT55" i="21" s="1"/>
  <c r="AW55" i="21" s="1"/>
  <c r="E55" i="31" s="1"/>
  <c r="Q6" i="29"/>
  <c r="R6" i="29" s="1"/>
  <c r="S6" i="29" s="1"/>
  <c r="L6" i="31" s="1"/>
  <c r="AQ59" i="21"/>
  <c r="AT59" i="21" s="1"/>
  <c r="AW59" i="21" s="1"/>
  <c r="E59" i="31" s="1"/>
  <c r="AR31" i="21"/>
  <c r="AU31" i="21" s="1"/>
  <c r="AX31" i="21" s="1"/>
  <c r="F31" i="31" s="1"/>
  <c r="T6" i="29"/>
  <c r="U6" i="29" s="1"/>
  <c r="V6" i="29" s="1"/>
  <c r="M6" i="31" s="1"/>
  <c r="AR42" i="21"/>
  <c r="AU42" i="21" s="1"/>
  <c r="AX42" i="21" s="1"/>
  <c r="F42" i="31" s="1"/>
  <c r="AR60" i="21"/>
  <c r="Z49" i="22"/>
  <c r="AC49" i="22" s="1"/>
  <c r="H49" i="31" s="1"/>
  <c r="T49" i="29"/>
  <c r="U49" i="29" s="1"/>
  <c r="V49" i="29" s="1"/>
  <c r="M49" i="31" s="1"/>
  <c r="AR11" i="21"/>
  <c r="AU11" i="21" s="1"/>
  <c r="AX11" i="21" s="1"/>
  <c r="F11" i="31" s="1"/>
  <c r="Y52" i="22"/>
  <c r="AB52" i="22" s="1"/>
  <c r="AE52" i="22" s="1"/>
  <c r="J52" i="31" s="1"/>
  <c r="Z29" i="22"/>
  <c r="AC29" i="22" s="1"/>
  <c r="H29" i="31" s="1"/>
  <c r="AQ42" i="21"/>
  <c r="AT42" i="21" s="1"/>
  <c r="AW42" i="21" s="1"/>
  <c r="E42" i="31" s="1"/>
  <c r="Z14" i="22"/>
  <c r="AC14" i="22" s="1"/>
  <c r="H14" i="31" s="1"/>
  <c r="Y14" i="22"/>
  <c r="AB14" i="22" s="1"/>
  <c r="AE14" i="22" s="1"/>
  <c r="J14" i="31" s="1"/>
  <c r="Q54" i="29"/>
  <c r="R54" i="29" s="1"/>
  <c r="S54" i="29" s="1"/>
  <c r="L54" i="31" s="1"/>
  <c r="AQ27" i="21"/>
  <c r="AT27" i="21" s="1"/>
  <c r="AW27" i="21" s="1"/>
  <c r="E27" i="31" s="1"/>
  <c r="AR45" i="21"/>
  <c r="AU45" i="21" s="1"/>
  <c r="AX45" i="21" s="1"/>
  <c r="F45" i="31" s="1"/>
  <c r="AQ8" i="21"/>
  <c r="AT8" i="21" s="1"/>
  <c r="AW8" i="21" s="1"/>
  <c r="E8" i="31" s="1"/>
  <c r="Q7" i="29"/>
  <c r="R7" i="29" s="1"/>
  <c r="S7" i="29" s="1"/>
  <c r="L7" i="31" s="1"/>
  <c r="AR56" i="21"/>
  <c r="AR33" i="21"/>
  <c r="AU33" i="21" s="1"/>
  <c r="AX33" i="21" s="1"/>
  <c r="F33" i="31" s="1"/>
  <c r="T54" i="29"/>
  <c r="U54" i="29" s="1"/>
  <c r="V54" i="29" s="1"/>
  <c r="M54" i="31" s="1"/>
  <c r="Y34" i="22"/>
  <c r="AB34" i="22" s="1"/>
  <c r="AE34" i="22" s="1"/>
  <c r="J34" i="31" s="1"/>
  <c r="Q44" i="29"/>
  <c r="R44" i="29" s="1"/>
  <c r="S44" i="29" s="1"/>
  <c r="L44" i="31" s="1"/>
  <c r="AR55" i="21"/>
  <c r="AU55" i="21" s="1"/>
  <c r="AX55" i="21" s="1"/>
  <c r="F55" i="31" s="1"/>
  <c r="AQ28" i="21"/>
  <c r="AT28" i="21" s="1"/>
  <c r="AW28" i="21" s="1"/>
  <c r="E28" i="31" s="1"/>
  <c r="AQ7" i="21"/>
  <c r="AT7" i="21" s="1"/>
  <c r="AW7" i="21" s="1"/>
  <c r="E7" i="31" s="1"/>
  <c r="Y54" i="22"/>
  <c r="AB54" i="22" s="1"/>
  <c r="AE54" i="22" s="1"/>
  <c r="J54" i="31" s="1"/>
  <c r="AQ30" i="21"/>
  <c r="AT30" i="21" s="1"/>
  <c r="AW30" i="21" s="1"/>
  <c r="E30" i="31" s="1"/>
  <c r="AR13" i="21"/>
  <c r="AU13" i="21" s="1"/>
  <c r="AX13" i="21" s="1"/>
  <c r="F13" i="31" s="1"/>
  <c r="T34" i="29"/>
  <c r="U34" i="29" s="1"/>
  <c r="V34" i="29" s="1"/>
  <c r="M34" i="31" s="1"/>
  <c r="AR63" i="21"/>
  <c r="AQ31" i="21"/>
  <c r="AT31" i="21" s="1"/>
  <c r="AW31" i="21" s="1"/>
  <c r="E31" i="31" s="1"/>
  <c r="AR38" i="21"/>
  <c r="AR49" i="21"/>
  <c r="AU49" i="21" s="1"/>
  <c r="AX49" i="21" s="1"/>
  <c r="F49" i="31" s="1"/>
  <c r="T42" i="29"/>
  <c r="U42" i="29" s="1"/>
  <c r="V42" i="29" s="1"/>
  <c r="M42" i="31" s="1"/>
  <c r="AQ33" i="21"/>
  <c r="AT33" i="21" s="1"/>
  <c r="AW33" i="21" s="1"/>
  <c r="E33" i="31" s="1"/>
  <c r="Z13" i="22"/>
  <c r="AC13" i="22" s="1"/>
  <c r="H13" i="31" s="1"/>
  <c r="Y13" i="22"/>
  <c r="AB13" i="22" s="1"/>
  <c r="AE13" i="22" s="1"/>
  <c r="J13" i="31" s="1"/>
  <c r="Y41" i="22"/>
  <c r="AB41" i="22" s="1"/>
  <c r="AE41" i="22" s="1"/>
  <c r="J41" i="31" s="1"/>
  <c r="Z41" i="22"/>
  <c r="AC41" i="22" s="1"/>
  <c r="H41" i="31" s="1"/>
  <c r="Z53" i="22"/>
  <c r="AC53" i="22" s="1"/>
  <c r="H53" i="31" s="1"/>
  <c r="Y53" i="22"/>
  <c r="AB53" i="22" s="1"/>
  <c r="AE53" i="22" s="1"/>
  <c r="J53" i="31" s="1"/>
  <c r="T53" i="29"/>
  <c r="U53" i="29" s="1"/>
  <c r="V53" i="29" s="1"/>
  <c r="M53" i="31" s="1"/>
  <c r="Q13" i="29"/>
  <c r="R13" i="29" s="1"/>
  <c r="S13" i="29" s="1"/>
  <c r="L13" i="31" s="1"/>
  <c r="Y64" i="22"/>
  <c r="AB64" i="22" s="1"/>
  <c r="AE64" i="22" s="1"/>
  <c r="J64" i="31" s="1"/>
  <c r="Q64" i="29"/>
  <c r="R64" i="29" s="1"/>
  <c r="S64" i="29" s="1"/>
  <c r="L64" i="31" s="1"/>
  <c r="T64" i="29"/>
  <c r="U64" i="29" s="1"/>
  <c r="V64" i="29" s="1"/>
  <c r="M64" i="31" s="1"/>
  <c r="AA38" i="22"/>
  <c r="AD38" i="22" s="1"/>
  <c r="I38" i="31" s="1"/>
  <c r="Y38" i="22"/>
  <c r="AB38" i="22" s="1"/>
  <c r="AE38" i="22" s="1"/>
  <c r="J38" i="31" s="1"/>
  <c r="T11" i="29"/>
  <c r="U11" i="29" s="1"/>
  <c r="V11" i="29" s="1"/>
  <c r="M11" i="31" s="1"/>
  <c r="Y11" i="22"/>
  <c r="AB11" i="22" s="1"/>
  <c r="AE11" i="22" s="1"/>
  <c r="J11" i="31" s="1"/>
  <c r="AA7" i="22"/>
  <c r="AD7" i="22" s="1"/>
  <c r="I7" i="31" s="1"/>
  <c r="Y7" i="22"/>
  <c r="AB7" i="22" s="1"/>
  <c r="AE7" i="22" s="1"/>
  <c r="J7" i="31" s="1"/>
  <c r="O43" i="29"/>
  <c r="P43" i="29" s="1"/>
  <c r="K43" i="31" s="1"/>
  <c r="Q43" i="29"/>
  <c r="R43" i="29" s="1"/>
  <c r="S43" i="29" s="1"/>
  <c r="L43" i="31" s="1"/>
  <c r="AA44" i="22"/>
  <c r="AD44" i="22" s="1"/>
  <c r="I44" i="31" s="1"/>
  <c r="T44" i="29"/>
  <c r="U44" i="29" s="1"/>
  <c r="V44" i="29" s="1"/>
  <c r="M44" i="31" s="1"/>
  <c r="Y44" i="22"/>
  <c r="AB44" i="22" s="1"/>
  <c r="AE44" i="22" s="1"/>
  <c r="J44" i="31" s="1"/>
  <c r="Z58" i="22"/>
  <c r="AC58" i="22" s="1"/>
  <c r="H58" i="31" s="1"/>
  <c r="Q58" i="29"/>
  <c r="R58" i="29" s="1"/>
  <c r="S58" i="29" s="1"/>
  <c r="L58" i="31" s="1"/>
  <c r="T58" i="29"/>
  <c r="U58" i="29" s="1"/>
  <c r="V58" i="29" s="1"/>
  <c r="M58" i="31" s="1"/>
  <c r="Y58" i="22"/>
  <c r="AB58" i="22" s="1"/>
  <c r="AE58" i="22" s="1"/>
  <c r="J58" i="31" s="1"/>
  <c r="AA28" i="22"/>
  <c r="AD28" i="22" s="1"/>
  <c r="I28" i="31" s="1"/>
  <c r="O30" i="29"/>
  <c r="P30" i="29" s="1"/>
  <c r="K30" i="31" s="1"/>
  <c r="Q30" i="29"/>
  <c r="R30" i="29" s="1"/>
  <c r="S30" i="29" s="1"/>
  <c r="L30" i="31" s="1"/>
  <c r="T3" i="29"/>
  <c r="U3" i="29" s="1"/>
  <c r="Q52" i="29"/>
  <c r="R52" i="29" s="1"/>
  <c r="S52" i="29" s="1"/>
  <c r="L52" i="31" s="1"/>
  <c r="AR8" i="21"/>
  <c r="AU8" i="21" s="1"/>
  <c r="AX8" i="21" s="1"/>
  <c r="F8" i="31" s="1"/>
  <c r="AQ48" i="21"/>
  <c r="AT48" i="21" s="1"/>
  <c r="AW48" i="21" s="1"/>
  <c r="E48" i="31" s="1"/>
  <c r="AR64" i="21"/>
  <c r="AQ34" i="21"/>
  <c r="AT34" i="21" s="1"/>
  <c r="AW34" i="21" s="1"/>
  <c r="E34" i="31" s="1"/>
  <c r="AQ63" i="21"/>
  <c r="AT63" i="21" s="1"/>
  <c r="AW63" i="21" s="1"/>
  <c r="E63" i="31" s="1"/>
  <c r="AR48" i="21"/>
  <c r="AU48" i="21" s="1"/>
  <c r="AX48" i="21" s="1"/>
  <c r="F48" i="31" s="1"/>
  <c r="T12" i="29"/>
  <c r="U12" i="29" s="1"/>
  <c r="V12" i="29" s="1"/>
  <c r="M12" i="31" s="1"/>
  <c r="AR29" i="21"/>
  <c r="AU29" i="21" s="1"/>
  <c r="AX29" i="21" s="1"/>
  <c r="F29" i="31" s="1"/>
  <c r="AQ53" i="21"/>
  <c r="AT53" i="21" s="1"/>
  <c r="AW53" i="21" s="1"/>
  <c r="E53" i="31" s="1"/>
  <c r="Y43" i="22"/>
  <c r="AB43" i="22" s="1"/>
  <c r="AE43" i="22" s="1"/>
  <c r="J43" i="31" s="1"/>
  <c r="AQ54" i="21"/>
  <c r="AT54" i="21" s="1"/>
  <c r="AW54" i="21" s="1"/>
  <c r="E54" i="31" s="1"/>
  <c r="AA50" i="22"/>
  <c r="AD50" i="22" s="1"/>
  <c r="I50" i="31" s="1"/>
  <c r="Y50" i="22"/>
  <c r="AB50" i="22" s="1"/>
  <c r="AE50" i="22" s="1"/>
  <c r="J50" i="31" s="1"/>
  <c r="Q63" i="29"/>
  <c r="R63" i="29" s="1"/>
  <c r="S63" i="29" s="1"/>
  <c r="L63" i="31" s="1"/>
  <c r="T63" i="29"/>
  <c r="U63" i="29" s="1"/>
  <c r="V63" i="29" s="1"/>
  <c r="M63" i="31" s="1"/>
  <c r="Z63" i="22"/>
  <c r="AC63" i="22" s="1"/>
  <c r="H63" i="31" s="1"/>
  <c r="O3" i="29"/>
  <c r="P3" i="29" s="1"/>
  <c r="K3" i="31" s="1"/>
  <c r="Q3" i="29"/>
  <c r="R3" i="29" s="1"/>
  <c r="S3" i="29" s="1"/>
  <c r="L3" i="31" s="1"/>
  <c r="Q51" i="29"/>
  <c r="R51" i="29" s="1"/>
  <c r="S51" i="29" s="1"/>
  <c r="L51" i="31" s="1"/>
  <c r="Z51" i="22"/>
  <c r="AC51" i="22" s="1"/>
  <c r="H51" i="31" s="1"/>
  <c r="T51" i="29"/>
  <c r="U51" i="29" s="1"/>
  <c r="V51" i="29" s="1"/>
  <c r="M51" i="31" s="1"/>
  <c r="T7" i="29"/>
  <c r="U7" i="29" s="1"/>
  <c r="V7" i="29" s="1"/>
  <c r="M7" i="31" s="1"/>
  <c r="AQ29" i="21"/>
  <c r="AT29" i="21" s="1"/>
  <c r="AW29" i="21" s="1"/>
  <c r="E29" i="31" s="1"/>
  <c r="Y12" i="22"/>
  <c r="AB12" i="22" s="1"/>
  <c r="AE12" i="22" s="1"/>
  <c r="J12" i="31" s="1"/>
  <c r="AR9" i="21"/>
  <c r="Z65" i="22"/>
  <c r="AC65" i="22" s="1"/>
  <c r="H65" i="31" s="1"/>
  <c r="T65" i="29"/>
  <c r="U65" i="29" s="1"/>
  <c r="V65" i="29" s="1"/>
  <c r="M65" i="31" s="1"/>
  <c r="Y65" i="22"/>
  <c r="AB65" i="22" s="1"/>
  <c r="AE65" i="22" s="1"/>
  <c r="J65" i="31" s="1"/>
  <c r="T50" i="29"/>
  <c r="U50" i="29" s="1"/>
  <c r="V50" i="29" s="1"/>
  <c r="M50" i="31" s="1"/>
  <c r="T52" i="29"/>
  <c r="U52" i="29" s="1"/>
  <c r="V52" i="29" s="1"/>
  <c r="M52" i="31" s="1"/>
  <c r="AR50" i="21"/>
  <c r="AU50" i="21" s="1"/>
  <c r="AX50" i="21" s="1"/>
  <c r="F50" i="31" s="1"/>
  <c r="Q50" i="29"/>
  <c r="R50" i="29" s="1"/>
  <c r="S50" i="29" s="1"/>
  <c r="L50" i="31" s="1"/>
  <c r="T13" i="29"/>
  <c r="U13" i="29" s="1"/>
  <c r="V13" i="29" s="1"/>
  <c r="M13" i="31" s="1"/>
  <c r="AR41" i="21"/>
  <c r="Y27" i="22"/>
  <c r="AB27" i="22" s="1"/>
  <c r="AE27" i="22" s="1"/>
  <c r="J27" i="31" s="1"/>
  <c r="Q49" i="29"/>
  <c r="R49" i="29" s="1"/>
  <c r="S49" i="29" s="1"/>
  <c r="L49" i="31" s="1"/>
  <c r="Q11" i="29"/>
  <c r="R11" i="29" s="1"/>
  <c r="S11" i="29" s="1"/>
  <c r="L11" i="31" s="1"/>
  <c r="Z11" i="22"/>
  <c r="AC11" i="22" s="1"/>
  <c r="H11" i="31" s="1"/>
  <c r="AQ13" i="21"/>
  <c r="AT13" i="21" s="1"/>
  <c r="AW13" i="21" s="1"/>
  <c r="E13" i="31" s="1"/>
  <c r="AR28" i="21"/>
  <c r="Y55" i="22"/>
  <c r="AB55" i="22" s="1"/>
  <c r="AE55" i="22" s="1"/>
  <c r="J55" i="31" s="1"/>
  <c r="Z55" i="22"/>
  <c r="AC55" i="22" s="1"/>
  <c r="H55" i="31" s="1"/>
  <c r="T55" i="29"/>
  <c r="U55" i="29" s="1"/>
  <c r="V55" i="29" s="1"/>
  <c r="M55" i="31" s="1"/>
  <c r="Q55" i="29"/>
  <c r="R55" i="29" s="1"/>
  <c r="S55" i="29" s="1"/>
  <c r="L55" i="31" s="1"/>
  <c r="Q14" i="29"/>
  <c r="R14" i="29" s="1"/>
  <c r="S14" i="29" s="1"/>
  <c r="L14" i="31" s="1"/>
  <c r="Q41" i="29"/>
  <c r="R41" i="29" s="1"/>
  <c r="S41" i="29" s="1"/>
  <c r="L41" i="31" s="1"/>
  <c r="Z42" i="22"/>
  <c r="AC42" i="22" s="1"/>
  <c r="H42" i="31" s="1"/>
  <c r="Q31" i="29"/>
  <c r="R31" i="29" s="1"/>
  <c r="S31" i="29" s="1"/>
  <c r="L31" i="31" s="1"/>
  <c r="Z31" i="22"/>
  <c r="AC31" i="22" s="1"/>
  <c r="H31" i="31" s="1"/>
  <c r="Y31" i="22"/>
  <c r="AB31" i="22" s="1"/>
  <c r="AE31" i="22" s="1"/>
  <c r="J31" i="31" s="1"/>
  <c r="T43" i="29"/>
  <c r="U43" i="29" s="1"/>
  <c r="V43" i="29" s="1"/>
  <c r="M43" i="31" s="1"/>
  <c r="Y3" i="22"/>
  <c r="AB3" i="22" s="1"/>
  <c r="AE3" i="22" s="1"/>
  <c r="J3" i="31" s="1"/>
  <c r="T41" i="29"/>
  <c r="U41" i="29" s="1"/>
  <c r="V41" i="29" s="1"/>
  <c r="M41" i="31" s="1"/>
  <c r="AR27" i="21"/>
  <c r="AU27" i="21" s="1"/>
  <c r="AX27" i="21" s="1"/>
  <c r="F27" i="31" s="1"/>
  <c r="AQ64" i="21"/>
  <c r="AT64" i="21" s="1"/>
  <c r="AW64" i="21" s="1"/>
  <c r="E64" i="31" s="1"/>
  <c r="AQ37" i="21"/>
  <c r="AT37" i="21" s="1"/>
  <c r="AW37" i="21" s="1"/>
  <c r="E37" i="31" s="1"/>
  <c r="AQ65" i="21"/>
  <c r="AT65" i="21" s="1"/>
  <c r="AW65" i="21" s="1"/>
  <c r="E65" i="31" s="1"/>
  <c r="Q42" i="29"/>
  <c r="R42" i="29" s="1"/>
  <c r="S42" i="29" s="1"/>
  <c r="L42" i="31" s="1"/>
  <c r="AR37" i="21"/>
  <c r="AU37" i="21" s="1"/>
  <c r="AX37" i="21" s="1"/>
  <c r="F37" i="31" s="1"/>
  <c r="Q65" i="29"/>
  <c r="R65" i="29" s="1"/>
  <c r="S65" i="29" s="1"/>
  <c r="L65" i="31" s="1"/>
  <c r="T48" i="29"/>
  <c r="U48" i="29" s="1"/>
  <c r="V48" i="29" s="1"/>
  <c r="M48" i="31" s="1"/>
  <c r="Q48" i="29"/>
  <c r="R48" i="29" s="1"/>
  <c r="S48" i="29" s="1"/>
  <c r="L48" i="31" s="1"/>
  <c r="Y48" i="22"/>
  <c r="AB48" i="22" s="1"/>
  <c r="AE48" i="22" s="1"/>
  <c r="J48" i="31" s="1"/>
  <c r="Z48" i="22"/>
  <c r="AC48" i="22" s="1"/>
  <c r="H48" i="31" s="1"/>
  <c r="AQ50" i="21"/>
  <c r="AT50" i="21" s="1"/>
  <c r="AW50" i="21" s="1"/>
  <c r="E50" i="31" s="1"/>
  <c r="Z56" i="22"/>
  <c r="AC56" i="22" s="1"/>
  <c r="H56" i="31" s="1"/>
  <c r="Y56" i="22"/>
  <c r="AB56" i="22" s="1"/>
  <c r="AE56" i="22" s="1"/>
  <c r="J56" i="31" s="1"/>
  <c r="Q56" i="29"/>
  <c r="R56" i="29" s="1"/>
  <c r="S56" i="29" s="1"/>
  <c r="L56" i="31" s="1"/>
  <c r="AQ45" i="21"/>
  <c r="AR6" i="21"/>
  <c r="Y29" i="22"/>
  <c r="AB29" i="22" s="1"/>
  <c r="AE29" i="22" s="1"/>
  <c r="J29" i="31" s="1"/>
  <c r="Q29" i="29"/>
  <c r="R29" i="29" s="1"/>
  <c r="S29" i="29" s="1"/>
  <c r="L29" i="31" s="1"/>
  <c r="T38" i="29"/>
  <c r="U38" i="29" s="1"/>
  <c r="V38" i="29" s="1"/>
  <c r="M38" i="31" s="1"/>
  <c r="Z30" i="22"/>
  <c r="AC30" i="22" s="1"/>
  <c r="H30" i="31" s="1"/>
  <c r="Y30" i="22"/>
  <c r="AB30" i="22" s="1"/>
  <c r="AE30" i="22" s="1"/>
  <c r="J30" i="31" s="1"/>
  <c r="T30" i="29"/>
  <c r="U30" i="29" s="1"/>
  <c r="V30" i="29" s="1"/>
  <c r="M30" i="31" s="1"/>
  <c r="O33" i="29"/>
  <c r="P33" i="29" s="1"/>
  <c r="K33" i="31" s="1"/>
  <c r="T33" i="29"/>
  <c r="U33" i="29" s="1"/>
  <c r="V33" i="29" s="1"/>
  <c r="M33" i="31" s="1"/>
  <c r="Y59" i="22"/>
  <c r="AB59" i="22" s="1"/>
  <c r="AE59" i="22" s="1"/>
  <c r="J59" i="31" s="1"/>
  <c r="T59" i="29"/>
  <c r="U59" i="29" s="1"/>
  <c r="V59" i="29" s="1"/>
  <c r="M59" i="31" s="1"/>
  <c r="Q59" i="29"/>
  <c r="R59" i="29" s="1"/>
  <c r="S59" i="29" s="1"/>
  <c r="L59" i="31" s="1"/>
  <c r="Z59" i="22"/>
  <c r="AC59" i="22" s="1"/>
  <c r="H59" i="31" s="1"/>
  <c r="Z57" i="22"/>
  <c r="AC57" i="22" s="1"/>
  <c r="H57" i="31" s="1"/>
  <c r="Y57" i="22"/>
  <c r="AB57" i="22" s="1"/>
  <c r="AE57" i="22" s="1"/>
  <c r="J57" i="31" s="1"/>
  <c r="Q57" i="29"/>
  <c r="R57" i="29" s="1"/>
  <c r="S57" i="29" s="1"/>
  <c r="L57" i="31" s="1"/>
  <c r="T57" i="29"/>
  <c r="U57" i="29" s="1"/>
  <c r="V57" i="29" s="1"/>
  <c r="M57" i="31" s="1"/>
  <c r="Q33" i="29"/>
  <c r="R33" i="29" s="1"/>
  <c r="S33" i="29" s="1"/>
  <c r="L33" i="31" s="1"/>
  <c r="AR44" i="21"/>
  <c r="AQ43" i="21"/>
  <c r="Q12" i="29"/>
  <c r="R12" i="29" s="1"/>
  <c r="S12" i="29" s="1"/>
  <c r="L12" i="31" s="1"/>
  <c r="Z37" i="22"/>
  <c r="AC37" i="22" s="1"/>
  <c r="H37" i="31" s="1"/>
  <c r="Y37" i="22"/>
  <c r="AB37" i="22" s="1"/>
  <c r="AE37" i="22" s="1"/>
  <c r="J37" i="31" s="1"/>
  <c r="Q37" i="29"/>
  <c r="R37" i="29" s="1"/>
  <c r="S37" i="29" s="1"/>
  <c r="L37" i="31" s="1"/>
  <c r="T37" i="29"/>
  <c r="U37" i="29" s="1"/>
  <c r="Q45" i="29"/>
  <c r="R45" i="29" s="1"/>
  <c r="S45" i="29" s="1"/>
  <c r="L45" i="31" s="1"/>
  <c r="Y45" i="22"/>
  <c r="AB45" i="22" s="1"/>
  <c r="AE45" i="22" s="1"/>
  <c r="J45" i="31" s="1"/>
  <c r="Z45" i="22"/>
  <c r="AC45" i="22" s="1"/>
  <c r="H45" i="31" s="1"/>
  <c r="T45" i="29"/>
  <c r="U45" i="29" s="1"/>
  <c r="Z35" i="22"/>
  <c r="AC35" i="22" s="1"/>
  <c r="H35" i="31" s="1"/>
  <c r="T35" i="29"/>
  <c r="U35" i="29" s="1"/>
  <c r="Q35" i="29"/>
  <c r="R35" i="29" s="1"/>
  <c r="S35" i="29" s="1"/>
  <c r="L35" i="31" s="1"/>
  <c r="Y35" i="22"/>
  <c r="AB35" i="22" s="1"/>
  <c r="AE35" i="22" s="1"/>
  <c r="J35" i="31" s="1"/>
  <c r="Q8" i="29"/>
  <c r="R8" i="29" s="1"/>
  <c r="S8" i="29" s="1"/>
  <c r="L8" i="31" s="1"/>
  <c r="T8" i="29"/>
  <c r="U8" i="29" s="1"/>
  <c r="Y8" i="22"/>
  <c r="AB8" i="22" s="1"/>
  <c r="AE8" i="22" s="1"/>
  <c r="J8" i="31" s="1"/>
  <c r="Z8" i="22"/>
  <c r="AC8" i="22" s="1"/>
  <c r="H8" i="31" s="1"/>
  <c r="Z3" i="22"/>
  <c r="AC3" i="22" s="1"/>
  <c r="H3" i="31" s="1"/>
  <c r="T9" i="29"/>
  <c r="U9" i="29" s="1"/>
  <c r="Q9" i="29"/>
  <c r="R9" i="29" s="1"/>
  <c r="S9" i="29" s="1"/>
  <c r="L9" i="31" s="1"/>
  <c r="Z9" i="22"/>
  <c r="AC9" i="22" s="1"/>
  <c r="H9" i="31" s="1"/>
  <c r="Y9" i="22"/>
  <c r="AB9" i="22" s="1"/>
  <c r="AE9" i="22" s="1"/>
  <c r="J9" i="31" s="1"/>
  <c r="T60" i="29"/>
  <c r="U60" i="29" s="1"/>
  <c r="V60" i="29" s="1"/>
  <c r="M60" i="31" s="1"/>
  <c r="Y60" i="22"/>
  <c r="AB60" i="22" s="1"/>
  <c r="AE60" i="22" s="1"/>
  <c r="J60" i="31" s="1"/>
  <c r="Q60" i="29"/>
  <c r="R60" i="29" s="1"/>
  <c r="S60" i="29" s="1"/>
  <c r="L60" i="31" s="1"/>
  <c r="Z60" i="22"/>
  <c r="AC60" i="22" s="1"/>
  <c r="H60" i="31" s="1"/>
  <c r="AS57" i="21" l="1"/>
  <c r="AV57" i="21" s="1"/>
  <c r="AY57" i="21" s="1"/>
  <c r="G57" i="31" s="1"/>
  <c r="AU63" i="21"/>
  <c r="AX63" i="21" s="1"/>
  <c r="F63" i="31" s="1"/>
  <c r="AS64" i="21"/>
  <c r="AV64" i="21" s="1"/>
  <c r="AY64" i="21" s="1"/>
  <c r="G64" i="31" s="1"/>
  <c r="AS60" i="21"/>
  <c r="AV60" i="21" s="1"/>
  <c r="O60" i="31" s="1"/>
  <c r="P60" i="31" s="1"/>
  <c r="AS59" i="21"/>
  <c r="AV59" i="21" s="1"/>
  <c r="O59" i="31" s="1"/>
  <c r="P59" i="31" s="1"/>
  <c r="AS58" i="21"/>
  <c r="AV58" i="21" s="1"/>
  <c r="AY58" i="21" s="1"/>
  <c r="G58" i="31" s="1"/>
  <c r="AU59" i="21"/>
  <c r="AX59" i="21" s="1"/>
  <c r="F59" i="31" s="1"/>
  <c r="AS7" i="21"/>
  <c r="AV7" i="21" s="1"/>
  <c r="AY7" i="21" s="1"/>
  <c r="G7" i="31" s="1"/>
  <c r="AS3" i="21"/>
  <c r="AV3" i="21" s="1"/>
  <c r="AY3" i="21" s="1"/>
  <c r="G3" i="31" s="1"/>
  <c r="AU57" i="21"/>
  <c r="AX57" i="21" s="1"/>
  <c r="F57" i="31" s="1"/>
  <c r="AS13" i="21"/>
  <c r="AV13" i="21" s="1"/>
  <c r="AY13" i="21" s="1"/>
  <c r="G13" i="31" s="1"/>
  <c r="AS65" i="21"/>
  <c r="AV65" i="21" s="1"/>
  <c r="AY65" i="21" s="1"/>
  <c r="G65" i="31" s="1"/>
  <c r="V37" i="29"/>
  <c r="M37" i="31" s="1"/>
  <c r="AU60" i="21"/>
  <c r="AX60" i="21" s="1"/>
  <c r="F60" i="31" s="1"/>
  <c r="AS38" i="21"/>
  <c r="AV38" i="21" s="1"/>
  <c r="AY38" i="21" s="1"/>
  <c r="G38" i="31" s="1"/>
  <c r="AS35" i="21"/>
  <c r="AV35" i="21" s="1"/>
  <c r="AY35" i="21" s="1"/>
  <c r="G35" i="31" s="1"/>
  <c r="AU35" i="21"/>
  <c r="AX35" i="21" s="1"/>
  <c r="F35" i="31" s="1"/>
  <c r="AS51" i="21"/>
  <c r="AV51" i="21" s="1"/>
  <c r="AY51" i="21" s="1"/>
  <c r="G51" i="31" s="1"/>
  <c r="AS52" i="21"/>
  <c r="AV52" i="21" s="1"/>
  <c r="AY52" i="21" s="1"/>
  <c r="G52" i="31" s="1"/>
  <c r="AS56" i="21"/>
  <c r="AV56" i="21" s="1"/>
  <c r="O56" i="31" s="1"/>
  <c r="P56" i="31" s="1"/>
  <c r="AU58" i="21"/>
  <c r="AX58" i="21" s="1"/>
  <c r="F58" i="31" s="1"/>
  <c r="AS12" i="21"/>
  <c r="AV12" i="21" s="1"/>
  <c r="AY12" i="21" s="1"/>
  <c r="G12" i="31" s="1"/>
  <c r="AU12" i="21"/>
  <c r="AX12" i="21" s="1"/>
  <c r="F12" i="31" s="1"/>
  <c r="AS8" i="21"/>
  <c r="AV8" i="21" s="1"/>
  <c r="AY8" i="21" s="1"/>
  <c r="G8" i="31" s="1"/>
  <c r="AS14" i="21"/>
  <c r="AV14" i="21" s="1"/>
  <c r="AY14" i="21" s="1"/>
  <c r="G14" i="31" s="1"/>
  <c r="AS49" i="21"/>
  <c r="AV49" i="21" s="1"/>
  <c r="O49" i="31" s="1"/>
  <c r="P49" i="31" s="1"/>
  <c r="AS9" i="21"/>
  <c r="AV9" i="21" s="1"/>
  <c r="AY9" i="21" s="1"/>
  <c r="G9" i="31" s="1"/>
  <c r="AS33" i="21"/>
  <c r="AV33" i="21" s="1"/>
  <c r="AY33" i="21" s="1"/>
  <c r="G33" i="31" s="1"/>
  <c r="AS34" i="21"/>
  <c r="AV34" i="21" s="1"/>
  <c r="AY34" i="21" s="1"/>
  <c r="G34" i="31" s="1"/>
  <c r="AU56" i="21"/>
  <c r="AX56" i="21" s="1"/>
  <c r="F56" i="31" s="1"/>
  <c r="AS30" i="21"/>
  <c r="AV30" i="21" s="1"/>
  <c r="AY30" i="21" s="1"/>
  <c r="G30" i="31" s="1"/>
  <c r="AS29" i="21"/>
  <c r="AV29" i="21" s="1"/>
  <c r="O29" i="31" s="1"/>
  <c r="P29" i="31" s="1"/>
  <c r="AS50" i="21"/>
  <c r="AV50" i="21" s="1"/>
  <c r="AY50" i="21" s="1"/>
  <c r="G50" i="31" s="1"/>
  <c r="AS11" i="21"/>
  <c r="AV11" i="21" s="1"/>
  <c r="AU64" i="21"/>
  <c r="AX64" i="21" s="1"/>
  <c r="F64" i="31" s="1"/>
  <c r="AS42" i="21"/>
  <c r="AV42" i="21" s="1"/>
  <c r="AY42" i="21" s="1"/>
  <c r="G42" i="31" s="1"/>
  <c r="AS31" i="21"/>
  <c r="AV31" i="21" s="1"/>
  <c r="AY31" i="21" s="1"/>
  <c r="G31" i="31" s="1"/>
  <c r="V3" i="29"/>
  <c r="M3" i="31" s="1"/>
  <c r="AU38" i="21"/>
  <c r="AX38" i="21" s="1"/>
  <c r="F38" i="31" s="1"/>
  <c r="AS63" i="21"/>
  <c r="AV63" i="21" s="1"/>
  <c r="AY63" i="21" s="1"/>
  <c r="G63" i="31" s="1"/>
  <c r="AS48" i="21"/>
  <c r="AV48" i="21" s="1"/>
  <c r="O48" i="31" s="1"/>
  <c r="P48" i="31" s="1"/>
  <c r="AS53" i="21"/>
  <c r="AV53" i="21" s="1"/>
  <c r="AS55" i="21"/>
  <c r="AV55" i="21" s="1"/>
  <c r="O55" i="31" s="1"/>
  <c r="P55" i="31" s="1"/>
  <c r="AS54" i="21"/>
  <c r="AV54" i="21" s="1"/>
  <c r="AU28" i="21"/>
  <c r="AX28" i="21" s="1"/>
  <c r="F28" i="31" s="1"/>
  <c r="AS28" i="21"/>
  <c r="AV28" i="21" s="1"/>
  <c r="AU9" i="21"/>
  <c r="AX9" i="21" s="1"/>
  <c r="F9" i="31" s="1"/>
  <c r="AS27" i="21"/>
  <c r="AV27" i="21" s="1"/>
  <c r="AS41" i="21"/>
  <c r="AV41" i="21" s="1"/>
  <c r="AU41" i="21"/>
  <c r="AX41" i="21" s="1"/>
  <c r="F41" i="31" s="1"/>
  <c r="AS37" i="21"/>
  <c r="AV37" i="21" s="1"/>
  <c r="AY37" i="21" s="1"/>
  <c r="G37" i="31" s="1"/>
  <c r="AU6" i="21"/>
  <c r="AX6" i="21" s="1"/>
  <c r="F6" i="31" s="1"/>
  <c r="AS6" i="21"/>
  <c r="AV6" i="21" s="1"/>
  <c r="AT45" i="21"/>
  <c r="AW45" i="21" s="1"/>
  <c r="E45" i="31" s="1"/>
  <c r="AS45" i="21"/>
  <c r="AV45" i="21" s="1"/>
  <c r="AY45" i="21" s="1"/>
  <c r="G45" i="31" s="1"/>
  <c r="AS44" i="21"/>
  <c r="AV44" i="21" s="1"/>
  <c r="AU44" i="21"/>
  <c r="AX44" i="21" s="1"/>
  <c r="F44" i="31" s="1"/>
  <c r="AT43" i="21"/>
  <c r="AW43" i="21" s="1"/>
  <c r="E43" i="31" s="1"/>
  <c r="AS43" i="21"/>
  <c r="AV43" i="21" s="1"/>
  <c r="V35" i="29"/>
  <c r="M35" i="31" s="1"/>
  <c r="V45" i="29"/>
  <c r="M45" i="31" s="1"/>
  <c r="V9" i="29"/>
  <c r="M9" i="31" s="1"/>
  <c r="V8" i="29"/>
  <c r="M8" i="31" s="1"/>
  <c r="O38" i="31" l="1"/>
  <c r="P38" i="31" s="1"/>
  <c r="AY60" i="21"/>
  <c r="G60" i="31" s="1"/>
  <c r="O57" i="31"/>
  <c r="P57" i="31" s="1"/>
  <c r="O64" i="31"/>
  <c r="P64" i="31" s="1"/>
  <c r="O58" i="31"/>
  <c r="P58" i="31" s="1"/>
  <c r="AY59" i="21"/>
  <c r="G59" i="31" s="1"/>
  <c r="O3" i="31"/>
  <c r="P3" i="31" s="1"/>
  <c r="O12" i="31"/>
  <c r="P12" i="31" s="1"/>
  <c r="O65" i="31"/>
  <c r="P65" i="31" s="1"/>
  <c r="AY29" i="21"/>
  <c r="G29" i="31" s="1"/>
  <c r="O33" i="31"/>
  <c r="P33" i="31" s="1"/>
  <c r="O7" i="31"/>
  <c r="P7" i="31" s="1"/>
  <c r="O51" i="31"/>
  <c r="P51" i="31" s="1"/>
  <c r="O13" i="31"/>
  <c r="P13" i="31" s="1"/>
  <c r="O37" i="31"/>
  <c r="P37" i="31" s="1"/>
  <c r="O35" i="31"/>
  <c r="P35" i="31" s="1"/>
  <c r="O52" i="31"/>
  <c r="P52" i="31" s="1"/>
  <c r="O14" i="31"/>
  <c r="P14" i="31" s="1"/>
  <c r="O8" i="31"/>
  <c r="P8" i="31" s="1"/>
  <c r="O9" i="31"/>
  <c r="P9" i="31" s="1"/>
  <c r="AY56" i="21"/>
  <c r="G56" i="31" s="1"/>
  <c r="AY48" i="21"/>
  <c r="G48" i="31" s="1"/>
  <c r="AY49" i="21"/>
  <c r="G49" i="31" s="1"/>
  <c r="O34" i="31"/>
  <c r="P34" i="31" s="1"/>
  <c r="O63" i="31"/>
  <c r="P63" i="31" s="1"/>
  <c r="AY55" i="21"/>
  <c r="G55" i="31" s="1"/>
  <c r="AY11" i="21"/>
  <c r="G11" i="31" s="1"/>
  <c r="O11" i="31"/>
  <c r="P11" i="31" s="1"/>
  <c r="O31" i="31"/>
  <c r="P31" i="31" s="1"/>
  <c r="O42" i="31"/>
  <c r="P42" i="31" s="1"/>
  <c r="O30" i="31"/>
  <c r="P30" i="31" s="1"/>
  <c r="O50" i="31"/>
  <c r="P50" i="31" s="1"/>
  <c r="AY53" i="21"/>
  <c r="G53" i="31" s="1"/>
  <c r="O53" i="31"/>
  <c r="P53" i="31" s="1"/>
  <c r="O54" i="31"/>
  <c r="P54" i="31" s="1"/>
  <c r="AY54" i="21"/>
  <c r="G54" i="31" s="1"/>
  <c r="AY28" i="21"/>
  <c r="G28" i="31" s="1"/>
  <c r="O28" i="31"/>
  <c r="P28" i="31" s="1"/>
  <c r="AY27" i="21"/>
  <c r="G27" i="31" s="1"/>
  <c r="O27" i="31"/>
  <c r="P27" i="31" s="1"/>
  <c r="O45" i="31"/>
  <c r="P45" i="31" s="1"/>
  <c r="O41" i="31"/>
  <c r="P41" i="31" s="1"/>
  <c r="AY41" i="21"/>
  <c r="G41" i="31" s="1"/>
  <c r="AY6" i="21"/>
  <c r="G6" i="31" s="1"/>
  <c r="O6" i="31"/>
  <c r="P6" i="31" s="1"/>
  <c r="AY44" i="21"/>
  <c r="G44" i="31" s="1"/>
  <c r="O44" i="31"/>
  <c r="P44" i="31" s="1"/>
  <c r="AY43" i="21"/>
  <c r="G43" i="31" s="1"/>
  <c r="O43" i="31"/>
  <c r="P43" i="31" s="1"/>
</calcChain>
</file>

<file path=xl/sharedStrings.xml><?xml version="1.0" encoding="utf-8"?>
<sst xmlns="http://schemas.openxmlformats.org/spreadsheetml/2006/main" count="811" uniqueCount="267">
  <si>
    <t>Nij</t>
  </si>
  <si>
    <t>P(head)</t>
  </si>
  <si>
    <t>P(Nij)</t>
  </si>
  <si>
    <t>P(chest)</t>
  </si>
  <si>
    <t>P(femur)</t>
  </si>
  <si>
    <t>P(Ntension)</t>
  </si>
  <si>
    <t>P(Neck)</t>
  </si>
  <si>
    <t>p(AIS 3+)</t>
  </si>
  <si>
    <t>P(AIS3+)</t>
  </si>
  <si>
    <t>Average</t>
  </si>
  <si>
    <t>Lower Spine (G's)</t>
  </si>
  <si>
    <t>Abd'm Force (N)</t>
  </si>
  <si>
    <t>Pubic Force (N)</t>
  </si>
  <si>
    <t>Driver</t>
  </si>
  <si>
    <t>P(abdm)</t>
  </si>
  <si>
    <t>P(pelvs)</t>
  </si>
  <si>
    <t>Passenger</t>
  </si>
  <si>
    <t>P(AIS 3+)</t>
  </si>
  <si>
    <t>rollover</t>
  </si>
  <si>
    <t>Make</t>
  </si>
  <si>
    <t>Model</t>
  </si>
  <si>
    <t>Year</t>
  </si>
  <si>
    <t>SSF</t>
  </si>
  <si>
    <t>P(Lfemur)</t>
  </si>
  <si>
    <t>P(Rfemur)</t>
  </si>
  <si>
    <t>HIC15</t>
  </si>
  <si>
    <t>P(HIC15)</t>
  </si>
  <si>
    <t>Test No.</t>
  </si>
  <si>
    <t>Driver HIII 50M</t>
  </si>
  <si>
    <t>Front Passenger HIII 5F</t>
  </si>
  <si>
    <t>Driver AIS 3+ injury to different body regions</t>
  </si>
  <si>
    <t>Front Passenger AIS 3+ injury to different body regions</t>
  </si>
  <si>
    <t>Stars</t>
  </si>
  <si>
    <t>Rib Defl
(mm)</t>
  </si>
  <si>
    <t>Neck Tension N</t>
  </si>
  <si>
    <t>Chest Deflection mm</t>
  </si>
  <si>
    <t>3 ms clip gs</t>
  </si>
  <si>
    <t>Left Femur Force N</t>
  </si>
  <si>
    <t>Right Femur Force N</t>
  </si>
  <si>
    <t>Abd'm defl (mm)</t>
  </si>
  <si>
    <t>Iliac+acet Force (N)</t>
  </si>
  <si>
    <t>Driver ES-2re</t>
  </si>
  <si>
    <t>Rear Passenger SID-IIs</t>
  </si>
  <si>
    <t>Driver Es-2re</t>
  </si>
  <si>
    <t>Side MDB</t>
  </si>
  <si>
    <t>stars</t>
  </si>
  <si>
    <t>Side pole</t>
  </si>
  <si>
    <t>Driver SID-IIs</t>
  </si>
  <si>
    <t>P(roll)</t>
  </si>
  <si>
    <t>Combined</t>
  </si>
  <si>
    <t>Front (STARS)</t>
  </si>
  <si>
    <t>comb.</t>
  </si>
  <si>
    <t>Side MDB (STARS)</t>
  </si>
  <si>
    <t>Pass</t>
  </si>
  <si>
    <t>Comb.</t>
  </si>
  <si>
    <t>Side Pole (STARS)</t>
  </si>
  <si>
    <t>Rollover (STARS)</t>
  </si>
  <si>
    <t>VSS</t>
  </si>
  <si>
    <t>STARS</t>
  </si>
  <si>
    <t>HIC36</t>
  </si>
  <si>
    <t>Overall Side</t>
  </si>
  <si>
    <t>Overall Side Star</t>
  </si>
  <si>
    <t>Neck Comprsn N</t>
  </si>
  <si>
    <t>P(Ncomprsn)</t>
  </si>
  <si>
    <t>P(NComprsn)</t>
  </si>
  <si>
    <t>RRS (front)</t>
  </si>
  <si>
    <t>RRS (MDB)</t>
  </si>
  <si>
    <t>RRS(pole)</t>
  </si>
  <si>
    <t>RRS(roll)</t>
  </si>
  <si>
    <t>Passenger*</t>
  </si>
  <si>
    <t>Dynamic Test (Y or N)</t>
  </si>
  <si>
    <t>TIP UP? (Y or N)</t>
  </si>
  <si>
    <t>Max. Abd'm rib defl (mm)</t>
  </si>
  <si>
    <t>Max. Thor. rib defl
(mm)</t>
  </si>
  <si>
    <t>Lower Spine result. (G's)</t>
  </si>
  <si>
    <t>Date on Web</t>
  </si>
  <si>
    <t>Lab</t>
  </si>
  <si>
    <t xml:space="preserve">RRS </t>
  </si>
  <si>
    <t>RRS(Overall side)</t>
  </si>
  <si>
    <t>P(Overall side)</t>
  </si>
  <si>
    <t>P(Overall MDB+pole Driver)</t>
  </si>
  <si>
    <t>RRS(Overall MDB+pole Driver)</t>
  </si>
  <si>
    <t>overall Driver stars</t>
  </si>
  <si>
    <t>Overall Side stars</t>
  </si>
  <si>
    <t>NHTSA No.</t>
  </si>
  <si>
    <t>Honda</t>
  </si>
  <si>
    <t>N</t>
  </si>
  <si>
    <t>Acura</t>
  </si>
  <si>
    <t>MGA</t>
  </si>
  <si>
    <t>O20195302</t>
  </si>
  <si>
    <t>O20195301</t>
  </si>
  <si>
    <t>Audi</t>
  </si>
  <si>
    <t>BMW</t>
  </si>
  <si>
    <t>Cadillac</t>
  </si>
  <si>
    <t>Chevrolet</t>
  </si>
  <si>
    <t>RDX SUV FWD</t>
  </si>
  <si>
    <t>X5 SUV AWD</t>
  </si>
  <si>
    <t>X3 SUV AWD</t>
  </si>
  <si>
    <t>X3 SUV RWD</t>
  </si>
  <si>
    <t>XT4 SUV FWD</t>
  </si>
  <si>
    <t>XT4 SUV AWD</t>
  </si>
  <si>
    <t>RDX SUV AWD</t>
  </si>
  <si>
    <t>GMC</t>
  </si>
  <si>
    <t>Silverado 2500 PU/EC RWD</t>
  </si>
  <si>
    <t>Silverado 2500 PU/EC 4WD</t>
  </si>
  <si>
    <t>Sierra 2500 PU/EC RWD</t>
  </si>
  <si>
    <t>Sierra 2500 PU/EC 4WD</t>
  </si>
  <si>
    <t>Dodge</t>
  </si>
  <si>
    <t>Grand Caravan Minivan FWD</t>
  </si>
  <si>
    <t>Ford</t>
  </si>
  <si>
    <t>Edge SUV FWD</t>
  </si>
  <si>
    <t>Edge SUV AWD</t>
  </si>
  <si>
    <t>Lincoln</t>
  </si>
  <si>
    <t>Nautilus SUV FWD</t>
  </si>
  <si>
    <t>Nautilus SUV AWD</t>
  </si>
  <si>
    <t>F-250 Crew Cab PU/CC 2WD</t>
  </si>
  <si>
    <t>F-250 Crew Cab PU/CC 4WD</t>
  </si>
  <si>
    <t>Insight 4DR FWD</t>
  </si>
  <si>
    <t>Hyundai</t>
  </si>
  <si>
    <t>Kona SUV FWD</t>
  </si>
  <si>
    <t>Kona SUV AWD</t>
  </si>
  <si>
    <t>Santa Fe SUV FWD</t>
  </si>
  <si>
    <t>Santa Fe SUV AWD</t>
  </si>
  <si>
    <t>Infiniti</t>
  </si>
  <si>
    <t>Jeep</t>
  </si>
  <si>
    <t>Cherokee SUV FWD</t>
  </si>
  <si>
    <t>Cherokee SUV 4WD</t>
  </si>
  <si>
    <t>Wrangler Unlimited SUV 4WD</t>
  </si>
  <si>
    <t>Kia</t>
  </si>
  <si>
    <t>Forte 4DR FWD</t>
  </si>
  <si>
    <t xml:space="preserve">Lexus </t>
  </si>
  <si>
    <t>ES 350 4DR FWD</t>
  </si>
  <si>
    <t>ES 300h 4DR FWD</t>
  </si>
  <si>
    <t>Nissan</t>
  </si>
  <si>
    <t>Armada SUV RWD</t>
  </si>
  <si>
    <t>Armada SUV AWD</t>
  </si>
  <si>
    <t>QX80 SUV RWD</t>
  </si>
  <si>
    <t>QX80 SUV AWD</t>
  </si>
  <si>
    <t>Frontier Crew Cab PU/CC RWD</t>
  </si>
  <si>
    <t>Frontier Crew Cab PU/CC AWD</t>
  </si>
  <si>
    <t>Kicks SUV FWD</t>
  </si>
  <si>
    <t>Murano SUV FWD</t>
  </si>
  <si>
    <t>Murano SUV AWD</t>
  </si>
  <si>
    <t>Versa 4DR FWD</t>
  </si>
  <si>
    <t>Ram</t>
  </si>
  <si>
    <t>1500 Classic Quad Cab PU/EC 4WD</t>
  </si>
  <si>
    <t>1500 Classic Quad Cab PU/EC 2WD</t>
  </si>
  <si>
    <t>1500 Classic Regular Cab PU/RC 2WD</t>
  </si>
  <si>
    <t>1500 Classic Regular Cab PU/RC 4WD</t>
  </si>
  <si>
    <t>Subaru</t>
  </si>
  <si>
    <t>Ascent SUV AWD</t>
  </si>
  <si>
    <t>Forester SUV AWD</t>
  </si>
  <si>
    <t>Toyota</t>
  </si>
  <si>
    <t>C-HR 5HB FWD</t>
  </si>
  <si>
    <t>Corolla 5HB FWD</t>
  </si>
  <si>
    <t xml:space="preserve">Volkswagen </t>
  </si>
  <si>
    <t>Jetta 4DR FWD</t>
  </si>
  <si>
    <t>Y</t>
  </si>
  <si>
    <t>M20150104</t>
  </si>
  <si>
    <t>M20150105</t>
  </si>
  <si>
    <t>TRC</t>
  </si>
  <si>
    <t>M20185202</t>
  </si>
  <si>
    <t>CAL</t>
  </si>
  <si>
    <t>KARCO</t>
  </si>
  <si>
    <t>M20185201</t>
  </si>
  <si>
    <t>Calspan</t>
  </si>
  <si>
    <t>M20175200</t>
  </si>
  <si>
    <t>M20185208</t>
  </si>
  <si>
    <t>MC0303</t>
  </si>
  <si>
    <t>M20185105</t>
  </si>
  <si>
    <t>M20185104</t>
  </si>
  <si>
    <t>M20185207</t>
  </si>
  <si>
    <t>O20195304</t>
  </si>
  <si>
    <t>O20195305</t>
  </si>
  <si>
    <t>O20195303</t>
  </si>
  <si>
    <t>O20195504</t>
  </si>
  <si>
    <t>M20140303</t>
  </si>
  <si>
    <t>O20195505</t>
  </si>
  <si>
    <t>O20195503</t>
  </si>
  <si>
    <t>M20190112</t>
  </si>
  <si>
    <t>Q8 SUV AWD</t>
  </si>
  <si>
    <t>M20195100</t>
  </si>
  <si>
    <t>M20190314</t>
  </si>
  <si>
    <t>N/A</t>
  </si>
  <si>
    <t>O20195306</t>
  </si>
  <si>
    <t>M20190313</t>
  </si>
  <si>
    <t>Silverado 2500 PU/RC RWD</t>
  </si>
  <si>
    <t>Silverado 2500 PU/RC 4WD</t>
  </si>
  <si>
    <t>Sierra 2500 PU/RC RWD</t>
  </si>
  <si>
    <t>Sierra 2500 PU/RC 4WD</t>
  </si>
  <si>
    <t>M20190307</t>
  </si>
  <si>
    <t>M20195205</t>
  </si>
  <si>
    <t>M20195203</t>
  </si>
  <si>
    <t>M20195204</t>
  </si>
  <si>
    <t>M20195212</t>
  </si>
  <si>
    <t>O20195501</t>
  </si>
  <si>
    <t>M20150108</t>
  </si>
  <si>
    <t>M20150107</t>
  </si>
  <si>
    <t xml:space="preserve">GMC </t>
  </si>
  <si>
    <t>Suburban 1500 SUV RWD</t>
  </si>
  <si>
    <t>Suburban 1500 SUV 4WD</t>
  </si>
  <si>
    <t>Yukon XL 1500 SUV RWD</t>
  </si>
  <si>
    <t>Yukon XL 1500 SUV 4WD</t>
  </si>
  <si>
    <t>Tahoe SUV RWD</t>
  </si>
  <si>
    <t>Tahoe SUV 4WD</t>
  </si>
  <si>
    <t>Yukon SUV RWD</t>
  </si>
  <si>
    <t>Yukon SUV 4WD</t>
  </si>
  <si>
    <t>M20150111</t>
  </si>
  <si>
    <t>Data lost</t>
  </si>
  <si>
    <t>M20150110</t>
  </si>
  <si>
    <t>Avalon 4DR FWD</t>
  </si>
  <si>
    <t>Avalon Hybrid 4DR FWD</t>
  </si>
  <si>
    <t>O20195502</t>
  </si>
  <si>
    <t>M20190303</t>
  </si>
  <si>
    <t>M20190304</t>
  </si>
  <si>
    <t>M20194203</t>
  </si>
  <si>
    <t>M20194204</t>
  </si>
  <si>
    <t>M20194103</t>
  </si>
  <si>
    <t>M20194205</t>
  </si>
  <si>
    <t>M20194104</t>
  </si>
  <si>
    <t>M20194105</t>
  </si>
  <si>
    <t>O20195101</t>
  </si>
  <si>
    <t>O20195100</t>
  </si>
  <si>
    <t>O20195102</t>
  </si>
  <si>
    <t>Overall Side Driver Star</t>
  </si>
  <si>
    <t>O20195109</t>
  </si>
  <si>
    <t>O20195108</t>
  </si>
  <si>
    <t>O20195500</t>
  </si>
  <si>
    <t>M20190202</t>
  </si>
  <si>
    <t>Q20190305</t>
  </si>
  <si>
    <t>M20190200</t>
  </si>
  <si>
    <t>M20190201</t>
  </si>
  <si>
    <t>O20195105</t>
  </si>
  <si>
    <t>O20195104</t>
  </si>
  <si>
    <t>O20195106</t>
  </si>
  <si>
    <t>O20195802</t>
  </si>
  <si>
    <t>O20195800</t>
  </si>
  <si>
    <t>M20194201</t>
  </si>
  <si>
    <t>M20194202</t>
  </si>
  <si>
    <t>O20195801</t>
  </si>
  <si>
    <t>O20195107</t>
  </si>
  <si>
    <t>M20195801</t>
  </si>
  <si>
    <t>MC0300</t>
  </si>
  <si>
    <t>M20195802</t>
  </si>
  <si>
    <t>M20194200</t>
  </si>
  <si>
    <t>M20195211</t>
  </si>
  <si>
    <t>M20195210</t>
  </si>
  <si>
    <t>M20195209</t>
  </si>
  <si>
    <t>M20195800</t>
  </si>
  <si>
    <t>O20190102</t>
  </si>
  <si>
    <t>M20194102</t>
  </si>
  <si>
    <t>M20194101</t>
  </si>
  <si>
    <t>M20194207</t>
  </si>
  <si>
    <t>M20194100</t>
  </si>
  <si>
    <t>M20194208</t>
  </si>
  <si>
    <t>M20194206</t>
  </si>
  <si>
    <t>M20195208</t>
  </si>
  <si>
    <t>M20190102</t>
  </si>
  <si>
    <t>M20190100</t>
  </si>
  <si>
    <t>M20190101</t>
  </si>
  <si>
    <t>O20190103</t>
  </si>
  <si>
    <t>M20195207</t>
  </si>
  <si>
    <t>M20190206</t>
  </si>
  <si>
    <t>M20195206</t>
  </si>
  <si>
    <t>M20190207</t>
  </si>
  <si>
    <t>M20190309</t>
  </si>
  <si>
    <t>M20190205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</si>
</sst>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00"/>
    <numFmt numFmtId="165" formatCode="[$-409]d\-mmm;@"/>
    <numFmt numFmtId="167" formatCode="[$-409]mmmm\-yy;@"/>
    <numFmt numFmtId="168" formatCode="_-* #,##0_-;\-* #,##0_-;_-* &quot;-&quot;_-;_-@_-"/>
  </numFmts>
  <fonts count="12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11"/>
      <name val="돋움"/>
      <family val="3"/>
      <charset val="129"/>
    </font>
    <font>
      <sz val="11"/>
      <name val="ＭＳ Ｐゴシック"/>
      <family val="3"/>
      <charset val="128"/>
    </font>
    <font>
      <i/>
      <sz val="8"/>
      <name val="Arial"/>
      <family val="2"/>
    </font>
    <font>
      <b/>
      <i/>
      <sz val="8"/>
      <name val="Arial"/>
      <family val="2"/>
    </font>
    <font>
      <b/>
      <sz val="9"/>
      <name val="Arial"/>
      <family val="2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5" fillId="0" borderId="0"/>
    <xf numFmtId="0" fontId="5" fillId="0" borderId="0"/>
    <xf numFmtId="0" fontId="5" fillId="0" borderId="0"/>
    <xf numFmtId="0" fontId="5" fillId="0" borderId="0"/>
    <xf numFmtId="168" fontId="6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5" fillId="0" borderId="0"/>
    <xf numFmtId="0" fontId="5" fillId="0" borderId="0"/>
    <xf numFmtId="0" fontId="5" fillId="0" borderId="0"/>
  </cellStyleXfs>
  <cellXfs count="257">
    <xf numFmtId="0" fontId="0" fillId="0" borderId="0" xfId="0"/>
    <xf numFmtId="1" fontId="2" fillId="0" borderId="0" xfId="0" applyNumberFormat="1" applyFont="1" applyFill="1" applyAlignment="1">
      <alignment horizontal="center"/>
    </xf>
    <xf numFmtId="1" fontId="2" fillId="0" borderId="0" xfId="0" applyNumberFormat="1" applyFont="1" applyFill="1"/>
    <xf numFmtId="164" fontId="4" fillId="0" borderId="0" xfId="0" applyNumberFormat="1" applyFont="1" applyFill="1" applyBorder="1" applyAlignment="1">
      <alignment horizontal="center"/>
    </xf>
    <xf numFmtId="0" fontId="3" fillId="0" borderId="0" xfId="0" applyFont="1" applyFill="1" applyBorder="1"/>
    <xf numFmtId="164" fontId="4" fillId="0" borderId="0" xfId="0" applyNumberFormat="1" applyFont="1" applyFill="1" applyBorder="1" applyAlignment="1">
      <alignment horizontal="center" wrapText="1"/>
    </xf>
    <xf numFmtId="164" fontId="2" fillId="0" borderId="1" xfId="0" applyNumberFormat="1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164" fontId="3" fillId="0" borderId="0" xfId="0" applyNumberFormat="1" applyFont="1" applyFill="1" applyBorder="1"/>
    <xf numFmtId="0" fontId="4" fillId="0" borderId="1" xfId="0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>
      <alignment horizontal="center"/>
    </xf>
    <xf numFmtId="164" fontId="2" fillId="0" borderId="4" xfId="0" applyNumberFormat="1" applyFont="1" applyFill="1" applyBorder="1" applyAlignment="1" applyProtection="1">
      <alignment horizontal="center"/>
      <protection locked="0"/>
    </xf>
    <xf numFmtId="164" fontId="2" fillId="0" borderId="1" xfId="0" applyNumberFormat="1" applyFont="1" applyFill="1" applyBorder="1" applyAlignment="1" applyProtection="1">
      <alignment horizontal="center"/>
      <protection locked="0"/>
    </xf>
    <xf numFmtId="164" fontId="2" fillId="0" borderId="5" xfId="0" applyNumberFormat="1" applyFont="1" applyFill="1" applyBorder="1" applyAlignment="1" applyProtection="1">
      <alignment horizontal="center"/>
      <protection locked="0"/>
    </xf>
    <xf numFmtId="1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/>
    <xf numFmtId="164" fontId="2" fillId="0" borderId="0" xfId="0" applyNumberFormat="1" applyFont="1" applyFill="1" applyBorder="1" applyAlignment="1">
      <alignment horizontal="center"/>
    </xf>
    <xf numFmtId="0" fontId="5" fillId="0" borderId="0" xfId="0" applyFont="1" applyFill="1" applyBorder="1"/>
    <xf numFmtId="0" fontId="2" fillId="0" borderId="1" xfId="1" applyFont="1" applyFill="1" applyBorder="1" applyAlignment="1" applyProtection="1">
      <alignment horizontal="center"/>
      <protection locked="0"/>
    </xf>
    <xf numFmtId="164" fontId="2" fillId="0" borderId="4" xfId="1" applyNumberFormat="1" applyFont="1" applyFill="1" applyBorder="1" applyAlignment="1" applyProtection="1">
      <alignment horizontal="center"/>
      <protection locked="0"/>
    </xf>
    <xf numFmtId="164" fontId="2" fillId="0" borderId="1" xfId="1" applyNumberFormat="1" applyFont="1" applyFill="1" applyBorder="1" applyAlignment="1" applyProtection="1">
      <alignment horizontal="center"/>
      <protection locked="0"/>
    </xf>
    <xf numFmtId="164" fontId="2" fillId="0" borderId="5" xfId="1" applyNumberFormat="1" applyFont="1" applyFill="1" applyBorder="1" applyAlignment="1" applyProtection="1">
      <alignment horizontal="center"/>
      <protection locked="0"/>
    </xf>
    <xf numFmtId="1" fontId="4" fillId="0" borderId="0" xfId="0" applyNumberFormat="1" applyFont="1" applyFill="1" applyBorder="1" applyAlignment="1">
      <alignment horizontal="center"/>
    </xf>
    <xf numFmtId="0" fontId="4" fillId="0" borderId="0" xfId="0" applyFont="1" applyFill="1" applyBorder="1"/>
    <xf numFmtId="1" fontId="4" fillId="0" borderId="4" xfId="0" applyNumberFormat="1" applyFont="1" applyFill="1" applyBorder="1" applyAlignment="1">
      <alignment horizontal="center"/>
    </xf>
    <xf numFmtId="1" fontId="4" fillId="0" borderId="5" xfId="0" applyNumberFormat="1" applyFont="1" applyFill="1" applyBorder="1" applyAlignment="1">
      <alignment horizontal="center"/>
    </xf>
    <xf numFmtId="164" fontId="2" fillId="0" borderId="4" xfId="0" applyNumberFormat="1" applyFont="1" applyFill="1" applyBorder="1" applyAlignment="1">
      <alignment horizontal="center"/>
    </xf>
    <xf numFmtId="164" fontId="2" fillId="0" borderId="5" xfId="0" applyNumberFormat="1" applyFont="1" applyFill="1" applyBorder="1" applyAlignment="1">
      <alignment horizontal="center"/>
    </xf>
    <xf numFmtId="2" fontId="2" fillId="0" borderId="4" xfId="0" applyNumberFormat="1" applyFont="1" applyFill="1" applyBorder="1" applyAlignment="1">
      <alignment horizontal="center"/>
    </xf>
    <xf numFmtId="2" fontId="2" fillId="0" borderId="5" xfId="0" applyNumberFormat="1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1" fontId="4" fillId="0" borderId="30" xfId="0" applyNumberFormat="1" applyFont="1" applyFill="1" applyBorder="1" applyAlignment="1">
      <alignment horizontal="center"/>
    </xf>
    <xf numFmtId="1" fontId="4" fillId="0" borderId="31" xfId="0" applyNumberFormat="1" applyFont="1" applyFill="1" applyBorder="1" applyAlignment="1">
      <alignment horizontal="center"/>
    </xf>
    <xf numFmtId="1" fontId="4" fillId="0" borderId="32" xfId="0" applyNumberFormat="1" applyFont="1" applyFill="1" applyBorder="1" applyAlignment="1">
      <alignment horizontal="center"/>
    </xf>
    <xf numFmtId="2" fontId="4" fillId="0" borderId="30" xfId="0" applyNumberFormat="1" applyFont="1" applyFill="1" applyBorder="1" applyAlignment="1">
      <alignment horizontal="center"/>
    </xf>
    <xf numFmtId="2" fontId="4" fillId="0" borderId="31" xfId="0" applyNumberFormat="1" applyFont="1" applyFill="1" applyBorder="1" applyAlignment="1">
      <alignment horizontal="center"/>
    </xf>
    <xf numFmtId="2" fontId="4" fillId="0" borderId="32" xfId="0" applyNumberFormat="1" applyFont="1" applyFill="1" applyBorder="1" applyAlignment="1">
      <alignment horizontal="center"/>
    </xf>
    <xf numFmtId="2" fontId="4" fillId="0" borderId="22" xfId="0" applyNumberFormat="1" applyFont="1" applyFill="1" applyBorder="1" applyAlignment="1">
      <alignment horizontal="center"/>
    </xf>
    <xf numFmtId="2" fontId="4" fillId="0" borderId="23" xfId="0" applyNumberFormat="1" applyFont="1" applyFill="1" applyBorder="1" applyAlignment="1">
      <alignment horizontal="center"/>
    </xf>
    <xf numFmtId="2" fontId="4" fillId="0" borderId="24" xfId="0" applyNumberFormat="1" applyFont="1" applyFill="1" applyBorder="1" applyAlignment="1">
      <alignment horizontal="center"/>
    </xf>
    <xf numFmtId="2" fontId="4" fillId="0" borderId="32" xfId="0" applyNumberFormat="1" applyFont="1" applyFill="1" applyBorder="1" applyAlignment="1">
      <alignment horizontal="center" wrapText="1"/>
    </xf>
    <xf numFmtId="1" fontId="4" fillId="0" borderId="22" xfId="0" applyNumberFormat="1" applyFont="1" applyFill="1" applyBorder="1" applyAlignment="1">
      <alignment horizontal="center"/>
    </xf>
    <xf numFmtId="1" fontId="4" fillId="0" borderId="23" xfId="0" applyNumberFormat="1" applyFont="1" applyFill="1" applyBorder="1" applyAlignment="1">
      <alignment horizontal="center"/>
    </xf>
    <xf numFmtId="1" fontId="4" fillId="0" borderId="24" xfId="0" applyNumberFormat="1" applyFont="1" applyFill="1" applyBorder="1" applyAlignment="1">
      <alignment horizontal="center"/>
    </xf>
    <xf numFmtId="0" fontId="2" fillId="0" borderId="5" xfId="1" applyFont="1" applyFill="1" applyBorder="1" applyAlignment="1" applyProtection="1">
      <alignment horizontal="center"/>
      <protection locked="0"/>
    </xf>
    <xf numFmtId="0" fontId="4" fillId="0" borderId="11" xfId="0" applyFont="1" applyFill="1" applyBorder="1" applyAlignment="1">
      <alignment horizontal="center"/>
    </xf>
    <xf numFmtId="1" fontId="4" fillId="0" borderId="32" xfId="0" applyNumberFormat="1" applyFont="1" applyFill="1" applyBorder="1" applyAlignment="1">
      <alignment horizontal="center" wrapText="1"/>
    </xf>
    <xf numFmtId="164" fontId="4" fillId="0" borderId="0" xfId="0" applyNumberFormat="1" applyFont="1" applyFill="1" applyBorder="1" applyAlignment="1"/>
    <xf numFmtId="164" fontId="3" fillId="0" borderId="0" xfId="0" applyNumberFormat="1" applyFont="1" applyFill="1" applyBorder="1" applyAlignment="1"/>
    <xf numFmtId="0" fontId="4" fillId="0" borderId="4" xfId="4" applyFont="1" applyFill="1" applyBorder="1" applyAlignment="1">
      <alignment horizontal="center" vertical="center" wrapText="1"/>
    </xf>
    <xf numFmtId="165" fontId="5" fillId="0" borderId="1" xfId="0" applyNumberFormat="1" applyFont="1" applyFill="1" applyBorder="1" applyAlignment="1"/>
    <xf numFmtId="0" fontId="4" fillId="0" borderId="1" xfId="0" applyFont="1" applyFill="1" applyBorder="1" applyAlignment="1">
      <alignment horizontal="center"/>
    </xf>
    <xf numFmtId="0" fontId="2" fillId="0" borderId="1" xfId="0" applyFont="1" applyFill="1" applyBorder="1" applyAlignment="1" applyProtection="1">
      <alignment horizontal="center"/>
      <protection locked="0"/>
    </xf>
    <xf numFmtId="0" fontId="2" fillId="0" borderId="41" xfId="0" applyFont="1" applyFill="1" applyBorder="1" applyAlignment="1" applyProtection="1">
      <alignment horizontal="center"/>
      <protection locked="0"/>
    </xf>
    <xf numFmtId="0" fontId="4" fillId="0" borderId="22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3" fillId="0" borderId="24" xfId="0" applyFont="1" applyFill="1" applyBorder="1" applyAlignment="1">
      <alignment horizontal="center"/>
    </xf>
    <xf numFmtId="0" fontId="4" fillId="0" borderId="14" xfId="0" applyFont="1" applyFill="1" applyBorder="1" applyAlignment="1">
      <alignment horizontal="center"/>
    </xf>
    <xf numFmtId="0" fontId="4" fillId="0" borderId="14" xfId="0" applyFont="1" applyFill="1" applyBorder="1" applyAlignment="1" applyProtection="1">
      <alignment horizontal="center"/>
    </xf>
    <xf numFmtId="2" fontId="4" fillId="0" borderId="14" xfId="0" applyNumberFormat="1" applyFont="1" applyFill="1" applyBorder="1" applyAlignment="1" applyProtection="1">
      <alignment horizontal="center"/>
    </xf>
    <xf numFmtId="0" fontId="3" fillId="0" borderId="0" xfId="0" applyFont="1" applyFill="1"/>
    <xf numFmtId="0" fontId="4" fillId="0" borderId="23" xfId="0" applyFont="1" applyFill="1" applyBorder="1" applyAlignment="1">
      <alignment horizontal="center"/>
    </xf>
    <xf numFmtId="0" fontId="4" fillId="0" borderId="24" xfId="0" applyFont="1" applyFill="1" applyBorder="1" applyAlignment="1">
      <alignment horizontal="center"/>
    </xf>
    <xf numFmtId="0" fontId="4" fillId="0" borderId="22" xfId="0" applyFont="1" applyFill="1" applyBorder="1" applyAlignment="1" applyProtection="1">
      <alignment horizontal="center"/>
    </xf>
    <xf numFmtId="0" fontId="4" fillId="0" borderId="23" xfId="0" applyFont="1" applyFill="1" applyBorder="1" applyAlignment="1" applyProtection="1">
      <alignment horizontal="center"/>
    </xf>
    <xf numFmtId="2" fontId="4" fillId="0" borderId="23" xfId="0" applyNumberFormat="1" applyFont="1" applyFill="1" applyBorder="1" applyAlignment="1" applyProtection="1">
      <alignment horizontal="center"/>
    </xf>
    <xf numFmtId="0" fontId="4" fillId="0" borderId="24" xfId="0" applyFont="1" applyFill="1" applyBorder="1" applyAlignment="1" applyProtection="1">
      <alignment horizontal="center"/>
    </xf>
    <xf numFmtId="0" fontId="2" fillId="0" borderId="2" xfId="0" applyFont="1" applyFill="1" applyBorder="1" applyAlignment="1" applyProtection="1">
      <alignment horizontal="center"/>
      <protection locked="0"/>
    </xf>
    <xf numFmtId="0" fontId="2" fillId="0" borderId="5" xfId="0" applyFont="1" applyFill="1" applyBorder="1" applyAlignment="1" applyProtection="1">
      <alignment horizontal="center"/>
      <protection locked="0"/>
    </xf>
    <xf numFmtId="164" fontId="2" fillId="0" borderId="4" xfId="0" applyNumberFormat="1" applyFont="1" applyFill="1" applyBorder="1" applyAlignment="1" applyProtection="1">
      <alignment horizontal="center"/>
    </xf>
    <xf numFmtId="164" fontId="2" fillId="0" borderId="1" xfId="0" applyNumberFormat="1" applyFont="1" applyFill="1" applyBorder="1" applyAlignment="1" applyProtection="1">
      <alignment horizontal="center"/>
    </xf>
    <xf numFmtId="2" fontId="2" fillId="0" borderId="1" xfId="0" applyNumberFormat="1" applyFont="1" applyFill="1" applyBorder="1" applyAlignment="1" applyProtection="1">
      <alignment horizontal="center"/>
    </xf>
    <xf numFmtId="0" fontId="4" fillId="0" borderId="5" xfId="0" applyFont="1" applyFill="1" applyBorder="1" applyAlignment="1" applyProtection="1">
      <alignment horizontal="center"/>
    </xf>
    <xf numFmtId="0" fontId="5" fillId="0" borderId="0" xfId="0" applyFont="1" applyFill="1"/>
    <xf numFmtId="0" fontId="2" fillId="0" borderId="5" xfId="0" applyFont="1" applyFill="1" applyBorder="1" applyAlignment="1">
      <alignment horizontal="center"/>
    </xf>
    <xf numFmtId="0" fontId="5" fillId="0" borderId="0" xfId="0" applyFont="1" applyFill="1" applyAlignment="1">
      <alignment horizontal="center"/>
    </xf>
    <xf numFmtId="0" fontId="5" fillId="0" borderId="0" xfId="0" applyFont="1" applyFill="1" applyProtection="1"/>
    <xf numFmtId="2" fontId="5" fillId="0" borderId="0" xfId="0" applyNumberFormat="1" applyFont="1" applyFill="1" applyProtection="1"/>
    <xf numFmtId="0" fontId="3" fillId="0" borderId="25" xfId="0" applyFont="1" applyFill="1" applyBorder="1" applyAlignment="1">
      <alignment horizontal="center" wrapText="1"/>
    </xf>
    <xf numFmtId="0" fontId="2" fillId="0" borderId="16" xfId="0" applyFont="1" applyFill="1" applyBorder="1" applyAlignment="1">
      <alignment wrapText="1"/>
    </xf>
    <xf numFmtId="0" fontId="2" fillId="0" borderId="17" xfId="0" applyFont="1" applyFill="1" applyBorder="1" applyAlignment="1">
      <alignment wrapText="1"/>
    </xf>
    <xf numFmtId="0" fontId="4" fillId="0" borderId="8" xfId="0" applyFont="1" applyFill="1" applyBorder="1" applyAlignment="1">
      <alignment horizontal="center" wrapText="1"/>
    </xf>
    <xf numFmtId="0" fontId="3" fillId="0" borderId="9" xfId="0" applyFont="1" applyFill="1" applyBorder="1" applyAlignment="1">
      <alignment horizontal="center" wrapText="1"/>
    </xf>
    <xf numFmtId="0" fontId="3" fillId="0" borderId="10" xfId="0" applyFont="1" applyFill="1" applyBorder="1" applyAlignment="1">
      <alignment horizontal="center" wrapText="1"/>
    </xf>
    <xf numFmtId="0" fontId="4" fillId="0" borderId="9" xfId="0" applyFont="1" applyFill="1" applyBorder="1" applyAlignment="1">
      <alignment horizontal="center" wrapText="1"/>
    </xf>
    <xf numFmtId="0" fontId="4" fillId="0" borderId="18" xfId="0" applyFont="1" applyFill="1" applyBorder="1" applyAlignment="1">
      <alignment horizontal="center" wrapText="1"/>
    </xf>
    <xf numFmtId="0" fontId="4" fillId="0" borderId="39" xfId="0" applyFont="1" applyFill="1" applyBorder="1" applyAlignment="1">
      <alignment horizontal="center" wrapText="1"/>
    </xf>
    <xf numFmtId="1" fontId="4" fillId="0" borderId="39" xfId="0" applyNumberFormat="1" applyFont="1" applyFill="1" applyBorder="1" applyAlignment="1">
      <alignment horizontal="center" wrapText="1"/>
    </xf>
    <xf numFmtId="2" fontId="4" fillId="0" borderId="18" xfId="0" applyNumberFormat="1" applyFont="1" applyFill="1" applyBorder="1" applyAlignment="1">
      <alignment horizontal="center" wrapText="1"/>
    </xf>
    <xf numFmtId="0" fontId="4" fillId="0" borderId="19" xfId="0" applyFont="1" applyFill="1" applyBorder="1" applyAlignment="1">
      <alignment horizontal="center" wrapText="1"/>
    </xf>
    <xf numFmtId="0" fontId="5" fillId="0" borderId="0" xfId="0" applyFont="1" applyFill="1" applyAlignment="1">
      <alignment wrapText="1"/>
    </xf>
    <xf numFmtId="0" fontId="3" fillId="0" borderId="30" xfId="0" applyFont="1" applyFill="1" applyBorder="1" applyAlignment="1">
      <alignment horizontal="center" wrapText="1"/>
    </xf>
    <xf numFmtId="0" fontId="4" fillId="0" borderId="12" xfId="0" applyFont="1" applyFill="1" applyBorder="1" applyAlignment="1">
      <alignment horizontal="center"/>
    </xf>
    <xf numFmtId="0" fontId="4" fillId="0" borderId="20" xfId="0" applyFont="1" applyFill="1" applyBorder="1" applyAlignment="1">
      <alignment horizontal="center"/>
    </xf>
    <xf numFmtId="1" fontId="4" fillId="0" borderId="11" xfId="0" applyNumberFormat="1" applyFont="1" applyFill="1" applyBorder="1" applyAlignment="1">
      <alignment horizontal="center"/>
    </xf>
    <xf numFmtId="0" fontId="4" fillId="0" borderId="12" xfId="0" applyFont="1" applyFill="1" applyBorder="1" applyAlignment="1">
      <alignment horizontal="center" wrapText="1"/>
    </xf>
    <xf numFmtId="0" fontId="4" fillId="0" borderId="40" xfId="0" applyFont="1" applyFill="1" applyBorder="1" applyAlignment="1">
      <alignment horizontal="center"/>
    </xf>
    <xf numFmtId="1" fontId="4" fillId="0" borderId="40" xfId="0" applyNumberFormat="1" applyFont="1" applyFill="1" applyBorder="1" applyAlignment="1">
      <alignment horizontal="center"/>
    </xf>
    <xf numFmtId="2" fontId="4" fillId="0" borderId="21" xfId="0" applyNumberFormat="1" applyFont="1" applyFill="1" applyBorder="1" applyAlignment="1">
      <alignment horizontal="center"/>
    </xf>
    <xf numFmtId="0" fontId="4" fillId="0" borderId="13" xfId="0" applyFont="1" applyFill="1" applyBorder="1" applyAlignment="1">
      <alignment horizontal="center" wrapText="1"/>
    </xf>
    <xf numFmtId="3" fontId="4" fillId="0" borderId="7" xfId="0" applyNumberFormat="1" applyFont="1" applyFill="1" applyBorder="1" applyAlignment="1">
      <alignment horizontal="center"/>
    </xf>
    <xf numFmtId="1" fontId="4" fillId="0" borderId="7" xfId="0" applyNumberFormat="1" applyFont="1" applyFill="1" applyBorder="1" applyAlignment="1">
      <alignment horizontal="center"/>
    </xf>
    <xf numFmtId="2" fontId="4" fillId="0" borderId="2" xfId="0" applyNumberFormat="1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5" fillId="0" borderId="0" xfId="0" applyFont="1" applyFill="1" applyAlignment="1"/>
    <xf numFmtId="0" fontId="4" fillId="0" borderId="0" xfId="0" applyFont="1" applyFill="1" applyAlignment="1">
      <alignment horizontal="center"/>
    </xf>
    <xf numFmtId="0" fontId="2" fillId="0" borderId="0" xfId="0" applyFont="1" applyFill="1" applyAlignment="1"/>
    <xf numFmtId="1" fontId="4" fillId="0" borderId="0" xfId="0" applyNumberFormat="1" applyFont="1" applyFill="1" applyAlignment="1"/>
    <xf numFmtId="0" fontId="4" fillId="0" borderId="0" xfId="0" applyFont="1" applyFill="1" applyAlignment="1"/>
    <xf numFmtId="0" fontId="3" fillId="0" borderId="0" xfId="0" applyFont="1" applyFill="1" applyAlignment="1"/>
    <xf numFmtId="2" fontId="5" fillId="0" borderId="0" xfId="0" applyNumberFormat="1" applyFont="1" applyFill="1" applyAlignment="1"/>
    <xf numFmtId="0" fontId="2" fillId="0" borderId="0" xfId="0" applyFont="1" applyFill="1" applyAlignment="1">
      <alignment horizontal="center"/>
    </xf>
    <xf numFmtId="1" fontId="4" fillId="0" borderId="0" xfId="0" applyNumberFormat="1" applyFont="1" applyFill="1" applyAlignment="1">
      <alignment horizontal="center"/>
    </xf>
    <xf numFmtId="2" fontId="4" fillId="0" borderId="0" xfId="0" applyNumberFormat="1" applyFont="1" applyFill="1" applyAlignment="1">
      <alignment horizontal="center"/>
    </xf>
    <xf numFmtId="0" fontId="8" fillId="0" borderId="0" xfId="0" applyFont="1" applyFill="1" applyAlignment="1">
      <alignment horizontal="center"/>
    </xf>
    <xf numFmtId="1" fontId="9" fillId="0" borderId="0" xfId="0" applyNumberFormat="1" applyFont="1" applyFill="1" applyAlignment="1"/>
    <xf numFmtId="164" fontId="3" fillId="0" borderId="35" xfId="0" applyNumberFormat="1" applyFont="1" applyFill="1" applyBorder="1" applyAlignment="1">
      <alignment horizontal="center"/>
    </xf>
    <xf numFmtId="164" fontId="3" fillId="0" borderId="0" xfId="0" applyNumberFormat="1" applyFont="1" applyFill="1"/>
    <xf numFmtId="164" fontId="3" fillId="0" borderId="0" xfId="0" applyNumberFormat="1" applyFont="1" applyFill="1" applyAlignment="1"/>
    <xf numFmtId="0" fontId="4" fillId="0" borderId="25" xfId="0" applyFont="1" applyFill="1" applyBorder="1" applyAlignment="1" applyProtection="1">
      <alignment horizontal="center"/>
      <protection locked="0"/>
    </xf>
    <xf numFmtId="0" fontId="4" fillId="0" borderId="26" xfId="0" applyFont="1" applyFill="1" applyBorder="1" applyAlignment="1" applyProtection="1">
      <alignment horizontal="center"/>
      <protection locked="0"/>
    </xf>
    <xf numFmtId="0" fontId="4" fillId="0" borderId="26" xfId="0" applyFont="1" applyFill="1" applyBorder="1" applyAlignment="1">
      <alignment horizontal="center"/>
    </xf>
    <xf numFmtId="0" fontId="4" fillId="0" borderId="27" xfId="0" applyFont="1" applyFill="1" applyBorder="1" applyAlignment="1">
      <alignment horizontal="center"/>
    </xf>
    <xf numFmtId="164" fontId="4" fillId="0" borderId="25" xfId="0" applyNumberFormat="1" applyFont="1" applyFill="1" applyBorder="1" applyAlignment="1">
      <alignment horizontal="center"/>
    </xf>
    <xf numFmtId="164" fontId="4" fillId="0" borderId="26" xfId="0" applyNumberFormat="1" applyFont="1" applyFill="1" applyBorder="1" applyAlignment="1">
      <alignment horizontal="center"/>
    </xf>
    <xf numFmtId="164" fontId="4" fillId="0" borderId="28" xfId="0" applyNumberFormat="1" applyFont="1" applyFill="1" applyBorder="1" applyAlignment="1">
      <alignment horizontal="center"/>
    </xf>
    <xf numFmtId="164" fontId="4" fillId="0" borderId="25" xfId="0" applyNumberFormat="1" applyFont="1" applyFill="1" applyBorder="1" applyAlignment="1">
      <alignment horizontal="center" vertical="center"/>
    </xf>
    <xf numFmtId="164" fontId="4" fillId="0" borderId="26" xfId="0" applyNumberFormat="1" applyFont="1" applyFill="1" applyBorder="1" applyAlignment="1">
      <alignment horizontal="center" vertical="center"/>
    </xf>
    <xf numFmtId="164" fontId="4" fillId="0" borderId="28" xfId="0" applyNumberFormat="1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/>
    </xf>
    <xf numFmtId="0" fontId="4" fillId="0" borderId="24" xfId="0" applyFont="1" applyFill="1" applyBorder="1" applyAlignment="1">
      <alignment horizontal="center"/>
    </xf>
    <xf numFmtId="0" fontId="4" fillId="0" borderId="22" xfId="0" applyFont="1" applyFill="1" applyBorder="1" applyAlignment="1" applyProtection="1">
      <alignment horizontal="center"/>
      <protection locked="0"/>
    </xf>
    <xf numFmtId="0" fontId="4" fillId="0" borderId="29" xfId="0" applyFont="1" applyFill="1" applyBorder="1" applyAlignment="1" applyProtection="1">
      <alignment horizontal="center"/>
      <protection locked="0"/>
    </xf>
    <xf numFmtId="164" fontId="4" fillId="0" borderId="22" xfId="0" applyNumberFormat="1" applyFont="1" applyFill="1" applyBorder="1" applyAlignment="1">
      <alignment horizontal="center" wrapText="1"/>
    </xf>
    <xf numFmtId="164" fontId="4" fillId="0" borderId="23" xfId="0" applyNumberFormat="1" applyFont="1" applyFill="1" applyBorder="1" applyAlignment="1">
      <alignment horizontal="center" wrapText="1"/>
    </xf>
    <xf numFmtId="164" fontId="4" fillId="0" borderId="24" xfId="0" applyNumberFormat="1" applyFont="1" applyFill="1" applyBorder="1" applyAlignment="1">
      <alignment horizontal="center" wrapText="1"/>
    </xf>
    <xf numFmtId="0" fontId="2" fillId="0" borderId="3" xfId="0" applyFont="1" applyFill="1" applyBorder="1" applyAlignment="1" applyProtection="1">
      <alignment horizontal="center"/>
      <protection locked="0"/>
    </xf>
    <xf numFmtId="2" fontId="2" fillId="0" borderId="1" xfId="0" applyNumberFormat="1" applyFont="1" applyFill="1" applyBorder="1" applyAlignment="1">
      <alignment horizontal="center"/>
    </xf>
    <xf numFmtId="1" fontId="4" fillId="0" borderId="1" xfId="0" applyNumberFormat="1" applyFont="1" applyFill="1" applyBorder="1" applyAlignment="1">
      <alignment horizontal="center"/>
    </xf>
    <xf numFmtId="0" fontId="2" fillId="0" borderId="3" xfId="1" applyFont="1" applyFill="1" applyBorder="1" applyAlignment="1" applyProtection="1">
      <alignment horizontal="center"/>
      <protection locked="0"/>
    </xf>
    <xf numFmtId="0" fontId="2" fillId="0" borderId="4" xfId="0" applyFont="1" applyFill="1" applyBorder="1" applyAlignment="1">
      <alignment horizontal="center"/>
    </xf>
    <xf numFmtId="1" fontId="3" fillId="0" borderId="0" xfId="0" applyNumberFormat="1" applyFont="1" applyFill="1"/>
    <xf numFmtId="1" fontId="3" fillId="0" borderId="0" xfId="0" applyNumberFormat="1" applyFont="1" applyFill="1" applyAlignment="1">
      <alignment horizontal="center"/>
    </xf>
    <xf numFmtId="164" fontId="3" fillId="0" borderId="0" xfId="0" applyNumberFormat="1" applyFont="1" applyFill="1" applyAlignment="1">
      <alignment horizontal="left"/>
    </xf>
    <xf numFmtId="0" fontId="4" fillId="0" borderId="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4" xfId="1" applyFont="1" applyFill="1" applyBorder="1" applyAlignment="1" applyProtection="1">
      <alignment horizontal="center"/>
      <protection locked="0"/>
    </xf>
    <xf numFmtId="0" fontId="4" fillId="0" borderId="1" xfId="16" applyFont="1" applyFill="1" applyBorder="1" applyAlignment="1">
      <alignment horizontal="center" vertical="center"/>
    </xf>
    <xf numFmtId="0" fontId="4" fillId="0" borderId="4" xfId="0" applyFont="1" applyFill="1" applyBorder="1" applyAlignment="1" applyProtection="1">
      <alignment horizontal="center"/>
      <protection locked="0"/>
    </xf>
    <xf numFmtId="0" fontId="2" fillId="0" borderId="4" xfId="0" applyFont="1" applyFill="1" applyBorder="1" applyAlignment="1" applyProtection="1">
      <alignment horizontal="center"/>
      <protection locked="0"/>
    </xf>
    <xf numFmtId="0" fontId="4" fillId="0" borderId="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4" xfId="3" applyFont="1" applyFill="1" applyBorder="1" applyAlignment="1">
      <alignment horizontal="center" vertical="center" wrapText="1"/>
    </xf>
    <xf numFmtId="0" fontId="2" fillId="0" borderId="4" xfId="4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4" fillId="0" borderId="4" xfId="9" applyFont="1" applyFill="1" applyBorder="1" applyAlignment="1">
      <alignment horizontal="center" vertical="center" wrapText="1"/>
    </xf>
    <xf numFmtId="0" fontId="4" fillId="0" borderId="1" xfId="9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1" xfId="1" applyFont="1" applyFill="1" applyBorder="1" applyAlignment="1" applyProtection="1">
      <alignment horizontal="center"/>
      <protection locked="0"/>
    </xf>
    <xf numFmtId="0" fontId="2" fillId="0" borderId="4" xfId="1" applyFont="1" applyFill="1" applyBorder="1" applyAlignment="1" applyProtection="1">
      <alignment horizontal="center"/>
      <protection locked="0"/>
    </xf>
    <xf numFmtId="16" fontId="5" fillId="0" borderId="1" xfId="0" applyNumberFormat="1" applyFont="1" applyFill="1" applyBorder="1" applyAlignment="1"/>
    <xf numFmtId="1" fontId="4" fillId="0" borderId="25" xfId="0" applyNumberFormat="1" applyFont="1" applyFill="1" applyBorder="1" applyAlignment="1">
      <alignment horizontal="center"/>
    </xf>
    <xf numFmtId="1" fontId="4" fillId="0" borderId="26" xfId="0" applyNumberFormat="1" applyFont="1" applyFill="1" applyBorder="1" applyAlignment="1">
      <alignment horizontal="center"/>
    </xf>
    <xf numFmtId="0" fontId="4" fillId="0" borderId="26" xfId="0" applyNumberFormat="1" applyFont="1" applyFill="1" applyBorder="1" applyAlignment="1" applyProtection="1">
      <alignment horizontal="center"/>
    </xf>
    <xf numFmtId="164" fontId="4" fillId="0" borderId="27" xfId="0" applyNumberFormat="1" applyFont="1" applyFill="1" applyBorder="1" applyAlignment="1" applyProtection="1">
      <alignment horizontal="center"/>
    </xf>
    <xf numFmtId="1" fontId="4" fillId="0" borderId="27" xfId="0" applyNumberFormat="1" applyFont="1" applyFill="1" applyBorder="1" applyAlignment="1" applyProtection="1">
      <alignment horizontal="center"/>
    </xf>
    <xf numFmtId="164" fontId="4" fillId="0" borderId="33" xfId="0" applyNumberFormat="1" applyFont="1" applyFill="1" applyBorder="1" applyAlignment="1">
      <alignment horizontal="center" vertical="center"/>
    </xf>
    <xf numFmtId="164" fontId="4" fillId="0" borderId="34" xfId="0" applyNumberFormat="1" applyFont="1" applyFill="1" applyBorder="1" applyAlignment="1">
      <alignment horizontal="center" vertical="center"/>
    </xf>
    <xf numFmtId="164" fontId="4" fillId="0" borderId="35" xfId="0" applyNumberFormat="1" applyFont="1" applyFill="1" applyBorder="1" applyAlignment="1">
      <alignment horizontal="center" vertical="center"/>
    </xf>
    <xf numFmtId="164" fontId="4" fillId="0" borderId="33" xfId="0" applyNumberFormat="1" applyFont="1" applyFill="1" applyBorder="1" applyAlignment="1">
      <alignment horizontal="center"/>
    </xf>
    <xf numFmtId="164" fontId="4" fillId="0" borderId="22" xfId="0" applyNumberFormat="1" applyFont="1" applyFill="1" applyBorder="1" applyAlignment="1">
      <alignment horizontal="center"/>
    </xf>
    <xf numFmtId="164" fontId="4" fillId="0" borderId="23" xfId="0" applyNumberFormat="1" applyFont="1" applyFill="1" applyBorder="1" applyAlignment="1">
      <alignment horizontal="center"/>
    </xf>
    <xf numFmtId="164" fontId="4" fillId="0" borderId="37" xfId="0" applyNumberFormat="1" applyFont="1" applyFill="1" applyBorder="1" applyAlignment="1">
      <alignment horizontal="center"/>
    </xf>
    <xf numFmtId="164" fontId="3" fillId="0" borderId="23" xfId="0" applyNumberFormat="1" applyFont="1" applyFill="1" applyBorder="1" applyAlignment="1">
      <alignment horizontal="center" vertical="center" wrapText="1"/>
    </xf>
    <xf numFmtId="0" fontId="4" fillId="0" borderId="23" xfId="0" applyNumberFormat="1" applyFont="1" applyFill="1" applyBorder="1" applyAlignment="1" applyProtection="1">
      <alignment horizontal="center"/>
    </xf>
    <xf numFmtId="164" fontId="4" fillId="0" borderId="29" xfId="0" applyNumberFormat="1" applyFont="1" applyFill="1" applyBorder="1" applyAlignment="1" applyProtection="1">
      <alignment horizontal="center"/>
    </xf>
    <xf numFmtId="1" fontId="4" fillId="0" borderId="24" xfId="0" applyNumberFormat="1" applyFont="1" applyFill="1" applyBorder="1" applyAlignment="1" applyProtection="1">
      <alignment horizontal="center"/>
    </xf>
    <xf numFmtId="164" fontId="4" fillId="0" borderId="30" xfId="0" applyNumberFormat="1" applyFont="1" applyFill="1" applyBorder="1" applyAlignment="1">
      <alignment horizontal="center" wrapText="1"/>
    </xf>
    <xf numFmtId="164" fontId="4" fillId="0" borderId="31" xfId="0" applyNumberFormat="1" applyFont="1" applyFill="1" applyBorder="1" applyAlignment="1">
      <alignment horizontal="center" wrapText="1"/>
    </xf>
    <xf numFmtId="164" fontId="4" fillId="0" borderId="38" xfId="0" applyNumberFormat="1" applyFont="1" applyFill="1" applyBorder="1" applyAlignment="1">
      <alignment horizontal="center" wrapText="1"/>
    </xf>
    <xf numFmtId="164" fontId="4" fillId="0" borderId="30" xfId="0" applyNumberFormat="1" applyFont="1" applyFill="1" applyBorder="1" applyAlignment="1">
      <alignment horizontal="center"/>
    </xf>
    <xf numFmtId="164" fontId="4" fillId="0" borderId="38" xfId="0" applyNumberFormat="1" applyFont="1" applyFill="1" applyBorder="1" applyAlignment="1">
      <alignment horizontal="center"/>
    </xf>
    <xf numFmtId="164" fontId="4" fillId="0" borderId="31" xfId="0" applyNumberFormat="1" applyFont="1" applyFill="1" applyBorder="1" applyAlignment="1">
      <alignment horizontal="center"/>
    </xf>
    <xf numFmtId="164" fontId="4" fillId="0" borderId="36" xfId="0" applyNumberFormat="1" applyFont="1" applyFill="1" applyBorder="1" applyAlignment="1">
      <alignment horizontal="center" wrapText="1"/>
    </xf>
    <xf numFmtId="1" fontId="4" fillId="0" borderId="31" xfId="0" applyNumberFormat="1" applyFont="1" applyFill="1" applyBorder="1" applyAlignment="1">
      <alignment horizontal="center" wrapText="1"/>
    </xf>
    <xf numFmtId="1" fontId="2" fillId="0" borderId="4" xfId="0" applyNumberFormat="1" applyFont="1" applyFill="1" applyBorder="1" applyAlignment="1" applyProtection="1">
      <alignment horizontal="center"/>
      <protection locked="0"/>
    </xf>
    <xf numFmtId="1" fontId="2" fillId="0" borderId="1" xfId="0" applyNumberFormat="1" applyFont="1" applyFill="1" applyBorder="1" applyAlignment="1" applyProtection="1">
      <alignment horizontal="center"/>
      <protection locked="0"/>
    </xf>
    <xf numFmtId="0" fontId="4" fillId="0" borderId="1" xfId="0" applyNumberFormat="1" applyFont="1" applyFill="1" applyBorder="1" applyAlignment="1" applyProtection="1">
      <alignment horizontal="center"/>
    </xf>
    <xf numFmtId="1" fontId="2" fillId="0" borderId="5" xfId="0" applyNumberFormat="1" applyFont="1" applyFill="1" applyBorder="1" applyAlignment="1" applyProtection="1">
      <alignment horizontal="center"/>
    </xf>
    <xf numFmtId="164" fontId="2" fillId="0" borderId="6" xfId="0" applyNumberFormat="1" applyFont="1" applyFill="1" applyBorder="1" applyAlignment="1" applyProtection="1">
      <alignment horizontal="center"/>
      <protection locked="0"/>
    </xf>
    <xf numFmtId="164" fontId="2" fillId="0" borderId="3" xfId="0" applyNumberFormat="1" applyFont="1" applyFill="1" applyBorder="1" applyAlignment="1" applyProtection="1">
      <alignment horizontal="center"/>
      <protection locked="0"/>
    </xf>
    <xf numFmtId="164" fontId="2" fillId="0" borderId="4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164" fontId="2" fillId="0" borderId="0" xfId="0" applyNumberFormat="1" applyFont="1" applyFill="1" applyBorder="1"/>
    <xf numFmtId="164" fontId="5" fillId="0" borderId="0" xfId="0" applyNumberFormat="1" applyFont="1" applyFill="1" applyBorder="1"/>
    <xf numFmtId="164" fontId="5" fillId="0" borderId="0" xfId="0" applyNumberFormat="1" applyFont="1" applyFill="1"/>
    <xf numFmtId="1" fontId="2" fillId="0" borderId="4" xfId="1" applyNumberFormat="1" applyFont="1" applyFill="1" applyBorder="1" applyAlignment="1" applyProtection="1">
      <alignment horizontal="center"/>
      <protection locked="0"/>
    </xf>
    <xf numFmtId="1" fontId="2" fillId="0" borderId="1" xfId="1" applyNumberFormat="1" applyFont="1" applyFill="1" applyBorder="1" applyAlignment="1" applyProtection="1">
      <alignment horizontal="center"/>
      <protection locked="0"/>
    </xf>
    <xf numFmtId="0" fontId="2" fillId="0" borderId="1" xfId="0" applyNumberFormat="1" applyFont="1" applyFill="1" applyBorder="1" applyAlignment="1" applyProtection="1">
      <alignment horizontal="center"/>
    </xf>
    <xf numFmtId="164" fontId="2" fillId="0" borderId="6" xfId="1" applyNumberFormat="1" applyFont="1" applyFill="1" applyBorder="1" applyAlignment="1" applyProtection="1">
      <alignment horizontal="center"/>
      <protection locked="0"/>
    </xf>
    <xf numFmtId="164" fontId="2" fillId="0" borderId="3" xfId="1" applyNumberFormat="1" applyFont="1" applyFill="1" applyBorder="1" applyAlignment="1" applyProtection="1">
      <alignment horizontal="center"/>
      <protection locked="0"/>
    </xf>
    <xf numFmtId="1" fontId="5" fillId="0" borderId="0" xfId="0" applyNumberFormat="1" applyFont="1" applyFill="1"/>
    <xf numFmtId="0" fontId="5" fillId="0" borderId="0" xfId="0" applyNumberFormat="1" applyFont="1" applyFill="1" applyProtection="1"/>
    <xf numFmtId="164" fontId="5" fillId="0" borderId="0" xfId="0" applyNumberFormat="1" applyFont="1" applyFill="1" applyProtection="1"/>
    <xf numFmtId="1" fontId="5" fillId="0" borderId="0" xfId="0" applyNumberFormat="1" applyFont="1" applyFill="1" applyProtection="1"/>
    <xf numFmtId="164" fontId="5" fillId="0" borderId="0" xfId="0" applyNumberFormat="1" applyFont="1" applyFill="1" applyAlignment="1">
      <alignment horizontal="center"/>
    </xf>
    <xf numFmtId="1" fontId="5" fillId="0" borderId="0" xfId="0" applyNumberFormat="1" applyFont="1" applyFill="1" applyAlignment="1">
      <alignment horizontal="center"/>
    </xf>
    <xf numFmtId="2" fontId="4" fillId="0" borderId="30" xfId="0" applyNumberFormat="1" applyFont="1" applyFill="1" applyBorder="1" applyAlignment="1">
      <alignment horizontal="center" wrapText="1"/>
    </xf>
    <xf numFmtId="2" fontId="4" fillId="0" borderId="31" xfId="0" applyNumberFormat="1" applyFont="1" applyFill="1" applyBorder="1" applyAlignment="1">
      <alignment horizontal="center" wrapText="1"/>
    </xf>
    <xf numFmtId="1" fontId="4" fillId="0" borderId="36" xfId="0" applyNumberFormat="1" applyFont="1" applyFill="1" applyBorder="1" applyAlignment="1">
      <alignment horizontal="center" wrapText="1"/>
    </xf>
    <xf numFmtId="1" fontId="2" fillId="0" borderId="0" xfId="0" applyNumberFormat="1" applyFont="1" applyFill="1" applyBorder="1" applyAlignment="1">
      <alignment horizontal="center" wrapText="1"/>
    </xf>
    <xf numFmtId="164" fontId="2" fillId="0" borderId="0" xfId="0" applyNumberFormat="1" applyFont="1" applyFill="1" applyBorder="1" applyAlignment="1">
      <alignment horizontal="center" wrapText="1"/>
    </xf>
    <xf numFmtId="164" fontId="4" fillId="0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Fill="1" applyProtection="1">
      <protection locked="0"/>
    </xf>
    <xf numFmtId="2" fontId="5" fillId="0" borderId="0" xfId="0" applyNumberFormat="1" applyFont="1" applyFill="1" applyAlignment="1">
      <alignment horizontal="center"/>
    </xf>
    <xf numFmtId="0" fontId="4" fillId="0" borderId="25" xfId="0" applyFont="1" applyFill="1" applyBorder="1" applyAlignment="1">
      <alignment horizontal="center"/>
    </xf>
    <xf numFmtId="0" fontId="4" fillId="0" borderId="26" xfId="0" applyFont="1" applyFill="1" applyBorder="1" applyAlignment="1"/>
    <xf numFmtId="0" fontId="4" fillId="0" borderId="27" xfId="0" applyFont="1" applyFill="1" applyBorder="1" applyAlignment="1"/>
    <xf numFmtId="164" fontId="3" fillId="0" borderId="34" xfId="0" applyNumberFormat="1" applyFont="1" applyFill="1" applyBorder="1" applyAlignment="1">
      <alignment horizontal="center"/>
    </xf>
    <xf numFmtId="2" fontId="4" fillId="0" borderId="33" xfId="0" applyNumberFormat="1" applyFont="1" applyFill="1" applyBorder="1" applyAlignment="1">
      <alignment horizontal="center" wrapText="1"/>
    </xf>
    <xf numFmtId="0" fontId="3" fillId="0" borderId="34" xfId="0" applyFont="1" applyFill="1" applyBorder="1" applyAlignment="1">
      <alignment horizontal="center"/>
    </xf>
    <xf numFmtId="0" fontId="3" fillId="0" borderId="35" xfId="0" applyFont="1" applyFill="1" applyBorder="1" applyAlignment="1">
      <alignment horizontal="center"/>
    </xf>
    <xf numFmtId="0" fontId="4" fillId="0" borderId="15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19" xfId="0" applyFont="1" applyFill="1" applyBorder="1" applyAlignment="1">
      <alignment horizontal="center"/>
    </xf>
    <xf numFmtId="1" fontId="4" fillId="0" borderId="37" xfId="0" applyNumberFormat="1" applyFont="1" applyFill="1" applyBorder="1" applyAlignment="1">
      <alignment horizontal="center"/>
    </xf>
    <xf numFmtId="1" fontId="4" fillId="0" borderId="29" xfId="0" applyNumberFormat="1" applyFont="1" applyFill="1" applyBorder="1" applyAlignment="1">
      <alignment horizontal="center"/>
    </xf>
    <xf numFmtId="0" fontId="4" fillId="0" borderId="29" xfId="0" applyFont="1" applyFill="1" applyBorder="1" applyAlignment="1">
      <alignment horizontal="center"/>
    </xf>
    <xf numFmtId="164" fontId="4" fillId="0" borderId="32" xfId="0" applyNumberFormat="1" applyFont="1" applyFill="1" applyBorder="1" applyAlignment="1">
      <alignment horizontal="center" wrapText="1"/>
    </xf>
    <xf numFmtId="2" fontId="4" fillId="0" borderId="36" xfId="0" applyNumberFormat="1" applyFont="1" applyFill="1" applyBorder="1" applyAlignment="1">
      <alignment horizontal="center"/>
    </xf>
    <xf numFmtId="2" fontId="10" fillId="0" borderId="31" xfId="0" applyNumberFormat="1" applyFont="1" applyFill="1" applyBorder="1" applyAlignment="1">
      <alignment horizontal="center"/>
    </xf>
    <xf numFmtId="0" fontId="4" fillId="0" borderId="31" xfId="0" applyFont="1" applyFill="1" applyBorder="1" applyAlignment="1">
      <alignment horizontal="center"/>
    </xf>
    <xf numFmtId="0" fontId="4" fillId="0" borderId="32" xfId="0" applyFont="1" applyFill="1" applyBorder="1" applyAlignment="1">
      <alignment horizontal="center"/>
    </xf>
    <xf numFmtId="164" fontId="4" fillId="0" borderId="32" xfId="0" applyNumberFormat="1" applyFont="1" applyFill="1" applyBorder="1" applyAlignment="1">
      <alignment horizontal="center"/>
    </xf>
    <xf numFmtId="0" fontId="4" fillId="0" borderId="13" xfId="0" applyFont="1" applyFill="1" applyBorder="1" applyAlignment="1">
      <alignment horizontal="center"/>
    </xf>
    <xf numFmtId="1" fontId="4" fillId="0" borderId="38" xfId="0" applyNumberFormat="1" applyFont="1" applyFill="1" applyBorder="1" applyAlignment="1">
      <alignment horizontal="center"/>
    </xf>
    <xf numFmtId="0" fontId="4" fillId="0" borderId="4" xfId="0" applyFont="1" applyFill="1" applyBorder="1" applyAlignment="1" applyProtection="1">
      <alignment horizontal="center"/>
    </xf>
    <xf numFmtId="0" fontId="4" fillId="0" borderId="1" xfId="0" applyFont="1" applyFill="1" applyBorder="1" applyAlignment="1" applyProtection="1">
      <alignment horizontal="center"/>
    </xf>
    <xf numFmtId="0" fontId="2" fillId="0" borderId="5" xfId="0" applyFont="1" applyFill="1" applyBorder="1" applyAlignment="1" applyProtection="1">
      <alignment horizontal="center"/>
    </xf>
    <xf numFmtId="164" fontId="2" fillId="0" borderId="2" xfId="0" applyNumberFormat="1" applyFont="1" applyFill="1" applyBorder="1" applyAlignment="1">
      <alignment horizontal="center"/>
    </xf>
    <xf numFmtId="1" fontId="4" fillId="0" borderId="3" xfId="0" applyNumberFormat="1" applyFont="1" applyFill="1" applyBorder="1" applyAlignment="1">
      <alignment horizontal="center"/>
    </xf>
    <xf numFmtId="0" fontId="2" fillId="0" borderId="4" xfId="0" applyFont="1" applyFill="1" applyBorder="1" applyAlignment="1" applyProtection="1">
      <alignment horizontal="center"/>
    </xf>
    <xf numFmtId="0" fontId="2" fillId="0" borderId="1" xfId="0" applyFont="1" applyFill="1" applyBorder="1" applyAlignment="1" applyProtection="1">
      <alignment horizontal="center"/>
    </xf>
    <xf numFmtId="164" fontId="2" fillId="0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/>
    <xf numFmtId="164" fontId="4" fillId="0" borderId="0" xfId="0" applyNumberFormat="1" applyFont="1" applyFill="1"/>
    <xf numFmtId="2" fontId="5" fillId="0" borderId="0" xfId="0" applyNumberFormat="1" applyFont="1" applyFill="1"/>
    <xf numFmtId="0" fontId="4" fillId="0" borderId="0" xfId="0" applyFont="1" applyFill="1" applyAlignment="1">
      <alignment horizontal="left"/>
    </xf>
    <xf numFmtId="164" fontId="2" fillId="0" borderId="0" xfId="0" applyNumberFormat="1" applyFont="1" applyFill="1"/>
    <xf numFmtId="164" fontId="2" fillId="0" borderId="0" xfId="0" applyNumberFormat="1" applyFont="1" applyFill="1" applyAlignment="1">
      <alignment horizontal="center"/>
    </xf>
    <xf numFmtId="164" fontId="4" fillId="0" borderId="0" xfId="0" applyNumberFormat="1" applyFont="1" applyFill="1" applyAlignment="1">
      <alignment horizontal="center"/>
    </xf>
    <xf numFmtId="2" fontId="2" fillId="0" borderId="0" xfId="0" applyNumberFormat="1" applyFont="1" applyFill="1" applyAlignment="1">
      <alignment horizontal="center"/>
    </xf>
    <xf numFmtId="2" fontId="11" fillId="0" borderId="0" xfId="0" applyNumberFormat="1" applyFont="1" applyFill="1" applyAlignment="1">
      <alignment horizontal="center"/>
    </xf>
    <xf numFmtId="0" fontId="9" fillId="0" borderId="0" xfId="0" applyFont="1" applyFill="1" applyAlignment="1">
      <alignment horizontal="center"/>
    </xf>
    <xf numFmtId="164" fontId="8" fillId="0" borderId="0" xfId="0" applyNumberFormat="1" applyFont="1" applyFill="1"/>
  </cellXfs>
  <cellStyles count="17">
    <cellStyle name="Normal" xfId="0" builtinId="0"/>
    <cellStyle name="Normal 10 2" xfId="8"/>
    <cellStyle name="Normal 2" xfId="1"/>
    <cellStyle name="Normal 3" xfId="2"/>
    <cellStyle name="Normal 3 2" xfId="3"/>
    <cellStyle name="Normal 71" xfId="9"/>
    <cellStyle name="Normal 74" xfId="15"/>
    <cellStyle name="Normal 75" xfId="5"/>
    <cellStyle name="Normal 76" xfId="16"/>
    <cellStyle name="Normal 77" xfId="13"/>
    <cellStyle name="Normal 78" xfId="4"/>
    <cellStyle name="Normal 81" xfId="6"/>
    <cellStyle name="Normal 82" xfId="10"/>
    <cellStyle name="Standard 3 3" xfId="14"/>
    <cellStyle name="쉼표 [0] 2 4" xfId="12"/>
    <cellStyle name="표준 10" xfId="7"/>
    <cellStyle name="표준_Sheet1" xfId="11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0000FF"/>
      <color rgb="FF800080"/>
      <color rgb="FF990099"/>
      <color rgb="FFB3B1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5"/>
  <sheetViews>
    <sheetView workbookViewId="0">
      <selection activeCell="A66" sqref="A66"/>
    </sheetView>
  </sheetViews>
  <sheetFormatPr defaultColWidth="9.140625" defaultRowHeight="13.15" customHeight="1"/>
  <cols>
    <col min="1" max="1" width="13.5703125" style="75" customWidth="1"/>
    <col min="2" max="2" width="43.85546875" style="75" customWidth="1"/>
    <col min="3" max="3" width="4.5703125" style="73" bestFit="1" customWidth="1"/>
    <col min="4" max="4" width="4.42578125" style="73" bestFit="1" customWidth="1"/>
    <col min="5" max="5" width="18" style="73" bestFit="1" customWidth="1"/>
    <col min="6" max="6" width="13.140625" style="73" bestFit="1" customWidth="1"/>
    <col min="7" max="7" width="7.7109375" style="76" customWidth="1"/>
    <col min="8" max="8" width="7.42578125" style="76" bestFit="1" customWidth="1"/>
    <col min="9" max="9" width="7.7109375" style="77" bestFit="1" customWidth="1"/>
    <col min="10" max="10" width="7.140625" style="76" bestFit="1" customWidth="1"/>
    <col min="11" max="16384" width="9.140625" style="73"/>
  </cols>
  <sheetData>
    <row r="1" spans="1:10" s="60" customFormat="1" ht="13.15" customHeight="1" thickBot="1">
      <c r="A1" s="57"/>
      <c r="B1" s="57"/>
      <c r="C1" s="57"/>
      <c r="D1" s="57"/>
      <c r="E1" s="57"/>
      <c r="F1" s="57"/>
      <c r="G1" s="58"/>
      <c r="H1" s="58"/>
      <c r="I1" s="59"/>
      <c r="J1" s="58" t="s">
        <v>18</v>
      </c>
    </row>
    <row r="2" spans="1:10" s="60" customFormat="1" ht="13.15" customHeight="1" thickBot="1">
      <c r="A2" s="54" t="s">
        <v>19</v>
      </c>
      <c r="B2" s="61" t="s">
        <v>20</v>
      </c>
      <c r="C2" s="61" t="s">
        <v>21</v>
      </c>
      <c r="D2" s="61" t="s">
        <v>22</v>
      </c>
      <c r="E2" s="61" t="s">
        <v>70</v>
      </c>
      <c r="F2" s="62" t="s">
        <v>71</v>
      </c>
      <c r="G2" s="63" t="s">
        <v>48</v>
      </c>
      <c r="H2" s="64" t="s">
        <v>8</v>
      </c>
      <c r="I2" s="65" t="s">
        <v>68</v>
      </c>
      <c r="J2" s="66" t="s">
        <v>45</v>
      </c>
    </row>
    <row r="3" spans="1:10" ht="13.15" customHeight="1">
      <c r="A3" s="144" t="s">
        <v>87</v>
      </c>
      <c r="B3" s="145" t="s">
        <v>95</v>
      </c>
      <c r="C3" s="67">
        <v>2019</v>
      </c>
      <c r="D3" s="52">
        <v>1.24</v>
      </c>
      <c r="E3" s="52" t="s">
        <v>157</v>
      </c>
      <c r="F3" s="68" t="s">
        <v>86</v>
      </c>
      <c r="G3" s="69">
        <f t="shared" ref="G3:G10" si="0">IF(F3="Y",((1/(1+EXP(2.6968+(1.1686*LN(D3-0.9)))))),((1/(1+EXP(2.8891+(1.1686*(LN(D3-0.9))))))))</f>
        <v>0.1640492476036079</v>
      </c>
      <c r="H3" s="70">
        <f t="shared" ref="H3:H10" si="1">ROUND(G3,3)</f>
        <v>0.16400000000000001</v>
      </c>
      <c r="I3" s="71">
        <f t="shared" ref="I3:I10" si="2">ROUND(H3/0.15,2)</f>
        <v>1.0900000000000001</v>
      </c>
      <c r="J3" s="72">
        <f t="shared" ref="J3:J10" si="3">IF(I3&lt;0.673,5,IF(I3&lt;1.33,4,IF(I3&lt;2,3,IF(I3&lt;2.67,2,1))))</f>
        <v>4</v>
      </c>
    </row>
    <row r="4" spans="1:10" ht="13.15" customHeight="1">
      <c r="A4" s="144" t="s">
        <v>87</v>
      </c>
      <c r="B4" s="145" t="s">
        <v>101</v>
      </c>
      <c r="C4" s="67">
        <v>2019</v>
      </c>
      <c r="D4" s="18">
        <v>1.27</v>
      </c>
      <c r="E4" s="18" t="s">
        <v>157</v>
      </c>
      <c r="F4" s="44" t="s">
        <v>86</v>
      </c>
      <c r="G4" s="69">
        <f t="shared" si="0"/>
        <v>0.15094392869398887</v>
      </c>
      <c r="H4" s="70">
        <f t="shared" si="1"/>
        <v>0.151</v>
      </c>
      <c r="I4" s="71">
        <f t="shared" si="2"/>
        <v>1.01</v>
      </c>
      <c r="J4" s="72">
        <f t="shared" si="3"/>
        <v>4</v>
      </c>
    </row>
    <row r="5" spans="1:10" ht="13.15" customHeight="1">
      <c r="A5" s="146" t="s">
        <v>91</v>
      </c>
      <c r="B5" s="145" t="s">
        <v>180</v>
      </c>
      <c r="C5" s="67">
        <v>2019</v>
      </c>
      <c r="D5" s="52">
        <v>1.25</v>
      </c>
      <c r="E5" s="52" t="s">
        <v>157</v>
      </c>
      <c r="F5" s="68" t="s">
        <v>86</v>
      </c>
      <c r="G5" s="69">
        <f t="shared" si="0"/>
        <v>0.15945645755950677</v>
      </c>
      <c r="H5" s="70">
        <f t="shared" si="1"/>
        <v>0.159</v>
      </c>
      <c r="I5" s="71">
        <f t="shared" si="2"/>
        <v>1.06</v>
      </c>
      <c r="J5" s="72">
        <f t="shared" si="3"/>
        <v>4</v>
      </c>
    </row>
    <row r="6" spans="1:10" ht="13.15" customHeight="1">
      <c r="A6" s="144" t="s">
        <v>92</v>
      </c>
      <c r="B6" s="147" t="s">
        <v>98</v>
      </c>
      <c r="C6" s="67">
        <v>2019</v>
      </c>
      <c r="D6" s="52">
        <v>1.22</v>
      </c>
      <c r="E6" s="52" t="s">
        <v>157</v>
      </c>
      <c r="F6" s="68" t="s">
        <v>86</v>
      </c>
      <c r="G6" s="69">
        <f t="shared" si="0"/>
        <v>0.17399746725853527</v>
      </c>
      <c r="H6" s="70">
        <f t="shared" si="1"/>
        <v>0.17399999999999999</v>
      </c>
      <c r="I6" s="71">
        <f t="shared" si="2"/>
        <v>1.1599999999999999</v>
      </c>
      <c r="J6" s="72">
        <f t="shared" si="3"/>
        <v>4</v>
      </c>
    </row>
    <row r="7" spans="1:10" ht="13.15" customHeight="1">
      <c r="A7" s="144" t="s">
        <v>92</v>
      </c>
      <c r="B7" s="147" t="s">
        <v>97</v>
      </c>
      <c r="C7" s="67">
        <v>2019</v>
      </c>
      <c r="D7" s="52">
        <v>1.23</v>
      </c>
      <c r="E7" s="52" t="s">
        <v>157</v>
      </c>
      <c r="F7" s="68" t="s">
        <v>86</v>
      </c>
      <c r="G7" s="69">
        <f t="shared" si="0"/>
        <v>0.16888967495700072</v>
      </c>
      <c r="H7" s="70">
        <f t="shared" si="1"/>
        <v>0.16900000000000001</v>
      </c>
      <c r="I7" s="71">
        <f t="shared" si="2"/>
        <v>1.1299999999999999</v>
      </c>
      <c r="J7" s="72">
        <f t="shared" si="3"/>
        <v>4</v>
      </c>
    </row>
    <row r="8" spans="1:10" ht="13.15" customHeight="1">
      <c r="A8" s="144" t="s">
        <v>92</v>
      </c>
      <c r="B8" s="147" t="s">
        <v>96</v>
      </c>
      <c r="C8" s="67">
        <v>2019</v>
      </c>
      <c r="D8" s="18">
        <v>1.25</v>
      </c>
      <c r="E8" s="18" t="s">
        <v>157</v>
      </c>
      <c r="F8" s="44" t="s">
        <v>86</v>
      </c>
      <c r="G8" s="69">
        <f t="shared" si="0"/>
        <v>0.15945645755950677</v>
      </c>
      <c r="H8" s="70">
        <f t="shared" si="1"/>
        <v>0.159</v>
      </c>
      <c r="I8" s="71">
        <f t="shared" si="2"/>
        <v>1.06</v>
      </c>
      <c r="J8" s="72">
        <f t="shared" si="3"/>
        <v>4</v>
      </c>
    </row>
    <row r="9" spans="1:10" ht="13.15" customHeight="1">
      <c r="A9" s="144" t="s">
        <v>93</v>
      </c>
      <c r="B9" s="147" t="s">
        <v>99</v>
      </c>
      <c r="C9" s="67">
        <v>2019</v>
      </c>
      <c r="D9" s="18">
        <v>1.23</v>
      </c>
      <c r="E9" s="10" t="s">
        <v>157</v>
      </c>
      <c r="F9" s="74" t="s">
        <v>86</v>
      </c>
      <c r="G9" s="69">
        <f t="shared" si="0"/>
        <v>0.16888967495700072</v>
      </c>
      <c r="H9" s="70">
        <f t="shared" si="1"/>
        <v>0.16900000000000001</v>
      </c>
      <c r="I9" s="71">
        <f t="shared" si="2"/>
        <v>1.1299999999999999</v>
      </c>
      <c r="J9" s="72">
        <f t="shared" si="3"/>
        <v>4</v>
      </c>
    </row>
    <row r="10" spans="1:10" ht="13.15" customHeight="1">
      <c r="A10" s="144" t="s">
        <v>93</v>
      </c>
      <c r="B10" s="147" t="s">
        <v>100</v>
      </c>
      <c r="C10" s="67">
        <v>2019</v>
      </c>
      <c r="D10" s="18">
        <v>1.26</v>
      </c>
      <c r="E10" s="10" t="s">
        <v>157</v>
      </c>
      <c r="F10" s="74" t="s">
        <v>86</v>
      </c>
      <c r="G10" s="69">
        <f t="shared" si="0"/>
        <v>0.15509342889208913</v>
      </c>
      <c r="H10" s="70">
        <f t="shared" si="1"/>
        <v>0.155</v>
      </c>
      <c r="I10" s="71">
        <f t="shared" si="2"/>
        <v>1.03</v>
      </c>
      <c r="J10" s="72">
        <f t="shared" si="3"/>
        <v>4</v>
      </c>
    </row>
    <row r="11" spans="1:10" ht="13.15" customHeight="1">
      <c r="A11" s="148" t="s">
        <v>94</v>
      </c>
      <c r="B11" s="9" t="s">
        <v>103</v>
      </c>
      <c r="C11" s="67">
        <v>2019</v>
      </c>
      <c r="D11" s="52">
        <v>1.17</v>
      </c>
      <c r="E11" s="52" t="s">
        <v>157</v>
      </c>
      <c r="F11" s="52" t="s">
        <v>86</v>
      </c>
      <c r="G11" s="69">
        <f t="shared" ref="G11:G41" si="4">IF(F11="Y",((1/(1+EXP(2.6968+(1.1686*LN(D11-0.9)))))),((1/(1+EXP(2.8891+(1.1686*(LN(D11-0.9))))))))</f>
        <v>0.20440074909401917</v>
      </c>
      <c r="H11" s="70">
        <f t="shared" ref="H11:H41" si="5">ROUND(G11,3)</f>
        <v>0.20399999999999999</v>
      </c>
      <c r="I11" s="71">
        <f t="shared" ref="I11:I41" si="6">ROUND(H11/0.15,2)</f>
        <v>1.36</v>
      </c>
      <c r="J11" s="72">
        <f t="shared" ref="J11:J41" si="7">IF(I11&lt;0.673,5,IF(I11&lt;1.33,4,IF(I11&lt;2,3,IF(I11&lt;2.67,2,1))))</f>
        <v>3</v>
      </c>
    </row>
    <row r="12" spans="1:10" ht="13.15" customHeight="1">
      <c r="A12" s="148" t="s">
        <v>94</v>
      </c>
      <c r="B12" s="9" t="s">
        <v>104</v>
      </c>
      <c r="C12" s="67">
        <v>2019</v>
      </c>
      <c r="D12" s="52">
        <v>1.17</v>
      </c>
      <c r="E12" s="52" t="s">
        <v>157</v>
      </c>
      <c r="F12" s="52" t="s">
        <v>86</v>
      </c>
      <c r="G12" s="69">
        <f t="shared" ref="G12:G28" si="8">IF(F12="Y",((1/(1+EXP(2.6968+(1.1686*LN(D12-0.9)))))),((1/(1+EXP(2.8891+(1.1686*(LN(D12-0.9))))))))</f>
        <v>0.20440074909401917</v>
      </c>
      <c r="H12" s="70">
        <f t="shared" ref="H12:H28" si="9">ROUND(G12,3)</f>
        <v>0.20399999999999999</v>
      </c>
      <c r="I12" s="71">
        <f t="shared" ref="I12:I28" si="10">ROUND(H12/0.15,2)</f>
        <v>1.36</v>
      </c>
      <c r="J12" s="72">
        <f t="shared" ref="J12:J28" si="11">IF(I12&lt;0.673,5,IF(I12&lt;1.33,4,IF(I12&lt;2,3,IF(I12&lt;2.67,2,1))))</f>
        <v>3</v>
      </c>
    </row>
    <row r="13" spans="1:10" ht="13.15" customHeight="1">
      <c r="A13" s="149" t="s">
        <v>102</v>
      </c>
      <c r="B13" s="52" t="s">
        <v>105</v>
      </c>
      <c r="C13" s="67">
        <v>2019</v>
      </c>
      <c r="D13" s="52">
        <v>1.17</v>
      </c>
      <c r="E13" s="52" t="s">
        <v>157</v>
      </c>
      <c r="F13" s="52" t="s">
        <v>86</v>
      </c>
      <c r="G13" s="69">
        <f t="shared" si="8"/>
        <v>0.20440074909401917</v>
      </c>
      <c r="H13" s="70">
        <f t="shared" si="9"/>
        <v>0.20399999999999999</v>
      </c>
      <c r="I13" s="71">
        <f t="shared" si="10"/>
        <v>1.36</v>
      </c>
      <c r="J13" s="72">
        <f t="shared" si="11"/>
        <v>3</v>
      </c>
    </row>
    <row r="14" spans="1:10" ht="13.15" customHeight="1">
      <c r="A14" s="149" t="s">
        <v>102</v>
      </c>
      <c r="B14" s="52" t="s">
        <v>106</v>
      </c>
      <c r="C14" s="67">
        <v>2019</v>
      </c>
      <c r="D14" s="52">
        <v>1.17</v>
      </c>
      <c r="E14" s="52" t="s">
        <v>157</v>
      </c>
      <c r="F14" s="52" t="s">
        <v>86</v>
      </c>
      <c r="G14" s="69">
        <f t="shared" si="8"/>
        <v>0.20440074909401917</v>
      </c>
      <c r="H14" s="70">
        <f t="shared" si="9"/>
        <v>0.20399999999999999</v>
      </c>
      <c r="I14" s="71">
        <f t="shared" si="10"/>
        <v>1.36</v>
      </c>
      <c r="J14" s="72">
        <f t="shared" si="11"/>
        <v>3</v>
      </c>
    </row>
    <row r="15" spans="1:10" ht="13.15" customHeight="1">
      <c r="A15" s="149" t="s">
        <v>94</v>
      </c>
      <c r="B15" s="52" t="s">
        <v>186</v>
      </c>
      <c r="C15" s="67">
        <v>2019</v>
      </c>
      <c r="D15" s="52">
        <v>1.17</v>
      </c>
      <c r="E15" s="52" t="s">
        <v>157</v>
      </c>
      <c r="F15" s="52" t="s">
        <v>86</v>
      </c>
      <c r="G15" s="69">
        <f t="shared" si="8"/>
        <v>0.20440074909401917</v>
      </c>
      <c r="H15" s="70">
        <f t="shared" si="9"/>
        <v>0.20399999999999999</v>
      </c>
      <c r="I15" s="71">
        <f t="shared" si="10"/>
        <v>1.36</v>
      </c>
      <c r="J15" s="72">
        <f t="shared" si="11"/>
        <v>3</v>
      </c>
    </row>
    <row r="16" spans="1:10" ht="13.15" customHeight="1">
      <c r="A16" s="149" t="s">
        <v>94</v>
      </c>
      <c r="B16" s="52" t="s">
        <v>187</v>
      </c>
      <c r="C16" s="67">
        <v>2019</v>
      </c>
      <c r="D16" s="52">
        <v>1.17</v>
      </c>
      <c r="E16" s="52" t="s">
        <v>157</v>
      </c>
      <c r="F16" s="52" t="s">
        <v>86</v>
      </c>
      <c r="G16" s="69">
        <f t="shared" si="8"/>
        <v>0.20440074909401917</v>
      </c>
      <c r="H16" s="70">
        <f t="shared" si="9"/>
        <v>0.20399999999999999</v>
      </c>
      <c r="I16" s="71">
        <f t="shared" si="10"/>
        <v>1.36</v>
      </c>
      <c r="J16" s="72">
        <f t="shared" si="11"/>
        <v>3</v>
      </c>
    </row>
    <row r="17" spans="1:10" ht="13.15" customHeight="1">
      <c r="A17" s="149" t="s">
        <v>102</v>
      </c>
      <c r="B17" s="52" t="s">
        <v>188</v>
      </c>
      <c r="C17" s="67">
        <v>2019</v>
      </c>
      <c r="D17" s="52">
        <v>1.17</v>
      </c>
      <c r="E17" s="52" t="s">
        <v>157</v>
      </c>
      <c r="F17" s="52" t="s">
        <v>86</v>
      </c>
      <c r="G17" s="69">
        <f t="shared" si="8"/>
        <v>0.20440074909401917</v>
      </c>
      <c r="H17" s="70">
        <f t="shared" si="9"/>
        <v>0.20399999999999999</v>
      </c>
      <c r="I17" s="71">
        <f t="shared" si="10"/>
        <v>1.36</v>
      </c>
      <c r="J17" s="72">
        <f t="shared" si="11"/>
        <v>3</v>
      </c>
    </row>
    <row r="18" spans="1:10" ht="13.15" customHeight="1">
      <c r="A18" s="149" t="s">
        <v>102</v>
      </c>
      <c r="B18" s="52" t="s">
        <v>189</v>
      </c>
      <c r="C18" s="67">
        <v>2019</v>
      </c>
      <c r="D18" s="52">
        <v>1.17</v>
      </c>
      <c r="E18" s="52" t="s">
        <v>157</v>
      </c>
      <c r="F18" s="52" t="s">
        <v>86</v>
      </c>
      <c r="G18" s="69">
        <f t="shared" si="8"/>
        <v>0.20440074909401917</v>
      </c>
      <c r="H18" s="70">
        <f t="shared" si="9"/>
        <v>0.20399999999999999</v>
      </c>
      <c r="I18" s="71">
        <f t="shared" si="10"/>
        <v>1.36</v>
      </c>
      <c r="J18" s="72">
        <f t="shared" si="11"/>
        <v>3</v>
      </c>
    </row>
    <row r="19" spans="1:10" ht="13.15" customHeight="1">
      <c r="A19" s="9" t="s">
        <v>94</v>
      </c>
      <c r="B19" s="9" t="s">
        <v>199</v>
      </c>
      <c r="C19" s="67">
        <v>2019</v>
      </c>
      <c r="D19" s="52">
        <v>1.1599999999999999</v>
      </c>
      <c r="E19" s="52" t="s">
        <v>157</v>
      </c>
      <c r="F19" s="52" t="s">
        <v>86</v>
      </c>
      <c r="G19" s="69">
        <f t="shared" si="8"/>
        <v>0.21166642755867562</v>
      </c>
      <c r="H19" s="70">
        <f t="shared" si="9"/>
        <v>0.21199999999999999</v>
      </c>
      <c r="I19" s="71">
        <f t="shared" si="10"/>
        <v>1.41</v>
      </c>
      <c r="J19" s="72">
        <f t="shared" si="11"/>
        <v>3</v>
      </c>
    </row>
    <row r="20" spans="1:10" ht="13.15" customHeight="1">
      <c r="A20" s="9" t="s">
        <v>94</v>
      </c>
      <c r="B20" s="9" t="s">
        <v>200</v>
      </c>
      <c r="C20" s="67">
        <v>2019</v>
      </c>
      <c r="D20" s="52">
        <v>1.17</v>
      </c>
      <c r="E20" s="52" t="s">
        <v>157</v>
      </c>
      <c r="F20" s="52" t="s">
        <v>86</v>
      </c>
      <c r="G20" s="69">
        <f t="shared" si="8"/>
        <v>0.20440074909401917</v>
      </c>
      <c r="H20" s="70">
        <f t="shared" si="9"/>
        <v>0.20399999999999999</v>
      </c>
      <c r="I20" s="71">
        <f t="shared" si="10"/>
        <v>1.36</v>
      </c>
      <c r="J20" s="72">
        <f t="shared" si="11"/>
        <v>3</v>
      </c>
    </row>
    <row r="21" spans="1:10" ht="13.15" customHeight="1">
      <c r="A21" s="52" t="s">
        <v>102</v>
      </c>
      <c r="B21" s="52" t="s">
        <v>201</v>
      </c>
      <c r="C21" s="67">
        <v>2019</v>
      </c>
      <c r="D21" s="52">
        <v>1.1599999999999999</v>
      </c>
      <c r="E21" s="52" t="s">
        <v>157</v>
      </c>
      <c r="F21" s="52" t="s">
        <v>86</v>
      </c>
      <c r="G21" s="69">
        <f t="shared" si="8"/>
        <v>0.21166642755867562</v>
      </c>
      <c r="H21" s="70">
        <f t="shared" si="9"/>
        <v>0.21199999999999999</v>
      </c>
      <c r="I21" s="71">
        <f t="shared" si="10"/>
        <v>1.41</v>
      </c>
      <c r="J21" s="72">
        <f t="shared" si="11"/>
        <v>3</v>
      </c>
    </row>
    <row r="22" spans="1:10" ht="13.15" customHeight="1">
      <c r="A22" s="52" t="s">
        <v>102</v>
      </c>
      <c r="B22" s="52" t="s">
        <v>202</v>
      </c>
      <c r="C22" s="67">
        <v>2019</v>
      </c>
      <c r="D22" s="52">
        <v>1.17</v>
      </c>
      <c r="E22" s="52" t="s">
        <v>157</v>
      </c>
      <c r="F22" s="52" t="s">
        <v>86</v>
      </c>
      <c r="G22" s="69">
        <f t="shared" si="8"/>
        <v>0.20440074909401917</v>
      </c>
      <c r="H22" s="70">
        <f t="shared" si="9"/>
        <v>0.20399999999999999</v>
      </c>
      <c r="I22" s="71">
        <f t="shared" si="10"/>
        <v>1.36</v>
      </c>
      <c r="J22" s="72">
        <f t="shared" si="11"/>
        <v>3</v>
      </c>
    </row>
    <row r="23" spans="1:10" ht="13.15" customHeight="1">
      <c r="A23" s="9" t="s">
        <v>94</v>
      </c>
      <c r="B23" s="9" t="s">
        <v>203</v>
      </c>
      <c r="C23" s="67">
        <v>2019</v>
      </c>
      <c r="D23" s="52">
        <v>1.1399999999999999</v>
      </c>
      <c r="E23" s="52" t="s">
        <v>157</v>
      </c>
      <c r="F23" s="52" t="s">
        <v>86</v>
      </c>
      <c r="G23" s="69">
        <f t="shared" si="8"/>
        <v>0.22769512464467864</v>
      </c>
      <c r="H23" s="70">
        <f t="shared" si="9"/>
        <v>0.22800000000000001</v>
      </c>
      <c r="I23" s="71">
        <f t="shared" si="10"/>
        <v>1.52</v>
      </c>
      <c r="J23" s="72">
        <f t="shared" si="11"/>
        <v>3</v>
      </c>
    </row>
    <row r="24" spans="1:10" ht="13.15" customHeight="1">
      <c r="A24" s="9" t="s">
        <v>94</v>
      </c>
      <c r="B24" s="9" t="s">
        <v>204</v>
      </c>
      <c r="C24" s="67">
        <v>2019</v>
      </c>
      <c r="D24" s="52">
        <v>1.1499999999999999</v>
      </c>
      <c r="E24" s="52" t="s">
        <v>157</v>
      </c>
      <c r="F24" s="52" t="s">
        <v>86</v>
      </c>
      <c r="G24" s="69">
        <f t="shared" si="8"/>
        <v>0.21941539652892203</v>
      </c>
      <c r="H24" s="70">
        <f t="shared" si="9"/>
        <v>0.219</v>
      </c>
      <c r="I24" s="71">
        <f t="shared" si="10"/>
        <v>1.46</v>
      </c>
      <c r="J24" s="72">
        <f t="shared" si="11"/>
        <v>3</v>
      </c>
    </row>
    <row r="25" spans="1:10" ht="13.15" customHeight="1">
      <c r="A25" s="52" t="s">
        <v>102</v>
      </c>
      <c r="B25" s="52" t="s">
        <v>205</v>
      </c>
      <c r="C25" s="67">
        <v>2019</v>
      </c>
      <c r="D25" s="52">
        <v>1.1399999999999999</v>
      </c>
      <c r="E25" s="52" t="s">
        <v>157</v>
      </c>
      <c r="F25" s="52" t="s">
        <v>86</v>
      </c>
      <c r="G25" s="69">
        <f t="shared" si="8"/>
        <v>0.22769512464467864</v>
      </c>
      <c r="H25" s="70">
        <f t="shared" si="9"/>
        <v>0.22800000000000001</v>
      </c>
      <c r="I25" s="71">
        <f t="shared" si="10"/>
        <v>1.52</v>
      </c>
      <c r="J25" s="72">
        <f t="shared" si="11"/>
        <v>3</v>
      </c>
    </row>
    <row r="26" spans="1:10" ht="13.15" customHeight="1">
      <c r="A26" s="52" t="s">
        <v>198</v>
      </c>
      <c r="B26" s="52" t="s">
        <v>206</v>
      </c>
      <c r="C26" s="67">
        <v>2019</v>
      </c>
      <c r="D26" s="52">
        <v>1.1499999999999999</v>
      </c>
      <c r="E26" s="52" t="s">
        <v>157</v>
      </c>
      <c r="F26" s="52" t="s">
        <v>86</v>
      </c>
      <c r="G26" s="69">
        <f t="shared" si="8"/>
        <v>0.21941539652892203</v>
      </c>
      <c r="H26" s="70">
        <f t="shared" si="9"/>
        <v>0.219</v>
      </c>
      <c r="I26" s="71">
        <f t="shared" si="10"/>
        <v>1.46</v>
      </c>
      <c r="J26" s="72">
        <f t="shared" si="11"/>
        <v>3</v>
      </c>
    </row>
    <row r="27" spans="1:10" ht="13.15" customHeight="1">
      <c r="A27" s="144" t="s">
        <v>107</v>
      </c>
      <c r="B27" s="150" t="s">
        <v>108</v>
      </c>
      <c r="C27" s="67">
        <v>2019</v>
      </c>
      <c r="D27" s="52">
        <v>1.24</v>
      </c>
      <c r="E27" s="52" t="s">
        <v>157</v>
      </c>
      <c r="F27" s="52" t="s">
        <v>86</v>
      </c>
      <c r="G27" s="69">
        <f t="shared" si="8"/>
        <v>0.1640492476036079</v>
      </c>
      <c r="H27" s="70">
        <f t="shared" si="9"/>
        <v>0.16400000000000001</v>
      </c>
      <c r="I27" s="71">
        <f t="shared" si="10"/>
        <v>1.0900000000000001</v>
      </c>
      <c r="J27" s="72">
        <f t="shared" si="11"/>
        <v>4</v>
      </c>
    </row>
    <row r="28" spans="1:10" ht="13.15" customHeight="1">
      <c r="A28" s="144" t="s">
        <v>109</v>
      </c>
      <c r="B28" s="150" t="s">
        <v>110</v>
      </c>
      <c r="C28" s="67">
        <v>2019</v>
      </c>
      <c r="D28" s="18">
        <v>1.26</v>
      </c>
      <c r="E28" s="52" t="s">
        <v>157</v>
      </c>
      <c r="F28" s="52" t="s">
        <v>86</v>
      </c>
      <c r="G28" s="69">
        <f t="shared" si="8"/>
        <v>0.15509342889208913</v>
      </c>
      <c r="H28" s="70">
        <f t="shared" si="9"/>
        <v>0.155</v>
      </c>
      <c r="I28" s="71">
        <f t="shared" si="10"/>
        <v>1.03</v>
      </c>
      <c r="J28" s="72">
        <f t="shared" si="11"/>
        <v>4</v>
      </c>
    </row>
    <row r="29" spans="1:10" ht="13.15" customHeight="1">
      <c r="A29" s="144" t="s">
        <v>109</v>
      </c>
      <c r="B29" s="150" t="s">
        <v>111</v>
      </c>
      <c r="C29" s="67">
        <v>2019</v>
      </c>
      <c r="D29" s="52">
        <v>1.26</v>
      </c>
      <c r="E29" s="52" t="s">
        <v>157</v>
      </c>
      <c r="F29" s="52" t="s">
        <v>86</v>
      </c>
      <c r="G29" s="69">
        <f t="shared" si="4"/>
        <v>0.15509342889208913</v>
      </c>
      <c r="H29" s="70">
        <f t="shared" si="5"/>
        <v>0.155</v>
      </c>
      <c r="I29" s="71">
        <f t="shared" si="6"/>
        <v>1.03</v>
      </c>
      <c r="J29" s="72">
        <f t="shared" si="7"/>
        <v>4</v>
      </c>
    </row>
    <row r="30" spans="1:10" ht="13.15" customHeight="1">
      <c r="A30" s="151" t="s">
        <v>112</v>
      </c>
      <c r="B30" s="152" t="s">
        <v>113</v>
      </c>
      <c r="C30" s="67">
        <v>2019</v>
      </c>
      <c r="D30" s="18">
        <v>1.26</v>
      </c>
      <c r="E30" s="52" t="s">
        <v>157</v>
      </c>
      <c r="F30" s="52" t="s">
        <v>86</v>
      </c>
      <c r="G30" s="69">
        <f t="shared" si="4"/>
        <v>0.15509342889208913</v>
      </c>
      <c r="H30" s="70">
        <f t="shared" si="5"/>
        <v>0.155</v>
      </c>
      <c r="I30" s="71">
        <f t="shared" si="6"/>
        <v>1.03</v>
      </c>
      <c r="J30" s="72">
        <f t="shared" si="7"/>
        <v>4</v>
      </c>
    </row>
    <row r="31" spans="1:10" ht="13.15" customHeight="1">
      <c r="A31" s="151" t="s">
        <v>112</v>
      </c>
      <c r="B31" s="152" t="s">
        <v>114</v>
      </c>
      <c r="C31" s="67">
        <v>2019</v>
      </c>
      <c r="D31" s="52">
        <v>1.26</v>
      </c>
      <c r="E31" s="52" t="s">
        <v>157</v>
      </c>
      <c r="F31" s="52" t="s">
        <v>86</v>
      </c>
      <c r="G31" s="69">
        <f t="shared" si="4"/>
        <v>0.15509342889208913</v>
      </c>
      <c r="H31" s="70">
        <f t="shared" si="5"/>
        <v>0.155</v>
      </c>
      <c r="I31" s="71">
        <f t="shared" si="6"/>
        <v>1.03</v>
      </c>
      <c r="J31" s="72">
        <f t="shared" si="7"/>
        <v>4</v>
      </c>
    </row>
    <row r="32" spans="1:10" ht="13.15" customHeight="1">
      <c r="A32" s="148" t="s">
        <v>109</v>
      </c>
      <c r="B32" s="9" t="s">
        <v>115</v>
      </c>
      <c r="C32" s="67">
        <v>2019</v>
      </c>
      <c r="D32" s="52">
        <v>1.19</v>
      </c>
      <c r="E32" s="52" t="s">
        <v>157</v>
      </c>
      <c r="F32" s="52" t="s">
        <v>86</v>
      </c>
      <c r="G32" s="69">
        <f t="shared" si="4"/>
        <v>0.19115541116675627</v>
      </c>
      <c r="H32" s="70">
        <f t="shared" si="5"/>
        <v>0.191</v>
      </c>
      <c r="I32" s="71">
        <f t="shared" si="6"/>
        <v>1.27</v>
      </c>
      <c r="J32" s="72">
        <f t="shared" si="7"/>
        <v>4</v>
      </c>
    </row>
    <row r="33" spans="1:10" ht="13.15" customHeight="1">
      <c r="A33" s="148" t="s">
        <v>109</v>
      </c>
      <c r="B33" s="9" t="s">
        <v>116</v>
      </c>
      <c r="C33" s="67">
        <v>2019</v>
      </c>
      <c r="D33" s="52">
        <v>1.08</v>
      </c>
      <c r="E33" s="52" t="s">
        <v>157</v>
      </c>
      <c r="F33" s="52" t="s">
        <v>86</v>
      </c>
      <c r="G33" s="69">
        <f>IF(F33="Y",((1/(1+EXP(2.6968+(1.1686*LN(D33-0.9)))))),((1/(1+EXP(2.8891+(1.1686*(LN(D33-0.9))))))))</f>
        <v>0.29210415096468184</v>
      </c>
      <c r="H33" s="70">
        <f>ROUND(G33,3)</f>
        <v>0.29199999999999998</v>
      </c>
      <c r="I33" s="71">
        <f>ROUND(H33/0.15,2)</f>
        <v>1.95</v>
      </c>
      <c r="J33" s="72">
        <f>IF(I33&lt;0.673,5,IF(I33&lt;1.33,4,IF(I33&lt;2,3,IF(I33&lt;2.67,2,1))))</f>
        <v>3</v>
      </c>
    </row>
    <row r="34" spans="1:10" ht="13.15" customHeight="1">
      <c r="A34" s="153" t="s">
        <v>85</v>
      </c>
      <c r="B34" s="145" t="s">
        <v>117</v>
      </c>
      <c r="C34" s="67">
        <v>2019</v>
      </c>
      <c r="D34" s="18">
        <v>1.49</v>
      </c>
      <c r="E34" s="18" t="s">
        <v>86</v>
      </c>
      <c r="F34" s="44" t="s">
        <v>86</v>
      </c>
      <c r="G34" s="69">
        <f t="shared" si="4"/>
        <v>9.3425542873439987E-2</v>
      </c>
      <c r="H34" s="70">
        <f t="shared" si="5"/>
        <v>9.2999999999999999E-2</v>
      </c>
      <c r="I34" s="71">
        <f t="shared" si="6"/>
        <v>0.62</v>
      </c>
      <c r="J34" s="72">
        <f t="shared" si="7"/>
        <v>5</v>
      </c>
    </row>
    <row r="35" spans="1:10" ht="13.15" customHeight="1">
      <c r="A35" s="153" t="s">
        <v>118</v>
      </c>
      <c r="B35" s="145" t="s">
        <v>119</v>
      </c>
      <c r="C35" s="67">
        <v>2019</v>
      </c>
      <c r="D35" s="18">
        <v>1.3</v>
      </c>
      <c r="E35" s="18" t="s">
        <v>157</v>
      </c>
      <c r="F35" s="44" t="s">
        <v>86</v>
      </c>
      <c r="G35" s="69">
        <f t="shared" si="4"/>
        <v>0.13963526332187839</v>
      </c>
      <c r="H35" s="70">
        <f t="shared" si="5"/>
        <v>0.14000000000000001</v>
      </c>
      <c r="I35" s="71">
        <f t="shared" si="6"/>
        <v>0.93</v>
      </c>
      <c r="J35" s="72">
        <f t="shared" si="7"/>
        <v>4</v>
      </c>
    </row>
    <row r="36" spans="1:10" ht="13.15" customHeight="1">
      <c r="A36" s="153" t="s">
        <v>118</v>
      </c>
      <c r="B36" s="145" t="s">
        <v>120</v>
      </c>
      <c r="C36" s="67">
        <v>2019</v>
      </c>
      <c r="D36" s="18">
        <v>1.31</v>
      </c>
      <c r="E36" s="18" t="s">
        <v>157</v>
      </c>
      <c r="F36" s="44" t="s">
        <v>86</v>
      </c>
      <c r="G36" s="69">
        <f t="shared" si="4"/>
        <v>0.13620452121888105</v>
      </c>
      <c r="H36" s="70">
        <f t="shared" si="5"/>
        <v>0.13600000000000001</v>
      </c>
      <c r="I36" s="71">
        <f t="shared" si="6"/>
        <v>0.91</v>
      </c>
      <c r="J36" s="72">
        <f t="shared" si="7"/>
        <v>4</v>
      </c>
    </row>
    <row r="37" spans="1:10" ht="13.15" customHeight="1">
      <c r="A37" s="153" t="s">
        <v>118</v>
      </c>
      <c r="B37" s="145" t="s">
        <v>121</v>
      </c>
      <c r="C37" s="67">
        <v>2019</v>
      </c>
      <c r="D37" s="18">
        <v>1.26</v>
      </c>
      <c r="E37" s="18" t="s">
        <v>157</v>
      </c>
      <c r="F37" s="44" t="s">
        <v>86</v>
      </c>
      <c r="G37" s="69">
        <f t="shared" si="4"/>
        <v>0.15509342889208913</v>
      </c>
      <c r="H37" s="70">
        <f t="shared" si="5"/>
        <v>0.155</v>
      </c>
      <c r="I37" s="71">
        <f t="shared" si="6"/>
        <v>1.03</v>
      </c>
      <c r="J37" s="72">
        <f t="shared" si="7"/>
        <v>4</v>
      </c>
    </row>
    <row r="38" spans="1:10" ht="13.15" customHeight="1">
      <c r="A38" s="153" t="s">
        <v>118</v>
      </c>
      <c r="B38" s="145" t="s">
        <v>122</v>
      </c>
      <c r="C38" s="67">
        <v>2019</v>
      </c>
      <c r="D38" s="52">
        <v>1.28</v>
      </c>
      <c r="E38" s="52" t="s">
        <v>157</v>
      </c>
      <c r="F38" s="68" t="s">
        <v>86</v>
      </c>
      <c r="G38" s="69">
        <f t="shared" si="4"/>
        <v>0.14699318560666366</v>
      </c>
      <c r="H38" s="70">
        <f t="shared" si="5"/>
        <v>0.14699999999999999</v>
      </c>
      <c r="I38" s="71">
        <f t="shared" si="6"/>
        <v>0.98</v>
      </c>
      <c r="J38" s="72">
        <f t="shared" si="7"/>
        <v>4</v>
      </c>
    </row>
    <row r="39" spans="1:10" ht="13.15" customHeight="1">
      <c r="A39" s="144" t="s">
        <v>124</v>
      </c>
      <c r="B39" s="9" t="s">
        <v>125</v>
      </c>
      <c r="C39" s="67">
        <v>2019</v>
      </c>
      <c r="D39" s="52">
        <v>1.22</v>
      </c>
      <c r="E39" s="52" t="s">
        <v>157</v>
      </c>
      <c r="F39" s="52" t="s">
        <v>86</v>
      </c>
      <c r="G39" s="69">
        <f t="shared" si="4"/>
        <v>0.17399746725853527</v>
      </c>
      <c r="H39" s="70">
        <f t="shared" si="5"/>
        <v>0.17399999999999999</v>
      </c>
      <c r="I39" s="71">
        <f t="shared" si="6"/>
        <v>1.1599999999999999</v>
      </c>
      <c r="J39" s="72">
        <f t="shared" si="7"/>
        <v>4</v>
      </c>
    </row>
    <row r="40" spans="1:10" ht="13.15" customHeight="1">
      <c r="A40" s="144" t="s">
        <v>124</v>
      </c>
      <c r="B40" s="9" t="s">
        <v>126</v>
      </c>
      <c r="C40" s="67">
        <v>2019</v>
      </c>
      <c r="D40" s="52">
        <v>1.23</v>
      </c>
      <c r="E40" s="52" t="s">
        <v>157</v>
      </c>
      <c r="F40" s="52" t="s">
        <v>86</v>
      </c>
      <c r="G40" s="69">
        <f t="shared" si="4"/>
        <v>0.16888967495700072</v>
      </c>
      <c r="H40" s="70">
        <f t="shared" si="5"/>
        <v>0.16900000000000001</v>
      </c>
      <c r="I40" s="71">
        <f t="shared" si="6"/>
        <v>1.1299999999999999</v>
      </c>
      <c r="J40" s="72">
        <f t="shared" si="7"/>
        <v>4</v>
      </c>
    </row>
    <row r="41" spans="1:10" ht="13.15" customHeight="1">
      <c r="A41" s="49" t="s">
        <v>124</v>
      </c>
      <c r="B41" s="145" t="s">
        <v>127</v>
      </c>
      <c r="C41" s="67">
        <v>2019</v>
      </c>
      <c r="D41" s="18">
        <v>1.1000000000000001</v>
      </c>
      <c r="E41" s="18" t="s">
        <v>157</v>
      </c>
      <c r="F41" s="44" t="s">
        <v>86</v>
      </c>
      <c r="G41" s="69">
        <f t="shared" si="4"/>
        <v>0.26731054913942764</v>
      </c>
      <c r="H41" s="70">
        <f t="shared" si="5"/>
        <v>0.26700000000000002</v>
      </c>
      <c r="I41" s="71">
        <f t="shared" si="6"/>
        <v>1.78</v>
      </c>
      <c r="J41" s="72">
        <f t="shared" si="7"/>
        <v>3</v>
      </c>
    </row>
    <row r="42" spans="1:10" ht="13.15" customHeight="1">
      <c r="A42" s="49" t="s">
        <v>128</v>
      </c>
      <c r="B42" s="145" t="s">
        <v>129</v>
      </c>
      <c r="C42" s="67">
        <v>2019</v>
      </c>
      <c r="D42" s="18">
        <v>1.42</v>
      </c>
      <c r="E42" s="18" t="s">
        <v>86</v>
      </c>
      <c r="F42" s="44" t="s">
        <v>86</v>
      </c>
      <c r="G42" s="69">
        <f t="shared" ref="G42:G65" si="12">IF(F42="Y",((1/(1+EXP(2.6968+(1.1686*LN(D42-0.9)))))),((1/(1+EXP(2.8891+(1.1686*(LN(D42-0.9))))))))</f>
        <v>0.10669807295458973</v>
      </c>
      <c r="H42" s="70">
        <f t="shared" ref="H42:H65" si="13">ROUND(G42,3)</f>
        <v>0.107</v>
      </c>
      <c r="I42" s="71">
        <f t="shared" ref="I42:I65" si="14">ROUND(H42/0.15,2)</f>
        <v>0.71</v>
      </c>
      <c r="J42" s="72">
        <f t="shared" ref="J42:J65" si="15">IF(I42&lt;0.673,5,IF(I42&lt;1.33,4,IF(I42&lt;2,3,IF(I42&lt;2.67,2,1))))</f>
        <v>4</v>
      </c>
    </row>
    <row r="43" spans="1:10" ht="13.15" customHeight="1">
      <c r="A43" s="49" t="s">
        <v>130</v>
      </c>
      <c r="B43" s="9" t="s">
        <v>131</v>
      </c>
      <c r="C43" s="67">
        <v>2019</v>
      </c>
      <c r="D43" s="18">
        <v>1.43</v>
      </c>
      <c r="E43" s="18" t="s">
        <v>86</v>
      </c>
      <c r="F43" s="44" t="s">
        <v>86</v>
      </c>
      <c r="G43" s="69">
        <f t="shared" ref="G43:G51" si="16">IF(F43="Y",((1/(1+EXP(2.6968+(1.1686*LN(D43-0.9)))))),((1/(1+EXP(2.8891+(1.1686*(LN(D43-0.9))))))))</f>
        <v>0.10459491849361911</v>
      </c>
      <c r="H43" s="70">
        <f t="shared" ref="H43:H51" si="17">ROUND(G43,3)</f>
        <v>0.105</v>
      </c>
      <c r="I43" s="71">
        <f t="shared" ref="I43:I51" si="18">ROUND(H43/0.15,2)</f>
        <v>0.7</v>
      </c>
      <c r="J43" s="72">
        <f t="shared" ref="J43:J51" si="19">IF(I43&lt;0.673,5,IF(I43&lt;1.33,4,IF(I43&lt;2,3,IF(I43&lt;2.67,2,1))))</f>
        <v>4</v>
      </c>
    </row>
    <row r="44" spans="1:10" ht="13.15" customHeight="1">
      <c r="A44" s="154" t="s">
        <v>130</v>
      </c>
      <c r="B44" s="52" t="s">
        <v>132</v>
      </c>
      <c r="C44" s="67">
        <v>2019</v>
      </c>
      <c r="D44" s="18">
        <v>1.43</v>
      </c>
      <c r="E44" s="18" t="s">
        <v>86</v>
      </c>
      <c r="F44" s="44" t="s">
        <v>86</v>
      </c>
      <c r="G44" s="69">
        <f t="shared" si="16"/>
        <v>0.10459491849361911</v>
      </c>
      <c r="H44" s="70">
        <f t="shared" si="17"/>
        <v>0.105</v>
      </c>
      <c r="I44" s="71">
        <f t="shared" si="18"/>
        <v>0.7</v>
      </c>
      <c r="J44" s="72">
        <f t="shared" si="19"/>
        <v>4</v>
      </c>
    </row>
    <row r="45" spans="1:10" ht="13.15" customHeight="1">
      <c r="A45" s="49" t="s">
        <v>133</v>
      </c>
      <c r="B45" s="9" t="s">
        <v>134</v>
      </c>
      <c r="C45" s="67">
        <v>2019</v>
      </c>
      <c r="D45" s="18">
        <v>1.1299999999999999</v>
      </c>
      <c r="E45" s="52" t="s">
        <v>157</v>
      </c>
      <c r="F45" s="52" t="s">
        <v>86</v>
      </c>
      <c r="G45" s="69">
        <f t="shared" si="16"/>
        <v>0.23655927745442004</v>
      </c>
      <c r="H45" s="70">
        <f t="shared" si="17"/>
        <v>0.23699999999999999</v>
      </c>
      <c r="I45" s="71">
        <f t="shared" si="18"/>
        <v>1.58</v>
      </c>
      <c r="J45" s="72">
        <f t="shared" si="19"/>
        <v>3</v>
      </c>
    </row>
    <row r="46" spans="1:10" ht="13.15" customHeight="1">
      <c r="A46" s="49" t="s">
        <v>133</v>
      </c>
      <c r="B46" s="9" t="s">
        <v>135</v>
      </c>
      <c r="C46" s="67">
        <v>2019</v>
      </c>
      <c r="D46" s="18">
        <v>1.1499999999999999</v>
      </c>
      <c r="E46" s="52" t="s">
        <v>157</v>
      </c>
      <c r="F46" s="52" t="s">
        <v>86</v>
      </c>
      <c r="G46" s="69">
        <f t="shared" si="16"/>
        <v>0.21941539652892203</v>
      </c>
      <c r="H46" s="70">
        <f t="shared" si="17"/>
        <v>0.219</v>
      </c>
      <c r="I46" s="71">
        <f t="shared" si="18"/>
        <v>1.46</v>
      </c>
      <c r="J46" s="72">
        <f t="shared" si="19"/>
        <v>3</v>
      </c>
    </row>
    <row r="47" spans="1:10" ht="13.15" customHeight="1">
      <c r="A47" s="155" t="s">
        <v>123</v>
      </c>
      <c r="B47" s="156" t="s">
        <v>136</v>
      </c>
      <c r="C47" s="67">
        <v>2019</v>
      </c>
      <c r="D47" s="18">
        <v>1.1299999999999999</v>
      </c>
      <c r="E47" s="52" t="s">
        <v>157</v>
      </c>
      <c r="F47" s="52" t="s">
        <v>86</v>
      </c>
      <c r="G47" s="69">
        <f t="shared" si="16"/>
        <v>0.23655927745442004</v>
      </c>
      <c r="H47" s="70">
        <f t="shared" si="17"/>
        <v>0.23699999999999999</v>
      </c>
      <c r="I47" s="71">
        <f t="shared" si="18"/>
        <v>1.58</v>
      </c>
      <c r="J47" s="72">
        <f t="shared" si="19"/>
        <v>3</v>
      </c>
    </row>
    <row r="48" spans="1:10" ht="12.75" customHeight="1">
      <c r="A48" s="155" t="s">
        <v>123</v>
      </c>
      <c r="B48" s="156" t="s">
        <v>137</v>
      </c>
      <c r="C48" s="67">
        <v>2019</v>
      </c>
      <c r="D48" s="18">
        <v>1.1499999999999999</v>
      </c>
      <c r="E48" s="52" t="s">
        <v>157</v>
      </c>
      <c r="F48" s="52" t="s">
        <v>86</v>
      </c>
      <c r="G48" s="69">
        <f t="shared" si="16"/>
        <v>0.21941539652892203</v>
      </c>
      <c r="H48" s="70">
        <f t="shared" si="17"/>
        <v>0.219</v>
      </c>
      <c r="I48" s="71">
        <f t="shared" si="18"/>
        <v>1.46</v>
      </c>
      <c r="J48" s="72">
        <f t="shared" si="19"/>
        <v>3</v>
      </c>
    </row>
    <row r="49" spans="1:10" ht="13.15" customHeight="1">
      <c r="A49" s="157" t="s">
        <v>133</v>
      </c>
      <c r="B49" s="158" t="s">
        <v>138</v>
      </c>
      <c r="C49" s="67">
        <v>2019</v>
      </c>
      <c r="D49" s="52">
        <v>1.1599999999999999</v>
      </c>
      <c r="E49" s="52" t="s">
        <v>157</v>
      </c>
      <c r="F49" s="52" t="s">
        <v>86</v>
      </c>
      <c r="G49" s="69">
        <f t="shared" si="16"/>
        <v>0.21166642755867562</v>
      </c>
      <c r="H49" s="70">
        <f t="shared" si="17"/>
        <v>0.21199999999999999</v>
      </c>
      <c r="I49" s="71">
        <f t="shared" si="18"/>
        <v>1.41</v>
      </c>
      <c r="J49" s="72">
        <f t="shared" si="19"/>
        <v>3</v>
      </c>
    </row>
    <row r="50" spans="1:10" ht="13.15" customHeight="1">
      <c r="A50" s="157" t="s">
        <v>133</v>
      </c>
      <c r="B50" s="158" t="s">
        <v>139</v>
      </c>
      <c r="C50" s="67">
        <v>2019</v>
      </c>
      <c r="D50" s="52">
        <v>1.18</v>
      </c>
      <c r="E50" s="52" t="s">
        <v>157</v>
      </c>
      <c r="F50" s="52" t="s">
        <v>86</v>
      </c>
      <c r="G50" s="69">
        <f t="shared" si="16"/>
        <v>0.19757624015247355</v>
      </c>
      <c r="H50" s="70">
        <f t="shared" si="17"/>
        <v>0.19800000000000001</v>
      </c>
      <c r="I50" s="71">
        <f t="shared" si="18"/>
        <v>1.32</v>
      </c>
      <c r="J50" s="72">
        <f t="shared" si="19"/>
        <v>4</v>
      </c>
    </row>
    <row r="51" spans="1:10" ht="13.15" customHeight="1">
      <c r="A51" s="144" t="s">
        <v>133</v>
      </c>
      <c r="B51" s="145" t="s">
        <v>140</v>
      </c>
      <c r="C51" s="67">
        <v>2019</v>
      </c>
      <c r="D51" s="52">
        <v>1.26</v>
      </c>
      <c r="E51" s="52" t="s">
        <v>157</v>
      </c>
      <c r="F51" s="68" t="s">
        <v>86</v>
      </c>
      <c r="G51" s="69">
        <f t="shared" si="16"/>
        <v>0.15509342889208913</v>
      </c>
      <c r="H51" s="70">
        <f t="shared" si="17"/>
        <v>0.155</v>
      </c>
      <c r="I51" s="71">
        <f t="shared" si="18"/>
        <v>1.03</v>
      </c>
      <c r="J51" s="72">
        <f t="shared" si="19"/>
        <v>4</v>
      </c>
    </row>
    <row r="52" spans="1:10" ht="13.15" customHeight="1">
      <c r="A52" s="144" t="s">
        <v>133</v>
      </c>
      <c r="B52" s="145" t="s">
        <v>141</v>
      </c>
      <c r="C52" s="67">
        <v>2019</v>
      </c>
      <c r="D52" s="52">
        <v>1.25</v>
      </c>
      <c r="E52" s="52" t="s">
        <v>157</v>
      </c>
      <c r="F52" s="52" t="s">
        <v>86</v>
      </c>
      <c r="G52" s="69">
        <f t="shared" ref="G52:G56" si="20">IF(F52="Y",((1/(1+EXP(2.6968+(1.1686*LN(D52-0.9)))))),((1/(1+EXP(2.8891+(1.1686*(LN(D52-0.9))))))))</f>
        <v>0.15945645755950677</v>
      </c>
      <c r="H52" s="70">
        <f t="shared" ref="H52:H56" si="21">ROUND(G52,3)</f>
        <v>0.159</v>
      </c>
      <c r="I52" s="71">
        <f t="shared" ref="I52:I56" si="22">ROUND(H52/0.15,2)</f>
        <v>1.06</v>
      </c>
      <c r="J52" s="72">
        <f t="shared" ref="J52:J56" si="23">IF(I52&lt;0.673,5,IF(I52&lt;1.33,4,IF(I52&lt;2,3,IF(I52&lt;2.67,2,1))))</f>
        <v>4</v>
      </c>
    </row>
    <row r="53" spans="1:10" ht="13.15" customHeight="1">
      <c r="A53" s="144" t="s">
        <v>133</v>
      </c>
      <c r="B53" s="145" t="s">
        <v>142</v>
      </c>
      <c r="C53" s="67">
        <v>2019</v>
      </c>
      <c r="D53" s="52">
        <v>1.27</v>
      </c>
      <c r="E53" s="52" t="s">
        <v>157</v>
      </c>
      <c r="F53" s="52" t="s">
        <v>86</v>
      </c>
      <c r="G53" s="69">
        <f t="shared" si="20"/>
        <v>0.15094392869398887</v>
      </c>
      <c r="H53" s="70">
        <f t="shared" si="21"/>
        <v>0.151</v>
      </c>
      <c r="I53" s="71">
        <f t="shared" si="22"/>
        <v>1.01</v>
      </c>
      <c r="J53" s="72">
        <f t="shared" si="23"/>
        <v>4</v>
      </c>
    </row>
    <row r="54" spans="1:10" ht="13.15" customHeight="1">
      <c r="A54" s="144" t="s">
        <v>133</v>
      </c>
      <c r="B54" s="145" t="s">
        <v>143</v>
      </c>
      <c r="C54" s="67">
        <v>2019</v>
      </c>
      <c r="D54" s="18">
        <v>1.29</v>
      </c>
      <c r="E54" s="52" t="s">
        <v>86</v>
      </c>
      <c r="F54" s="52" t="s">
        <v>86</v>
      </c>
      <c r="G54" s="69">
        <f t="shared" si="20"/>
        <v>0.14322773155168095</v>
      </c>
      <c r="H54" s="70">
        <f t="shared" si="21"/>
        <v>0.14299999999999999</v>
      </c>
      <c r="I54" s="71">
        <f t="shared" si="22"/>
        <v>0.95</v>
      </c>
      <c r="J54" s="72">
        <f t="shared" si="23"/>
        <v>4</v>
      </c>
    </row>
    <row r="55" spans="1:10" ht="13.15" customHeight="1">
      <c r="A55" s="159" t="s">
        <v>144</v>
      </c>
      <c r="B55" s="145" t="s">
        <v>146</v>
      </c>
      <c r="C55" s="67">
        <v>2019</v>
      </c>
      <c r="D55" s="18">
        <v>1.18</v>
      </c>
      <c r="E55" s="52" t="s">
        <v>157</v>
      </c>
      <c r="F55" s="52" t="s">
        <v>86</v>
      </c>
      <c r="G55" s="69">
        <f t="shared" si="20"/>
        <v>0.19757624015247355</v>
      </c>
      <c r="H55" s="70">
        <f t="shared" si="21"/>
        <v>0.19800000000000001</v>
      </c>
      <c r="I55" s="71">
        <f t="shared" si="22"/>
        <v>1.32</v>
      </c>
      <c r="J55" s="72">
        <f t="shared" si="23"/>
        <v>4</v>
      </c>
    </row>
    <row r="56" spans="1:10" ht="13.15" customHeight="1">
      <c r="A56" s="159" t="s">
        <v>144</v>
      </c>
      <c r="B56" s="145" t="s">
        <v>145</v>
      </c>
      <c r="C56" s="67">
        <v>2019</v>
      </c>
      <c r="D56" s="18">
        <v>1.1499999999999999</v>
      </c>
      <c r="E56" s="52" t="s">
        <v>157</v>
      </c>
      <c r="F56" s="52" t="s">
        <v>86</v>
      </c>
      <c r="G56" s="69">
        <f t="shared" si="20"/>
        <v>0.21941539652892203</v>
      </c>
      <c r="H56" s="70">
        <f t="shared" si="21"/>
        <v>0.219</v>
      </c>
      <c r="I56" s="71">
        <f t="shared" si="22"/>
        <v>1.46</v>
      </c>
      <c r="J56" s="72">
        <f t="shared" si="23"/>
        <v>3</v>
      </c>
    </row>
    <row r="57" spans="1:10" ht="13.15" customHeight="1">
      <c r="A57" s="155" t="s">
        <v>144</v>
      </c>
      <c r="B57" s="156" t="s">
        <v>147</v>
      </c>
      <c r="C57" s="67">
        <v>2019</v>
      </c>
      <c r="D57" s="18">
        <v>1.18</v>
      </c>
      <c r="E57" s="52" t="s">
        <v>157</v>
      </c>
      <c r="F57" s="52" t="s">
        <v>86</v>
      </c>
      <c r="G57" s="69">
        <f t="shared" si="12"/>
        <v>0.19757624015247355</v>
      </c>
      <c r="H57" s="70">
        <f t="shared" si="13"/>
        <v>0.19800000000000001</v>
      </c>
      <c r="I57" s="71">
        <f t="shared" si="14"/>
        <v>1.32</v>
      </c>
      <c r="J57" s="72">
        <f t="shared" si="15"/>
        <v>4</v>
      </c>
    </row>
    <row r="58" spans="1:10" ht="13.15" customHeight="1">
      <c r="A58" s="155" t="s">
        <v>144</v>
      </c>
      <c r="B58" s="156" t="s">
        <v>148</v>
      </c>
      <c r="C58" s="67">
        <v>2019</v>
      </c>
      <c r="D58" s="18">
        <v>1.1499999999999999</v>
      </c>
      <c r="E58" s="52" t="s">
        <v>157</v>
      </c>
      <c r="F58" s="52" t="s">
        <v>86</v>
      </c>
      <c r="G58" s="69">
        <f t="shared" si="12"/>
        <v>0.21941539652892203</v>
      </c>
      <c r="H58" s="70">
        <f t="shared" si="13"/>
        <v>0.219</v>
      </c>
      <c r="I58" s="71">
        <f t="shared" si="14"/>
        <v>1.46</v>
      </c>
      <c r="J58" s="72">
        <f t="shared" si="15"/>
        <v>3</v>
      </c>
    </row>
    <row r="59" spans="1:10" ht="13.15" customHeight="1">
      <c r="A59" s="159" t="s">
        <v>149</v>
      </c>
      <c r="B59" s="145" t="s">
        <v>150</v>
      </c>
      <c r="C59" s="67">
        <v>2019</v>
      </c>
      <c r="D59" s="18">
        <v>1.23</v>
      </c>
      <c r="E59" s="18" t="s">
        <v>157</v>
      </c>
      <c r="F59" s="44" t="s">
        <v>86</v>
      </c>
      <c r="G59" s="69">
        <f t="shared" si="12"/>
        <v>0.16888967495700072</v>
      </c>
      <c r="H59" s="70">
        <f t="shared" si="13"/>
        <v>0.16900000000000001</v>
      </c>
      <c r="I59" s="71">
        <f t="shared" si="14"/>
        <v>1.1299999999999999</v>
      </c>
      <c r="J59" s="72">
        <f t="shared" si="15"/>
        <v>4</v>
      </c>
    </row>
    <row r="60" spans="1:10" ht="13.15" customHeight="1">
      <c r="A60" s="159" t="s">
        <v>149</v>
      </c>
      <c r="B60" s="145" t="s">
        <v>151</v>
      </c>
      <c r="C60" s="67">
        <v>2019</v>
      </c>
      <c r="D60" s="18">
        <v>1.23</v>
      </c>
      <c r="E60" s="18" t="s">
        <v>157</v>
      </c>
      <c r="F60" s="44" t="s">
        <v>86</v>
      </c>
      <c r="G60" s="69">
        <f t="shared" ref="G60:G64" si="24">IF(F60="Y",((1/(1+EXP(2.6968+(1.1686*LN(D60-0.9)))))),((1/(1+EXP(2.8891+(1.1686*(LN(D60-0.9))))))))</f>
        <v>0.16888967495700072</v>
      </c>
      <c r="H60" s="70">
        <f t="shared" ref="H60:H64" si="25">ROUND(G60,3)</f>
        <v>0.16900000000000001</v>
      </c>
      <c r="I60" s="71">
        <f t="shared" ref="I60:I64" si="26">ROUND(H60/0.15,2)</f>
        <v>1.1299999999999999</v>
      </c>
      <c r="J60" s="72">
        <f t="shared" ref="J60:J64" si="27">IF(I60&lt;0.673,5,IF(I60&lt;1.33,4,IF(I60&lt;2,3,IF(I60&lt;2.67,2,1))))</f>
        <v>4</v>
      </c>
    </row>
    <row r="61" spans="1:10" ht="13.15" customHeight="1">
      <c r="A61" s="146" t="s">
        <v>152</v>
      </c>
      <c r="B61" s="160" t="s">
        <v>210</v>
      </c>
      <c r="C61" s="67">
        <v>2019</v>
      </c>
      <c r="D61" s="52">
        <v>1.43</v>
      </c>
      <c r="E61" s="52" t="s">
        <v>86</v>
      </c>
      <c r="F61" s="68" t="s">
        <v>86</v>
      </c>
      <c r="G61" s="69">
        <f t="shared" si="24"/>
        <v>0.10459491849361911</v>
      </c>
      <c r="H61" s="70">
        <f t="shared" si="25"/>
        <v>0.105</v>
      </c>
      <c r="I61" s="71">
        <f t="shared" si="26"/>
        <v>0.7</v>
      </c>
      <c r="J61" s="72">
        <f t="shared" si="27"/>
        <v>4</v>
      </c>
    </row>
    <row r="62" spans="1:10" ht="13.15" customHeight="1">
      <c r="A62" s="161" t="s">
        <v>152</v>
      </c>
      <c r="B62" s="18" t="s">
        <v>211</v>
      </c>
      <c r="C62" s="67">
        <v>2019</v>
      </c>
      <c r="D62" s="52">
        <v>1.43</v>
      </c>
      <c r="E62" s="52" t="s">
        <v>86</v>
      </c>
      <c r="F62" s="68" t="s">
        <v>86</v>
      </c>
      <c r="G62" s="69">
        <f t="shared" si="24"/>
        <v>0.10459491849361911</v>
      </c>
      <c r="H62" s="70">
        <f t="shared" si="25"/>
        <v>0.105</v>
      </c>
      <c r="I62" s="71">
        <f t="shared" si="26"/>
        <v>0.7</v>
      </c>
      <c r="J62" s="72">
        <f t="shared" si="27"/>
        <v>4</v>
      </c>
    </row>
    <row r="63" spans="1:10" ht="13.15" customHeight="1">
      <c r="A63" s="148" t="s">
        <v>152</v>
      </c>
      <c r="B63" s="9" t="s">
        <v>153</v>
      </c>
      <c r="C63" s="67">
        <v>2019</v>
      </c>
      <c r="D63" s="52">
        <v>1.29</v>
      </c>
      <c r="E63" s="52" t="s">
        <v>86</v>
      </c>
      <c r="F63" s="52" t="s">
        <v>86</v>
      </c>
      <c r="G63" s="69">
        <f t="shared" si="24"/>
        <v>0.14322773155168095</v>
      </c>
      <c r="H63" s="70">
        <f t="shared" si="25"/>
        <v>0.14299999999999999</v>
      </c>
      <c r="I63" s="71">
        <f t="shared" si="26"/>
        <v>0.95</v>
      </c>
      <c r="J63" s="72">
        <f t="shared" si="27"/>
        <v>4</v>
      </c>
    </row>
    <row r="64" spans="1:10" ht="13.15" customHeight="1">
      <c r="A64" s="146" t="s">
        <v>152</v>
      </c>
      <c r="B64" s="160" t="s">
        <v>154</v>
      </c>
      <c r="C64" s="67">
        <v>2019</v>
      </c>
      <c r="D64" s="18">
        <v>1.43</v>
      </c>
      <c r="E64" s="52" t="s">
        <v>86</v>
      </c>
      <c r="F64" s="68" t="s">
        <v>86</v>
      </c>
      <c r="G64" s="69">
        <f t="shared" si="24"/>
        <v>0.10459491849361911</v>
      </c>
      <c r="H64" s="70">
        <f t="shared" si="25"/>
        <v>0.105</v>
      </c>
      <c r="I64" s="71">
        <f t="shared" si="26"/>
        <v>0.7</v>
      </c>
      <c r="J64" s="72">
        <f t="shared" si="27"/>
        <v>4</v>
      </c>
    </row>
    <row r="65" spans="1:10" ht="13.15" customHeight="1">
      <c r="A65" s="148" t="s">
        <v>155</v>
      </c>
      <c r="B65" s="9" t="s">
        <v>156</v>
      </c>
      <c r="C65" s="67">
        <v>2019</v>
      </c>
      <c r="D65" s="52">
        <v>1.33</v>
      </c>
      <c r="E65" s="52" t="s">
        <v>86</v>
      </c>
      <c r="F65" s="68" t="s">
        <v>86</v>
      </c>
      <c r="G65" s="69">
        <f t="shared" si="12"/>
        <v>0.12978776668212111</v>
      </c>
      <c r="H65" s="70">
        <f t="shared" si="13"/>
        <v>0.13</v>
      </c>
      <c r="I65" s="71">
        <f t="shared" si="14"/>
        <v>0.87</v>
      </c>
      <c r="J65" s="72">
        <f t="shared" si="15"/>
        <v>4</v>
      </c>
    </row>
  </sheetData>
  <phoneticPr fontId="2" type="noConversion"/>
  <pageMargins left="0.25" right="0.2" top="0.25" bottom="0.25" header="0.3" footer="0.3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103"/>
  <sheetViews>
    <sheetView workbookViewId="0">
      <pane xSplit="6" ySplit="2" topLeftCell="G3" activePane="bottomRight" state="frozen"/>
      <selection activeCell="A66" sqref="A66"/>
      <selection pane="topRight" activeCell="A66" sqref="A66"/>
      <selection pane="bottomLeft" activeCell="A66" sqref="A66"/>
      <selection pane="bottomRight" activeCell="A2" sqref="A2"/>
    </sheetView>
  </sheetViews>
  <sheetFormatPr defaultRowHeight="12.75"/>
  <cols>
    <col min="1" max="1" width="8.140625" style="111" customWidth="1"/>
    <col min="2" max="2" width="9.85546875" style="111" bestFit="1" customWidth="1"/>
    <col min="3" max="3" width="11.28515625" style="246" bestFit="1" customWidth="1"/>
    <col min="4" max="4" width="26.140625" style="246" customWidth="1"/>
    <col min="5" max="5" width="7.42578125" style="246" customWidth="1"/>
    <col min="6" max="6" width="8.28515625" style="246" customWidth="1"/>
    <col min="7" max="9" width="8.7109375" style="250" customWidth="1"/>
    <col min="10" max="10" width="8.42578125" style="250" bestFit="1" customWidth="1"/>
    <col min="11" max="22" width="8.7109375" style="250" customWidth="1"/>
    <col min="23" max="23" width="7.42578125" style="248" bestFit="1" customWidth="1"/>
    <col min="24" max="24" width="5.28515625" style="248" bestFit="1" customWidth="1"/>
    <col min="25" max="25" width="10.140625" style="248" bestFit="1" customWidth="1"/>
    <col min="26" max="26" width="11.28515625" style="248" bestFit="1" customWidth="1"/>
    <col min="27" max="27" width="7.28515625" style="248" customWidth="1"/>
    <col min="28" max="28" width="7.5703125" style="248" bestFit="1" customWidth="1"/>
    <col min="29" max="29" width="7.5703125" style="73" bestFit="1" customWidth="1"/>
    <col min="30" max="31" width="9" style="73" bestFit="1" customWidth="1"/>
    <col min="32" max="32" width="8" style="73" bestFit="1" customWidth="1"/>
    <col min="33" max="33" width="7.42578125" style="73" bestFit="1" customWidth="1"/>
    <col min="34" max="34" width="5" style="73" bestFit="1" customWidth="1"/>
    <col min="35" max="35" width="10.140625" style="73" bestFit="1" customWidth="1"/>
    <col min="36" max="36" width="11.5703125" style="73" bestFit="1" customWidth="1"/>
    <col min="37" max="37" width="7" style="73" bestFit="1" customWidth="1"/>
    <col min="38" max="39" width="7.5703125" style="73" bestFit="1" customWidth="1"/>
    <col min="40" max="41" width="9" style="73" bestFit="1" customWidth="1"/>
    <col min="42" max="42" width="8" style="73" bestFit="1" customWidth="1"/>
    <col min="43" max="43" width="7.5703125" style="73" customWidth="1"/>
    <col min="44" max="44" width="9.5703125" style="73" bestFit="1" customWidth="1"/>
    <col min="45" max="45" width="7.140625" style="73" bestFit="1" customWidth="1"/>
    <col min="46" max="46" width="5.7109375" style="248" bestFit="1" customWidth="1"/>
    <col min="47" max="47" width="9.5703125" style="248" bestFit="1" customWidth="1"/>
    <col min="48" max="48" width="5.85546875" style="248" bestFit="1" customWidth="1"/>
    <col min="49" max="49" width="5.7109375" style="141" bestFit="1" customWidth="1"/>
    <col min="50" max="50" width="9.5703125" style="141" bestFit="1" customWidth="1"/>
    <col min="51" max="51" width="5.85546875" style="142" bestFit="1" customWidth="1"/>
    <col min="52" max="16384" width="9.140625" style="73"/>
  </cols>
  <sheetData>
    <row r="1" spans="1:51" s="109" customFormat="1" ht="13.5" thickBot="1">
      <c r="A1" s="217"/>
      <c r="B1" s="121"/>
      <c r="C1" s="218"/>
      <c r="D1" s="218"/>
      <c r="E1" s="219"/>
      <c r="F1" s="219"/>
      <c r="G1" s="171" t="s">
        <v>28</v>
      </c>
      <c r="H1" s="220"/>
      <c r="I1" s="220"/>
      <c r="J1" s="220"/>
      <c r="K1" s="220"/>
      <c r="L1" s="220"/>
      <c r="M1" s="220"/>
      <c r="N1" s="116"/>
      <c r="O1" s="171" t="s">
        <v>29</v>
      </c>
      <c r="P1" s="220"/>
      <c r="Q1" s="220"/>
      <c r="R1" s="220"/>
      <c r="S1" s="220"/>
      <c r="T1" s="220"/>
      <c r="U1" s="220"/>
      <c r="V1" s="116"/>
      <c r="W1" s="221" t="s">
        <v>30</v>
      </c>
      <c r="X1" s="222"/>
      <c r="Y1" s="222"/>
      <c r="Z1" s="222"/>
      <c r="AA1" s="222"/>
      <c r="AB1" s="222"/>
      <c r="AC1" s="222"/>
      <c r="AD1" s="222"/>
      <c r="AE1" s="222"/>
      <c r="AF1" s="223"/>
      <c r="AG1" s="221" t="s">
        <v>31</v>
      </c>
      <c r="AH1" s="222"/>
      <c r="AI1" s="222"/>
      <c r="AJ1" s="222"/>
      <c r="AK1" s="222"/>
      <c r="AL1" s="222"/>
      <c r="AM1" s="222"/>
      <c r="AN1" s="222"/>
      <c r="AO1" s="222"/>
      <c r="AP1" s="223"/>
      <c r="AQ1" s="224" t="s">
        <v>13</v>
      </c>
      <c r="AR1" s="225" t="s">
        <v>16</v>
      </c>
      <c r="AS1" s="226" t="s">
        <v>9</v>
      </c>
      <c r="AT1" s="37" t="s">
        <v>13</v>
      </c>
      <c r="AU1" s="38" t="s">
        <v>16</v>
      </c>
      <c r="AV1" s="39" t="s">
        <v>51</v>
      </c>
      <c r="AW1" s="227" t="s">
        <v>13</v>
      </c>
      <c r="AX1" s="42" t="s">
        <v>16</v>
      </c>
      <c r="AY1" s="228" t="s">
        <v>51</v>
      </c>
    </row>
    <row r="2" spans="1:51" s="7" customFormat="1" ht="34.5" thickBot="1">
      <c r="A2" s="54" t="s">
        <v>27</v>
      </c>
      <c r="B2" s="229" t="s">
        <v>84</v>
      </c>
      <c r="C2" s="54" t="s">
        <v>19</v>
      </c>
      <c r="D2" s="61" t="s">
        <v>20</v>
      </c>
      <c r="E2" s="229" t="s">
        <v>76</v>
      </c>
      <c r="F2" s="62" t="s">
        <v>21</v>
      </c>
      <c r="G2" s="182" t="s">
        <v>25</v>
      </c>
      <c r="H2" s="184" t="s">
        <v>0</v>
      </c>
      <c r="I2" s="180" t="s">
        <v>34</v>
      </c>
      <c r="J2" s="180" t="s">
        <v>62</v>
      </c>
      <c r="K2" s="180" t="s">
        <v>35</v>
      </c>
      <c r="L2" s="180" t="s">
        <v>36</v>
      </c>
      <c r="M2" s="180" t="s">
        <v>37</v>
      </c>
      <c r="N2" s="230" t="s">
        <v>38</v>
      </c>
      <c r="O2" s="182" t="s">
        <v>25</v>
      </c>
      <c r="P2" s="184" t="s">
        <v>0</v>
      </c>
      <c r="Q2" s="180" t="s">
        <v>34</v>
      </c>
      <c r="R2" s="180" t="s">
        <v>62</v>
      </c>
      <c r="S2" s="180" t="s">
        <v>35</v>
      </c>
      <c r="T2" s="180" t="s">
        <v>36</v>
      </c>
      <c r="U2" s="180" t="s">
        <v>37</v>
      </c>
      <c r="V2" s="230" t="s">
        <v>38</v>
      </c>
      <c r="W2" s="231" t="s">
        <v>26</v>
      </c>
      <c r="X2" s="232" t="s">
        <v>2</v>
      </c>
      <c r="Y2" s="35" t="s">
        <v>5</v>
      </c>
      <c r="Z2" s="35" t="s">
        <v>63</v>
      </c>
      <c r="AA2" s="232" t="s">
        <v>6</v>
      </c>
      <c r="AB2" s="35" t="s">
        <v>3</v>
      </c>
      <c r="AC2" s="233" t="s">
        <v>3</v>
      </c>
      <c r="AD2" s="233" t="s">
        <v>23</v>
      </c>
      <c r="AE2" s="233" t="s">
        <v>24</v>
      </c>
      <c r="AF2" s="234" t="s">
        <v>4</v>
      </c>
      <c r="AG2" s="182" t="s">
        <v>26</v>
      </c>
      <c r="AH2" s="184" t="s">
        <v>2</v>
      </c>
      <c r="AI2" s="184" t="s">
        <v>5</v>
      </c>
      <c r="AJ2" s="184" t="s">
        <v>64</v>
      </c>
      <c r="AK2" s="184" t="s">
        <v>6</v>
      </c>
      <c r="AL2" s="184" t="s">
        <v>3</v>
      </c>
      <c r="AM2" s="184" t="s">
        <v>3</v>
      </c>
      <c r="AN2" s="184" t="s">
        <v>23</v>
      </c>
      <c r="AO2" s="184" t="s">
        <v>24</v>
      </c>
      <c r="AP2" s="235" t="s">
        <v>4</v>
      </c>
      <c r="AQ2" s="45" t="s">
        <v>7</v>
      </c>
      <c r="AR2" s="92" t="s">
        <v>8</v>
      </c>
      <c r="AS2" s="236" t="s">
        <v>8</v>
      </c>
      <c r="AT2" s="209" t="s">
        <v>65</v>
      </c>
      <c r="AU2" s="210" t="s">
        <v>65</v>
      </c>
      <c r="AV2" s="40" t="s">
        <v>65</v>
      </c>
      <c r="AW2" s="211" t="s">
        <v>45</v>
      </c>
      <c r="AX2" s="186" t="s">
        <v>45</v>
      </c>
      <c r="AY2" s="237" t="s">
        <v>32</v>
      </c>
    </row>
    <row r="3" spans="1:51" ht="13.15" customHeight="1">
      <c r="A3" s="52">
        <v>10556</v>
      </c>
      <c r="B3" s="52" t="s">
        <v>184</v>
      </c>
      <c r="C3" s="238" t="str">
        <f>Rollover!A3</f>
        <v>Acura</v>
      </c>
      <c r="D3" s="239" t="str">
        <f>Rollover!B3</f>
        <v>RDX SUV FWD</v>
      </c>
      <c r="E3" s="136" t="s">
        <v>88</v>
      </c>
      <c r="F3" s="240">
        <f>Rollover!C3</f>
        <v>2019</v>
      </c>
      <c r="G3" s="11">
        <v>300.20100000000002</v>
      </c>
      <c r="H3" s="12">
        <v>0.26100000000000001</v>
      </c>
      <c r="I3" s="12">
        <v>1165.6199999999999</v>
      </c>
      <c r="J3" s="12">
        <v>100.63500000000001</v>
      </c>
      <c r="K3" s="12">
        <v>27.321000000000002</v>
      </c>
      <c r="L3" s="12">
        <v>41.59</v>
      </c>
      <c r="M3" s="12">
        <v>1457.93</v>
      </c>
      <c r="N3" s="13">
        <v>2063.174</v>
      </c>
      <c r="O3" s="11">
        <v>352.62799999999999</v>
      </c>
      <c r="P3" s="12">
        <v>0.29799999999999999</v>
      </c>
      <c r="Q3" s="12">
        <v>438.54399999999998</v>
      </c>
      <c r="R3" s="12">
        <v>372.26</v>
      </c>
      <c r="S3" s="12">
        <v>15.3</v>
      </c>
      <c r="T3" s="12">
        <v>38.338999999999999</v>
      </c>
      <c r="U3" s="12">
        <v>1611.771</v>
      </c>
      <c r="V3" s="13">
        <v>1961.7139999999999</v>
      </c>
      <c r="W3" s="241">
        <f t="shared" ref="W3:W10" si="0">NORMDIST(LN(G3),7.45231,0.73998,1)</f>
        <v>9.087493236271886E-3</v>
      </c>
      <c r="X3" s="6">
        <f t="shared" ref="X3:X10" si="1">1/(1+EXP(3.2269-1.9688*H3))</f>
        <v>6.220807975867898E-2</v>
      </c>
      <c r="Y3" s="6">
        <f t="shared" ref="Y3:Y10" si="2">1/(1+EXP(10.9745-2.375*I3/1000))</f>
        <v>2.7289445978991039E-4</v>
      </c>
      <c r="Z3" s="6">
        <f t="shared" ref="Z3:Z10" si="3">1/(1+EXP(10.9745-2.375*J3/1000))</f>
        <v>2.1758335475985276E-5</v>
      </c>
      <c r="AA3" s="6">
        <f t="shared" ref="AA3:AA10" si="4">MAX(X3,Y3,Z3)</f>
        <v>6.220807975867898E-2</v>
      </c>
      <c r="AB3" s="6">
        <f t="shared" ref="AB3:AB10" si="5">1/(1+EXP(12.597-0.05861*35-1.568*(K3^0.4612)))</f>
        <v>3.432584630146316E-2</v>
      </c>
      <c r="AC3" s="6">
        <f t="shared" ref="AC3:AC10" si="6">AB3</f>
        <v>3.432584630146316E-2</v>
      </c>
      <c r="AD3" s="6">
        <f t="shared" ref="AD3:AD10" si="7">1/(1+EXP(5.7949-0.5196*M3/1000))</f>
        <v>6.4490047563182749E-3</v>
      </c>
      <c r="AE3" s="6">
        <f t="shared" ref="AE3:AE10" si="8">1/(1+EXP(5.7949-0.5196*N3/1000))</f>
        <v>8.8112576564607289E-3</v>
      </c>
      <c r="AF3" s="27">
        <f t="shared" ref="AF3:AF10" si="9">MAX(AD3,AE3)</f>
        <v>8.8112576564607289E-3</v>
      </c>
      <c r="AG3" s="26">
        <f t="shared" ref="AG3:AG10" si="10">NORMDIST(LN(O3),7.45231,0.73998,1)</f>
        <v>1.5995924456285792E-2</v>
      </c>
      <c r="AH3" s="6">
        <f t="shared" ref="AH3:AH10" si="11">1/(1+EXP(3.2269-1.9688*P3))</f>
        <v>6.6595751557450455E-2</v>
      </c>
      <c r="AI3" s="6">
        <f t="shared" ref="AI3:AI10" si="12">1/(1+EXP(10.958-3.77*Q3/1000))</f>
        <v>9.0988256211537694E-5</v>
      </c>
      <c r="AJ3" s="6">
        <f t="shared" ref="AJ3:AJ10" si="13">1/(1+EXP(10.958-3.77*R3/1000))</f>
        <v>7.0870898051379034E-5</v>
      </c>
      <c r="AK3" s="6">
        <f t="shared" ref="AK3:AK10" si="14">MAX(AH3,AI3,AJ3)</f>
        <v>6.6595751557450455E-2</v>
      </c>
      <c r="AL3" s="6">
        <f t="shared" ref="AL3:AL10" si="15">1/(1+EXP(12.597-0.05861*35-1.568*((S3/0.817)^0.4612)))</f>
        <v>1.1103510653048392E-2</v>
      </c>
      <c r="AM3" s="6">
        <f t="shared" ref="AM3:AM10" si="16">AL3</f>
        <v>1.1103510653048392E-2</v>
      </c>
      <c r="AN3" s="6">
        <f t="shared" ref="AN3:AN10" si="17">1/(1+EXP(5.7949-0.7619*U3/1000))</f>
        <v>1.0283359490755251E-2</v>
      </c>
      <c r="AO3" s="6">
        <f t="shared" ref="AO3:AO10" si="18">1/(1+EXP(5.7949-0.7619*V3/1000))</f>
        <v>1.3383350849608356E-2</v>
      </c>
      <c r="AP3" s="27">
        <f t="shared" ref="AP3:AP10" si="19">MAX(AN3,AO3)</f>
        <v>1.3383350849608356E-2</v>
      </c>
      <c r="AQ3" s="241">
        <f t="shared" ref="AQ3:AQ10" si="20">ROUND(1-(1-W3)*(1-AA3)*(1-AC3)*(1-AF3),3)</f>
        <v>0.111</v>
      </c>
      <c r="AR3" s="6">
        <f t="shared" ref="AR3:AR10" si="21">ROUND(1-(1-AG3)*(1-AK3)*(1-AM3)*(1-AP3),3)</f>
        <v>0.104</v>
      </c>
      <c r="AS3" s="6">
        <f t="shared" ref="AS3:AS10" si="22">ROUND(AVERAGE(AR3,AQ3),3)</f>
        <v>0.108</v>
      </c>
      <c r="AT3" s="137">
        <f t="shared" ref="AT3:AT10" si="23">ROUND(AQ3/0.15,2)</f>
        <v>0.74</v>
      </c>
      <c r="AU3" s="137">
        <f t="shared" ref="AU3:AU10" si="24">ROUND(AR3/0.15,2)</f>
        <v>0.69</v>
      </c>
      <c r="AV3" s="137">
        <f t="shared" ref="AV3:AV10" si="25">ROUND(AS3/0.15,2)</f>
        <v>0.72</v>
      </c>
      <c r="AW3" s="138">
        <f t="shared" ref="AW3:AW10" si="26">IF(AT3&lt;0.67,5,IF(AT3&lt;1,4,IF(AT3&lt;1.33,3,IF(AT3&lt;2.67,2,1))))</f>
        <v>4</v>
      </c>
      <c r="AX3" s="138">
        <f t="shared" ref="AX3:AX10" si="27">IF(AU3&lt;0.67,5,IF(AU3&lt;1,4,IF(AU3&lt;1.33,3,IF(AU3&lt;2.67,2,1))))</f>
        <v>4</v>
      </c>
      <c r="AY3" s="242">
        <f t="shared" ref="AY3:AY10" si="28">IF(AV3&lt;0.67,5,IF(AV3&lt;1,4,IF(AV3&lt;1.33,3,IF(AV3&lt;2.67,2,1))))</f>
        <v>4</v>
      </c>
    </row>
    <row r="4" spans="1:51" ht="13.15" customHeight="1">
      <c r="A4" s="52">
        <v>10556</v>
      </c>
      <c r="B4" s="52" t="s">
        <v>184</v>
      </c>
      <c r="C4" s="238" t="str">
        <f>Rollover!A4</f>
        <v>Acura</v>
      </c>
      <c r="D4" s="239" t="str">
        <f>Rollover!B4</f>
        <v>RDX SUV AWD</v>
      </c>
      <c r="E4" s="136" t="s">
        <v>88</v>
      </c>
      <c r="F4" s="240">
        <f>Rollover!C4</f>
        <v>2019</v>
      </c>
      <c r="G4" s="11">
        <v>300.20100000000002</v>
      </c>
      <c r="H4" s="12">
        <v>0.26100000000000001</v>
      </c>
      <c r="I4" s="12">
        <v>1165.6199999999999</v>
      </c>
      <c r="J4" s="12">
        <v>100.63500000000001</v>
      </c>
      <c r="K4" s="12">
        <v>27.321000000000002</v>
      </c>
      <c r="L4" s="12">
        <v>41.59</v>
      </c>
      <c r="M4" s="12">
        <v>1457.93</v>
      </c>
      <c r="N4" s="13">
        <v>2063.174</v>
      </c>
      <c r="O4" s="11">
        <v>352.62799999999999</v>
      </c>
      <c r="P4" s="12">
        <v>0.29799999999999999</v>
      </c>
      <c r="Q4" s="12">
        <v>438.54399999999998</v>
      </c>
      <c r="R4" s="12">
        <v>372.26</v>
      </c>
      <c r="S4" s="12">
        <v>15.3</v>
      </c>
      <c r="T4" s="12">
        <v>38.338999999999999</v>
      </c>
      <c r="U4" s="12">
        <v>1611.771</v>
      </c>
      <c r="V4" s="13">
        <v>1961.7139999999999</v>
      </c>
      <c r="W4" s="241">
        <f t="shared" si="0"/>
        <v>9.087493236271886E-3</v>
      </c>
      <c r="X4" s="6">
        <f t="shared" si="1"/>
        <v>6.220807975867898E-2</v>
      </c>
      <c r="Y4" s="6">
        <f t="shared" si="2"/>
        <v>2.7289445978991039E-4</v>
      </c>
      <c r="Z4" s="6">
        <f t="shared" si="3"/>
        <v>2.1758335475985276E-5</v>
      </c>
      <c r="AA4" s="6">
        <f t="shared" si="4"/>
        <v>6.220807975867898E-2</v>
      </c>
      <c r="AB4" s="6">
        <f t="shared" si="5"/>
        <v>3.432584630146316E-2</v>
      </c>
      <c r="AC4" s="6">
        <f t="shared" si="6"/>
        <v>3.432584630146316E-2</v>
      </c>
      <c r="AD4" s="6">
        <f t="shared" si="7"/>
        <v>6.4490047563182749E-3</v>
      </c>
      <c r="AE4" s="6">
        <f t="shared" si="8"/>
        <v>8.8112576564607289E-3</v>
      </c>
      <c r="AF4" s="27">
        <f t="shared" si="9"/>
        <v>8.8112576564607289E-3</v>
      </c>
      <c r="AG4" s="26">
        <f t="shared" si="10"/>
        <v>1.5995924456285792E-2</v>
      </c>
      <c r="AH4" s="6">
        <f t="shared" si="11"/>
        <v>6.6595751557450455E-2</v>
      </c>
      <c r="AI4" s="6">
        <f t="shared" si="12"/>
        <v>9.0988256211537694E-5</v>
      </c>
      <c r="AJ4" s="6">
        <f t="shared" si="13"/>
        <v>7.0870898051379034E-5</v>
      </c>
      <c r="AK4" s="6">
        <f t="shared" si="14"/>
        <v>6.6595751557450455E-2</v>
      </c>
      <c r="AL4" s="6">
        <f t="shared" si="15"/>
        <v>1.1103510653048392E-2</v>
      </c>
      <c r="AM4" s="6">
        <f t="shared" si="16"/>
        <v>1.1103510653048392E-2</v>
      </c>
      <c r="AN4" s="6">
        <f t="shared" si="17"/>
        <v>1.0283359490755251E-2</v>
      </c>
      <c r="AO4" s="6">
        <f t="shared" si="18"/>
        <v>1.3383350849608356E-2</v>
      </c>
      <c r="AP4" s="27">
        <f t="shared" si="19"/>
        <v>1.3383350849608356E-2</v>
      </c>
      <c r="AQ4" s="241">
        <f t="shared" si="20"/>
        <v>0.111</v>
      </c>
      <c r="AR4" s="6">
        <f t="shared" si="21"/>
        <v>0.104</v>
      </c>
      <c r="AS4" s="6">
        <f t="shared" si="22"/>
        <v>0.108</v>
      </c>
      <c r="AT4" s="137">
        <f t="shared" si="23"/>
        <v>0.74</v>
      </c>
      <c r="AU4" s="137">
        <f t="shared" si="24"/>
        <v>0.69</v>
      </c>
      <c r="AV4" s="137">
        <f t="shared" si="25"/>
        <v>0.72</v>
      </c>
      <c r="AW4" s="138">
        <f t="shared" si="26"/>
        <v>4</v>
      </c>
      <c r="AX4" s="138">
        <f t="shared" si="27"/>
        <v>4</v>
      </c>
      <c r="AY4" s="242">
        <f t="shared" si="28"/>
        <v>4</v>
      </c>
    </row>
    <row r="5" spans="1:51" ht="13.15" customHeight="1">
      <c r="A5" s="149">
        <v>10660</v>
      </c>
      <c r="B5" s="68" t="s">
        <v>236</v>
      </c>
      <c r="C5" s="238" t="str">
        <f>Rollover!A5</f>
        <v>Audi</v>
      </c>
      <c r="D5" s="239" t="str">
        <f>Rollover!B5</f>
        <v>Q8 SUV AWD</v>
      </c>
      <c r="E5" s="136" t="s">
        <v>88</v>
      </c>
      <c r="F5" s="240">
        <f>Rollover!C5</f>
        <v>2019</v>
      </c>
      <c r="G5" s="11">
        <v>295.80599999999998</v>
      </c>
      <c r="H5" s="12">
        <v>0.29799999999999999</v>
      </c>
      <c r="I5" s="12">
        <v>1045.3879999999999</v>
      </c>
      <c r="J5" s="12">
        <v>62.002000000000002</v>
      </c>
      <c r="K5" s="12">
        <v>24.998999999999999</v>
      </c>
      <c r="L5" s="12">
        <v>43.417000000000002</v>
      </c>
      <c r="M5" s="12">
        <v>362.548</v>
      </c>
      <c r="N5" s="13">
        <v>263.21800000000002</v>
      </c>
      <c r="O5" s="11">
        <v>238.054</v>
      </c>
      <c r="P5" s="12">
        <v>0.33600000000000002</v>
      </c>
      <c r="Q5" s="12">
        <v>533.01700000000005</v>
      </c>
      <c r="R5" s="12">
        <v>520.73900000000003</v>
      </c>
      <c r="S5" s="12">
        <v>12.29</v>
      </c>
      <c r="T5" s="12">
        <v>45.061</v>
      </c>
      <c r="U5" s="12">
        <v>208.98699999999999</v>
      </c>
      <c r="V5" s="13">
        <v>207.80099999999999</v>
      </c>
      <c r="W5" s="241">
        <f t="shared" si="0"/>
        <v>8.6102763517468244E-3</v>
      </c>
      <c r="X5" s="6">
        <f t="shared" si="1"/>
        <v>6.6595751557450455E-2</v>
      </c>
      <c r="Y5" s="6">
        <f t="shared" si="2"/>
        <v>2.0512138288448597E-4</v>
      </c>
      <c r="Z5" s="6">
        <f t="shared" si="3"/>
        <v>1.9850822795805519E-5</v>
      </c>
      <c r="AA5" s="6">
        <f t="shared" si="4"/>
        <v>6.6595751557450455E-2</v>
      </c>
      <c r="AB5" s="6">
        <f t="shared" si="5"/>
        <v>2.5925586808734281E-2</v>
      </c>
      <c r="AC5" s="6">
        <f t="shared" si="6"/>
        <v>2.5925586808734281E-2</v>
      </c>
      <c r="AD5" s="6">
        <f t="shared" si="7"/>
        <v>3.6603842196991066E-3</v>
      </c>
      <c r="AE5" s="6">
        <f t="shared" si="8"/>
        <v>3.4768975785540073E-3</v>
      </c>
      <c r="AF5" s="27">
        <f t="shared" si="9"/>
        <v>3.6603842196991066E-3</v>
      </c>
      <c r="AG5" s="26">
        <f t="shared" si="10"/>
        <v>3.7309542576948679E-3</v>
      </c>
      <c r="AH5" s="6">
        <f t="shared" si="11"/>
        <v>7.1399801507878169E-2</v>
      </c>
      <c r="AI5" s="6">
        <f t="shared" si="12"/>
        <v>1.2991166608711518E-4</v>
      </c>
      <c r="AJ5" s="6">
        <f t="shared" si="13"/>
        <v>1.2403608659382033E-4</v>
      </c>
      <c r="AK5" s="6">
        <f t="shared" si="14"/>
        <v>7.1399801507878169E-2</v>
      </c>
      <c r="AL5" s="6">
        <f t="shared" si="15"/>
        <v>6.2349823153880898E-3</v>
      </c>
      <c r="AM5" s="6">
        <f t="shared" si="16"/>
        <v>6.2349823153880898E-3</v>
      </c>
      <c r="AN5" s="6">
        <f t="shared" si="17"/>
        <v>3.5555883533510638E-3</v>
      </c>
      <c r="AO5" s="6">
        <f t="shared" si="18"/>
        <v>3.5523883354651301E-3</v>
      </c>
      <c r="AP5" s="27">
        <f t="shared" si="19"/>
        <v>3.5555883533510638E-3</v>
      </c>
      <c r="AQ5" s="241">
        <f t="shared" si="20"/>
        <v>0.10199999999999999</v>
      </c>
      <c r="AR5" s="6">
        <f t="shared" si="21"/>
        <v>8.4000000000000005E-2</v>
      </c>
      <c r="AS5" s="6">
        <f t="shared" si="22"/>
        <v>9.2999999999999999E-2</v>
      </c>
      <c r="AT5" s="137">
        <f t="shared" si="23"/>
        <v>0.68</v>
      </c>
      <c r="AU5" s="137">
        <f t="shared" si="24"/>
        <v>0.56000000000000005</v>
      </c>
      <c r="AV5" s="137">
        <f t="shared" si="25"/>
        <v>0.62</v>
      </c>
      <c r="AW5" s="138">
        <f t="shared" si="26"/>
        <v>4</v>
      </c>
      <c r="AX5" s="138">
        <f t="shared" si="27"/>
        <v>5</v>
      </c>
      <c r="AY5" s="242">
        <f t="shared" si="28"/>
        <v>5</v>
      </c>
    </row>
    <row r="6" spans="1:51" ht="13.15" customHeight="1">
      <c r="A6" s="149">
        <v>10681</v>
      </c>
      <c r="B6" s="68" t="s">
        <v>253</v>
      </c>
      <c r="C6" s="238" t="str">
        <f>Rollover!A6</f>
        <v>BMW</v>
      </c>
      <c r="D6" s="239" t="str">
        <f>Rollover!B6</f>
        <v>X3 SUV RWD</v>
      </c>
      <c r="E6" s="136" t="s">
        <v>163</v>
      </c>
      <c r="F6" s="240">
        <f>Rollover!C6</f>
        <v>2019</v>
      </c>
      <c r="G6" s="11">
        <v>101.58</v>
      </c>
      <c r="H6" s="12">
        <v>0.21299999999999999</v>
      </c>
      <c r="I6" s="12">
        <v>898.447</v>
      </c>
      <c r="J6" s="12">
        <v>282.721</v>
      </c>
      <c r="K6" s="12">
        <v>21.213000000000001</v>
      </c>
      <c r="L6" s="12">
        <v>33.715000000000003</v>
      </c>
      <c r="M6" s="12">
        <v>517.80499999999995</v>
      </c>
      <c r="N6" s="13">
        <v>1246.817</v>
      </c>
      <c r="O6" s="11">
        <v>176.40600000000001</v>
      </c>
      <c r="P6" s="12">
        <v>0.38300000000000001</v>
      </c>
      <c r="Q6" s="12">
        <v>620.245</v>
      </c>
      <c r="R6" s="12">
        <v>320.85700000000003</v>
      </c>
      <c r="S6" s="12">
        <v>14.794</v>
      </c>
      <c r="T6" s="12">
        <v>31.079000000000001</v>
      </c>
      <c r="U6" s="12">
        <v>815.04499999999996</v>
      </c>
      <c r="V6" s="13">
        <v>508.62700000000001</v>
      </c>
      <c r="W6" s="241">
        <f t="shared" si="0"/>
        <v>6.5014090531837762E-5</v>
      </c>
      <c r="X6" s="6">
        <f t="shared" si="1"/>
        <v>5.6917785276537465E-2</v>
      </c>
      <c r="Y6" s="6">
        <f t="shared" si="2"/>
        <v>1.4470214688780278E-4</v>
      </c>
      <c r="Z6" s="6">
        <f t="shared" si="3"/>
        <v>3.3529961171035982E-5</v>
      </c>
      <c r="AA6" s="6">
        <f t="shared" si="4"/>
        <v>5.6917785276537465E-2</v>
      </c>
      <c r="AB6" s="6">
        <f t="shared" si="5"/>
        <v>1.5813198419509403E-2</v>
      </c>
      <c r="AC6" s="6">
        <f t="shared" si="6"/>
        <v>1.5813198419509403E-2</v>
      </c>
      <c r="AD6" s="6">
        <f t="shared" si="7"/>
        <v>3.9666907309878659E-3</v>
      </c>
      <c r="AE6" s="6">
        <f t="shared" si="8"/>
        <v>5.7828794141456799E-3</v>
      </c>
      <c r="AF6" s="27">
        <f t="shared" si="9"/>
        <v>5.7828794141456799E-3</v>
      </c>
      <c r="AG6" s="26">
        <f t="shared" si="10"/>
        <v>1.0332036928454881E-3</v>
      </c>
      <c r="AH6" s="6">
        <f t="shared" si="11"/>
        <v>7.7783577843529988E-2</v>
      </c>
      <c r="AI6" s="6">
        <f t="shared" si="12"/>
        <v>1.8048608900628492E-4</v>
      </c>
      <c r="AJ6" s="6">
        <f t="shared" si="13"/>
        <v>5.8386404312042979E-5</v>
      </c>
      <c r="AK6" s="6">
        <f t="shared" si="14"/>
        <v>7.7783577843529988E-2</v>
      </c>
      <c r="AL6" s="6">
        <f t="shared" si="15"/>
        <v>1.0125298978836329E-2</v>
      </c>
      <c r="AM6" s="6">
        <f t="shared" si="16"/>
        <v>1.0125298978836329E-2</v>
      </c>
      <c r="AN6" s="6">
        <f t="shared" si="17"/>
        <v>5.6304630777827876E-3</v>
      </c>
      <c r="AO6" s="6">
        <f t="shared" si="18"/>
        <v>4.4633733042396288E-3</v>
      </c>
      <c r="AP6" s="27">
        <f t="shared" si="19"/>
        <v>5.6304630777827876E-3</v>
      </c>
      <c r="AQ6" s="241">
        <f t="shared" si="20"/>
        <v>7.6999999999999999E-2</v>
      </c>
      <c r="AR6" s="6">
        <f t="shared" si="21"/>
        <v>9.2999999999999999E-2</v>
      </c>
      <c r="AS6" s="6">
        <f t="shared" si="22"/>
        <v>8.5000000000000006E-2</v>
      </c>
      <c r="AT6" s="137">
        <f t="shared" si="23"/>
        <v>0.51</v>
      </c>
      <c r="AU6" s="137">
        <f t="shared" si="24"/>
        <v>0.62</v>
      </c>
      <c r="AV6" s="137">
        <f t="shared" si="25"/>
        <v>0.56999999999999995</v>
      </c>
      <c r="AW6" s="138">
        <f t="shared" si="26"/>
        <v>5</v>
      </c>
      <c r="AX6" s="138">
        <f t="shared" si="27"/>
        <v>5</v>
      </c>
      <c r="AY6" s="242">
        <f t="shared" si="28"/>
        <v>5</v>
      </c>
    </row>
    <row r="7" spans="1:51" ht="13.15" customHeight="1">
      <c r="A7" s="149">
        <v>10681</v>
      </c>
      <c r="B7" s="68" t="s">
        <v>253</v>
      </c>
      <c r="C7" s="238" t="str">
        <f>Rollover!A7</f>
        <v>BMW</v>
      </c>
      <c r="D7" s="239" t="str">
        <f>Rollover!B7</f>
        <v>X3 SUV AWD</v>
      </c>
      <c r="E7" s="136" t="s">
        <v>163</v>
      </c>
      <c r="F7" s="240">
        <f>Rollover!C7</f>
        <v>2019</v>
      </c>
      <c r="G7" s="11">
        <v>101.58</v>
      </c>
      <c r="H7" s="12">
        <v>0.21299999999999999</v>
      </c>
      <c r="I7" s="12">
        <v>898.447</v>
      </c>
      <c r="J7" s="12">
        <v>282.721</v>
      </c>
      <c r="K7" s="12">
        <v>21.213000000000001</v>
      </c>
      <c r="L7" s="12">
        <v>33.715000000000003</v>
      </c>
      <c r="M7" s="12">
        <v>517.80499999999995</v>
      </c>
      <c r="N7" s="13">
        <v>1246.817</v>
      </c>
      <c r="O7" s="11">
        <v>176.40600000000001</v>
      </c>
      <c r="P7" s="12">
        <v>0.38300000000000001</v>
      </c>
      <c r="Q7" s="12">
        <v>620.245</v>
      </c>
      <c r="R7" s="12">
        <v>320.85700000000003</v>
      </c>
      <c r="S7" s="12">
        <v>14.794</v>
      </c>
      <c r="T7" s="12">
        <v>31.079000000000001</v>
      </c>
      <c r="U7" s="12">
        <v>815.04499999999996</v>
      </c>
      <c r="V7" s="13">
        <v>508.62700000000001</v>
      </c>
      <c r="W7" s="241">
        <f t="shared" si="0"/>
        <v>6.5014090531837762E-5</v>
      </c>
      <c r="X7" s="6">
        <f t="shared" si="1"/>
        <v>5.6917785276537465E-2</v>
      </c>
      <c r="Y7" s="6">
        <f t="shared" si="2"/>
        <v>1.4470214688780278E-4</v>
      </c>
      <c r="Z7" s="6">
        <f t="shared" si="3"/>
        <v>3.3529961171035982E-5</v>
      </c>
      <c r="AA7" s="6">
        <f t="shared" si="4"/>
        <v>5.6917785276537465E-2</v>
      </c>
      <c r="AB7" s="6">
        <f t="shared" si="5"/>
        <v>1.5813198419509403E-2</v>
      </c>
      <c r="AC7" s="6">
        <f t="shared" si="6"/>
        <v>1.5813198419509403E-2</v>
      </c>
      <c r="AD7" s="6">
        <f t="shared" si="7"/>
        <v>3.9666907309878659E-3</v>
      </c>
      <c r="AE7" s="6">
        <f t="shared" si="8"/>
        <v>5.7828794141456799E-3</v>
      </c>
      <c r="AF7" s="27">
        <f t="shared" si="9"/>
        <v>5.7828794141456799E-3</v>
      </c>
      <c r="AG7" s="26">
        <f t="shared" si="10"/>
        <v>1.0332036928454881E-3</v>
      </c>
      <c r="AH7" s="6">
        <f t="shared" si="11"/>
        <v>7.7783577843529988E-2</v>
      </c>
      <c r="AI7" s="6">
        <f t="shared" si="12"/>
        <v>1.8048608900628492E-4</v>
      </c>
      <c r="AJ7" s="6">
        <f t="shared" si="13"/>
        <v>5.8386404312042979E-5</v>
      </c>
      <c r="AK7" s="6">
        <f t="shared" si="14"/>
        <v>7.7783577843529988E-2</v>
      </c>
      <c r="AL7" s="6">
        <f t="shared" si="15"/>
        <v>1.0125298978836329E-2</v>
      </c>
      <c r="AM7" s="6">
        <f t="shared" si="16"/>
        <v>1.0125298978836329E-2</v>
      </c>
      <c r="AN7" s="6">
        <f t="shared" si="17"/>
        <v>5.6304630777827876E-3</v>
      </c>
      <c r="AO7" s="6">
        <f t="shared" si="18"/>
        <v>4.4633733042396288E-3</v>
      </c>
      <c r="AP7" s="27">
        <f t="shared" si="19"/>
        <v>5.6304630777827876E-3</v>
      </c>
      <c r="AQ7" s="241">
        <f t="shared" si="20"/>
        <v>7.6999999999999999E-2</v>
      </c>
      <c r="AR7" s="6">
        <f t="shared" si="21"/>
        <v>9.2999999999999999E-2</v>
      </c>
      <c r="AS7" s="6">
        <f t="shared" si="22"/>
        <v>8.5000000000000006E-2</v>
      </c>
      <c r="AT7" s="137">
        <f t="shared" si="23"/>
        <v>0.51</v>
      </c>
      <c r="AU7" s="137">
        <f t="shared" si="24"/>
        <v>0.62</v>
      </c>
      <c r="AV7" s="137">
        <f t="shared" si="25"/>
        <v>0.56999999999999995</v>
      </c>
      <c r="AW7" s="138">
        <f t="shared" si="26"/>
        <v>5</v>
      </c>
      <c r="AX7" s="138">
        <f t="shared" si="27"/>
        <v>5</v>
      </c>
      <c r="AY7" s="242">
        <f t="shared" si="28"/>
        <v>5</v>
      </c>
    </row>
    <row r="8" spans="1:51" ht="13.15" customHeight="1">
      <c r="A8" s="161">
        <v>10642</v>
      </c>
      <c r="B8" s="44" t="s">
        <v>217</v>
      </c>
      <c r="C8" s="238" t="str">
        <f>Rollover!A8</f>
        <v>BMW</v>
      </c>
      <c r="D8" s="239" t="str">
        <f>Rollover!B8</f>
        <v>X5 SUV AWD</v>
      </c>
      <c r="E8" s="136" t="s">
        <v>160</v>
      </c>
      <c r="F8" s="240">
        <f>Rollover!C8</f>
        <v>2019</v>
      </c>
      <c r="G8" s="19">
        <v>209.12899999999999</v>
      </c>
      <c r="H8" s="20">
        <v>0.34</v>
      </c>
      <c r="I8" s="20">
        <v>1365.6279999999999</v>
      </c>
      <c r="J8" s="20">
        <v>498.43200000000002</v>
      </c>
      <c r="K8" s="20">
        <v>32.795000000000002</v>
      </c>
      <c r="L8" s="20">
        <v>48.579000000000001</v>
      </c>
      <c r="M8" s="20">
        <v>2827.8119999999999</v>
      </c>
      <c r="N8" s="21">
        <v>2596.192</v>
      </c>
      <c r="O8" s="19">
        <v>341.80900000000003</v>
      </c>
      <c r="P8" s="20">
        <v>0.34499999999999997</v>
      </c>
      <c r="Q8" s="20">
        <v>976.88099999999997</v>
      </c>
      <c r="R8" s="20">
        <v>398.42</v>
      </c>
      <c r="S8" s="20">
        <v>19.332999999999998</v>
      </c>
      <c r="T8" s="20">
        <v>44.158999999999999</v>
      </c>
      <c r="U8" s="20">
        <v>2345.6190000000001</v>
      </c>
      <c r="V8" s="21">
        <v>1857.546</v>
      </c>
      <c r="W8" s="241">
        <f t="shared" si="0"/>
        <v>2.1821034910225277E-3</v>
      </c>
      <c r="X8" s="6">
        <f t="shared" si="1"/>
        <v>7.1923707632452982E-2</v>
      </c>
      <c r="Y8" s="6">
        <f t="shared" si="2"/>
        <v>4.3875370008365739E-4</v>
      </c>
      <c r="Z8" s="6">
        <f t="shared" si="3"/>
        <v>5.5965229223467048E-5</v>
      </c>
      <c r="AA8" s="6">
        <f t="shared" si="4"/>
        <v>7.1923707632452982E-2</v>
      </c>
      <c r="AB8" s="6">
        <f t="shared" si="5"/>
        <v>6.2768626297662555E-2</v>
      </c>
      <c r="AC8" s="6">
        <f t="shared" si="6"/>
        <v>6.2768626297662555E-2</v>
      </c>
      <c r="AD8" s="6">
        <f t="shared" si="7"/>
        <v>1.3053379562319518E-2</v>
      </c>
      <c r="AE8" s="6">
        <f t="shared" si="8"/>
        <v>1.1590415817021965E-2</v>
      </c>
      <c r="AF8" s="27">
        <f t="shared" si="9"/>
        <v>1.3053379562319518E-2</v>
      </c>
      <c r="AG8" s="26">
        <f t="shared" si="10"/>
        <v>1.4384998286823429E-2</v>
      </c>
      <c r="AH8" s="6">
        <f t="shared" si="11"/>
        <v>7.2583576752864323E-2</v>
      </c>
      <c r="AI8" s="6">
        <f t="shared" si="12"/>
        <v>6.9205098966962527E-4</v>
      </c>
      <c r="AJ8" s="6">
        <f t="shared" si="13"/>
        <v>7.8216117995484827E-5</v>
      </c>
      <c r="AK8" s="6">
        <f t="shared" si="14"/>
        <v>7.2583576752864323E-2</v>
      </c>
      <c r="AL8" s="6">
        <f t="shared" si="15"/>
        <v>2.1896787276078845E-2</v>
      </c>
      <c r="AM8" s="6">
        <f t="shared" si="16"/>
        <v>2.1896787276078845E-2</v>
      </c>
      <c r="AN8" s="6">
        <f t="shared" si="17"/>
        <v>1.7849432939864948E-2</v>
      </c>
      <c r="AO8" s="6">
        <f t="shared" si="18"/>
        <v>1.2374866293426804E-2</v>
      </c>
      <c r="AP8" s="27">
        <f t="shared" si="19"/>
        <v>1.7849432939864948E-2</v>
      </c>
      <c r="AQ8" s="241">
        <f t="shared" si="20"/>
        <v>0.14299999999999999</v>
      </c>
      <c r="AR8" s="6">
        <f t="shared" si="21"/>
        <v>0.122</v>
      </c>
      <c r="AS8" s="6">
        <f t="shared" si="22"/>
        <v>0.13300000000000001</v>
      </c>
      <c r="AT8" s="137">
        <f t="shared" si="23"/>
        <v>0.95</v>
      </c>
      <c r="AU8" s="137">
        <f t="shared" si="24"/>
        <v>0.81</v>
      </c>
      <c r="AV8" s="137">
        <f t="shared" si="25"/>
        <v>0.89</v>
      </c>
      <c r="AW8" s="138">
        <f t="shared" si="26"/>
        <v>4</v>
      </c>
      <c r="AX8" s="138">
        <f t="shared" si="27"/>
        <v>4</v>
      </c>
      <c r="AY8" s="242">
        <f t="shared" si="28"/>
        <v>4</v>
      </c>
    </row>
    <row r="9" spans="1:51" ht="13.15" customHeight="1">
      <c r="A9" s="161">
        <v>10682</v>
      </c>
      <c r="B9" s="44" t="s">
        <v>258</v>
      </c>
      <c r="C9" s="238" t="str">
        <f>Rollover!A9</f>
        <v>Cadillac</v>
      </c>
      <c r="D9" s="239" t="str">
        <f>Rollover!B9</f>
        <v>XT4 SUV FWD</v>
      </c>
      <c r="E9" s="136" t="s">
        <v>160</v>
      </c>
      <c r="F9" s="240">
        <f>Rollover!C9</f>
        <v>2019</v>
      </c>
      <c r="G9" s="19">
        <v>189.834</v>
      </c>
      <c r="H9" s="20">
        <v>0.28199999999999997</v>
      </c>
      <c r="I9" s="20">
        <v>969.83500000000004</v>
      </c>
      <c r="J9" s="20">
        <v>170.471</v>
      </c>
      <c r="K9" s="20">
        <v>25.686</v>
      </c>
      <c r="L9" s="20">
        <v>42.603999999999999</v>
      </c>
      <c r="M9" s="20">
        <v>806.29499999999996</v>
      </c>
      <c r="N9" s="21">
        <v>1028.0250000000001</v>
      </c>
      <c r="O9" s="19">
        <v>349.524</v>
      </c>
      <c r="P9" s="20">
        <v>0.33500000000000002</v>
      </c>
      <c r="Q9" s="20">
        <v>583.94299999999998</v>
      </c>
      <c r="R9" s="20">
        <v>343.69499999999999</v>
      </c>
      <c r="S9" s="20">
        <v>18.004000000000001</v>
      </c>
      <c r="T9" s="20">
        <v>44.92</v>
      </c>
      <c r="U9" s="20">
        <v>323.85199999999998</v>
      </c>
      <c r="V9" s="21">
        <v>776.46600000000001</v>
      </c>
      <c r="W9" s="241">
        <f t="shared" si="0"/>
        <v>1.4347724053743237E-3</v>
      </c>
      <c r="X9" s="6">
        <f t="shared" si="1"/>
        <v>6.4664168782384332E-2</v>
      </c>
      <c r="Y9" s="6">
        <f t="shared" si="2"/>
        <v>1.7143380826377668E-4</v>
      </c>
      <c r="Z9" s="6">
        <f t="shared" si="3"/>
        <v>2.5683621653862801E-5</v>
      </c>
      <c r="AA9" s="6">
        <f t="shared" si="4"/>
        <v>6.4664168782384332E-2</v>
      </c>
      <c r="AB9" s="6">
        <f t="shared" si="5"/>
        <v>2.821723728677757E-2</v>
      </c>
      <c r="AC9" s="6">
        <f t="shared" si="6"/>
        <v>2.821723728677757E-2</v>
      </c>
      <c r="AD9" s="6">
        <f t="shared" si="7"/>
        <v>4.6052193654036056E-3</v>
      </c>
      <c r="AE9" s="6">
        <f t="shared" si="8"/>
        <v>5.1646587325017649E-3</v>
      </c>
      <c r="AF9" s="27">
        <f t="shared" si="9"/>
        <v>5.1646587325017649E-3</v>
      </c>
      <c r="AG9" s="26">
        <f t="shared" si="10"/>
        <v>1.5523855594870004E-2</v>
      </c>
      <c r="AH9" s="6">
        <f t="shared" si="11"/>
        <v>7.1269376484937183E-2</v>
      </c>
      <c r="AI9" s="6">
        <f t="shared" si="12"/>
        <v>1.5740439391344381E-4</v>
      </c>
      <c r="AJ9" s="6">
        <f t="shared" si="13"/>
        <v>6.3635855046354354E-5</v>
      </c>
      <c r="AK9" s="6">
        <f t="shared" si="14"/>
        <v>7.1269376484937183E-2</v>
      </c>
      <c r="AL9" s="6">
        <f t="shared" si="15"/>
        <v>1.768370205401637E-2</v>
      </c>
      <c r="AM9" s="6">
        <f t="shared" si="16"/>
        <v>1.768370205401637E-2</v>
      </c>
      <c r="AN9" s="6">
        <f t="shared" si="17"/>
        <v>3.879518524864269E-3</v>
      </c>
      <c r="AO9" s="6">
        <f t="shared" si="18"/>
        <v>5.4682653927368378E-3</v>
      </c>
      <c r="AP9" s="27">
        <f t="shared" si="19"/>
        <v>5.4682653927368378E-3</v>
      </c>
      <c r="AQ9" s="241">
        <f t="shared" si="20"/>
        <v>9.7000000000000003E-2</v>
      </c>
      <c r="AR9" s="6">
        <f t="shared" si="21"/>
        <v>0.107</v>
      </c>
      <c r="AS9" s="6">
        <f t="shared" si="22"/>
        <v>0.10199999999999999</v>
      </c>
      <c r="AT9" s="137">
        <f t="shared" si="23"/>
        <v>0.65</v>
      </c>
      <c r="AU9" s="137">
        <f t="shared" si="24"/>
        <v>0.71</v>
      </c>
      <c r="AV9" s="137">
        <f t="shared" si="25"/>
        <v>0.68</v>
      </c>
      <c r="AW9" s="138">
        <f t="shared" si="26"/>
        <v>5</v>
      </c>
      <c r="AX9" s="138">
        <f t="shared" si="27"/>
        <v>4</v>
      </c>
      <c r="AY9" s="242">
        <f t="shared" si="28"/>
        <v>4</v>
      </c>
    </row>
    <row r="10" spans="1:51" ht="13.15" customHeight="1">
      <c r="A10" s="161">
        <v>10682</v>
      </c>
      <c r="B10" s="44" t="s">
        <v>258</v>
      </c>
      <c r="C10" s="238" t="str">
        <f>Rollover!A10</f>
        <v>Cadillac</v>
      </c>
      <c r="D10" s="239" t="str">
        <f>Rollover!B10</f>
        <v>XT4 SUV AWD</v>
      </c>
      <c r="E10" s="136" t="s">
        <v>160</v>
      </c>
      <c r="F10" s="240">
        <f>Rollover!C10</f>
        <v>2019</v>
      </c>
      <c r="G10" s="11">
        <v>189.834</v>
      </c>
      <c r="H10" s="12">
        <v>0.28199999999999997</v>
      </c>
      <c r="I10" s="12">
        <v>969.83500000000004</v>
      </c>
      <c r="J10" s="12">
        <v>170.471</v>
      </c>
      <c r="K10" s="12">
        <v>25.686</v>
      </c>
      <c r="L10" s="12">
        <v>42.603999999999999</v>
      </c>
      <c r="M10" s="12">
        <v>806.29499999999996</v>
      </c>
      <c r="N10" s="13">
        <v>1028.0250000000001</v>
      </c>
      <c r="O10" s="11">
        <v>349.524</v>
      </c>
      <c r="P10" s="12">
        <v>0.33500000000000002</v>
      </c>
      <c r="Q10" s="12">
        <v>583.94299999999998</v>
      </c>
      <c r="R10" s="12">
        <v>343.69499999999999</v>
      </c>
      <c r="S10" s="12">
        <v>18.004000000000001</v>
      </c>
      <c r="T10" s="12">
        <v>44.92</v>
      </c>
      <c r="U10" s="12">
        <v>323.85199999999998</v>
      </c>
      <c r="V10" s="13">
        <v>776.46600000000001</v>
      </c>
      <c r="W10" s="241">
        <f t="shared" si="0"/>
        <v>1.4347724053743237E-3</v>
      </c>
      <c r="X10" s="6">
        <f t="shared" si="1"/>
        <v>6.4664168782384332E-2</v>
      </c>
      <c r="Y10" s="6">
        <f t="shared" si="2"/>
        <v>1.7143380826377668E-4</v>
      </c>
      <c r="Z10" s="6">
        <f t="shared" si="3"/>
        <v>2.5683621653862801E-5</v>
      </c>
      <c r="AA10" s="6">
        <f t="shared" si="4"/>
        <v>6.4664168782384332E-2</v>
      </c>
      <c r="AB10" s="6">
        <f t="shared" si="5"/>
        <v>2.821723728677757E-2</v>
      </c>
      <c r="AC10" s="6">
        <f t="shared" si="6"/>
        <v>2.821723728677757E-2</v>
      </c>
      <c r="AD10" s="6">
        <f t="shared" si="7"/>
        <v>4.6052193654036056E-3</v>
      </c>
      <c r="AE10" s="6">
        <f t="shared" si="8"/>
        <v>5.1646587325017649E-3</v>
      </c>
      <c r="AF10" s="27">
        <f t="shared" si="9"/>
        <v>5.1646587325017649E-3</v>
      </c>
      <c r="AG10" s="26">
        <f t="shared" si="10"/>
        <v>1.5523855594870004E-2</v>
      </c>
      <c r="AH10" s="6">
        <f t="shared" si="11"/>
        <v>7.1269376484937183E-2</v>
      </c>
      <c r="AI10" s="6">
        <f t="shared" si="12"/>
        <v>1.5740439391344381E-4</v>
      </c>
      <c r="AJ10" s="6">
        <f t="shared" si="13"/>
        <v>6.3635855046354354E-5</v>
      </c>
      <c r="AK10" s="6">
        <f t="shared" si="14"/>
        <v>7.1269376484937183E-2</v>
      </c>
      <c r="AL10" s="6">
        <f t="shared" si="15"/>
        <v>1.768370205401637E-2</v>
      </c>
      <c r="AM10" s="6">
        <f t="shared" si="16"/>
        <v>1.768370205401637E-2</v>
      </c>
      <c r="AN10" s="6">
        <f t="shared" si="17"/>
        <v>3.879518524864269E-3</v>
      </c>
      <c r="AO10" s="6">
        <f t="shared" si="18"/>
        <v>5.4682653927368378E-3</v>
      </c>
      <c r="AP10" s="27">
        <f t="shared" si="19"/>
        <v>5.4682653927368378E-3</v>
      </c>
      <c r="AQ10" s="241">
        <f t="shared" si="20"/>
        <v>9.7000000000000003E-2</v>
      </c>
      <c r="AR10" s="6">
        <f t="shared" si="21"/>
        <v>0.107</v>
      </c>
      <c r="AS10" s="6">
        <f t="shared" si="22"/>
        <v>0.10199999999999999</v>
      </c>
      <c r="AT10" s="137">
        <f t="shared" si="23"/>
        <v>0.65</v>
      </c>
      <c r="AU10" s="137">
        <f t="shared" si="24"/>
        <v>0.71</v>
      </c>
      <c r="AV10" s="137">
        <f t="shared" si="25"/>
        <v>0.68</v>
      </c>
      <c r="AW10" s="138">
        <f t="shared" si="26"/>
        <v>5</v>
      </c>
      <c r="AX10" s="138">
        <f t="shared" si="27"/>
        <v>4</v>
      </c>
      <c r="AY10" s="242">
        <f t="shared" si="28"/>
        <v>4</v>
      </c>
    </row>
    <row r="11" spans="1:51" ht="13.15" customHeight="1">
      <c r="A11" s="149">
        <v>10552</v>
      </c>
      <c r="B11" s="68" t="s">
        <v>179</v>
      </c>
      <c r="C11" s="238" t="str">
        <f>Rollover!A11</f>
        <v>Chevrolet</v>
      </c>
      <c r="D11" s="239" t="str">
        <f>Rollover!B11</f>
        <v>Silverado 2500 PU/EC RWD</v>
      </c>
      <c r="E11" s="136" t="s">
        <v>88</v>
      </c>
      <c r="F11" s="240">
        <f>Rollover!C11</f>
        <v>2019</v>
      </c>
      <c r="G11" s="11">
        <v>689.822</v>
      </c>
      <c r="H11" s="12">
        <v>0.315</v>
      </c>
      <c r="I11" s="12">
        <v>1652.5889999999999</v>
      </c>
      <c r="J11" s="12">
        <v>578.82299999999998</v>
      </c>
      <c r="K11" s="12">
        <v>27.478000000000002</v>
      </c>
      <c r="L11" s="12">
        <v>44.237000000000002</v>
      </c>
      <c r="M11" s="12">
        <v>1685.354</v>
      </c>
      <c r="N11" s="13">
        <v>2123.3820000000001</v>
      </c>
      <c r="O11" s="11">
        <v>411.34100000000001</v>
      </c>
      <c r="P11" s="12">
        <v>0.58399999999999996</v>
      </c>
      <c r="Q11" s="12">
        <v>1069.953</v>
      </c>
      <c r="R11" s="12">
        <v>548.84100000000001</v>
      </c>
      <c r="S11" s="12">
        <v>17.806999999999999</v>
      </c>
      <c r="T11" s="12">
        <v>45.8</v>
      </c>
      <c r="U11" s="12">
        <v>403.08699999999999</v>
      </c>
      <c r="V11" s="13">
        <v>2110.0549999999998</v>
      </c>
      <c r="W11" s="241">
        <f t="shared" ref="W11:W41" si="29">NORMDIST(LN(G11),7.45231,0.73998,1)</f>
        <v>0.10791286739809129</v>
      </c>
      <c r="X11" s="6">
        <f t="shared" ref="X11:X41" si="30">1/(1+EXP(3.2269-1.9688*H11))</f>
        <v>6.8706670906238165E-2</v>
      </c>
      <c r="Y11" s="6">
        <f t="shared" ref="Y11:Y41" si="31">1/(1+EXP(10.9745-2.375*I11/1000))</f>
        <v>8.6700266815445404E-4</v>
      </c>
      <c r="Z11" s="6">
        <f t="shared" ref="Z11:Z41" si="32">1/(1+EXP(10.9745-2.375*J11/1000))</f>
        <v>6.7738008153021926E-5</v>
      </c>
      <c r="AA11" s="6">
        <f t="shared" ref="AA11:AA41" si="33">MAX(X11,Y11,Z11)</f>
        <v>6.8706670906238165E-2</v>
      </c>
      <c r="AB11" s="6">
        <f t="shared" ref="AB11:AB41" si="34">1/(1+EXP(12.597-0.05861*35-1.568*(K11^0.4612)))</f>
        <v>3.4963806284264293E-2</v>
      </c>
      <c r="AC11" s="6">
        <f t="shared" ref="AC11:AC41" si="35">AB11</f>
        <v>3.4963806284264293E-2</v>
      </c>
      <c r="AD11" s="6">
        <f t="shared" ref="AD11:AD41" si="36">1/(1+EXP(5.7949-0.5196*M11/1000))</f>
        <v>7.2520684012584028E-3</v>
      </c>
      <c r="AE11" s="6">
        <f t="shared" ref="AE11:AE41" si="37">1/(1+EXP(5.7949-0.5196*N11/1000))</f>
        <v>9.0887218696516E-3</v>
      </c>
      <c r="AF11" s="27">
        <f t="shared" ref="AF11:AF41" si="38">MAX(AD11,AE11)</f>
        <v>9.0887218696516E-3</v>
      </c>
      <c r="AG11" s="26">
        <f t="shared" ref="AG11:AG41" si="39">NORMDIST(LN(O11),7.45231,0.73998,1)</f>
        <v>2.6410177307452765E-2</v>
      </c>
      <c r="AH11" s="6">
        <f t="shared" ref="AH11:AH41" si="40">1/(1+EXP(3.2269-1.9688*P11))</f>
        <v>0.11134052711332919</v>
      </c>
      <c r="AI11" s="6">
        <f t="shared" ref="AI11:AI41" si="41">1/(1+EXP(10.958-3.77*Q11/1000))</f>
        <v>9.8264728172088372E-4</v>
      </c>
      <c r="AJ11" s="6">
        <f t="shared" ref="AJ11:AJ41" si="42">1/(1+EXP(10.958-3.77*R11/1000))</f>
        <v>1.3789647493238339E-4</v>
      </c>
      <c r="AK11" s="6">
        <f t="shared" ref="AK11:AK41" si="43">MAX(AH11,AI11,AJ11)</f>
        <v>0.11134052711332919</v>
      </c>
      <c r="AL11" s="6">
        <f t="shared" ref="AL11:AL41" si="44">1/(1+EXP(12.597-0.05861*35-1.568*((S11/0.817)^0.4612)))</f>
        <v>1.7118769878999133E-2</v>
      </c>
      <c r="AM11" s="6">
        <f t="shared" ref="AM11:AM41" si="45">AL11</f>
        <v>1.7118769878999133E-2</v>
      </c>
      <c r="AN11" s="6">
        <f t="shared" ref="AN11:AN41" si="46">1/(1+EXP(5.7949-0.7619*U11/1000))</f>
        <v>4.1199408772059623E-3</v>
      </c>
      <c r="AO11" s="6">
        <f t="shared" ref="AO11:AO41" si="47">1/(1+EXP(5.7949-0.7619*V11/1000))</f>
        <v>1.4960783712441533E-2</v>
      </c>
      <c r="AP11" s="27">
        <f t="shared" ref="AP11:AP41" si="48">MAX(AN11,AO11)</f>
        <v>1.4960783712441533E-2</v>
      </c>
      <c r="AQ11" s="241">
        <f t="shared" ref="AQ11:AQ41" si="49">ROUND(1-(1-W11)*(1-AA11)*(1-AC11)*(1-AF11),3)</f>
        <v>0.20599999999999999</v>
      </c>
      <c r="AR11" s="6">
        <f t="shared" ref="AR11:AR41" si="50">ROUND(1-(1-AG11)*(1-AK11)*(1-AM11)*(1-AP11),3)</f>
        <v>0.16200000000000001</v>
      </c>
      <c r="AS11" s="6">
        <f t="shared" ref="AS11:AS41" si="51">ROUND(AVERAGE(AR11,AQ11),3)</f>
        <v>0.184</v>
      </c>
      <c r="AT11" s="137">
        <f t="shared" ref="AT11:AT41" si="52">ROUND(AQ11/0.15,2)</f>
        <v>1.37</v>
      </c>
      <c r="AU11" s="137">
        <f t="shared" ref="AU11:AU41" si="53">ROUND(AR11/0.15,2)</f>
        <v>1.08</v>
      </c>
      <c r="AV11" s="137">
        <f t="shared" ref="AV11:AV41" si="54">ROUND(AS11/0.15,2)</f>
        <v>1.23</v>
      </c>
      <c r="AW11" s="138">
        <f t="shared" ref="AW11:AW41" si="55">IF(AT11&lt;0.67,5,IF(AT11&lt;1,4,IF(AT11&lt;1.33,3,IF(AT11&lt;2.67,2,1))))</f>
        <v>2</v>
      </c>
      <c r="AX11" s="138">
        <f t="shared" ref="AX11:AX41" si="56">IF(AU11&lt;0.67,5,IF(AU11&lt;1,4,IF(AU11&lt;1.33,3,IF(AU11&lt;2.67,2,1))))</f>
        <v>3</v>
      </c>
      <c r="AY11" s="242">
        <f t="shared" ref="AY11:AY41" si="57">IF(AV11&lt;0.67,5,IF(AV11&lt;1,4,IF(AV11&lt;1.33,3,IF(AV11&lt;2.67,2,1))))</f>
        <v>3</v>
      </c>
    </row>
    <row r="12" spans="1:51" ht="13.15" customHeight="1">
      <c r="A12" s="149">
        <v>10552</v>
      </c>
      <c r="B12" s="68" t="s">
        <v>179</v>
      </c>
      <c r="C12" s="238" t="str">
        <f>Rollover!A12</f>
        <v>Chevrolet</v>
      </c>
      <c r="D12" s="239" t="str">
        <f>Rollover!B12</f>
        <v>Silverado 2500 PU/EC 4WD</v>
      </c>
      <c r="E12" s="136" t="s">
        <v>88</v>
      </c>
      <c r="F12" s="240">
        <f>Rollover!C12</f>
        <v>2019</v>
      </c>
      <c r="G12" s="11">
        <v>689.822</v>
      </c>
      <c r="H12" s="12">
        <v>0.315</v>
      </c>
      <c r="I12" s="12">
        <v>1652.5889999999999</v>
      </c>
      <c r="J12" s="12">
        <v>578.82299999999998</v>
      </c>
      <c r="K12" s="12">
        <v>27.478000000000002</v>
      </c>
      <c r="L12" s="12">
        <v>44.237000000000002</v>
      </c>
      <c r="M12" s="12">
        <v>1685.354</v>
      </c>
      <c r="N12" s="13">
        <v>2123.3820000000001</v>
      </c>
      <c r="O12" s="11">
        <v>411.34100000000001</v>
      </c>
      <c r="P12" s="12">
        <v>0.58399999999999996</v>
      </c>
      <c r="Q12" s="12">
        <v>1069.953</v>
      </c>
      <c r="R12" s="12">
        <v>548.84100000000001</v>
      </c>
      <c r="S12" s="12">
        <v>17.806999999999999</v>
      </c>
      <c r="T12" s="12">
        <v>45.8</v>
      </c>
      <c r="U12" s="12">
        <v>403.08699999999999</v>
      </c>
      <c r="V12" s="13">
        <v>2110.0549999999998</v>
      </c>
      <c r="W12" s="241">
        <f t="shared" ref="W12:W28" si="58">NORMDIST(LN(G12),7.45231,0.73998,1)</f>
        <v>0.10791286739809129</v>
      </c>
      <c r="X12" s="6">
        <f t="shared" ref="X12:X28" si="59">1/(1+EXP(3.2269-1.9688*H12))</f>
        <v>6.8706670906238165E-2</v>
      </c>
      <c r="Y12" s="6">
        <f t="shared" ref="Y12:Y28" si="60">1/(1+EXP(10.9745-2.375*I12/1000))</f>
        <v>8.6700266815445404E-4</v>
      </c>
      <c r="Z12" s="6">
        <f t="shared" ref="Z12:Z28" si="61">1/(1+EXP(10.9745-2.375*J12/1000))</f>
        <v>6.7738008153021926E-5</v>
      </c>
      <c r="AA12" s="6">
        <f t="shared" ref="AA12:AA28" si="62">MAX(X12,Y12,Z12)</f>
        <v>6.8706670906238165E-2</v>
      </c>
      <c r="AB12" s="6">
        <f t="shared" ref="AB12:AB28" si="63">1/(1+EXP(12.597-0.05861*35-1.568*(K12^0.4612)))</f>
        <v>3.4963806284264293E-2</v>
      </c>
      <c r="AC12" s="6">
        <f t="shared" ref="AC12:AC28" si="64">AB12</f>
        <v>3.4963806284264293E-2</v>
      </c>
      <c r="AD12" s="6">
        <f t="shared" ref="AD12:AD28" si="65">1/(1+EXP(5.7949-0.5196*M12/1000))</f>
        <v>7.2520684012584028E-3</v>
      </c>
      <c r="AE12" s="6">
        <f t="shared" ref="AE12:AE28" si="66">1/(1+EXP(5.7949-0.5196*N12/1000))</f>
        <v>9.0887218696516E-3</v>
      </c>
      <c r="AF12" s="27">
        <f t="shared" ref="AF12:AF28" si="67">MAX(AD12,AE12)</f>
        <v>9.0887218696516E-3</v>
      </c>
      <c r="AG12" s="26">
        <f t="shared" ref="AG12:AG28" si="68">NORMDIST(LN(O12),7.45231,0.73998,1)</f>
        <v>2.6410177307452765E-2</v>
      </c>
      <c r="AH12" s="6">
        <f t="shared" ref="AH12:AH28" si="69">1/(1+EXP(3.2269-1.9688*P12))</f>
        <v>0.11134052711332919</v>
      </c>
      <c r="AI12" s="6">
        <f t="shared" ref="AI12:AI28" si="70">1/(1+EXP(10.958-3.77*Q12/1000))</f>
        <v>9.8264728172088372E-4</v>
      </c>
      <c r="AJ12" s="6">
        <f t="shared" ref="AJ12:AJ28" si="71">1/(1+EXP(10.958-3.77*R12/1000))</f>
        <v>1.3789647493238339E-4</v>
      </c>
      <c r="AK12" s="6">
        <f t="shared" ref="AK12:AK28" si="72">MAX(AH12,AI12,AJ12)</f>
        <v>0.11134052711332919</v>
      </c>
      <c r="AL12" s="6">
        <f t="shared" ref="AL12:AL28" si="73">1/(1+EXP(12.597-0.05861*35-1.568*((S12/0.817)^0.4612)))</f>
        <v>1.7118769878999133E-2</v>
      </c>
      <c r="AM12" s="6">
        <f t="shared" ref="AM12:AM28" si="74">AL12</f>
        <v>1.7118769878999133E-2</v>
      </c>
      <c r="AN12" s="6">
        <f t="shared" ref="AN12:AN28" si="75">1/(1+EXP(5.7949-0.7619*U12/1000))</f>
        <v>4.1199408772059623E-3</v>
      </c>
      <c r="AO12" s="6">
        <f t="shared" ref="AO12:AO28" si="76">1/(1+EXP(5.7949-0.7619*V12/1000))</f>
        <v>1.4960783712441533E-2</v>
      </c>
      <c r="AP12" s="27">
        <f t="shared" ref="AP12:AP28" si="77">MAX(AN12,AO12)</f>
        <v>1.4960783712441533E-2</v>
      </c>
      <c r="AQ12" s="241">
        <f t="shared" ref="AQ12:AQ28" si="78">ROUND(1-(1-W12)*(1-AA12)*(1-AC12)*(1-AF12),3)</f>
        <v>0.20599999999999999</v>
      </c>
      <c r="AR12" s="6">
        <f t="shared" ref="AR12:AR28" si="79">ROUND(1-(1-AG12)*(1-AK12)*(1-AM12)*(1-AP12),3)</f>
        <v>0.16200000000000001</v>
      </c>
      <c r="AS12" s="6">
        <f t="shared" ref="AS12:AS28" si="80">ROUND(AVERAGE(AR12,AQ12),3)</f>
        <v>0.184</v>
      </c>
      <c r="AT12" s="137">
        <f t="shared" ref="AT12:AT28" si="81">ROUND(AQ12/0.15,2)</f>
        <v>1.37</v>
      </c>
      <c r="AU12" s="137">
        <f t="shared" ref="AU12:AU28" si="82">ROUND(AR12/0.15,2)</f>
        <v>1.08</v>
      </c>
      <c r="AV12" s="137">
        <f t="shared" ref="AV12:AV28" si="83">ROUND(AS12/0.15,2)</f>
        <v>1.23</v>
      </c>
      <c r="AW12" s="138">
        <f t="shared" ref="AW12:AW28" si="84">IF(AT12&lt;0.67,5,IF(AT12&lt;1,4,IF(AT12&lt;1.33,3,IF(AT12&lt;2.67,2,1))))</f>
        <v>2</v>
      </c>
      <c r="AX12" s="138">
        <f t="shared" ref="AX12:AX28" si="85">IF(AU12&lt;0.67,5,IF(AU12&lt;1,4,IF(AU12&lt;1.33,3,IF(AU12&lt;2.67,2,1))))</f>
        <v>3</v>
      </c>
      <c r="AY12" s="242">
        <f t="shared" ref="AY12:AY28" si="86">IF(AV12&lt;0.67,5,IF(AV12&lt;1,4,IF(AV12&lt;1.33,3,IF(AV12&lt;2.67,2,1))))</f>
        <v>3</v>
      </c>
    </row>
    <row r="13" spans="1:51" ht="13.15" customHeight="1">
      <c r="A13" s="149">
        <v>10552</v>
      </c>
      <c r="B13" s="68" t="s">
        <v>179</v>
      </c>
      <c r="C13" s="243" t="str">
        <f>Rollover!A13</f>
        <v>GMC</v>
      </c>
      <c r="D13" s="244" t="str">
        <f>Rollover!B13</f>
        <v>Sierra 2500 PU/EC RWD</v>
      </c>
      <c r="E13" s="136" t="s">
        <v>88</v>
      </c>
      <c r="F13" s="240">
        <f>Rollover!C13</f>
        <v>2019</v>
      </c>
      <c r="G13" s="11">
        <v>689.822</v>
      </c>
      <c r="H13" s="12">
        <v>0.315</v>
      </c>
      <c r="I13" s="12">
        <v>1652.5889999999999</v>
      </c>
      <c r="J13" s="12">
        <v>578.82299999999998</v>
      </c>
      <c r="K13" s="12">
        <v>27.478000000000002</v>
      </c>
      <c r="L13" s="12">
        <v>44.237000000000002</v>
      </c>
      <c r="M13" s="12">
        <v>1685.354</v>
      </c>
      <c r="N13" s="13">
        <v>2123.3820000000001</v>
      </c>
      <c r="O13" s="11">
        <v>411.34100000000001</v>
      </c>
      <c r="P13" s="12">
        <v>0.58399999999999996</v>
      </c>
      <c r="Q13" s="12">
        <v>1069.953</v>
      </c>
      <c r="R13" s="12">
        <v>548.84100000000001</v>
      </c>
      <c r="S13" s="12">
        <v>17.806999999999999</v>
      </c>
      <c r="T13" s="12">
        <v>45.8</v>
      </c>
      <c r="U13" s="12">
        <v>403.08699999999999</v>
      </c>
      <c r="V13" s="13">
        <v>2110.0549999999998</v>
      </c>
      <c r="W13" s="241">
        <f t="shared" si="58"/>
        <v>0.10791286739809129</v>
      </c>
      <c r="X13" s="6">
        <f t="shared" si="59"/>
        <v>6.8706670906238165E-2</v>
      </c>
      <c r="Y13" s="6">
        <f t="shared" si="60"/>
        <v>8.6700266815445404E-4</v>
      </c>
      <c r="Z13" s="6">
        <f t="shared" si="61"/>
        <v>6.7738008153021926E-5</v>
      </c>
      <c r="AA13" s="6">
        <f t="shared" si="62"/>
        <v>6.8706670906238165E-2</v>
      </c>
      <c r="AB13" s="6">
        <f t="shared" si="63"/>
        <v>3.4963806284264293E-2</v>
      </c>
      <c r="AC13" s="6">
        <f t="shared" si="64"/>
        <v>3.4963806284264293E-2</v>
      </c>
      <c r="AD13" s="6">
        <f t="shared" si="65"/>
        <v>7.2520684012584028E-3</v>
      </c>
      <c r="AE13" s="6">
        <f t="shared" si="66"/>
        <v>9.0887218696516E-3</v>
      </c>
      <c r="AF13" s="27">
        <f t="shared" si="67"/>
        <v>9.0887218696516E-3</v>
      </c>
      <c r="AG13" s="26">
        <f t="shared" si="68"/>
        <v>2.6410177307452765E-2</v>
      </c>
      <c r="AH13" s="6">
        <f t="shared" si="69"/>
        <v>0.11134052711332919</v>
      </c>
      <c r="AI13" s="6">
        <f t="shared" si="70"/>
        <v>9.8264728172088372E-4</v>
      </c>
      <c r="AJ13" s="6">
        <f t="shared" si="71"/>
        <v>1.3789647493238339E-4</v>
      </c>
      <c r="AK13" s="6">
        <f t="shared" si="72"/>
        <v>0.11134052711332919</v>
      </c>
      <c r="AL13" s="6">
        <f t="shared" si="73"/>
        <v>1.7118769878999133E-2</v>
      </c>
      <c r="AM13" s="6">
        <f t="shared" si="74"/>
        <v>1.7118769878999133E-2</v>
      </c>
      <c r="AN13" s="6">
        <f t="shared" si="75"/>
        <v>4.1199408772059623E-3</v>
      </c>
      <c r="AO13" s="6">
        <f t="shared" si="76"/>
        <v>1.4960783712441533E-2</v>
      </c>
      <c r="AP13" s="27">
        <f t="shared" si="77"/>
        <v>1.4960783712441533E-2</v>
      </c>
      <c r="AQ13" s="241">
        <f t="shared" si="78"/>
        <v>0.20599999999999999</v>
      </c>
      <c r="AR13" s="6">
        <f t="shared" si="79"/>
        <v>0.16200000000000001</v>
      </c>
      <c r="AS13" s="6">
        <f t="shared" si="80"/>
        <v>0.184</v>
      </c>
      <c r="AT13" s="137">
        <f t="shared" si="81"/>
        <v>1.37</v>
      </c>
      <c r="AU13" s="137">
        <f t="shared" si="82"/>
        <v>1.08</v>
      </c>
      <c r="AV13" s="137">
        <f t="shared" si="83"/>
        <v>1.23</v>
      </c>
      <c r="AW13" s="138">
        <f t="shared" si="84"/>
        <v>2</v>
      </c>
      <c r="AX13" s="138">
        <f t="shared" si="85"/>
        <v>3</v>
      </c>
      <c r="AY13" s="242">
        <f t="shared" si="86"/>
        <v>3</v>
      </c>
    </row>
    <row r="14" spans="1:51" ht="13.15" customHeight="1">
      <c r="A14" s="149">
        <v>10552</v>
      </c>
      <c r="B14" s="68" t="s">
        <v>179</v>
      </c>
      <c r="C14" s="243" t="str">
        <f>Rollover!A14</f>
        <v>GMC</v>
      </c>
      <c r="D14" s="244" t="str">
        <f>Rollover!B14</f>
        <v>Sierra 2500 PU/EC 4WD</v>
      </c>
      <c r="E14" s="136" t="s">
        <v>88</v>
      </c>
      <c r="F14" s="240">
        <f>Rollover!C14</f>
        <v>2019</v>
      </c>
      <c r="G14" s="11">
        <v>689.822</v>
      </c>
      <c r="H14" s="12">
        <v>0.315</v>
      </c>
      <c r="I14" s="12">
        <v>1652.5889999999999</v>
      </c>
      <c r="J14" s="12">
        <v>578.82299999999998</v>
      </c>
      <c r="K14" s="12">
        <v>27.478000000000002</v>
      </c>
      <c r="L14" s="12">
        <v>44.237000000000002</v>
      </c>
      <c r="M14" s="12">
        <v>1685.354</v>
      </c>
      <c r="N14" s="13">
        <v>2123.3820000000001</v>
      </c>
      <c r="O14" s="11">
        <v>411.34100000000001</v>
      </c>
      <c r="P14" s="12">
        <v>0.58399999999999996</v>
      </c>
      <c r="Q14" s="12">
        <v>1069.953</v>
      </c>
      <c r="R14" s="12">
        <v>548.84100000000001</v>
      </c>
      <c r="S14" s="12">
        <v>17.806999999999999</v>
      </c>
      <c r="T14" s="12">
        <v>45.8</v>
      </c>
      <c r="U14" s="12">
        <v>403.08699999999999</v>
      </c>
      <c r="V14" s="13">
        <v>2110.0549999999998</v>
      </c>
      <c r="W14" s="241">
        <f t="shared" si="58"/>
        <v>0.10791286739809129</v>
      </c>
      <c r="X14" s="6">
        <f t="shared" si="59"/>
        <v>6.8706670906238165E-2</v>
      </c>
      <c r="Y14" s="6">
        <f t="shared" si="60"/>
        <v>8.6700266815445404E-4</v>
      </c>
      <c r="Z14" s="6">
        <f t="shared" si="61"/>
        <v>6.7738008153021926E-5</v>
      </c>
      <c r="AA14" s="6">
        <f t="shared" si="62"/>
        <v>6.8706670906238165E-2</v>
      </c>
      <c r="AB14" s="6">
        <f t="shared" si="63"/>
        <v>3.4963806284264293E-2</v>
      </c>
      <c r="AC14" s="6">
        <f t="shared" si="64"/>
        <v>3.4963806284264293E-2</v>
      </c>
      <c r="AD14" s="6">
        <f t="shared" si="65"/>
        <v>7.2520684012584028E-3</v>
      </c>
      <c r="AE14" s="6">
        <f t="shared" si="66"/>
        <v>9.0887218696516E-3</v>
      </c>
      <c r="AF14" s="27">
        <f t="shared" si="67"/>
        <v>9.0887218696516E-3</v>
      </c>
      <c r="AG14" s="26">
        <f t="shared" si="68"/>
        <v>2.6410177307452765E-2</v>
      </c>
      <c r="AH14" s="6">
        <f t="shared" si="69"/>
        <v>0.11134052711332919</v>
      </c>
      <c r="AI14" s="6">
        <f t="shared" si="70"/>
        <v>9.8264728172088372E-4</v>
      </c>
      <c r="AJ14" s="6">
        <f t="shared" si="71"/>
        <v>1.3789647493238339E-4</v>
      </c>
      <c r="AK14" s="6">
        <f t="shared" si="72"/>
        <v>0.11134052711332919</v>
      </c>
      <c r="AL14" s="6">
        <f t="shared" si="73"/>
        <v>1.7118769878999133E-2</v>
      </c>
      <c r="AM14" s="6">
        <f t="shared" si="74"/>
        <v>1.7118769878999133E-2</v>
      </c>
      <c r="AN14" s="6">
        <f t="shared" si="75"/>
        <v>4.1199408772059623E-3</v>
      </c>
      <c r="AO14" s="6">
        <f t="shared" si="76"/>
        <v>1.4960783712441533E-2</v>
      </c>
      <c r="AP14" s="27">
        <f t="shared" si="77"/>
        <v>1.4960783712441533E-2</v>
      </c>
      <c r="AQ14" s="241">
        <f t="shared" si="78"/>
        <v>0.20599999999999999</v>
      </c>
      <c r="AR14" s="6">
        <f t="shared" si="79"/>
        <v>0.16200000000000001</v>
      </c>
      <c r="AS14" s="6">
        <f t="shared" si="80"/>
        <v>0.184</v>
      </c>
      <c r="AT14" s="137">
        <f t="shared" si="81"/>
        <v>1.37</v>
      </c>
      <c r="AU14" s="137">
        <f t="shared" si="82"/>
        <v>1.08</v>
      </c>
      <c r="AV14" s="137">
        <f t="shared" si="83"/>
        <v>1.23</v>
      </c>
      <c r="AW14" s="138">
        <f t="shared" si="84"/>
        <v>2</v>
      </c>
      <c r="AX14" s="138">
        <f t="shared" si="85"/>
        <v>3</v>
      </c>
      <c r="AY14" s="242">
        <f t="shared" si="86"/>
        <v>3</v>
      </c>
    </row>
    <row r="15" spans="1:51" ht="13.15" customHeight="1">
      <c r="A15" s="149">
        <v>10552</v>
      </c>
      <c r="B15" s="68" t="s">
        <v>179</v>
      </c>
      <c r="C15" s="243" t="str">
        <f>Rollover!A15</f>
        <v>Chevrolet</v>
      </c>
      <c r="D15" s="244" t="str">
        <f>Rollover!B15</f>
        <v>Silverado 2500 PU/RC RWD</v>
      </c>
      <c r="E15" s="136" t="s">
        <v>88</v>
      </c>
      <c r="F15" s="240">
        <f>Rollover!C15</f>
        <v>2019</v>
      </c>
      <c r="G15" s="11">
        <v>689.822</v>
      </c>
      <c r="H15" s="12">
        <v>0.315</v>
      </c>
      <c r="I15" s="12">
        <v>1652.5889999999999</v>
      </c>
      <c r="J15" s="12">
        <v>578.82299999999998</v>
      </c>
      <c r="K15" s="12">
        <v>27.478000000000002</v>
      </c>
      <c r="L15" s="12">
        <v>44.237000000000002</v>
      </c>
      <c r="M15" s="12">
        <v>1685.354</v>
      </c>
      <c r="N15" s="13">
        <v>2123.3820000000001</v>
      </c>
      <c r="O15" s="11">
        <v>411.34100000000001</v>
      </c>
      <c r="P15" s="12">
        <v>0.58399999999999996</v>
      </c>
      <c r="Q15" s="12">
        <v>1069.953</v>
      </c>
      <c r="R15" s="12">
        <v>548.84100000000001</v>
      </c>
      <c r="S15" s="12">
        <v>17.806999999999999</v>
      </c>
      <c r="T15" s="12">
        <v>45.8</v>
      </c>
      <c r="U15" s="12">
        <v>403.08699999999999</v>
      </c>
      <c r="V15" s="13">
        <v>2110.0549999999998</v>
      </c>
      <c r="W15" s="241">
        <f t="shared" si="58"/>
        <v>0.10791286739809129</v>
      </c>
      <c r="X15" s="6">
        <f t="shared" si="59"/>
        <v>6.8706670906238165E-2</v>
      </c>
      <c r="Y15" s="6">
        <f t="shared" si="60"/>
        <v>8.6700266815445404E-4</v>
      </c>
      <c r="Z15" s="6">
        <f t="shared" si="61"/>
        <v>6.7738008153021926E-5</v>
      </c>
      <c r="AA15" s="6">
        <f t="shared" si="62"/>
        <v>6.8706670906238165E-2</v>
      </c>
      <c r="AB15" s="6">
        <f t="shared" si="63"/>
        <v>3.4963806284264293E-2</v>
      </c>
      <c r="AC15" s="6">
        <f t="shared" si="64"/>
        <v>3.4963806284264293E-2</v>
      </c>
      <c r="AD15" s="6">
        <f t="shared" si="65"/>
        <v>7.2520684012584028E-3</v>
      </c>
      <c r="AE15" s="6">
        <f t="shared" si="66"/>
        <v>9.0887218696516E-3</v>
      </c>
      <c r="AF15" s="27">
        <f t="shared" si="67"/>
        <v>9.0887218696516E-3</v>
      </c>
      <c r="AG15" s="26">
        <f t="shared" si="68"/>
        <v>2.6410177307452765E-2</v>
      </c>
      <c r="AH15" s="6">
        <f t="shared" si="69"/>
        <v>0.11134052711332919</v>
      </c>
      <c r="AI15" s="6">
        <f t="shared" si="70"/>
        <v>9.8264728172088372E-4</v>
      </c>
      <c r="AJ15" s="6">
        <f t="shared" si="71"/>
        <v>1.3789647493238339E-4</v>
      </c>
      <c r="AK15" s="6">
        <f t="shared" si="72"/>
        <v>0.11134052711332919</v>
      </c>
      <c r="AL15" s="6">
        <f t="shared" si="73"/>
        <v>1.7118769878999133E-2</v>
      </c>
      <c r="AM15" s="6">
        <f t="shared" si="74"/>
        <v>1.7118769878999133E-2</v>
      </c>
      <c r="AN15" s="6">
        <f t="shared" si="75"/>
        <v>4.1199408772059623E-3</v>
      </c>
      <c r="AO15" s="6">
        <f t="shared" si="76"/>
        <v>1.4960783712441533E-2</v>
      </c>
      <c r="AP15" s="27">
        <f t="shared" si="77"/>
        <v>1.4960783712441533E-2</v>
      </c>
      <c r="AQ15" s="241">
        <f t="shared" si="78"/>
        <v>0.20599999999999999</v>
      </c>
      <c r="AR15" s="6">
        <f t="shared" si="79"/>
        <v>0.16200000000000001</v>
      </c>
      <c r="AS15" s="6">
        <f t="shared" si="80"/>
        <v>0.184</v>
      </c>
      <c r="AT15" s="137">
        <f t="shared" si="81"/>
        <v>1.37</v>
      </c>
      <c r="AU15" s="137">
        <f t="shared" si="82"/>
        <v>1.08</v>
      </c>
      <c r="AV15" s="137">
        <f t="shared" si="83"/>
        <v>1.23</v>
      </c>
      <c r="AW15" s="138">
        <f t="shared" si="84"/>
        <v>2</v>
      </c>
      <c r="AX15" s="138">
        <f t="shared" si="85"/>
        <v>3</v>
      </c>
      <c r="AY15" s="242">
        <f t="shared" si="86"/>
        <v>3</v>
      </c>
    </row>
    <row r="16" spans="1:51" ht="13.15" customHeight="1">
      <c r="A16" s="149">
        <v>10552</v>
      </c>
      <c r="B16" s="68" t="s">
        <v>179</v>
      </c>
      <c r="C16" s="243" t="str">
        <f>Rollover!A16</f>
        <v>Chevrolet</v>
      </c>
      <c r="D16" s="244" t="str">
        <f>Rollover!B16</f>
        <v>Silverado 2500 PU/RC 4WD</v>
      </c>
      <c r="E16" s="136" t="s">
        <v>88</v>
      </c>
      <c r="F16" s="240">
        <f>Rollover!C16</f>
        <v>2019</v>
      </c>
      <c r="G16" s="11">
        <v>689.822</v>
      </c>
      <c r="H16" s="12">
        <v>0.315</v>
      </c>
      <c r="I16" s="12">
        <v>1652.5889999999999</v>
      </c>
      <c r="J16" s="12">
        <v>578.82299999999998</v>
      </c>
      <c r="K16" s="12">
        <v>27.478000000000002</v>
      </c>
      <c r="L16" s="12">
        <v>44.237000000000002</v>
      </c>
      <c r="M16" s="12">
        <v>1685.354</v>
      </c>
      <c r="N16" s="13">
        <v>2123.3820000000001</v>
      </c>
      <c r="O16" s="11">
        <v>411.34100000000001</v>
      </c>
      <c r="P16" s="12">
        <v>0.58399999999999996</v>
      </c>
      <c r="Q16" s="12">
        <v>1069.953</v>
      </c>
      <c r="R16" s="12">
        <v>548.84100000000001</v>
      </c>
      <c r="S16" s="12">
        <v>17.806999999999999</v>
      </c>
      <c r="T16" s="12">
        <v>45.8</v>
      </c>
      <c r="U16" s="12">
        <v>403.08699999999999</v>
      </c>
      <c r="V16" s="13">
        <v>2110.0549999999998</v>
      </c>
      <c r="W16" s="241">
        <f t="shared" si="58"/>
        <v>0.10791286739809129</v>
      </c>
      <c r="X16" s="6">
        <f t="shared" si="59"/>
        <v>6.8706670906238165E-2</v>
      </c>
      <c r="Y16" s="6">
        <f t="shared" si="60"/>
        <v>8.6700266815445404E-4</v>
      </c>
      <c r="Z16" s="6">
        <f t="shared" si="61"/>
        <v>6.7738008153021926E-5</v>
      </c>
      <c r="AA16" s="6">
        <f t="shared" si="62"/>
        <v>6.8706670906238165E-2</v>
      </c>
      <c r="AB16" s="6">
        <f t="shared" si="63"/>
        <v>3.4963806284264293E-2</v>
      </c>
      <c r="AC16" s="6">
        <f t="shared" si="64"/>
        <v>3.4963806284264293E-2</v>
      </c>
      <c r="AD16" s="6">
        <f t="shared" si="65"/>
        <v>7.2520684012584028E-3</v>
      </c>
      <c r="AE16" s="6">
        <f t="shared" si="66"/>
        <v>9.0887218696516E-3</v>
      </c>
      <c r="AF16" s="27">
        <f t="shared" si="67"/>
        <v>9.0887218696516E-3</v>
      </c>
      <c r="AG16" s="26">
        <f t="shared" si="68"/>
        <v>2.6410177307452765E-2</v>
      </c>
      <c r="AH16" s="6">
        <f t="shared" si="69"/>
        <v>0.11134052711332919</v>
      </c>
      <c r="AI16" s="6">
        <f t="shared" si="70"/>
        <v>9.8264728172088372E-4</v>
      </c>
      <c r="AJ16" s="6">
        <f t="shared" si="71"/>
        <v>1.3789647493238339E-4</v>
      </c>
      <c r="AK16" s="6">
        <f t="shared" si="72"/>
        <v>0.11134052711332919</v>
      </c>
      <c r="AL16" s="6">
        <f t="shared" si="73"/>
        <v>1.7118769878999133E-2</v>
      </c>
      <c r="AM16" s="6">
        <f t="shared" si="74"/>
        <v>1.7118769878999133E-2</v>
      </c>
      <c r="AN16" s="6">
        <f t="shared" si="75"/>
        <v>4.1199408772059623E-3</v>
      </c>
      <c r="AO16" s="6">
        <f t="shared" si="76"/>
        <v>1.4960783712441533E-2</v>
      </c>
      <c r="AP16" s="27">
        <f t="shared" si="77"/>
        <v>1.4960783712441533E-2</v>
      </c>
      <c r="AQ16" s="241">
        <f t="shared" si="78"/>
        <v>0.20599999999999999</v>
      </c>
      <c r="AR16" s="6">
        <f t="shared" si="79"/>
        <v>0.16200000000000001</v>
      </c>
      <c r="AS16" s="6">
        <f t="shared" si="80"/>
        <v>0.184</v>
      </c>
      <c r="AT16" s="137">
        <f t="shared" si="81"/>
        <v>1.37</v>
      </c>
      <c r="AU16" s="137">
        <f t="shared" si="82"/>
        <v>1.08</v>
      </c>
      <c r="AV16" s="137">
        <f t="shared" si="83"/>
        <v>1.23</v>
      </c>
      <c r="AW16" s="138">
        <f t="shared" si="84"/>
        <v>2</v>
      </c>
      <c r="AX16" s="138">
        <f t="shared" si="85"/>
        <v>3</v>
      </c>
      <c r="AY16" s="242">
        <f t="shared" si="86"/>
        <v>3</v>
      </c>
    </row>
    <row r="17" spans="1:51" ht="13.15" customHeight="1">
      <c r="A17" s="149">
        <v>10552</v>
      </c>
      <c r="B17" s="68" t="s">
        <v>179</v>
      </c>
      <c r="C17" s="243" t="str">
        <f>Rollover!A17</f>
        <v>GMC</v>
      </c>
      <c r="D17" s="244" t="str">
        <f>Rollover!B17</f>
        <v>Sierra 2500 PU/RC RWD</v>
      </c>
      <c r="E17" s="136" t="s">
        <v>88</v>
      </c>
      <c r="F17" s="240">
        <f>Rollover!C17</f>
        <v>2019</v>
      </c>
      <c r="G17" s="11">
        <v>689.822</v>
      </c>
      <c r="H17" s="12">
        <v>0.315</v>
      </c>
      <c r="I17" s="12">
        <v>1652.5889999999999</v>
      </c>
      <c r="J17" s="12">
        <v>578.82299999999998</v>
      </c>
      <c r="K17" s="12">
        <v>27.478000000000002</v>
      </c>
      <c r="L17" s="12">
        <v>44.237000000000002</v>
      </c>
      <c r="M17" s="12">
        <v>1685.354</v>
      </c>
      <c r="N17" s="13">
        <v>2123.3820000000001</v>
      </c>
      <c r="O17" s="11">
        <v>411.34100000000001</v>
      </c>
      <c r="P17" s="12">
        <v>0.58399999999999996</v>
      </c>
      <c r="Q17" s="12">
        <v>1069.953</v>
      </c>
      <c r="R17" s="12">
        <v>548.84100000000001</v>
      </c>
      <c r="S17" s="12">
        <v>17.806999999999999</v>
      </c>
      <c r="T17" s="12">
        <v>45.8</v>
      </c>
      <c r="U17" s="12">
        <v>403.08699999999999</v>
      </c>
      <c r="V17" s="13">
        <v>2110.0549999999998</v>
      </c>
      <c r="W17" s="241">
        <f t="shared" si="58"/>
        <v>0.10791286739809129</v>
      </c>
      <c r="X17" s="6">
        <f t="shared" si="59"/>
        <v>6.8706670906238165E-2</v>
      </c>
      <c r="Y17" s="6">
        <f t="shared" si="60"/>
        <v>8.6700266815445404E-4</v>
      </c>
      <c r="Z17" s="6">
        <f t="shared" si="61"/>
        <v>6.7738008153021926E-5</v>
      </c>
      <c r="AA17" s="6">
        <f t="shared" si="62"/>
        <v>6.8706670906238165E-2</v>
      </c>
      <c r="AB17" s="6">
        <f t="shared" si="63"/>
        <v>3.4963806284264293E-2</v>
      </c>
      <c r="AC17" s="6">
        <f t="shared" si="64"/>
        <v>3.4963806284264293E-2</v>
      </c>
      <c r="AD17" s="6">
        <f t="shared" si="65"/>
        <v>7.2520684012584028E-3</v>
      </c>
      <c r="AE17" s="6">
        <f t="shared" si="66"/>
        <v>9.0887218696516E-3</v>
      </c>
      <c r="AF17" s="27">
        <f t="shared" si="67"/>
        <v>9.0887218696516E-3</v>
      </c>
      <c r="AG17" s="26">
        <f t="shared" si="68"/>
        <v>2.6410177307452765E-2</v>
      </c>
      <c r="AH17" s="6">
        <f t="shared" si="69"/>
        <v>0.11134052711332919</v>
      </c>
      <c r="AI17" s="6">
        <f t="shared" si="70"/>
        <v>9.8264728172088372E-4</v>
      </c>
      <c r="AJ17" s="6">
        <f t="shared" si="71"/>
        <v>1.3789647493238339E-4</v>
      </c>
      <c r="AK17" s="6">
        <f t="shared" si="72"/>
        <v>0.11134052711332919</v>
      </c>
      <c r="AL17" s="6">
        <f t="shared" si="73"/>
        <v>1.7118769878999133E-2</v>
      </c>
      <c r="AM17" s="6">
        <f t="shared" si="74"/>
        <v>1.7118769878999133E-2</v>
      </c>
      <c r="AN17" s="6">
        <f t="shared" si="75"/>
        <v>4.1199408772059623E-3</v>
      </c>
      <c r="AO17" s="6">
        <f t="shared" si="76"/>
        <v>1.4960783712441533E-2</v>
      </c>
      <c r="AP17" s="27">
        <f t="shared" si="77"/>
        <v>1.4960783712441533E-2</v>
      </c>
      <c r="AQ17" s="241">
        <f t="shared" si="78"/>
        <v>0.20599999999999999</v>
      </c>
      <c r="AR17" s="6">
        <f t="shared" si="79"/>
        <v>0.16200000000000001</v>
      </c>
      <c r="AS17" s="6">
        <f t="shared" si="80"/>
        <v>0.184</v>
      </c>
      <c r="AT17" s="137">
        <f t="shared" si="81"/>
        <v>1.37</v>
      </c>
      <c r="AU17" s="137">
        <f t="shared" si="82"/>
        <v>1.08</v>
      </c>
      <c r="AV17" s="137">
        <f t="shared" si="83"/>
        <v>1.23</v>
      </c>
      <c r="AW17" s="138">
        <f t="shared" si="84"/>
        <v>2</v>
      </c>
      <c r="AX17" s="138">
        <f t="shared" si="85"/>
        <v>3</v>
      </c>
      <c r="AY17" s="242">
        <f t="shared" si="86"/>
        <v>3</v>
      </c>
    </row>
    <row r="18" spans="1:51" ht="13.15" customHeight="1">
      <c r="A18" s="149">
        <v>10552</v>
      </c>
      <c r="B18" s="68" t="s">
        <v>179</v>
      </c>
      <c r="C18" s="243" t="str">
        <f>Rollover!A18</f>
        <v>GMC</v>
      </c>
      <c r="D18" s="244" t="str">
        <f>Rollover!B18</f>
        <v>Sierra 2500 PU/RC 4WD</v>
      </c>
      <c r="E18" s="136" t="s">
        <v>88</v>
      </c>
      <c r="F18" s="240">
        <f>Rollover!C18</f>
        <v>2019</v>
      </c>
      <c r="G18" s="11">
        <v>689.822</v>
      </c>
      <c r="H18" s="12">
        <v>0.315</v>
      </c>
      <c r="I18" s="12">
        <v>1652.5889999999999</v>
      </c>
      <c r="J18" s="12">
        <v>578.82299999999998</v>
      </c>
      <c r="K18" s="12">
        <v>27.478000000000002</v>
      </c>
      <c r="L18" s="12">
        <v>44.237000000000002</v>
      </c>
      <c r="M18" s="12">
        <v>1685.354</v>
      </c>
      <c r="N18" s="13">
        <v>2123.3820000000001</v>
      </c>
      <c r="O18" s="11">
        <v>411.34100000000001</v>
      </c>
      <c r="P18" s="12">
        <v>0.58399999999999996</v>
      </c>
      <c r="Q18" s="12">
        <v>1069.953</v>
      </c>
      <c r="R18" s="12">
        <v>548.84100000000001</v>
      </c>
      <c r="S18" s="12">
        <v>17.806999999999999</v>
      </c>
      <c r="T18" s="12">
        <v>45.8</v>
      </c>
      <c r="U18" s="12">
        <v>403.08699999999999</v>
      </c>
      <c r="V18" s="13">
        <v>2110.0549999999998</v>
      </c>
      <c r="W18" s="241">
        <f t="shared" si="58"/>
        <v>0.10791286739809129</v>
      </c>
      <c r="X18" s="6">
        <f t="shared" si="59"/>
        <v>6.8706670906238165E-2</v>
      </c>
      <c r="Y18" s="6">
        <f t="shared" si="60"/>
        <v>8.6700266815445404E-4</v>
      </c>
      <c r="Z18" s="6">
        <f t="shared" si="61"/>
        <v>6.7738008153021926E-5</v>
      </c>
      <c r="AA18" s="6">
        <f t="shared" si="62"/>
        <v>6.8706670906238165E-2</v>
      </c>
      <c r="AB18" s="6">
        <f t="shared" si="63"/>
        <v>3.4963806284264293E-2</v>
      </c>
      <c r="AC18" s="6">
        <f t="shared" si="64"/>
        <v>3.4963806284264293E-2</v>
      </c>
      <c r="AD18" s="6">
        <f t="shared" si="65"/>
        <v>7.2520684012584028E-3</v>
      </c>
      <c r="AE18" s="6">
        <f t="shared" si="66"/>
        <v>9.0887218696516E-3</v>
      </c>
      <c r="AF18" s="27">
        <f t="shared" si="67"/>
        <v>9.0887218696516E-3</v>
      </c>
      <c r="AG18" s="26">
        <f t="shared" si="68"/>
        <v>2.6410177307452765E-2</v>
      </c>
      <c r="AH18" s="6">
        <f t="shared" si="69"/>
        <v>0.11134052711332919</v>
      </c>
      <c r="AI18" s="6">
        <f t="shared" si="70"/>
        <v>9.8264728172088372E-4</v>
      </c>
      <c r="AJ18" s="6">
        <f t="shared" si="71"/>
        <v>1.3789647493238339E-4</v>
      </c>
      <c r="AK18" s="6">
        <f t="shared" si="72"/>
        <v>0.11134052711332919</v>
      </c>
      <c r="AL18" s="6">
        <f t="shared" si="73"/>
        <v>1.7118769878999133E-2</v>
      </c>
      <c r="AM18" s="6">
        <f t="shared" si="74"/>
        <v>1.7118769878999133E-2</v>
      </c>
      <c r="AN18" s="6">
        <f t="shared" si="75"/>
        <v>4.1199408772059623E-3</v>
      </c>
      <c r="AO18" s="6">
        <f t="shared" si="76"/>
        <v>1.4960783712441533E-2</v>
      </c>
      <c r="AP18" s="27">
        <f t="shared" si="77"/>
        <v>1.4960783712441533E-2</v>
      </c>
      <c r="AQ18" s="241">
        <f t="shared" si="78"/>
        <v>0.20599999999999999</v>
      </c>
      <c r="AR18" s="6">
        <f t="shared" si="79"/>
        <v>0.16200000000000001</v>
      </c>
      <c r="AS18" s="6">
        <f t="shared" si="80"/>
        <v>0.184</v>
      </c>
      <c r="AT18" s="137">
        <f t="shared" si="81"/>
        <v>1.37</v>
      </c>
      <c r="AU18" s="137">
        <f t="shared" si="82"/>
        <v>1.08</v>
      </c>
      <c r="AV18" s="137">
        <f t="shared" si="83"/>
        <v>1.23</v>
      </c>
      <c r="AW18" s="138">
        <f t="shared" si="84"/>
        <v>2</v>
      </c>
      <c r="AX18" s="138">
        <f t="shared" si="85"/>
        <v>3</v>
      </c>
      <c r="AY18" s="242">
        <f t="shared" si="86"/>
        <v>3</v>
      </c>
    </row>
    <row r="19" spans="1:51" ht="13.15" customHeight="1">
      <c r="A19" s="149">
        <v>10680</v>
      </c>
      <c r="B19" s="68" t="s">
        <v>249</v>
      </c>
      <c r="C19" s="238" t="str">
        <f>Rollover!A19</f>
        <v>Chevrolet</v>
      </c>
      <c r="D19" s="239" t="str">
        <f>Rollover!B19</f>
        <v>Suburban 1500 SUV RWD</v>
      </c>
      <c r="E19" s="136" t="s">
        <v>88</v>
      </c>
      <c r="F19" s="240">
        <f>Rollover!C19</f>
        <v>2019</v>
      </c>
      <c r="G19" s="11">
        <v>359.41</v>
      </c>
      <c r="H19" s="12">
        <v>0.376</v>
      </c>
      <c r="I19" s="12">
        <v>1771.2449999999999</v>
      </c>
      <c r="J19" s="12">
        <v>993.01900000000001</v>
      </c>
      <c r="K19" s="12">
        <v>24.071999999999999</v>
      </c>
      <c r="L19" s="12">
        <v>41.688000000000002</v>
      </c>
      <c r="M19" s="12">
        <v>1390.0119999999999</v>
      </c>
      <c r="N19" s="13">
        <v>1836.085</v>
      </c>
      <c r="O19" s="11">
        <v>341.58800000000002</v>
      </c>
      <c r="P19" s="12">
        <v>0.38400000000000001</v>
      </c>
      <c r="Q19" s="12">
        <v>725.75800000000004</v>
      </c>
      <c r="R19" s="12">
        <v>395.46800000000002</v>
      </c>
      <c r="S19" s="12">
        <v>14.257</v>
      </c>
      <c r="T19" s="12">
        <v>35.917000000000002</v>
      </c>
      <c r="U19" s="12">
        <v>1629.384</v>
      </c>
      <c r="V19" s="13">
        <v>2595.924</v>
      </c>
      <c r="W19" s="241">
        <f t="shared" si="58"/>
        <v>1.7055024481194132E-2</v>
      </c>
      <c r="X19" s="6">
        <f t="shared" si="59"/>
        <v>7.6800712962786663E-2</v>
      </c>
      <c r="Y19" s="6">
        <f t="shared" si="60"/>
        <v>1.1489087567728878E-3</v>
      </c>
      <c r="Z19" s="6">
        <f t="shared" si="61"/>
        <v>1.8113625358474178E-4</v>
      </c>
      <c r="AA19" s="6">
        <f t="shared" si="62"/>
        <v>7.6800712962786663E-2</v>
      </c>
      <c r="AB19" s="6">
        <f t="shared" si="63"/>
        <v>2.3071896253361219E-2</v>
      </c>
      <c r="AC19" s="6">
        <f t="shared" si="64"/>
        <v>2.3071896253361219E-2</v>
      </c>
      <c r="AD19" s="6">
        <f t="shared" si="65"/>
        <v>6.226779515364907E-3</v>
      </c>
      <c r="AE19" s="6">
        <f t="shared" si="66"/>
        <v>7.8382524828863147E-3</v>
      </c>
      <c r="AF19" s="27">
        <f t="shared" si="67"/>
        <v>7.8382524828863147E-3</v>
      </c>
      <c r="AG19" s="26">
        <f t="shared" si="68"/>
        <v>1.4353099582670082E-2</v>
      </c>
      <c r="AH19" s="6">
        <f t="shared" si="69"/>
        <v>7.7924923800054988E-2</v>
      </c>
      <c r="AI19" s="6">
        <f t="shared" si="70"/>
        <v>2.686339166166495E-4</v>
      </c>
      <c r="AJ19" s="6">
        <f t="shared" si="71"/>
        <v>7.7350540478284818E-5</v>
      </c>
      <c r="AK19" s="6">
        <f t="shared" si="72"/>
        <v>7.7924923800054988E-2</v>
      </c>
      <c r="AL19" s="6">
        <f t="shared" si="73"/>
        <v>9.1631158296250487E-3</v>
      </c>
      <c r="AM19" s="6">
        <f t="shared" si="74"/>
        <v>9.1631158296250487E-3</v>
      </c>
      <c r="AN19" s="6">
        <f t="shared" si="75"/>
        <v>1.0420837774238715E-2</v>
      </c>
      <c r="AO19" s="6">
        <f t="shared" si="76"/>
        <v>2.1518991555719316E-2</v>
      </c>
      <c r="AP19" s="27">
        <f t="shared" si="77"/>
        <v>2.1518991555719316E-2</v>
      </c>
      <c r="AQ19" s="241">
        <f t="shared" si="78"/>
        <v>0.12</v>
      </c>
      <c r="AR19" s="6">
        <f t="shared" si="79"/>
        <v>0.11899999999999999</v>
      </c>
      <c r="AS19" s="6">
        <f t="shared" si="80"/>
        <v>0.12</v>
      </c>
      <c r="AT19" s="137">
        <f t="shared" si="81"/>
        <v>0.8</v>
      </c>
      <c r="AU19" s="137">
        <f t="shared" si="82"/>
        <v>0.79</v>
      </c>
      <c r="AV19" s="137">
        <f t="shared" si="83"/>
        <v>0.8</v>
      </c>
      <c r="AW19" s="138">
        <f t="shared" si="84"/>
        <v>4</v>
      </c>
      <c r="AX19" s="138">
        <f t="shared" si="85"/>
        <v>4</v>
      </c>
      <c r="AY19" s="242">
        <f t="shared" si="86"/>
        <v>4</v>
      </c>
    </row>
    <row r="20" spans="1:51" ht="13.15" customHeight="1">
      <c r="A20" s="149">
        <v>10680</v>
      </c>
      <c r="B20" s="68" t="s">
        <v>249</v>
      </c>
      <c r="C20" s="238" t="str">
        <f>Rollover!A20</f>
        <v>Chevrolet</v>
      </c>
      <c r="D20" s="239" t="str">
        <f>Rollover!B20</f>
        <v>Suburban 1500 SUV 4WD</v>
      </c>
      <c r="E20" s="136" t="s">
        <v>88</v>
      </c>
      <c r="F20" s="240">
        <f>Rollover!C20</f>
        <v>2019</v>
      </c>
      <c r="G20" s="245">
        <v>359.41</v>
      </c>
      <c r="H20" s="12">
        <v>0.376</v>
      </c>
      <c r="I20" s="12">
        <v>1771.2449999999999</v>
      </c>
      <c r="J20" s="12">
        <v>993.01900000000001</v>
      </c>
      <c r="K20" s="12">
        <v>24.071999999999999</v>
      </c>
      <c r="L20" s="12">
        <v>41.688000000000002</v>
      </c>
      <c r="M20" s="12">
        <v>1390.0119999999999</v>
      </c>
      <c r="N20" s="13">
        <v>1836.085</v>
      </c>
      <c r="O20" s="11">
        <v>341.58800000000002</v>
      </c>
      <c r="P20" s="12">
        <v>0.38400000000000001</v>
      </c>
      <c r="Q20" s="12">
        <v>725.75800000000004</v>
      </c>
      <c r="R20" s="12">
        <v>395.46800000000002</v>
      </c>
      <c r="S20" s="12">
        <v>14.257</v>
      </c>
      <c r="T20" s="12">
        <v>35.917000000000002</v>
      </c>
      <c r="U20" s="12">
        <v>1629.384</v>
      </c>
      <c r="V20" s="13">
        <v>2595.924</v>
      </c>
      <c r="W20" s="241">
        <f t="shared" si="58"/>
        <v>1.7055024481194132E-2</v>
      </c>
      <c r="X20" s="6">
        <f t="shared" si="59"/>
        <v>7.6800712962786663E-2</v>
      </c>
      <c r="Y20" s="6">
        <f t="shared" si="60"/>
        <v>1.1489087567728878E-3</v>
      </c>
      <c r="Z20" s="6">
        <f t="shared" si="61"/>
        <v>1.8113625358474178E-4</v>
      </c>
      <c r="AA20" s="6">
        <f t="shared" si="62"/>
        <v>7.6800712962786663E-2</v>
      </c>
      <c r="AB20" s="6">
        <f t="shared" si="63"/>
        <v>2.3071896253361219E-2</v>
      </c>
      <c r="AC20" s="6">
        <f t="shared" si="64"/>
        <v>2.3071896253361219E-2</v>
      </c>
      <c r="AD20" s="6">
        <f t="shared" si="65"/>
        <v>6.226779515364907E-3</v>
      </c>
      <c r="AE20" s="6">
        <f t="shared" si="66"/>
        <v>7.8382524828863147E-3</v>
      </c>
      <c r="AF20" s="27">
        <f t="shared" si="67"/>
        <v>7.8382524828863147E-3</v>
      </c>
      <c r="AG20" s="26">
        <f t="shared" si="68"/>
        <v>1.4353099582670082E-2</v>
      </c>
      <c r="AH20" s="6">
        <f t="shared" si="69"/>
        <v>7.7924923800054988E-2</v>
      </c>
      <c r="AI20" s="6">
        <f t="shared" si="70"/>
        <v>2.686339166166495E-4</v>
      </c>
      <c r="AJ20" s="6">
        <f t="shared" si="71"/>
        <v>7.7350540478284818E-5</v>
      </c>
      <c r="AK20" s="6">
        <f t="shared" si="72"/>
        <v>7.7924923800054988E-2</v>
      </c>
      <c r="AL20" s="6">
        <f t="shared" si="73"/>
        <v>9.1631158296250487E-3</v>
      </c>
      <c r="AM20" s="6">
        <f t="shared" si="74"/>
        <v>9.1631158296250487E-3</v>
      </c>
      <c r="AN20" s="6">
        <f t="shared" si="75"/>
        <v>1.0420837774238715E-2</v>
      </c>
      <c r="AO20" s="6">
        <f t="shared" si="76"/>
        <v>2.1518991555719316E-2</v>
      </c>
      <c r="AP20" s="27">
        <f t="shared" si="77"/>
        <v>2.1518991555719316E-2</v>
      </c>
      <c r="AQ20" s="241">
        <f t="shared" si="78"/>
        <v>0.12</v>
      </c>
      <c r="AR20" s="6">
        <f t="shared" si="79"/>
        <v>0.11899999999999999</v>
      </c>
      <c r="AS20" s="6">
        <f t="shared" si="80"/>
        <v>0.12</v>
      </c>
      <c r="AT20" s="137">
        <f t="shared" si="81"/>
        <v>0.8</v>
      </c>
      <c r="AU20" s="137">
        <f t="shared" si="82"/>
        <v>0.79</v>
      </c>
      <c r="AV20" s="137">
        <f t="shared" si="83"/>
        <v>0.8</v>
      </c>
      <c r="AW20" s="138">
        <f t="shared" si="84"/>
        <v>4</v>
      </c>
      <c r="AX20" s="138">
        <f t="shared" si="85"/>
        <v>4</v>
      </c>
      <c r="AY20" s="242">
        <f t="shared" si="86"/>
        <v>4</v>
      </c>
    </row>
    <row r="21" spans="1:51" ht="13.15" customHeight="1">
      <c r="A21" s="149">
        <v>10680</v>
      </c>
      <c r="B21" s="68" t="s">
        <v>249</v>
      </c>
      <c r="C21" s="243" t="str">
        <f>Rollover!A21</f>
        <v>GMC</v>
      </c>
      <c r="D21" s="244" t="str">
        <f>Rollover!B21</f>
        <v>Yukon XL 1500 SUV RWD</v>
      </c>
      <c r="E21" s="136" t="s">
        <v>88</v>
      </c>
      <c r="F21" s="240">
        <f>Rollover!C21</f>
        <v>2019</v>
      </c>
      <c r="G21" s="245">
        <v>359.41</v>
      </c>
      <c r="H21" s="12">
        <v>0.376</v>
      </c>
      <c r="I21" s="12">
        <v>1771.2449999999999</v>
      </c>
      <c r="J21" s="12">
        <v>993.01900000000001</v>
      </c>
      <c r="K21" s="12">
        <v>24.071999999999999</v>
      </c>
      <c r="L21" s="12">
        <v>41.688000000000002</v>
      </c>
      <c r="M21" s="12">
        <v>1390.0119999999999</v>
      </c>
      <c r="N21" s="13">
        <v>1836.085</v>
      </c>
      <c r="O21" s="11">
        <v>341.58800000000002</v>
      </c>
      <c r="P21" s="12">
        <v>0.38400000000000001</v>
      </c>
      <c r="Q21" s="12">
        <v>725.75800000000004</v>
      </c>
      <c r="R21" s="12">
        <v>395.46800000000002</v>
      </c>
      <c r="S21" s="12">
        <v>14.257</v>
      </c>
      <c r="T21" s="12">
        <v>35.917000000000002</v>
      </c>
      <c r="U21" s="12">
        <v>1629.384</v>
      </c>
      <c r="V21" s="13">
        <v>2595.924</v>
      </c>
      <c r="W21" s="241">
        <f t="shared" si="58"/>
        <v>1.7055024481194132E-2</v>
      </c>
      <c r="X21" s="6">
        <f t="shared" si="59"/>
        <v>7.6800712962786663E-2</v>
      </c>
      <c r="Y21" s="6">
        <f t="shared" si="60"/>
        <v>1.1489087567728878E-3</v>
      </c>
      <c r="Z21" s="6">
        <f t="shared" si="61"/>
        <v>1.8113625358474178E-4</v>
      </c>
      <c r="AA21" s="6">
        <f t="shared" si="62"/>
        <v>7.6800712962786663E-2</v>
      </c>
      <c r="AB21" s="6">
        <f t="shared" si="63"/>
        <v>2.3071896253361219E-2</v>
      </c>
      <c r="AC21" s="6">
        <f t="shared" si="64"/>
        <v>2.3071896253361219E-2</v>
      </c>
      <c r="AD21" s="6">
        <f t="shared" si="65"/>
        <v>6.226779515364907E-3</v>
      </c>
      <c r="AE21" s="6">
        <f t="shared" si="66"/>
        <v>7.8382524828863147E-3</v>
      </c>
      <c r="AF21" s="27">
        <f t="shared" si="67"/>
        <v>7.8382524828863147E-3</v>
      </c>
      <c r="AG21" s="26">
        <f t="shared" si="68"/>
        <v>1.4353099582670082E-2</v>
      </c>
      <c r="AH21" s="6">
        <f t="shared" si="69"/>
        <v>7.7924923800054988E-2</v>
      </c>
      <c r="AI21" s="6">
        <f t="shared" si="70"/>
        <v>2.686339166166495E-4</v>
      </c>
      <c r="AJ21" s="6">
        <f t="shared" si="71"/>
        <v>7.7350540478284818E-5</v>
      </c>
      <c r="AK21" s="6">
        <f t="shared" si="72"/>
        <v>7.7924923800054988E-2</v>
      </c>
      <c r="AL21" s="6">
        <f t="shared" si="73"/>
        <v>9.1631158296250487E-3</v>
      </c>
      <c r="AM21" s="6">
        <f t="shared" si="74"/>
        <v>9.1631158296250487E-3</v>
      </c>
      <c r="AN21" s="6">
        <f t="shared" si="75"/>
        <v>1.0420837774238715E-2</v>
      </c>
      <c r="AO21" s="6">
        <f t="shared" si="76"/>
        <v>2.1518991555719316E-2</v>
      </c>
      <c r="AP21" s="27">
        <f t="shared" si="77"/>
        <v>2.1518991555719316E-2</v>
      </c>
      <c r="AQ21" s="241">
        <f t="shared" si="78"/>
        <v>0.12</v>
      </c>
      <c r="AR21" s="6">
        <f t="shared" si="79"/>
        <v>0.11899999999999999</v>
      </c>
      <c r="AS21" s="6">
        <f t="shared" si="80"/>
        <v>0.12</v>
      </c>
      <c r="AT21" s="137">
        <f t="shared" si="81"/>
        <v>0.8</v>
      </c>
      <c r="AU21" s="137">
        <f t="shared" si="82"/>
        <v>0.79</v>
      </c>
      <c r="AV21" s="137">
        <f t="shared" si="83"/>
        <v>0.8</v>
      </c>
      <c r="AW21" s="138">
        <f t="shared" si="84"/>
        <v>4</v>
      </c>
      <c r="AX21" s="138">
        <f t="shared" si="85"/>
        <v>4</v>
      </c>
      <c r="AY21" s="242">
        <f t="shared" si="86"/>
        <v>4</v>
      </c>
    </row>
    <row r="22" spans="1:51" ht="13.15" customHeight="1">
      <c r="A22" s="149">
        <v>10680</v>
      </c>
      <c r="B22" s="68" t="s">
        <v>249</v>
      </c>
      <c r="C22" s="243" t="str">
        <f>Rollover!A22</f>
        <v>GMC</v>
      </c>
      <c r="D22" s="244" t="str">
        <f>Rollover!B22</f>
        <v>Yukon XL 1500 SUV 4WD</v>
      </c>
      <c r="E22" s="136" t="s">
        <v>88</v>
      </c>
      <c r="F22" s="240">
        <f>Rollover!C22</f>
        <v>2019</v>
      </c>
      <c r="G22" s="245">
        <v>359.41</v>
      </c>
      <c r="H22" s="12">
        <v>0.376</v>
      </c>
      <c r="I22" s="12">
        <v>1771.2449999999999</v>
      </c>
      <c r="J22" s="12">
        <v>993.01900000000001</v>
      </c>
      <c r="K22" s="12">
        <v>24.071999999999999</v>
      </c>
      <c r="L22" s="12">
        <v>41.688000000000002</v>
      </c>
      <c r="M22" s="12">
        <v>1390.0119999999999</v>
      </c>
      <c r="N22" s="13">
        <v>1836.085</v>
      </c>
      <c r="O22" s="11">
        <v>341.58800000000002</v>
      </c>
      <c r="P22" s="12">
        <v>0.38400000000000001</v>
      </c>
      <c r="Q22" s="12">
        <v>725.75800000000004</v>
      </c>
      <c r="R22" s="12">
        <v>395.46800000000002</v>
      </c>
      <c r="S22" s="12">
        <v>14.257</v>
      </c>
      <c r="T22" s="12">
        <v>35.917000000000002</v>
      </c>
      <c r="U22" s="12">
        <v>1629.384</v>
      </c>
      <c r="V22" s="13">
        <v>2595.924</v>
      </c>
      <c r="W22" s="241">
        <f t="shared" si="58"/>
        <v>1.7055024481194132E-2</v>
      </c>
      <c r="X22" s="6">
        <f t="shared" si="59"/>
        <v>7.6800712962786663E-2</v>
      </c>
      <c r="Y22" s="6">
        <f t="shared" si="60"/>
        <v>1.1489087567728878E-3</v>
      </c>
      <c r="Z22" s="6">
        <f t="shared" si="61"/>
        <v>1.8113625358474178E-4</v>
      </c>
      <c r="AA22" s="6">
        <f t="shared" si="62"/>
        <v>7.6800712962786663E-2</v>
      </c>
      <c r="AB22" s="6">
        <f t="shared" si="63"/>
        <v>2.3071896253361219E-2</v>
      </c>
      <c r="AC22" s="6">
        <f t="shared" si="64"/>
        <v>2.3071896253361219E-2</v>
      </c>
      <c r="AD22" s="6">
        <f t="shared" si="65"/>
        <v>6.226779515364907E-3</v>
      </c>
      <c r="AE22" s="6">
        <f t="shared" si="66"/>
        <v>7.8382524828863147E-3</v>
      </c>
      <c r="AF22" s="27">
        <f t="shared" si="67"/>
        <v>7.8382524828863147E-3</v>
      </c>
      <c r="AG22" s="26">
        <f t="shared" si="68"/>
        <v>1.4353099582670082E-2</v>
      </c>
      <c r="AH22" s="6">
        <f t="shared" si="69"/>
        <v>7.7924923800054988E-2</v>
      </c>
      <c r="AI22" s="6">
        <f t="shared" si="70"/>
        <v>2.686339166166495E-4</v>
      </c>
      <c r="AJ22" s="6">
        <f t="shared" si="71"/>
        <v>7.7350540478284818E-5</v>
      </c>
      <c r="AK22" s="6">
        <f t="shared" si="72"/>
        <v>7.7924923800054988E-2</v>
      </c>
      <c r="AL22" s="6">
        <f t="shared" si="73"/>
        <v>9.1631158296250487E-3</v>
      </c>
      <c r="AM22" s="6">
        <f t="shared" si="74"/>
        <v>9.1631158296250487E-3</v>
      </c>
      <c r="AN22" s="6">
        <f t="shared" si="75"/>
        <v>1.0420837774238715E-2</v>
      </c>
      <c r="AO22" s="6">
        <f t="shared" si="76"/>
        <v>2.1518991555719316E-2</v>
      </c>
      <c r="AP22" s="27">
        <f t="shared" si="77"/>
        <v>2.1518991555719316E-2</v>
      </c>
      <c r="AQ22" s="241">
        <f t="shared" si="78"/>
        <v>0.12</v>
      </c>
      <c r="AR22" s="6">
        <f t="shared" si="79"/>
        <v>0.11899999999999999</v>
      </c>
      <c r="AS22" s="6">
        <f t="shared" si="80"/>
        <v>0.12</v>
      </c>
      <c r="AT22" s="137">
        <f t="shared" si="81"/>
        <v>0.8</v>
      </c>
      <c r="AU22" s="137">
        <f t="shared" si="82"/>
        <v>0.79</v>
      </c>
      <c r="AV22" s="137">
        <f t="shared" si="83"/>
        <v>0.8</v>
      </c>
      <c r="AW22" s="138">
        <f t="shared" si="84"/>
        <v>4</v>
      </c>
      <c r="AX22" s="138">
        <f t="shared" si="85"/>
        <v>4</v>
      </c>
      <c r="AY22" s="242">
        <f t="shared" si="86"/>
        <v>4</v>
      </c>
    </row>
    <row r="23" spans="1:51" ht="13.15" customHeight="1">
      <c r="A23" s="149">
        <v>10690</v>
      </c>
      <c r="B23" s="68" t="s">
        <v>260</v>
      </c>
      <c r="C23" s="238" t="str">
        <f>Rollover!A23</f>
        <v>Chevrolet</v>
      </c>
      <c r="D23" s="239" t="str">
        <f>Rollover!B23</f>
        <v>Tahoe SUV RWD</v>
      </c>
      <c r="E23" s="136" t="s">
        <v>88</v>
      </c>
      <c r="F23" s="240">
        <f>Rollover!C23</f>
        <v>2019</v>
      </c>
      <c r="G23" s="11">
        <v>393.37299999999999</v>
      </c>
      <c r="H23" s="12">
        <v>0.54900000000000004</v>
      </c>
      <c r="I23" s="12">
        <v>1677.98</v>
      </c>
      <c r="J23" s="12">
        <v>1269.9670000000001</v>
      </c>
      <c r="K23" s="12">
        <v>23.338999999999999</v>
      </c>
      <c r="L23" s="12">
        <v>39.591999999999999</v>
      </c>
      <c r="M23" s="12">
        <v>1059.0409999999999</v>
      </c>
      <c r="N23" s="13">
        <v>1397.35</v>
      </c>
      <c r="O23" s="11">
        <v>354.99599999999998</v>
      </c>
      <c r="P23" s="12">
        <v>0.56100000000000005</v>
      </c>
      <c r="Q23" s="12">
        <v>869.96100000000001</v>
      </c>
      <c r="R23" s="12">
        <v>739.58799999999997</v>
      </c>
      <c r="S23" s="12">
        <v>14.055</v>
      </c>
      <c r="T23" s="12">
        <v>39.436999999999998</v>
      </c>
      <c r="U23" s="12">
        <v>1217.5329999999999</v>
      </c>
      <c r="V23" s="13">
        <v>2252.087</v>
      </c>
      <c r="W23" s="241">
        <f t="shared" si="58"/>
        <v>2.2926418798992695E-2</v>
      </c>
      <c r="X23" s="6">
        <f t="shared" si="59"/>
        <v>0.10470290026424897</v>
      </c>
      <c r="Y23" s="6">
        <f t="shared" si="60"/>
        <v>9.2084505700776667E-4</v>
      </c>
      <c r="Z23" s="6">
        <f t="shared" si="61"/>
        <v>3.4961498524975395E-4</v>
      </c>
      <c r="AA23" s="6">
        <f t="shared" si="62"/>
        <v>0.10470290026424897</v>
      </c>
      <c r="AB23" s="6">
        <f t="shared" si="63"/>
        <v>2.0998367050270923E-2</v>
      </c>
      <c r="AC23" s="6">
        <f t="shared" si="64"/>
        <v>2.0998367050270923E-2</v>
      </c>
      <c r="AD23" s="6">
        <f t="shared" si="65"/>
        <v>5.2481258762501161E-3</v>
      </c>
      <c r="AE23" s="6">
        <f t="shared" si="66"/>
        <v>6.250417775320428E-3</v>
      </c>
      <c r="AF23" s="27">
        <f t="shared" si="67"/>
        <v>6.250417775320428E-3</v>
      </c>
      <c r="AG23" s="26">
        <f t="shared" si="68"/>
        <v>1.6361407982655961E-2</v>
      </c>
      <c r="AH23" s="6">
        <f t="shared" si="69"/>
        <v>0.10693834190699421</v>
      </c>
      <c r="AI23" s="6">
        <f t="shared" si="70"/>
        <v>4.6257136584537044E-4</v>
      </c>
      <c r="AJ23" s="6">
        <f t="shared" si="71"/>
        <v>2.8300774652925334E-4</v>
      </c>
      <c r="AK23" s="6">
        <f t="shared" si="72"/>
        <v>0.10693834190699421</v>
      </c>
      <c r="AL23" s="6">
        <f t="shared" si="73"/>
        <v>8.8204915161624927E-3</v>
      </c>
      <c r="AM23" s="6">
        <f t="shared" si="74"/>
        <v>8.8204915161624927E-3</v>
      </c>
      <c r="AN23" s="6">
        <f t="shared" si="75"/>
        <v>7.6356549371010335E-3</v>
      </c>
      <c r="AO23" s="6">
        <f t="shared" si="76"/>
        <v>1.6642142538800819E-2</v>
      </c>
      <c r="AP23" s="27">
        <f t="shared" si="77"/>
        <v>1.6642142538800819E-2</v>
      </c>
      <c r="AQ23" s="241">
        <f t="shared" si="78"/>
        <v>0.14899999999999999</v>
      </c>
      <c r="AR23" s="6">
        <f t="shared" si="79"/>
        <v>0.14399999999999999</v>
      </c>
      <c r="AS23" s="6">
        <f t="shared" si="80"/>
        <v>0.14699999999999999</v>
      </c>
      <c r="AT23" s="137">
        <f t="shared" si="81"/>
        <v>0.99</v>
      </c>
      <c r="AU23" s="137">
        <f t="shared" si="82"/>
        <v>0.96</v>
      </c>
      <c r="AV23" s="137">
        <f t="shared" si="83"/>
        <v>0.98</v>
      </c>
      <c r="AW23" s="138">
        <f t="shared" si="84"/>
        <v>4</v>
      </c>
      <c r="AX23" s="138">
        <f t="shared" si="85"/>
        <v>4</v>
      </c>
      <c r="AY23" s="242">
        <f t="shared" si="86"/>
        <v>4</v>
      </c>
    </row>
    <row r="24" spans="1:51" ht="13.15" customHeight="1">
      <c r="A24" s="149">
        <v>10690</v>
      </c>
      <c r="B24" s="68" t="s">
        <v>260</v>
      </c>
      <c r="C24" s="238" t="str">
        <f>Rollover!A24</f>
        <v>Chevrolet</v>
      </c>
      <c r="D24" s="239" t="str">
        <f>Rollover!B24</f>
        <v>Tahoe SUV 4WD</v>
      </c>
      <c r="E24" s="136" t="s">
        <v>88</v>
      </c>
      <c r="F24" s="240">
        <f>Rollover!C24</f>
        <v>2019</v>
      </c>
      <c r="G24" s="11">
        <v>393.37299999999999</v>
      </c>
      <c r="H24" s="12">
        <v>0.54900000000000004</v>
      </c>
      <c r="I24" s="12">
        <v>1677.98</v>
      </c>
      <c r="J24" s="12">
        <v>1269.9670000000001</v>
      </c>
      <c r="K24" s="12">
        <v>23.338999999999999</v>
      </c>
      <c r="L24" s="12">
        <v>39.591999999999999</v>
      </c>
      <c r="M24" s="12">
        <v>1059.0409999999999</v>
      </c>
      <c r="N24" s="13">
        <v>1397.35</v>
      </c>
      <c r="O24" s="11">
        <v>354.99599999999998</v>
      </c>
      <c r="P24" s="12">
        <v>0.56100000000000005</v>
      </c>
      <c r="Q24" s="12">
        <v>869.96100000000001</v>
      </c>
      <c r="R24" s="12">
        <v>739.58799999999997</v>
      </c>
      <c r="S24" s="12">
        <v>14.055</v>
      </c>
      <c r="T24" s="12">
        <v>39.436999999999998</v>
      </c>
      <c r="U24" s="12">
        <v>1217.5329999999999</v>
      </c>
      <c r="V24" s="13">
        <v>2252.087</v>
      </c>
      <c r="W24" s="241">
        <f t="shared" si="58"/>
        <v>2.2926418798992695E-2</v>
      </c>
      <c r="X24" s="6">
        <f t="shared" si="59"/>
        <v>0.10470290026424897</v>
      </c>
      <c r="Y24" s="6">
        <f t="shared" si="60"/>
        <v>9.2084505700776667E-4</v>
      </c>
      <c r="Z24" s="6">
        <f t="shared" si="61"/>
        <v>3.4961498524975395E-4</v>
      </c>
      <c r="AA24" s="6">
        <f t="shared" si="62"/>
        <v>0.10470290026424897</v>
      </c>
      <c r="AB24" s="6">
        <f t="shared" si="63"/>
        <v>2.0998367050270923E-2</v>
      </c>
      <c r="AC24" s="6">
        <f t="shared" si="64"/>
        <v>2.0998367050270923E-2</v>
      </c>
      <c r="AD24" s="6">
        <f t="shared" si="65"/>
        <v>5.2481258762501161E-3</v>
      </c>
      <c r="AE24" s="6">
        <f t="shared" si="66"/>
        <v>6.250417775320428E-3</v>
      </c>
      <c r="AF24" s="27">
        <f t="shared" si="67"/>
        <v>6.250417775320428E-3</v>
      </c>
      <c r="AG24" s="26">
        <f t="shared" si="68"/>
        <v>1.6361407982655961E-2</v>
      </c>
      <c r="AH24" s="6">
        <f t="shared" si="69"/>
        <v>0.10693834190699421</v>
      </c>
      <c r="AI24" s="6">
        <f t="shared" si="70"/>
        <v>4.6257136584537044E-4</v>
      </c>
      <c r="AJ24" s="6">
        <f t="shared" si="71"/>
        <v>2.8300774652925334E-4</v>
      </c>
      <c r="AK24" s="6">
        <f t="shared" si="72"/>
        <v>0.10693834190699421</v>
      </c>
      <c r="AL24" s="6">
        <f t="shared" si="73"/>
        <v>8.8204915161624927E-3</v>
      </c>
      <c r="AM24" s="6">
        <f t="shared" si="74"/>
        <v>8.8204915161624927E-3</v>
      </c>
      <c r="AN24" s="6">
        <f t="shared" si="75"/>
        <v>7.6356549371010335E-3</v>
      </c>
      <c r="AO24" s="6">
        <f t="shared" si="76"/>
        <v>1.6642142538800819E-2</v>
      </c>
      <c r="AP24" s="27">
        <f t="shared" si="77"/>
        <v>1.6642142538800819E-2</v>
      </c>
      <c r="AQ24" s="241">
        <f t="shared" si="78"/>
        <v>0.14899999999999999</v>
      </c>
      <c r="AR24" s="6">
        <f t="shared" si="79"/>
        <v>0.14399999999999999</v>
      </c>
      <c r="AS24" s="6">
        <f t="shared" si="80"/>
        <v>0.14699999999999999</v>
      </c>
      <c r="AT24" s="137">
        <f t="shared" si="81"/>
        <v>0.99</v>
      </c>
      <c r="AU24" s="137">
        <f t="shared" si="82"/>
        <v>0.96</v>
      </c>
      <c r="AV24" s="137">
        <f t="shared" si="83"/>
        <v>0.98</v>
      </c>
      <c r="AW24" s="138">
        <f t="shared" si="84"/>
        <v>4</v>
      </c>
      <c r="AX24" s="138">
        <f t="shared" si="85"/>
        <v>4</v>
      </c>
      <c r="AY24" s="242">
        <f t="shared" si="86"/>
        <v>4</v>
      </c>
    </row>
    <row r="25" spans="1:51" ht="13.15" customHeight="1">
      <c r="A25" s="149">
        <v>10690</v>
      </c>
      <c r="B25" s="68" t="s">
        <v>260</v>
      </c>
      <c r="C25" s="243" t="str">
        <f>Rollover!A25</f>
        <v>GMC</v>
      </c>
      <c r="D25" s="244" t="str">
        <f>Rollover!B25</f>
        <v>Yukon SUV RWD</v>
      </c>
      <c r="E25" s="136" t="s">
        <v>88</v>
      </c>
      <c r="F25" s="240">
        <f>Rollover!C25</f>
        <v>2019</v>
      </c>
      <c r="G25" s="11">
        <v>393.37299999999999</v>
      </c>
      <c r="H25" s="12">
        <v>0.54900000000000004</v>
      </c>
      <c r="I25" s="12">
        <v>1677.98</v>
      </c>
      <c r="J25" s="12">
        <v>1269.9670000000001</v>
      </c>
      <c r="K25" s="12">
        <v>23.338999999999999</v>
      </c>
      <c r="L25" s="12">
        <v>39.591999999999999</v>
      </c>
      <c r="M25" s="12">
        <v>1059.0409999999999</v>
      </c>
      <c r="N25" s="13">
        <v>1397.35</v>
      </c>
      <c r="O25" s="11">
        <v>354.99599999999998</v>
      </c>
      <c r="P25" s="12">
        <v>0.56100000000000005</v>
      </c>
      <c r="Q25" s="12">
        <v>869.96100000000001</v>
      </c>
      <c r="R25" s="12">
        <v>739.58799999999997</v>
      </c>
      <c r="S25" s="12">
        <v>14.055</v>
      </c>
      <c r="T25" s="12">
        <v>39.436999999999998</v>
      </c>
      <c r="U25" s="12">
        <v>1217.5329999999999</v>
      </c>
      <c r="V25" s="13">
        <v>2252.087</v>
      </c>
      <c r="W25" s="241">
        <f t="shared" si="58"/>
        <v>2.2926418798992695E-2</v>
      </c>
      <c r="X25" s="6">
        <f t="shared" si="59"/>
        <v>0.10470290026424897</v>
      </c>
      <c r="Y25" s="6">
        <f t="shared" si="60"/>
        <v>9.2084505700776667E-4</v>
      </c>
      <c r="Z25" s="6">
        <f t="shared" si="61"/>
        <v>3.4961498524975395E-4</v>
      </c>
      <c r="AA25" s="6">
        <f t="shared" si="62"/>
        <v>0.10470290026424897</v>
      </c>
      <c r="AB25" s="6">
        <f t="shared" si="63"/>
        <v>2.0998367050270923E-2</v>
      </c>
      <c r="AC25" s="6">
        <f t="shared" si="64"/>
        <v>2.0998367050270923E-2</v>
      </c>
      <c r="AD25" s="6">
        <f t="shared" si="65"/>
        <v>5.2481258762501161E-3</v>
      </c>
      <c r="AE25" s="6">
        <f t="shared" si="66"/>
        <v>6.250417775320428E-3</v>
      </c>
      <c r="AF25" s="27">
        <f t="shared" si="67"/>
        <v>6.250417775320428E-3</v>
      </c>
      <c r="AG25" s="26">
        <f t="shared" si="68"/>
        <v>1.6361407982655961E-2</v>
      </c>
      <c r="AH25" s="6">
        <f t="shared" si="69"/>
        <v>0.10693834190699421</v>
      </c>
      <c r="AI25" s="6">
        <f t="shared" si="70"/>
        <v>4.6257136584537044E-4</v>
      </c>
      <c r="AJ25" s="6">
        <f t="shared" si="71"/>
        <v>2.8300774652925334E-4</v>
      </c>
      <c r="AK25" s="6">
        <f t="shared" si="72"/>
        <v>0.10693834190699421</v>
      </c>
      <c r="AL25" s="6">
        <f t="shared" si="73"/>
        <v>8.8204915161624927E-3</v>
      </c>
      <c r="AM25" s="6">
        <f t="shared" si="74"/>
        <v>8.8204915161624927E-3</v>
      </c>
      <c r="AN25" s="6">
        <f t="shared" si="75"/>
        <v>7.6356549371010335E-3</v>
      </c>
      <c r="AO25" s="6">
        <f t="shared" si="76"/>
        <v>1.6642142538800819E-2</v>
      </c>
      <c r="AP25" s="27">
        <f t="shared" si="77"/>
        <v>1.6642142538800819E-2</v>
      </c>
      <c r="AQ25" s="241">
        <f t="shared" si="78"/>
        <v>0.14899999999999999</v>
      </c>
      <c r="AR25" s="6">
        <f t="shared" si="79"/>
        <v>0.14399999999999999</v>
      </c>
      <c r="AS25" s="6">
        <f t="shared" si="80"/>
        <v>0.14699999999999999</v>
      </c>
      <c r="AT25" s="137">
        <f t="shared" si="81"/>
        <v>0.99</v>
      </c>
      <c r="AU25" s="137">
        <f t="shared" si="82"/>
        <v>0.96</v>
      </c>
      <c r="AV25" s="137">
        <f t="shared" si="83"/>
        <v>0.98</v>
      </c>
      <c r="AW25" s="138">
        <f t="shared" si="84"/>
        <v>4</v>
      </c>
      <c r="AX25" s="138">
        <f t="shared" si="85"/>
        <v>4</v>
      </c>
      <c r="AY25" s="242">
        <f t="shared" si="86"/>
        <v>4</v>
      </c>
    </row>
    <row r="26" spans="1:51" ht="13.15" customHeight="1">
      <c r="A26" s="149">
        <v>10690</v>
      </c>
      <c r="B26" s="68" t="s">
        <v>260</v>
      </c>
      <c r="C26" s="243" t="str">
        <f>Rollover!A26</f>
        <v xml:space="preserve">GMC </v>
      </c>
      <c r="D26" s="244" t="str">
        <f>Rollover!B26</f>
        <v>Yukon SUV 4WD</v>
      </c>
      <c r="E26" s="136" t="s">
        <v>88</v>
      </c>
      <c r="F26" s="240">
        <f>Rollover!C26</f>
        <v>2019</v>
      </c>
      <c r="G26" s="11">
        <v>393.37299999999999</v>
      </c>
      <c r="H26" s="12">
        <v>0.54900000000000004</v>
      </c>
      <c r="I26" s="12">
        <v>1677.98</v>
      </c>
      <c r="J26" s="12">
        <v>1269.9670000000001</v>
      </c>
      <c r="K26" s="12">
        <v>23.338999999999999</v>
      </c>
      <c r="L26" s="12">
        <v>39.591999999999999</v>
      </c>
      <c r="M26" s="12">
        <v>1059.0409999999999</v>
      </c>
      <c r="N26" s="13">
        <v>1397.35</v>
      </c>
      <c r="O26" s="11">
        <v>354.99599999999998</v>
      </c>
      <c r="P26" s="12">
        <v>0.56100000000000005</v>
      </c>
      <c r="Q26" s="12">
        <v>869.96100000000001</v>
      </c>
      <c r="R26" s="12">
        <v>739.58799999999997</v>
      </c>
      <c r="S26" s="12">
        <v>14.055</v>
      </c>
      <c r="T26" s="12">
        <v>39.436999999999998</v>
      </c>
      <c r="U26" s="12">
        <v>1217.5329999999999</v>
      </c>
      <c r="V26" s="13">
        <v>2252.087</v>
      </c>
      <c r="W26" s="241">
        <f t="shared" si="58"/>
        <v>2.2926418798992695E-2</v>
      </c>
      <c r="X26" s="6">
        <f t="shared" si="59"/>
        <v>0.10470290026424897</v>
      </c>
      <c r="Y26" s="6">
        <f t="shared" si="60"/>
        <v>9.2084505700776667E-4</v>
      </c>
      <c r="Z26" s="6">
        <f t="shared" si="61"/>
        <v>3.4961498524975395E-4</v>
      </c>
      <c r="AA26" s="6">
        <f t="shared" si="62"/>
        <v>0.10470290026424897</v>
      </c>
      <c r="AB26" s="6">
        <f t="shared" si="63"/>
        <v>2.0998367050270923E-2</v>
      </c>
      <c r="AC26" s="6">
        <f t="shared" si="64"/>
        <v>2.0998367050270923E-2</v>
      </c>
      <c r="AD26" s="6">
        <f t="shared" si="65"/>
        <v>5.2481258762501161E-3</v>
      </c>
      <c r="AE26" s="6">
        <f t="shared" si="66"/>
        <v>6.250417775320428E-3</v>
      </c>
      <c r="AF26" s="27">
        <f t="shared" si="67"/>
        <v>6.250417775320428E-3</v>
      </c>
      <c r="AG26" s="26">
        <f t="shared" si="68"/>
        <v>1.6361407982655961E-2</v>
      </c>
      <c r="AH26" s="6">
        <f t="shared" si="69"/>
        <v>0.10693834190699421</v>
      </c>
      <c r="AI26" s="6">
        <f t="shared" si="70"/>
        <v>4.6257136584537044E-4</v>
      </c>
      <c r="AJ26" s="6">
        <f t="shared" si="71"/>
        <v>2.8300774652925334E-4</v>
      </c>
      <c r="AK26" s="6">
        <f t="shared" si="72"/>
        <v>0.10693834190699421</v>
      </c>
      <c r="AL26" s="6">
        <f t="shared" si="73"/>
        <v>8.8204915161624927E-3</v>
      </c>
      <c r="AM26" s="6">
        <f t="shared" si="74"/>
        <v>8.8204915161624927E-3</v>
      </c>
      <c r="AN26" s="6">
        <f t="shared" si="75"/>
        <v>7.6356549371010335E-3</v>
      </c>
      <c r="AO26" s="6">
        <f t="shared" si="76"/>
        <v>1.6642142538800819E-2</v>
      </c>
      <c r="AP26" s="27">
        <f t="shared" si="77"/>
        <v>1.6642142538800819E-2</v>
      </c>
      <c r="AQ26" s="241">
        <f t="shared" si="78"/>
        <v>0.14899999999999999</v>
      </c>
      <c r="AR26" s="6">
        <f t="shared" si="79"/>
        <v>0.14399999999999999</v>
      </c>
      <c r="AS26" s="6">
        <f t="shared" si="80"/>
        <v>0.14699999999999999</v>
      </c>
      <c r="AT26" s="137">
        <f t="shared" si="81"/>
        <v>0.99</v>
      </c>
      <c r="AU26" s="137">
        <f t="shared" si="82"/>
        <v>0.96</v>
      </c>
      <c r="AV26" s="137">
        <f t="shared" si="83"/>
        <v>0.98</v>
      </c>
      <c r="AW26" s="138">
        <f t="shared" si="84"/>
        <v>4</v>
      </c>
      <c r="AX26" s="138">
        <f t="shared" si="85"/>
        <v>4</v>
      </c>
      <c r="AY26" s="242">
        <f t="shared" si="86"/>
        <v>4</v>
      </c>
    </row>
    <row r="27" spans="1:51" ht="13.15" customHeight="1">
      <c r="A27" s="52">
        <v>7460</v>
      </c>
      <c r="B27" s="68" t="s">
        <v>242</v>
      </c>
      <c r="C27" s="238" t="str">
        <f>Rollover!A27</f>
        <v>Dodge</v>
      </c>
      <c r="D27" s="239" t="str">
        <f>Rollover!B27</f>
        <v>Grand Caravan Minivan FWD</v>
      </c>
      <c r="E27" s="136" t="s">
        <v>88</v>
      </c>
      <c r="F27" s="240">
        <f>Rollover!C27</f>
        <v>2019</v>
      </c>
      <c r="G27" s="11">
        <v>246.87100000000001</v>
      </c>
      <c r="H27" s="12">
        <v>0.35699999999999998</v>
      </c>
      <c r="I27" s="12">
        <v>1544.2929999999999</v>
      </c>
      <c r="J27" s="12">
        <v>48.597999999999999</v>
      </c>
      <c r="K27" s="12">
        <v>22.567</v>
      </c>
      <c r="L27" s="12">
        <v>38.140999999999998</v>
      </c>
      <c r="M27" s="12">
        <v>3450.5140000000001</v>
      </c>
      <c r="N27" s="13">
        <v>3478.9140000000002</v>
      </c>
      <c r="O27" s="11">
        <v>129.71100000000001</v>
      </c>
      <c r="P27" s="12">
        <v>0.36499999999999999</v>
      </c>
      <c r="Q27" s="12">
        <v>637.80200000000002</v>
      </c>
      <c r="R27" s="12">
        <v>88.546000000000006</v>
      </c>
      <c r="S27" s="12">
        <v>12.404</v>
      </c>
      <c r="T27" s="12">
        <v>39.478000000000002</v>
      </c>
      <c r="U27" s="12">
        <v>2340.7570000000001</v>
      </c>
      <c r="V27" s="13">
        <v>2962.4720000000002</v>
      </c>
      <c r="W27" s="241">
        <f t="shared" si="58"/>
        <v>4.3153423493398043E-3</v>
      </c>
      <c r="X27" s="6">
        <f t="shared" si="59"/>
        <v>7.4190086530912136E-2</v>
      </c>
      <c r="Y27" s="6">
        <f t="shared" si="60"/>
        <v>6.7050804424276245E-4</v>
      </c>
      <c r="Z27" s="6">
        <f t="shared" si="61"/>
        <v>1.9228846606347319E-5</v>
      </c>
      <c r="AA27" s="6">
        <f t="shared" si="62"/>
        <v>7.4190086530912136E-2</v>
      </c>
      <c r="AB27" s="6">
        <f t="shared" si="63"/>
        <v>1.897861536415096E-2</v>
      </c>
      <c r="AC27" s="6">
        <f t="shared" si="64"/>
        <v>1.897861536415096E-2</v>
      </c>
      <c r="AD27" s="6">
        <f t="shared" si="65"/>
        <v>1.7950690723404657E-2</v>
      </c>
      <c r="AE27" s="6">
        <f t="shared" si="66"/>
        <v>1.8212686546087688E-2</v>
      </c>
      <c r="AF27" s="27">
        <f t="shared" si="67"/>
        <v>1.8212686546087688E-2</v>
      </c>
      <c r="AG27" s="26">
        <f t="shared" si="68"/>
        <v>2.3610725290308757E-4</v>
      </c>
      <c r="AH27" s="6">
        <f t="shared" si="69"/>
        <v>7.5279199017373247E-2</v>
      </c>
      <c r="AI27" s="6">
        <f t="shared" si="70"/>
        <v>1.928342950165281E-4</v>
      </c>
      <c r="AJ27" s="6">
        <f t="shared" si="71"/>
        <v>2.4320136202945167E-5</v>
      </c>
      <c r="AK27" s="6">
        <f t="shared" si="72"/>
        <v>7.5279199017373247E-2</v>
      </c>
      <c r="AL27" s="6">
        <f t="shared" si="73"/>
        <v>6.3814119407947156E-3</v>
      </c>
      <c r="AM27" s="6">
        <f t="shared" si="74"/>
        <v>6.3814119407947156E-3</v>
      </c>
      <c r="AN27" s="6">
        <f t="shared" si="75"/>
        <v>1.7784608325145661E-2</v>
      </c>
      <c r="AO27" s="6">
        <f t="shared" si="76"/>
        <v>2.8255834916164398E-2</v>
      </c>
      <c r="AP27" s="27">
        <f t="shared" si="77"/>
        <v>2.8255834916164398E-2</v>
      </c>
      <c r="AQ27" s="241">
        <f t="shared" si="78"/>
        <v>0.112</v>
      </c>
      <c r="AR27" s="6">
        <f t="shared" si="79"/>
        <v>0.107</v>
      </c>
      <c r="AS27" s="6">
        <f t="shared" si="80"/>
        <v>0.11</v>
      </c>
      <c r="AT27" s="137">
        <f t="shared" si="81"/>
        <v>0.75</v>
      </c>
      <c r="AU27" s="137">
        <f t="shared" si="82"/>
        <v>0.71</v>
      </c>
      <c r="AV27" s="137">
        <f t="shared" si="83"/>
        <v>0.73</v>
      </c>
      <c r="AW27" s="138">
        <f t="shared" si="84"/>
        <v>4</v>
      </c>
      <c r="AX27" s="138">
        <f t="shared" si="85"/>
        <v>4</v>
      </c>
      <c r="AY27" s="242">
        <f t="shared" si="86"/>
        <v>4</v>
      </c>
    </row>
    <row r="28" spans="1:51" ht="13.15" customHeight="1">
      <c r="A28" s="149">
        <v>10652</v>
      </c>
      <c r="B28" s="68" t="s">
        <v>230</v>
      </c>
      <c r="C28" s="238" t="str">
        <f>Rollover!A28</f>
        <v>Ford</v>
      </c>
      <c r="D28" s="239" t="str">
        <f>Rollover!B28</f>
        <v>Edge SUV FWD</v>
      </c>
      <c r="E28" s="136" t="s">
        <v>165</v>
      </c>
      <c r="F28" s="240">
        <f>Rollover!C28</f>
        <v>2019</v>
      </c>
      <c r="G28" s="245">
        <v>212.339</v>
      </c>
      <c r="H28" s="12">
        <v>0.224</v>
      </c>
      <c r="I28" s="12">
        <v>1020.076</v>
      </c>
      <c r="J28" s="12">
        <v>92.738</v>
      </c>
      <c r="K28" s="12">
        <v>23.347999999999999</v>
      </c>
      <c r="L28" s="12">
        <v>37.938000000000002</v>
      </c>
      <c r="M28" s="12">
        <v>734.70699999999999</v>
      </c>
      <c r="N28" s="13">
        <v>2650.634</v>
      </c>
      <c r="O28" s="11">
        <v>281.904</v>
      </c>
      <c r="P28" s="12">
        <v>0.35199999999999998</v>
      </c>
      <c r="Q28" s="12">
        <v>877.29100000000005</v>
      </c>
      <c r="R28" s="12">
        <v>195.19200000000001</v>
      </c>
      <c r="S28" s="12">
        <v>10.975</v>
      </c>
      <c r="T28" s="12">
        <v>42.085999999999999</v>
      </c>
      <c r="U28" s="12">
        <v>646.73500000000001</v>
      </c>
      <c r="V28" s="13">
        <v>893.66399999999999</v>
      </c>
      <c r="W28" s="241">
        <f t="shared" si="58"/>
        <v>2.3275717969973354E-3</v>
      </c>
      <c r="X28" s="6">
        <f t="shared" si="59"/>
        <v>5.8091499038581192E-2</v>
      </c>
      <c r="Y28" s="6">
        <f t="shared" si="60"/>
        <v>1.931559480003839E-4</v>
      </c>
      <c r="Z28" s="6">
        <f t="shared" si="61"/>
        <v>2.135406145516449E-5</v>
      </c>
      <c r="AA28" s="6">
        <f t="shared" si="62"/>
        <v>5.8091499038581192E-2</v>
      </c>
      <c r="AB28" s="6">
        <f t="shared" si="63"/>
        <v>2.1022887418598771E-2</v>
      </c>
      <c r="AC28" s="6">
        <f t="shared" si="64"/>
        <v>2.1022887418598771E-2</v>
      </c>
      <c r="AD28" s="6">
        <f t="shared" si="65"/>
        <v>4.4378114948990183E-3</v>
      </c>
      <c r="AE28" s="6">
        <f t="shared" si="66"/>
        <v>1.191900399347153E-2</v>
      </c>
      <c r="AF28" s="27">
        <f t="shared" si="67"/>
        <v>1.191900399347153E-2</v>
      </c>
      <c r="AG28" s="26">
        <f t="shared" si="68"/>
        <v>7.2022083710394143E-3</v>
      </c>
      <c r="AH28" s="6">
        <f t="shared" si="69"/>
        <v>7.3516770117494454E-2</v>
      </c>
      <c r="AI28" s="6">
        <f t="shared" si="70"/>
        <v>4.7552620394664781E-4</v>
      </c>
      <c r="AJ28" s="6">
        <f t="shared" si="71"/>
        <v>3.635559243169007E-5</v>
      </c>
      <c r="AK28" s="6">
        <f t="shared" si="72"/>
        <v>7.3516770117494454E-2</v>
      </c>
      <c r="AL28" s="6">
        <f t="shared" si="73"/>
        <v>4.7270591710416145E-3</v>
      </c>
      <c r="AM28" s="6">
        <f t="shared" si="74"/>
        <v>4.7270591710416145E-3</v>
      </c>
      <c r="AN28" s="6">
        <f t="shared" si="75"/>
        <v>4.9561745267468734E-3</v>
      </c>
      <c r="AO28" s="6">
        <f t="shared" si="76"/>
        <v>5.9759554777331289E-3</v>
      </c>
      <c r="AP28" s="27">
        <f t="shared" si="77"/>
        <v>5.9759554777331289E-3</v>
      </c>
      <c r="AQ28" s="241">
        <f t="shared" si="78"/>
        <v>9.0999999999999998E-2</v>
      </c>
      <c r="AR28" s="6">
        <f t="shared" si="79"/>
        <v>0.09</v>
      </c>
      <c r="AS28" s="6">
        <f t="shared" si="80"/>
        <v>9.0999999999999998E-2</v>
      </c>
      <c r="AT28" s="137">
        <f t="shared" si="81"/>
        <v>0.61</v>
      </c>
      <c r="AU28" s="137">
        <f t="shared" si="82"/>
        <v>0.6</v>
      </c>
      <c r="AV28" s="137">
        <f t="shared" si="83"/>
        <v>0.61</v>
      </c>
      <c r="AW28" s="138">
        <f t="shared" si="84"/>
        <v>5</v>
      </c>
      <c r="AX28" s="138">
        <f t="shared" si="85"/>
        <v>5</v>
      </c>
      <c r="AY28" s="242">
        <f t="shared" si="86"/>
        <v>5</v>
      </c>
    </row>
    <row r="29" spans="1:51" ht="13.15" customHeight="1">
      <c r="A29" s="149">
        <v>10652</v>
      </c>
      <c r="B29" s="68" t="s">
        <v>230</v>
      </c>
      <c r="C29" s="238" t="str">
        <f>Rollover!A29</f>
        <v>Ford</v>
      </c>
      <c r="D29" s="239" t="str">
        <f>Rollover!B29</f>
        <v>Edge SUV AWD</v>
      </c>
      <c r="E29" s="136" t="s">
        <v>165</v>
      </c>
      <c r="F29" s="240">
        <f>Rollover!C29</f>
        <v>2019</v>
      </c>
      <c r="G29" s="245">
        <v>212.339</v>
      </c>
      <c r="H29" s="12">
        <v>0.224</v>
      </c>
      <c r="I29" s="12">
        <v>1020.076</v>
      </c>
      <c r="J29" s="12">
        <v>92.738</v>
      </c>
      <c r="K29" s="12">
        <v>23.347999999999999</v>
      </c>
      <c r="L29" s="12">
        <v>37.938000000000002</v>
      </c>
      <c r="M29" s="12">
        <v>734.70699999999999</v>
      </c>
      <c r="N29" s="13">
        <v>2650.634</v>
      </c>
      <c r="O29" s="11">
        <v>281.904</v>
      </c>
      <c r="P29" s="12">
        <v>0.35199999999999998</v>
      </c>
      <c r="Q29" s="12">
        <v>877.29100000000005</v>
      </c>
      <c r="R29" s="12">
        <v>195.19200000000001</v>
      </c>
      <c r="S29" s="12">
        <v>10.975</v>
      </c>
      <c r="T29" s="12">
        <v>42.085999999999999</v>
      </c>
      <c r="U29" s="12">
        <v>646.73500000000001</v>
      </c>
      <c r="V29" s="13">
        <v>893.66399999999999</v>
      </c>
      <c r="W29" s="241">
        <f t="shared" si="29"/>
        <v>2.3275717969973354E-3</v>
      </c>
      <c r="X29" s="6">
        <f t="shared" si="30"/>
        <v>5.8091499038581192E-2</v>
      </c>
      <c r="Y29" s="6">
        <f t="shared" si="31"/>
        <v>1.931559480003839E-4</v>
      </c>
      <c r="Z29" s="6">
        <f t="shared" si="32"/>
        <v>2.135406145516449E-5</v>
      </c>
      <c r="AA29" s="6">
        <f t="shared" si="33"/>
        <v>5.8091499038581192E-2</v>
      </c>
      <c r="AB29" s="6">
        <f t="shared" si="34"/>
        <v>2.1022887418598771E-2</v>
      </c>
      <c r="AC29" s="6">
        <f t="shared" si="35"/>
        <v>2.1022887418598771E-2</v>
      </c>
      <c r="AD29" s="6">
        <f t="shared" si="36"/>
        <v>4.4378114948990183E-3</v>
      </c>
      <c r="AE29" s="6">
        <f t="shared" si="37"/>
        <v>1.191900399347153E-2</v>
      </c>
      <c r="AF29" s="27">
        <f t="shared" si="38"/>
        <v>1.191900399347153E-2</v>
      </c>
      <c r="AG29" s="26">
        <f t="shared" si="39"/>
        <v>7.2022083710394143E-3</v>
      </c>
      <c r="AH29" s="6">
        <f t="shared" si="40"/>
        <v>7.3516770117494454E-2</v>
      </c>
      <c r="AI29" s="6">
        <f t="shared" si="41"/>
        <v>4.7552620394664781E-4</v>
      </c>
      <c r="AJ29" s="6">
        <f t="shared" si="42"/>
        <v>3.635559243169007E-5</v>
      </c>
      <c r="AK29" s="6">
        <f t="shared" si="43"/>
        <v>7.3516770117494454E-2</v>
      </c>
      <c r="AL29" s="6">
        <f t="shared" si="44"/>
        <v>4.7270591710416145E-3</v>
      </c>
      <c r="AM29" s="6">
        <f t="shared" si="45"/>
        <v>4.7270591710416145E-3</v>
      </c>
      <c r="AN29" s="6">
        <f t="shared" si="46"/>
        <v>4.9561745267468734E-3</v>
      </c>
      <c r="AO29" s="6">
        <f t="shared" si="47"/>
        <v>5.9759554777331289E-3</v>
      </c>
      <c r="AP29" s="27">
        <f t="shared" si="48"/>
        <v>5.9759554777331289E-3</v>
      </c>
      <c r="AQ29" s="241">
        <f t="shared" si="49"/>
        <v>9.0999999999999998E-2</v>
      </c>
      <c r="AR29" s="6">
        <f t="shared" si="50"/>
        <v>0.09</v>
      </c>
      <c r="AS29" s="6">
        <f t="shared" si="51"/>
        <v>9.0999999999999998E-2</v>
      </c>
      <c r="AT29" s="137">
        <f t="shared" si="52"/>
        <v>0.61</v>
      </c>
      <c r="AU29" s="137">
        <f t="shared" si="53"/>
        <v>0.6</v>
      </c>
      <c r="AV29" s="137">
        <f t="shared" si="54"/>
        <v>0.61</v>
      </c>
      <c r="AW29" s="138">
        <f t="shared" si="55"/>
        <v>5</v>
      </c>
      <c r="AX29" s="138">
        <f t="shared" si="56"/>
        <v>5</v>
      </c>
      <c r="AY29" s="242">
        <f t="shared" si="57"/>
        <v>5</v>
      </c>
    </row>
    <row r="30" spans="1:51" ht="13.15" customHeight="1">
      <c r="A30" s="149">
        <v>10652</v>
      </c>
      <c r="B30" s="68" t="s">
        <v>230</v>
      </c>
      <c r="C30" s="243" t="str">
        <f>Rollover!A30</f>
        <v>Lincoln</v>
      </c>
      <c r="D30" s="244" t="str">
        <f>Rollover!B30</f>
        <v>Nautilus SUV FWD</v>
      </c>
      <c r="E30" s="136" t="s">
        <v>165</v>
      </c>
      <c r="F30" s="240">
        <f>Rollover!C30</f>
        <v>2019</v>
      </c>
      <c r="G30" s="245">
        <v>212.339</v>
      </c>
      <c r="H30" s="12">
        <v>0.224</v>
      </c>
      <c r="I30" s="12">
        <v>1020.076</v>
      </c>
      <c r="J30" s="12">
        <v>92.738</v>
      </c>
      <c r="K30" s="12">
        <v>23.347999999999999</v>
      </c>
      <c r="L30" s="12">
        <v>37.938000000000002</v>
      </c>
      <c r="M30" s="12">
        <v>734.70699999999999</v>
      </c>
      <c r="N30" s="13">
        <v>2650.634</v>
      </c>
      <c r="O30" s="11">
        <v>281.904</v>
      </c>
      <c r="P30" s="12">
        <v>0.35199999999999998</v>
      </c>
      <c r="Q30" s="12">
        <v>877.29100000000005</v>
      </c>
      <c r="R30" s="12">
        <v>195.19200000000001</v>
      </c>
      <c r="S30" s="12">
        <v>10.975</v>
      </c>
      <c r="T30" s="12">
        <v>42.085999999999999</v>
      </c>
      <c r="U30" s="12">
        <v>646.73500000000001</v>
      </c>
      <c r="V30" s="13">
        <v>893.66399999999999</v>
      </c>
      <c r="W30" s="241">
        <f t="shared" si="29"/>
        <v>2.3275717969973354E-3</v>
      </c>
      <c r="X30" s="6">
        <f t="shared" si="30"/>
        <v>5.8091499038581192E-2</v>
      </c>
      <c r="Y30" s="6">
        <f t="shared" si="31"/>
        <v>1.931559480003839E-4</v>
      </c>
      <c r="Z30" s="6">
        <f t="shared" si="32"/>
        <v>2.135406145516449E-5</v>
      </c>
      <c r="AA30" s="6">
        <f t="shared" si="33"/>
        <v>5.8091499038581192E-2</v>
      </c>
      <c r="AB30" s="6">
        <f t="shared" si="34"/>
        <v>2.1022887418598771E-2</v>
      </c>
      <c r="AC30" s="6">
        <f t="shared" si="35"/>
        <v>2.1022887418598771E-2</v>
      </c>
      <c r="AD30" s="6">
        <f t="shared" si="36"/>
        <v>4.4378114948990183E-3</v>
      </c>
      <c r="AE30" s="6">
        <f t="shared" si="37"/>
        <v>1.191900399347153E-2</v>
      </c>
      <c r="AF30" s="27">
        <f t="shared" si="38"/>
        <v>1.191900399347153E-2</v>
      </c>
      <c r="AG30" s="26">
        <f t="shared" si="39"/>
        <v>7.2022083710394143E-3</v>
      </c>
      <c r="AH30" s="6">
        <f t="shared" si="40"/>
        <v>7.3516770117494454E-2</v>
      </c>
      <c r="AI30" s="6">
        <f t="shared" si="41"/>
        <v>4.7552620394664781E-4</v>
      </c>
      <c r="AJ30" s="6">
        <f t="shared" si="42"/>
        <v>3.635559243169007E-5</v>
      </c>
      <c r="AK30" s="6">
        <f t="shared" si="43"/>
        <v>7.3516770117494454E-2</v>
      </c>
      <c r="AL30" s="6">
        <f t="shared" si="44"/>
        <v>4.7270591710416145E-3</v>
      </c>
      <c r="AM30" s="6">
        <f t="shared" si="45"/>
        <v>4.7270591710416145E-3</v>
      </c>
      <c r="AN30" s="6">
        <f t="shared" si="46"/>
        <v>4.9561745267468734E-3</v>
      </c>
      <c r="AO30" s="6">
        <f t="shared" si="47"/>
        <v>5.9759554777331289E-3</v>
      </c>
      <c r="AP30" s="27">
        <f t="shared" si="48"/>
        <v>5.9759554777331289E-3</v>
      </c>
      <c r="AQ30" s="241">
        <f t="shared" si="49"/>
        <v>9.0999999999999998E-2</v>
      </c>
      <c r="AR30" s="6">
        <f t="shared" si="50"/>
        <v>0.09</v>
      </c>
      <c r="AS30" s="6">
        <f t="shared" si="51"/>
        <v>9.0999999999999998E-2</v>
      </c>
      <c r="AT30" s="137">
        <f t="shared" si="52"/>
        <v>0.61</v>
      </c>
      <c r="AU30" s="137">
        <f t="shared" si="53"/>
        <v>0.6</v>
      </c>
      <c r="AV30" s="137">
        <f t="shared" si="54"/>
        <v>0.61</v>
      </c>
      <c r="AW30" s="138">
        <f t="shared" si="55"/>
        <v>5</v>
      </c>
      <c r="AX30" s="138">
        <f t="shared" si="56"/>
        <v>5</v>
      </c>
      <c r="AY30" s="242">
        <f t="shared" si="57"/>
        <v>5</v>
      </c>
    </row>
    <row r="31" spans="1:51" ht="13.15" customHeight="1">
      <c r="A31" s="149">
        <v>10652</v>
      </c>
      <c r="B31" s="68" t="s">
        <v>230</v>
      </c>
      <c r="C31" s="243" t="str">
        <f>Rollover!A31</f>
        <v>Lincoln</v>
      </c>
      <c r="D31" s="244" t="str">
        <f>Rollover!B31</f>
        <v>Nautilus SUV AWD</v>
      </c>
      <c r="E31" s="136" t="s">
        <v>165</v>
      </c>
      <c r="F31" s="240">
        <f>Rollover!C31</f>
        <v>2019</v>
      </c>
      <c r="G31" s="245">
        <v>212.339</v>
      </c>
      <c r="H31" s="12">
        <v>0.224</v>
      </c>
      <c r="I31" s="12">
        <v>1020.076</v>
      </c>
      <c r="J31" s="12">
        <v>92.738</v>
      </c>
      <c r="K31" s="12">
        <v>23.347999999999999</v>
      </c>
      <c r="L31" s="12">
        <v>37.938000000000002</v>
      </c>
      <c r="M31" s="12">
        <v>734.70699999999999</v>
      </c>
      <c r="N31" s="13">
        <v>2650.634</v>
      </c>
      <c r="O31" s="11">
        <v>281.904</v>
      </c>
      <c r="P31" s="12">
        <v>0.35199999999999998</v>
      </c>
      <c r="Q31" s="12">
        <v>877.29100000000005</v>
      </c>
      <c r="R31" s="12">
        <v>195.19200000000001</v>
      </c>
      <c r="S31" s="12">
        <v>10.975</v>
      </c>
      <c r="T31" s="12">
        <v>42.085999999999999</v>
      </c>
      <c r="U31" s="12">
        <v>646.73500000000001</v>
      </c>
      <c r="V31" s="13">
        <v>893.66399999999999</v>
      </c>
      <c r="W31" s="241">
        <f t="shared" si="29"/>
        <v>2.3275717969973354E-3</v>
      </c>
      <c r="X31" s="6">
        <f t="shared" si="30"/>
        <v>5.8091499038581192E-2</v>
      </c>
      <c r="Y31" s="6">
        <f t="shared" si="31"/>
        <v>1.931559480003839E-4</v>
      </c>
      <c r="Z31" s="6">
        <f t="shared" si="32"/>
        <v>2.135406145516449E-5</v>
      </c>
      <c r="AA31" s="6">
        <f t="shared" si="33"/>
        <v>5.8091499038581192E-2</v>
      </c>
      <c r="AB31" s="6">
        <f t="shared" si="34"/>
        <v>2.1022887418598771E-2</v>
      </c>
      <c r="AC31" s="6">
        <f t="shared" si="35"/>
        <v>2.1022887418598771E-2</v>
      </c>
      <c r="AD31" s="6">
        <f t="shared" si="36"/>
        <v>4.4378114948990183E-3</v>
      </c>
      <c r="AE31" s="6">
        <f t="shared" si="37"/>
        <v>1.191900399347153E-2</v>
      </c>
      <c r="AF31" s="27">
        <f t="shared" si="38"/>
        <v>1.191900399347153E-2</v>
      </c>
      <c r="AG31" s="26">
        <f t="shared" si="39"/>
        <v>7.2022083710394143E-3</v>
      </c>
      <c r="AH31" s="6">
        <f t="shared" si="40"/>
        <v>7.3516770117494454E-2</v>
      </c>
      <c r="AI31" s="6">
        <f t="shared" si="41"/>
        <v>4.7552620394664781E-4</v>
      </c>
      <c r="AJ31" s="6">
        <f t="shared" si="42"/>
        <v>3.635559243169007E-5</v>
      </c>
      <c r="AK31" s="6">
        <f t="shared" si="43"/>
        <v>7.3516770117494454E-2</v>
      </c>
      <c r="AL31" s="6">
        <f t="shared" si="44"/>
        <v>4.7270591710416145E-3</v>
      </c>
      <c r="AM31" s="6">
        <f t="shared" si="45"/>
        <v>4.7270591710416145E-3</v>
      </c>
      <c r="AN31" s="6">
        <f t="shared" si="46"/>
        <v>4.9561745267468734E-3</v>
      </c>
      <c r="AO31" s="6">
        <f t="shared" si="47"/>
        <v>5.9759554777331289E-3</v>
      </c>
      <c r="AP31" s="27">
        <f t="shared" si="48"/>
        <v>5.9759554777331289E-3</v>
      </c>
      <c r="AQ31" s="241">
        <f t="shared" si="49"/>
        <v>9.0999999999999998E-2</v>
      </c>
      <c r="AR31" s="6">
        <f t="shared" si="50"/>
        <v>0.09</v>
      </c>
      <c r="AS31" s="6">
        <f t="shared" si="51"/>
        <v>9.0999999999999998E-2</v>
      </c>
      <c r="AT31" s="137">
        <f t="shared" si="52"/>
        <v>0.61</v>
      </c>
      <c r="AU31" s="137">
        <f t="shared" si="53"/>
        <v>0.6</v>
      </c>
      <c r="AV31" s="137">
        <f t="shared" si="54"/>
        <v>0.61</v>
      </c>
      <c r="AW31" s="138">
        <f t="shared" si="55"/>
        <v>5</v>
      </c>
      <c r="AX31" s="138">
        <f t="shared" si="56"/>
        <v>5</v>
      </c>
      <c r="AY31" s="242">
        <f t="shared" si="57"/>
        <v>5</v>
      </c>
    </row>
    <row r="32" spans="1:51" ht="13.15" customHeight="1">
      <c r="A32" s="149">
        <v>10714</v>
      </c>
      <c r="B32" s="68" t="s">
        <v>266</v>
      </c>
      <c r="C32" s="238" t="str">
        <f>Rollover!A32</f>
        <v>Ford</v>
      </c>
      <c r="D32" s="239" t="str">
        <f>Rollover!B32</f>
        <v>F-250 Crew Cab PU/CC 2WD</v>
      </c>
      <c r="E32" s="136" t="s">
        <v>165</v>
      </c>
      <c r="F32" s="240">
        <f>Rollover!C32</f>
        <v>2019</v>
      </c>
      <c r="G32" s="11">
        <v>143.40199999999999</v>
      </c>
      <c r="H32" s="12">
        <v>0.21199999999999999</v>
      </c>
      <c r="I32" s="12">
        <v>834.52200000000005</v>
      </c>
      <c r="J32" s="12">
        <v>347.93700000000001</v>
      </c>
      <c r="K32" s="12">
        <v>21.806000000000001</v>
      </c>
      <c r="L32" s="12">
        <v>38.164000000000001</v>
      </c>
      <c r="M32" s="12">
        <v>935.54600000000005</v>
      </c>
      <c r="N32" s="13">
        <v>1210.1310000000001</v>
      </c>
      <c r="O32" s="11">
        <v>206.518</v>
      </c>
      <c r="P32" s="12">
        <v>0.32400000000000001</v>
      </c>
      <c r="Q32" s="12">
        <v>773.42700000000002</v>
      </c>
      <c r="R32" s="12">
        <v>510.74799999999999</v>
      </c>
      <c r="S32" s="12">
        <v>12.228999999999999</v>
      </c>
      <c r="T32" s="12">
        <v>38.177999999999997</v>
      </c>
      <c r="U32" s="12">
        <v>1918.0119999999999</v>
      </c>
      <c r="V32" s="13">
        <v>1657.386</v>
      </c>
      <c r="W32" s="241">
        <f t="shared" si="29"/>
        <v>3.8909266301100337E-4</v>
      </c>
      <c r="X32" s="6">
        <f t="shared" si="30"/>
        <v>5.6812195876848763E-2</v>
      </c>
      <c r="Y32" s="6">
        <f t="shared" si="31"/>
        <v>1.2432212483237751E-4</v>
      </c>
      <c r="Z32" s="6">
        <f t="shared" si="32"/>
        <v>3.9146921476219996E-5</v>
      </c>
      <c r="AA32" s="6">
        <f t="shared" si="33"/>
        <v>5.6812195876848763E-2</v>
      </c>
      <c r="AB32" s="6">
        <f t="shared" si="34"/>
        <v>1.7142848911192568E-2</v>
      </c>
      <c r="AC32" s="6">
        <f t="shared" si="35"/>
        <v>1.7142848911192568E-2</v>
      </c>
      <c r="AD32" s="6">
        <f t="shared" si="36"/>
        <v>4.9235473296150327E-3</v>
      </c>
      <c r="AE32" s="6">
        <f t="shared" si="37"/>
        <v>5.6743094721944569E-3</v>
      </c>
      <c r="AF32" s="27">
        <f t="shared" si="38"/>
        <v>5.6743094721944569E-3</v>
      </c>
      <c r="AG32" s="26">
        <f t="shared" si="39"/>
        <v>2.0683809938929387E-3</v>
      </c>
      <c r="AH32" s="6">
        <f t="shared" si="40"/>
        <v>6.9849153937143846E-2</v>
      </c>
      <c r="AI32" s="6">
        <f t="shared" si="41"/>
        <v>3.2150361656633949E-4</v>
      </c>
      <c r="AJ32" s="6">
        <f t="shared" si="42"/>
        <v>1.1945157501627212E-4</v>
      </c>
      <c r="AK32" s="6">
        <f t="shared" si="43"/>
        <v>6.9849153937143846E-2</v>
      </c>
      <c r="AL32" s="6">
        <f t="shared" si="44"/>
        <v>6.1577124100170317E-3</v>
      </c>
      <c r="AM32" s="6">
        <f t="shared" si="45"/>
        <v>6.1577124100170317E-3</v>
      </c>
      <c r="AN32" s="6">
        <f t="shared" si="46"/>
        <v>1.2950744607416942E-2</v>
      </c>
      <c r="AO32" s="6">
        <f t="shared" si="47"/>
        <v>1.0643160384799281E-2</v>
      </c>
      <c r="AP32" s="27">
        <f t="shared" si="48"/>
        <v>1.2950744607416942E-2</v>
      </c>
      <c r="AQ32" s="241">
        <f t="shared" si="49"/>
        <v>7.9000000000000001E-2</v>
      </c>
      <c r="AR32" s="6">
        <f t="shared" si="50"/>
        <v>8.8999999999999996E-2</v>
      </c>
      <c r="AS32" s="6">
        <f t="shared" si="51"/>
        <v>8.4000000000000005E-2</v>
      </c>
      <c r="AT32" s="137">
        <f t="shared" si="52"/>
        <v>0.53</v>
      </c>
      <c r="AU32" s="137">
        <f t="shared" si="53"/>
        <v>0.59</v>
      </c>
      <c r="AV32" s="137">
        <f t="shared" si="54"/>
        <v>0.56000000000000005</v>
      </c>
      <c r="AW32" s="138">
        <f t="shared" si="55"/>
        <v>5</v>
      </c>
      <c r="AX32" s="138">
        <f t="shared" si="56"/>
        <v>5</v>
      </c>
      <c r="AY32" s="242">
        <f t="shared" si="57"/>
        <v>5</v>
      </c>
    </row>
    <row r="33" spans="1:51" ht="13.15" customHeight="1">
      <c r="A33" s="149">
        <v>10714</v>
      </c>
      <c r="B33" s="68" t="s">
        <v>266</v>
      </c>
      <c r="C33" s="238" t="str">
        <f>Rollover!A33</f>
        <v>Ford</v>
      </c>
      <c r="D33" s="239" t="str">
        <f>Rollover!B33</f>
        <v>F-250 Crew Cab PU/CC 4WD</v>
      </c>
      <c r="E33" s="136" t="s">
        <v>165</v>
      </c>
      <c r="F33" s="240">
        <f>Rollover!C33</f>
        <v>2019</v>
      </c>
      <c r="G33" s="11">
        <v>143.40199999999999</v>
      </c>
      <c r="H33" s="12">
        <v>0.21199999999999999</v>
      </c>
      <c r="I33" s="12">
        <v>834.52200000000005</v>
      </c>
      <c r="J33" s="12">
        <v>347.93700000000001</v>
      </c>
      <c r="K33" s="12">
        <v>21.806000000000001</v>
      </c>
      <c r="L33" s="12">
        <v>38.164000000000001</v>
      </c>
      <c r="M33" s="12">
        <v>935.54600000000005</v>
      </c>
      <c r="N33" s="13">
        <v>1210.1310000000001</v>
      </c>
      <c r="O33" s="11">
        <v>206.518</v>
      </c>
      <c r="P33" s="12">
        <v>0.32400000000000001</v>
      </c>
      <c r="Q33" s="12">
        <v>773.42700000000002</v>
      </c>
      <c r="R33" s="12">
        <v>510.74799999999999</v>
      </c>
      <c r="S33" s="12">
        <v>12.228999999999999</v>
      </c>
      <c r="T33" s="12">
        <v>38.177999999999997</v>
      </c>
      <c r="U33" s="12">
        <v>1918.0119999999999</v>
      </c>
      <c r="V33" s="13">
        <v>1657.386</v>
      </c>
      <c r="W33" s="241">
        <f>NORMDIST(LN(G33),7.45231,0.73998,1)</f>
        <v>3.8909266301100337E-4</v>
      </c>
      <c r="X33" s="6">
        <f>1/(1+EXP(3.2269-1.9688*H33))</f>
        <v>5.6812195876848763E-2</v>
      </c>
      <c r="Y33" s="6">
        <f>1/(1+EXP(10.9745-2.375*I33/1000))</f>
        <v>1.2432212483237751E-4</v>
      </c>
      <c r="Z33" s="6">
        <f>1/(1+EXP(10.9745-2.375*J33/1000))</f>
        <v>3.9146921476219996E-5</v>
      </c>
      <c r="AA33" s="6">
        <f>MAX(X33,Y33,Z33)</f>
        <v>5.6812195876848763E-2</v>
      </c>
      <c r="AB33" s="6">
        <f>1/(1+EXP(12.597-0.05861*35-1.568*(K33^0.4612)))</f>
        <v>1.7142848911192568E-2</v>
      </c>
      <c r="AC33" s="6">
        <f>AB33</f>
        <v>1.7142848911192568E-2</v>
      </c>
      <c r="AD33" s="6">
        <f>1/(1+EXP(5.7949-0.5196*M33/1000))</f>
        <v>4.9235473296150327E-3</v>
      </c>
      <c r="AE33" s="6">
        <f>1/(1+EXP(5.7949-0.5196*N33/1000))</f>
        <v>5.6743094721944569E-3</v>
      </c>
      <c r="AF33" s="27">
        <f>MAX(AD33,AE33)</f>
        <v>5.6743094721944569E-3</v>
      </c>
      <c r="AG33" s="26">
        <f>NORMDIST(LN(O33),7.45231,0.73998,1)</f>
        <v>2.0683809938929387E-3</v>
      </c>
      <c r="AH33" s="6">
        <f>1/(1+EXP(3.2269-1.9688*P33))</f>
        <v>6.9849153937143846E-2</v>
      </c>
      <c r="AI33" s="6">
        <f>1/(1+EXP(10.958-3.77*Q33/1000))</f>
        <v>3.2150361656633949E-4</v>
      </c>
      <c r="AJ33" s="6">
        <f>1/(1+EXP(10.958-3.77*R33/1000))</f>
        <v>1.1945157501627212E-4</v>
      </c>
      <c r="AK33" s="6">
        <f>MAX(AH33,AI33,AJ33)</f>
        <v>6.9849153937143846E-2</v>
      </c>
      <c r="AL33" s="6">
        <f>1/(1+EXP(12.597-0.05861*35-1.568*((S33/0.817)^0.4612)))</f>
        <v>6.1577124100170317E-3</v>
      </c>
      <c r="AM33" s="6">
        <f>AL33</f>
        <v>6.1577124100170317E-3</v>
      </c>
      <c r="AN33" s="6">
        <f>1/(1+EXP(5.7949-0.7619*U33/1000))</f>
        <v>1.2950744607416942E-2</v>
      </c>
      <c r="AO33" s="6">
        <f>1/(1+EXP(5.7949-0.7619*V33/1000))</f>
        <v>1.0643160384799281E-2</v>
      </c>
      <c r="AP33" s="27">
        <f>MAX(AN33,AO33)</f>
        <v>1.2950744607416942E-2</v>
      </c>
      <c r="AQ33" s="241">
        <f>ROUND(1-(1-W33)*(1-AA33)*(1-AC33)*(1-AF33),3)</f>
        <v>7.9000000000000001E-2</v>
      </c>
      <c r="AR33" s="6">
        <f>ROUND(1-(1-AG33)*(1-AK33)*(1-AM33)*(1-AP33),3)</f>
        <v>8.8999999999999996E-2</v>
      </c>
      <c r="AS33" s="6">
        <f>ROUND(AVERAGE(AR33,AQ33),3)</f>
        <v>8.4000000000000005E-2</v>
      </c>
      <c r="AT33" s="137">
        <f t="shared" ref="AT33:AV33" si="87">ROUND(AQ33/0.15,2)</f>
        <v>0.53</v>
      </c>
      <c r="AU33" s="137">
        <f t="shared" si="87"/>
        <v>0.59</v>
      </c>
      <c r="AV33" s="137">
        <f t="shared" si="87"/>
        <v>0.56000000000000005</v>
      </c>
      <c r="AW33" s="138">
        <f t="shared" ref="AW33:AY33" si="88">IF(AT33&lt;0.67,5,IF(AT33&lt;1,4,IF(AT33&lt;1.33,3,IF(AT33&lt;2.67,2,1))))</f>
        <v>5</v>
      </c>
      <c r="AX33" s="138">
        <f t="shared" si="88"/>
        <v>5</v>
      </c>
      <c r="AY33" s="242">
        <f t="shared" si="88"/>
        <v>5</v>
      </c>
    </row>
    <row r="34" spans="1:51" ht="13.15" customHeight="1">
      <c r="A34" s="161">
        <v>10387</v>
      </c>
      <c r="B34" s="44" t="s">
        <v>174</v>
      </c>
      <c r="C34" s="238" t="str">
        <f>Rollover!A34</f>
        <v>Honda</v>
      </c>
      <c r="D34" s="239" t="str">
        <f>Rollover!B34</f>
        <v>Insight 4DR FWD</v>
      </c>
      <c r="E34" s="136" t="s">
        <v>88</v>
      </c>
      <c r="F34" s="240">
        <f>Rollover!C34</f>
        <v>2019</v>
      </c>
      <c r="G34" s="11">
        <v>201.94</v>
      </c>
      <c r="H34" s="12">
        <v>0.17399999999999999</v>
      </c>
      <c r="I34" s="12">
        <v>618.69899999999996</v>
      </c>
      <c r="J34" s="12">
        <v>243.56700000000001</v>
      </c>
      <c r="K34" s="12">
        <v>21.593</v>
      </c>
      <c r="L34" s="12">
        <v>46.011000000000003</v>
      </c>
      <c r="M34" s="12">
        <v>652.39700000000005</v>
      </c>
      <c r="N34" s="13">
        <v>1258.769</v>
      </c>
      <c r="O34" s="11">
        <v>197.38499999999999</v>
      </c>
      <c r="P34" s="12">
        <v>0.25900000000000001</v>
      </c>
      <c r="Q34" s="12">
        <v>492.01299999999998</v>
      </c>
      <c r="R34" s="12">
        <v>279.25799999999998</v>
      </c>
      <c r="S34" s="12">
        <v>9.34</v>
      </c>
      <c r="T34" s="12">
        <v>39.244999999999997</v>
      </c>
      <c r="U34" s="12">
        <v>709.399</v>
      </c>
      <c r="V34" s="13">
        <v>195.268</v>
      </c>
      <c r="W34" s="241">
        <f t="shared" si="29"/>
        <v>1.8787456527730073E-3</v>
      </c>
      <c r="X34" s="6">
        <f t="shared" si="30"/>
        <v>5.2933705726148007E-2</v>
      </c>
      <c r="Y34" s="6">
        <f t="shared" si="31"/>
        <v>7.4466265736144327E-5</v>
      </c>
      <c r="Z34" s="6">
        <f t="shared" si="32"/>
        <v>3.0552656261504627E-5</v>
      </c>
      <c r="AA34" s="6">
        <f t="shared" si="33"/>
        <v>5.2933705726148007E-2</v>
      </c>
      <c r="AB34" s="6">
        <f t="shared" si="34"/>
        <v>1.6655354772788181E-2</v>
      </c>
      <c r="AC34" s="6">
        <f t="shared" si="35"/>
        <v>1.6655354772788181E-2</v>
      </c>
      <c r="AD34" s="6">
        <f t="shared" si="36"/>
        <v>4.2528055126277312E-3</v>
      </c>
      <c r="AE34" s="6">
        <f t="shared" si="37"/>
        <v>5.8186947224641459E-3</v>
      </c>
      <c r="AF34" s="27">
        <f t="shared" si="38"/>
        <v>5.8186947224641459E-3</v>
      </c>
      <c r="AG34" s="26">
        <f t="shared" si="39"/>
        <v>1.702102999411912E-3</v>
      </c>
      <c r="AH34" s="6">
        <f t="shared" si="40"/>
        <v>6.1978762730557614E-2</v>
      </c>
      <c r="AI34" s="6">
        <f t="shared" si="41"/>
        <v>1.1130656655102938E-4</v>
      </c>
      <c r="AJ34" s="6">
        <f t="shared" si="42"/>
        <v>4.9912092328191925E-5</v>
      </c>
      <c r="AK34" s="6">
        <f t="shared" si="43"/>
        <v>6.1978762730557614E-2</v>
      </c>
      <c r="AL34" s="6">
        <f t="shared" si="44"/>
        <v>3.2616646224188982E-3</v>
      </c>
      <c r="AM34" s="6">
        <f t="shared" si="45"/>
        <v>3.2616646224188982E-3</v>
      </c>
      <c r="AN34" s="6">
        <f t="shared" si="46"/>
        <v>5.1972806847069408E-3</v>
      </c>
      <c r="AO34" s="6">
        <f t="shared" si="47"/>
        <v>3.5187471946064989E-3</v>
      </c>
      <c r="AP34" s="27">
        <f t="shared" si="48"/>
        <v>5.1972806847069408E-3</v>
      </c>
      <c r="AQ34" s="241">
        <f t="shared" si="49"/>
        <v>7.5999999999999998E-2</v>
      </c>
      <c r="AR34" s="6">
        <f t="shared" si="50"/>
        <v>7.0999999999999994E-2</v>
      </c>
      <c r="AS34" s="6">
        <f t="shared" si="51"/>
        <v>7.3999999999999996E-2</v>
      </c>
      <c r="AT34" s="137">
        <f t="shared" si="52"/>
        <v>0.51</v>
      </c>
      <c r="AU34" s="137">
        <f t="shared" si="53"/>
        <v>0.47</v>
      </c>
      <c r="AV34" s="137">
        <f t="shared" si="54"/>
        <v>0.49</v>
      </c>
      <c r="AW34" s="138">
        <f t="shared" si="55"/>
        <v>5</v>
      </c>
      <c r="AX34" s="138">
        <f t="shared" si="56"/>
        <v>5</v>
      </c>
      <c r="AY34" s="242">
        <f t="shared" si="57"/>
        <v>5</v>
      </c>
    </row>
    <row r="35" spans="1:51" ht="13.15" customHeight="1">
      <c r="A35" s="149">
        <v>10672</v>
      </c>
      <c r="B35" s="68" t="s">
        <v>244</v>
      </c>
      <c r="C35" s="238" t="str">
        <f>Rollover!A35</f>
        <v>Hyundai</v>
      </c>
      <c r="D35" s="239" t="str">
        <f>Rollover!B35</f>
        <v>Kona SUV FWD</v>
      </c>
      <c r="E35" s="136" t="s">
        <v>163</v>
      </c>
      <c r="F35" s="240">
        <f>Rollover!C35</f>
        <v>2019</v>
      </c>
      <c r="G35" s="245">
        <v>205.191</v>
      </c>
      <c r="H35" s="12">
        <v>0.19800000000000001</v>
      </c>
      <c r="I35" s="12">
        <v>919.11599999999999</v>
      </c>
      <c r="J35" s="12">
        <v>252.48400000000001</v>
      </c>
      <c r="K35" s="12">
        <v>25.451000000000001</v>
      </c>
      <c r="L35" s="12">
        <v>46.457999999999998</v>
      </c>
      <c r="M35" s="12">
        <v>127.98</v>
      </c>
      <c r="N35" s="13">
        <v>1030.181</v>
      </c>
      <c r="O35" s="11">
        <v>216.91399999999999</v>
      </c>
      <c r="P35" s="12">
        <v>0.36499999999999999</v>
      </c>
      <c r="Q35" s="12">
        <v>858.23699999999997</v>
      </c>
      <c r="R35" s="12">
        <v>310.346</v>
      </c>
      <c r="S35" s="12">
        <v>15.863</v>
      </c>
      <c r="T35" s="12">
        <v>52.267000000000003</v>
      </c>
      <c r="U35" s="12">
        <v>260.48399999999998</v>
      </c>
      <c r="V35" s="13">
        <v>121.444</v>
      </c>
      <c r="W35" s="241">
        <f t="shared" si="29"/>
        <v>2.0121432338468387E-3</v>
      </c>
      <c r="X35" s="6">
        <f t="shared" si="30"/>
        <v>5.5353149259637621E-2</v>
      </c>
      <c r="Y35" s="6">
        <f t="shared" si="31"/>
        <v>1.5198153981330124E-4</v>
      </c>
      <c r="Z35" s="6">
        <f t="shared" si="32"/>
        <v>3.1206576282842768E-5</v>
      </c>
      <c r="AA35" s="6">
        <f t="shared" si="33"/>
        <v>5.5353149259637621E-2</v>
      </c>
      <c r="AB35" s="6">
        <f t="shared" si="34"/>
        <v>2.7415827010240448E-2</v>
      </c>
      <c r="AC35" s="6">
        <f t="shared" si="35"/>
        <v>2.7415827010240448E-2</v>
      </c>
      <c r="AD35" s="6">
        <f t="shared" si="36"/>
        <v>3.2417285565219428E-3</v>
      </c>
      <c r="AE35" s="6">
        <f t="shared" si="37"/>
        <v>5.1704177911751801E-3</v>
      </c>
      <c r="AF35" s="27">
        <f t="shared" si="38"/>
        <v>5.1704177911751801E-3</v>
      </c>
      <c r="AG35" s="26">
        <f t="shared" si="39"/>
        <v>2.5458922781193554E-3</v>
      </c>
      <c r="AH35" s="6">
        <f t="shared" si="40"/>
        <v>7.5279199017373247E-2</v>
      </c>
      <c r="AI35" s="6">
        <f t="shared" si="41"/>
        <v>4.4258005792096694E-4</v>
      </c>
      <c r="AJ35" s="6">
        <f t="shared" si="42"/>
        <v>5.6118125793314323E-5</v>
      </c>
      <c r="AK35" s="6">
        <f t="shared" si="43"/>
        <v>7.5279199017373247E-2</v>
      </c>
      <c r="AL35" s="6">
        <f t="shared" si="44"/>
        <v>1.2278550146415927E-2</v>
      </c>
      <c r="AM35" s="6">
        <f t="shared" si="45"/>
        <v>1.2278550146415927E-2</v>
      </c>
      <c r="AN35" s="6">
        <f t="shared" si="46"/>
        <v>3.6973407527235926E-3</v>
      </c>
      <c r="AO35" s="6">
        <f t="shared" si="47"/>
        <v>3.3269334127066824E-3</v>
      </c>
      <c r="AP35" s="27">
        <f t="shared" si="48"/>
        <v>3.6973407527235926E-3</v>
      </c>
      <c r="AQ35" s="241">
        <f t="shared" si="49"/>
        <v>8.7999999999999995E-2</v>
      </c>
      <c r="AR35" s="6">
        <f t="shared" si="50"/>
        <v>9.1999999999999998E-2</v>
      </c>
      <c r="AS35" s="6">
        <f t="shared" si="51"/>
        <v>0.09</v>
      </c>
      <c r="AT35" s="137">
        <f t="shared" si="52"/>
        <v>0.59</v>
      </c>
      <c r="AU35" s="137">
        <f t="shared" si="53"/>
        <v>0.61</v>
      </c>
      <c r="AV35" s="137">
        <f t="shared" si="54"/>
        <v>0.6</v>
      </c>
      <c r="AW35" s="138">
        <f t="shared" si="55"/>
        <v>5</v>
      </c>
      <c r="AX35" s="138">
        <f t="shared" si="56"/>
        <v>5</v>
      </c>
      <c r="AY35" s="242">
        <f t="shared" si="57"/>
        <v>5</v>
      </c>
    </row>
    <row r="36" spans="1:51" ht="13.15" customHeight="1">
      <c r="A36" s="149">
        <v>10672</v>
      </c>
      <c r="B36" s="68" t="s">
        <v>244</v>
      </c>
      <c r="C36" s="238" t="str">
        <f>Rollover!A36</f>
        <v>Hyundai</v>
      </c>
      <c r="D36" s="239" t="str">
        <f>Rollover!B36</f>
        <v>Kona SUV AWD</v>
      </c>
      <c r="E36" s="136" t="s">
        <v>163</v>
      </c>
      <c r="F36" s="240">
        <f>Rollover!C36</f>
        <v>2019</v>
      </c>
      <c r="G36" s="245">
        <v>205.191</v>
      </c>
      <c r="H36" s="12">
        <v>0.19800000000000001</v>
      </c>
      <c r="I36" s="12">
        <v>919.11599999999999</v>
      </c>
      <c r="J36" s="12">
        <v>252.48400000000001</v>
      </c>
      <c r="K36" s="12">
        <v>25.451000000000001</v>
      </c>
      <c r="L36" s="12">
        <v>46.457999999999998</v>
      </c>
      <c r="M36" s="12">
        <v>127.98</v>
      </c>
      <c r="N36" s="13">
        <v>1030.181</v>
      </c>
      <c r="O36" s="11">
        <v>216.91399999999999</v>
      </c>
      <c r="P36" s="12">
        <v>0.36499999999999999</v>
      </c>
      <c r="Q36" s="12">
        <v>858.23699999999997</v>
      </c>
      <c r="R36" s="12">
        <v>310.346</v>
      </c>
      <c r="S36" s="12">
        <v>15.863</v>
      </c>
      <c r="T36" s="12">
        <v>52.267000000000003</v>
      </c>
      <c r="U36" s="12">
        <v>260.48399999999998</v>
      </c>
      <c r="V36" s="13">
        <v>121.444</v>
      </c>
      <c r="W36" s="241">
        <f t="shared" si="29"/>
        <v>2.0121432338468387E-3</v>
      </c>
      <c r="X36" s="6">
        <f t="shared" si="30"/>
        <v>5.5353149259637621E-2</v>
      </c>
      <c r="Y36" s="6">
        <f t="shared" si="31"/>
        <v>1.5198153981330124E-4</v>
      </c>
      <c r="Z36" s="6">
        <f t="shared" si="32"/>
        <v>3.1206576282842768E-5</v>
      </c>
      <c r="AA36" s="6">
        <f t="shared" si="33"/>
        <v>5.5353149259637621E-2</v>
      </c>
      <c r="AB36" s="6">
        <f t="shared" si="34"/>
        <v>2.7415827010240448E-2</v>
      </c>
      <c r="AC36" s="6">
        <f t="shared" si="35"/>
        <v>2.7415827010240448E-2</v>
      </c>
      <c r="AD36" s="6">
        <f t="shared" si="36"/>
        <v>3.2417285565219428E-3</v>
      </c>
      <c r="AE36" s="6">
        <f t="shared" si="37"/>
        <v>5.1704177911751801E-3</v>
      </c>
      <c r="AF36" s="27">
        <f t="shared" si="38"/>
        <v>5.1704177911751801E-3</v>
      </c>
      <c r="AG36" s="26">
        <f t="shared" si="39"/>
        <v>2.5458922781193554E-3</v>
      </c>
      <c r="AH36" s="6">
        <f t="shared" si="40"/>
        <v>7.5279199017373247E-2</v>
      </c>
      <c r="AI36" s="6">
        <f t="shared" si="41"/>
        <v>4.4258005792096694E-4</v>
      </c>
      <c r="AJ36" s="6">
        <f t="shared" si="42"/>
        <v>5.6118125793314323E-5</v>
      </c>
      <c r="AK36" s="6">
        <f t="shared" si="43"/>
        <v>7.5279199017373247E-2</v>
      </c>
      <c r="AL36" s="6">
        <f t="shared" si="44"/>
        <v>1.2278550146415927E-2</v>
      </c>
      <c r="AM36" s="6">
        <f t="shared" si="45"/>
        <v>1.2278550146415927E-2</v>
      </c>
      <c r="AN36" s="6">
        <f t="shared" si="46"/>
        <v>3.6973407527235926E-3</v>
      </c>
      <c r="AO36" s="6">
        <f t="shared" si="47"/>
        <v>3.3269334127066824E-3</v>
      </c>
      <c r="AP36" s="27">
        <f t="shared" si="48"/>
        <v>3.6973407527235926E-3</v>
      </c>
      <c r="AQ36" s="241">
        <f t="shared" si="49"/>
        <v>8.7999999999999995E-2</v>
      </c>
      <c r="AR36" s="6">
        <f t="shared" si="50"/>
        <v>9.1999999999999998E-2</v>
      </c>
      <c r="AS36" s="6">
        <f t="shared" si="51"/>
        <v>0.09</v>
      </c>
      <c r="AT36" s="137">
        <f t="shared" si="52"/>
        <v>0.59</v>
      </c>
      <c r="AU36" s="137">
        <f t="shared" si="53"/>
        <v>0.61</v>
      </c>
      <c r="AV36" s="137">
        <f t="shared" si="54"/>
        <v>0.6</v>
      </c>
      <c r="AW36" s="138">
        <f t="shared" si="55"/>
        <v>5</v>
      </c>
      <c r="AX36" s="138">
        <f t="shared" si="56"/>
        <v>5</v>
      </c>
      <c r="AY36" s="242">
        <f t="shared" si="57"/>
        <v>5</v>
      </c>
    </row>
    <row r="37" spans="1:51" ht="13.15" customHeight="1">
      <c r="A37" s="149">
        <v>10647</v>
      </c>
      <c r="B37" s="68" t="s">
        <v>215</v>
      </c>
      <c r="C37" s="238" t="str">
        <f>Rollover!A37</f>
        <v>Hyundai</v>
      </c>
      <c r="D37" s="239" t="str">
        <f>Rollover!B37</f>
        <v>Santa Fe SUV FWD</v>
      </c>
      <c r="E37" s="136" t="s">
        <v>88</v>
      </c>
      <c r="F37" s="240">
        <f>Rollover!C37</f>
        <v>2019</v>
      </c>
      <c r="G37" s="11">
        <v>453.86799999999999</v>
      </c>
      <c r="H37" s="12">
        <v>0.189</v>
      </c>
      <c r="I37" s="12">
        <v>742.702</v>
      </c>
      <c r="J37" s="12">
        <v>156.19</v>
      </c>
      <c r="K37" s="12">
        <v>21.164000000000001</v>
      </c>
      <c r="L37" s="12">
        <v>48.927999999999997</v>
      </c>
      <c r="M37" s="12">
        <v>1664.9459999999999</v>
      </c>
      <c r="N37" s="13">
        <v>2766.2689999999998</v>
      </c>
      <c r="O37" s="11">
        <v>244.45699999999999</v>
      </c>
      <c r="P37" s="12">
        <v>0.33</v>
      </c>
      <c r="Q37" s="12">
        <v>534.10599999999999</v>
      </c>
      <c r="R37" s="12">
        <v>213.62700000000001</v>
      </c>
      <c r="S37" s="12">
        <v>12.792</v>
      </c>
      <c r="T37" s="12">
        <v>43.676000000000002</v>
      </c>
      <c r="U37" s="12">
        <v>1137.1010000000001</v>
      </c>
      <c r="V37" s="13">
        <v>648.99300000000005</v>
      </c>
      <c r="W37" s="241">
        <f t="shared" si="29"/>
        <v>3.5660199842843271E-2</v>
      </c>
      <c r="X37" s="6">
        <f t="shared" si="30"/>
        <v>5.443389352565986E-2</v>
      </c>
      <c r="Y37" s="6">
        <f t="shared" si="31"/>
        <v>9.9965770980295227E-5</v>
      </c>
      <c r="Z37" s="6">
        <f t="shared" si="32"/>
        <v>2.4827129346349428E-5</v>
      </c>
      <c r="AA37" s="6">
        <f t="shared" si="33"/>
        <v>5.443389352565986E-2</v>
      </c>
      <c r="AB37" s="6">
        <f t="shared" si="34"/>
        <v>1.5707129345604219E-2</v>
      </c>
      <c r="AC37" s="6">
        <f t="shared" si="35"/>
        <v>1.5707129345604219E-2</v>
      </c>
      <c r="AD37" s="6">
        <f t="shared" si="36"/>
        <v>7.1761227170421289E-3</v>
      </c>
      <c r="AE37" s="6">
        <f t="shared" si="37"/>
        <v>1.2647761288799349E-2</v>
      </c>
      <c r="AF37" s="27">
        <f t="shared" si="38"/>
        <v>1.2647761288799349E-2</v>
      </c>
      <c r="AG37" s="26">
        <f t="shared" si="39"/>
        <v>4.1498760898567438E-3</v>
      </c>
      <c r="AH37" s="6">
        <f t="shared" si="40"/>
        <v>7.0620545191386414E-2</v>
      </c>
      <c r="AI37" s="6">
        <f t="shared" si="41"/>
        <v>1.3044604896724239E-4</v>
      </c>
      <c r="AJ37" s="6">
        <f t="shared" si="42"/>
        <v>3.8972075432963396E-5</v>
      </c>
      <c r="AK37" s="6">
        <f t="shared" si="43"/>
        <v>7.0620545191386414E-2</v>
      </c>
      <c r="AL37" s="6">
        <f t="shared" si="44"/>
        <v>6.9000008788053695E-3</v>
      </c>
      <c r="AM37" s="6">
        <f t="shared" si="45"/>
        <v>6.9000008788053695E-3</v>
      </c>
      <c r="AN37" s="6">
        <f t="shared" si="46"/>
        <v>7.1850433348776199E-3</v>
      </c>
      <c r="AO37" s="6">
        <f t="shared" si="47"/>
        <v>4.9646659528118954E-3</v>
      </c>
      <c r="AP37" s="27">
        <f t="shared" si="48"/>
        <v>7.1850433348776199E-3</v>
      </c>
      <c r="AQ37" s="241">
        <f t="shared" si="49"/>
        <v>0.114</v>
      </c>
      <c r="AR37" s="6">
        <f t="shared" si="50"/>
        <v>8.6999999999999994E-2</v>
      </c>
      <c r="AS37" s="6">
        <f t="shared" si="51"/>
        <v>0.10100000000000001</v>
      </c>
      <c r="AT37" s="137">
        <f t="shared" si="52"/>
        <v>0.76</v>
      </c>
      <c r="AU37" s="137">
        <f t="shared" si="53"/>
        <v>0.57999999999999996</v>
      </c>
      <c r="AV37" s="137">
        <f t="shared" si="54"/>
        <v>0.67</v>
      </c>
      <c r="AW37" s="138">
        <f t="shared" si="55"/>
        <v>4</v>
      </c>
      <c r="AX37" s="138">
        <f t="shared" si="56"/>
        <v>5</v>
      </c>
      <c r="AY37" s="242">
        <f t="shared" si="57"/>
        <v>4</v>
      </c>
    </row>
    <row r="38" spans="1:51" ht="13.15" customHeight="1">
      <c r="A38" s="149">
        <v>10647</v>
      </c>
      <c r="B38" s="68" t="s">
        <v>215</v>
      </c>
      <c r="C38" s="238" t="str">
        <f>Rollover!A38</f>
        <v>Hyundai</v>
      </c>
      <c r="D38" s="239" t="str">
        <f>Rollover!B38</f>
        <v>Santa Fe SUV AWD</v>
      </c>
      <c r="E38" s="139" t="s">
        <v>88</v>
      </c>
      <c r="F38" s="240">
        <f>Rollover!C38</f>
        <v>2019</v>
      </c>
      <c r="G38" s="19">
        <v>453.86799999999999</v>
      </c>
      <c r="H38" s="20">
        <v>0.189</v>
      </c>
      <c r="I38" s="20">
        <v>742.702</v>
      </c>
      <c r="J38" s="20">
        <v>156.19</v>
      </c>
      <c r="K38" s="20">
        <v>21.164000000000001</v>
      </c>
      <c r="L38" s="20">
        <v>48.927999999999997</v>
      </c>
      <c r="M38" s="20">
        <v>1664.9459999999999</v>
      </c>
      <c r="N38" s="21">
        <v>2766.2689999999998</v>
      </c>
      <c r="O38" s="19">
        <v>244.45699999999999</v>
      </c>
      <c r="P38" s="20">
        <v>0.33</v>
      </c>
      <c r="Q38" s="20">
        <v>534.10599999999999</v>
      </c>
      <c r="R38" s="20">
        <v>213.62700000000001</v>
      </c>
      <c r="S38" s="20">
        <v>12.792</v>
      </c>
      <c r="T38" s="20">
        <v>43.676000000000002</v>
      </c>
      <c r="U38" s="20">
        <v>1137.1010000000001</v>
      </c>
      <c r="V38" s="21">
        <v>648.99300000000005</v>
      </c>
      <c r="W38" s="241">
        <f t="shared" si="29"/>
        <v>3.5660199842843271E-2</v>
      </c>
      <c r="X38" s="6">
        <f t="shared" si="30"/>
        <v>5.443389352565986E-2</v>
      </c>
      <c r="Y38" s="6">
        <f t="shared" si="31"/>
        <v>9.9965770980295227E-5</v>
      </c>
      <c r="Z38" s="6">
        <f t="shared" si="32"/>
        <v>2.4827129346349428E-5</v>
      </c>
      <c r="AA38" s="6">
        <f t="shared" si="33"/>
        <v>5.443389352565986E-2</v>
      </c>
      <c r="AB38" s="6">
        <f t="shared" si="34"/>
        <v>1.5707129345604219E-2</v>
      </c>
      <c r="AC38" s="6">
        <f t="shared" si="35"/>
        <v>1.5707129345604219E-2</v>
      </c>
      <c r="AD38" s="6">
        <f t="shared" si="36"/>
        <v>7.1761227170421289E-3</v>
      </c>
      <c r="AE38" s="6">
        <f t="shared" si="37"/>
        <v>1.2647761288799349E-2</v>
      </c>
      <c r="AF38" s="27">
        <f t="shared" si="38"/>
        <v>1.2647761288799349E-2</v>
      </c>
      <c r="AG38" s="26">
        <f t="shared" si="39"/>
        <v>4.1498760898567438E-3</v>
      </c>
      <c r="AH38" s="6">
        <f t="shared" si="40"/>
        <v>7.0620545191386414E-2</v>
      </c>
      <c r="AI38" s="6">
        <f t="shared" si="41"/>
        <v>1.3044604896724239E-4</v>
      </c>
      <c r="AJ38" s="6">
        <f t="shared" si="42"/>
        <v>3.8972075432963396E-5</v>
      </c>
      <c r="AK38" s="6">
        <f t="shared" si="43"/>
        <v>7.0620545191386414E-2</v>
      </c>
      <c r="AL38" s="6">
        <f t="shared" si="44"/>
        <v>6.9000008788053695E-3</v>
      </c>
      <c r="AM38" s="6">
        <f t="shared" si="45"/>
        <v>6.9000008788053695E-3</v>
      </c>
      <c r="AN38" s="6">
        <f t="shared" si="46"/>
        <v>7.1850433348776199E-3</v>
      </c>
      <c r="AO38" s="6">
        <f t="shared" si="47"/>
        <v>4.9646659528118954E-3</v>
      </c>
      <c r="AP38" s="27">
        <f t="shared" si="48"/>
        <v>7.1850433348776199E-3</v>
      </c>
      <c r="AQ38" s="241">
        <f t="shared" si="49"/>
        <v>0.114</v>
      </c>
      <c r="AR38" s="6">
        <f t="shared" si="50"/>
        <v>8.6999999999999994E-2</v>
      </c>
      <c r="AS38" s="6">
        <f t="shared" si="51"/>
        <v>0.10100000000000001</v>
      </c>
      <c r="AT38" s="137">
        <f t="shared" si="52"/>
        <v>0.76</v>
      </c>
      <c r="AU38" s="137">
        <f t="shared" si="53"/>
        <v>0.57999999999999996</v>
      </c>
      <c r="AV38" s="137">
        <f t="shared" si="54"/>
        <v>0.67</v>
      </c>
      <c r="AW38" s="138">
        <f t="shared" si="55"/>
        <v>4</v>
      </c>
      <c r="AX38" s="138">
        <f t="shared" si="56"/>
        <v>5</v>
      </c>
      <c r="AY38" s="242">
        <f t="shared" si="57"/>
        <v>4</v>
      </c>
    </row>
    <row r="39" spans="1:51" ht="13.15" customHeight="1">
      <c r="A39" s="149">
        <v>10648</v>
      </c>
      <c r="B39" s="68" t="s">
        <v>229</v>
      </c>
      <c r="C39" s="238" t="str">
        <f>Rollover!A39</f>
        <v>Jeep</v>
      </c>
      <c r="D39" s="239" t="str">
        <f>Rollover!B39</f>
        <v>Cherokee SUV FWD</v>
      </c>
      <c r="E39" s="136" t="s">
        <v>165</v>
      </c>
      <c r="F39" s="240">
        <f>Rollover!C39</f>
        <v>2019</v>
      </c>
      <c r="G39" s="11">
        <v>204.08699999999999</v>
      </c>
      <c r="H39" s="12">
        <v>0.38200000000000001</v>
      </c>
      <c r="I39" s="12">
        <v>1816.4770000000001</v>
      </c>
      <c r="J39" s="12">
        <v>183.50399999999999</v>
      </c>
      <c r="K39" s="12">
        <v>25.431000000000001</v>
      </c>
      <c r="L39" s="12">
        <v>41.752000000000002</v>
      </c>
      <c r="M39" s="12">
        <v>1638.011</v>
      </c>
      <c r="N39" s="13">
        <v>2295.799</v>
      </c>
      <c r="O39" s="11">
        <v>165.69399999999999</v>
      </c>
      <c r="P39" s="12">
        <v>0.37</v>
      </c>
      <c r="Q39" s="12">
        <v>967.49199999999996</v>
      </c>
      <c r="R39" s="12">
        <v>117.631</v>
      </c>
      <c r="S39" s="12">
        <v>13.364000000000001</v>
      </c>
      <c r="T39" s="12">
        <v>32.902999999999999</v>
      </c>
      <c r="U39" s="12">
        <v>1072.913</v>
      </c>
      <c r="V39" s="13">
        <v>1150.011</v>
      </c>
      <c r="W39" s="241">
        <f t="shared" si="29"/>
        <v>1.9661491932314291E-3</v>
      </c>
      <c r="X39" s="6">
        <f t="shared" si="30"/>
        <v>7.7642466682145958E-2</v>
      </c>
      <c r="Y39" s="6">
        <f t="shared" si="31"/>
        <v>1.2790380823260667E-3</v>
      </c>
      <c r="Z39" s="6">
        <f t="shared" si="32"/>
        <v>2.649102685978644E-5</v>
      </c>
      <c r="AA39" s="6">
        <f t="shared" si="33"/>
        <v>7.7642466682145958E-2</v>
      </c>
      <c r="AB39" s="6">
        <f t="shared" si="34"/>
        <v>2.7348471504206304E-2</v>
      </c>
      <c r="AC39" s="6">
        <f t="shared" si="35"/>
        <v>2.7348471504206304E-2</v>
      </c>
      <c r="AD39" s="6">
        <f t="shared" si="36"/>
        <v>7.0770951784240926E-3</v>
      </c>
      <c r="AE39" s="6">
        <f t="shared" si="37"/>
        <v>9.9320877177736661E-3</v>
      </c>
      <c r="AF39" s="27">
        <f t="shared" si="38"/>
        <v>9.9320877177736661E-3</v>
      </c>
      <c r="AG39" s="26">
        <f t="shared" si="39"/>
        <v>7.7494458717989375E-4</v>
      </c>
      <c r="AH39" s="6">
        <f t="shared" si="40"/>
        <v>7.5967333419551489E-2</v>
      </c>
      <c r="AI39" s="6">
        <f t="shared" si="41"/>
        <v>6.6799933325844781E-4</v>
      </c>
      <c r="AJ39" s="6">
        <f t="shared" si="42"/>
        <v>2.7138470289385529E-5</v>
      </c>
      <c r="AK39" s="6">
        <f t="shared" si="43"/>
        <v>7.5967333419551489E-2</v>
      </c>
      <c r="AL39" s="6">
        <f t="shared" si="44"/>
        <v>7.7240324227007854E-3</v>
      </c>
      <c r="AM39" s="6">
        <f t="shared" si="45"/>
        <v>7.7240324227007854E-3</v>
      </c>
      <c r="AN39" s="6">
        <f t="shared" si="46"/>
        <v>6.8444609313152742E-3</v>
      </c>
      <c r="AO39" s="6">
        <f t="shared" si="47"/>
        <v>7.2555497631345165E-3</v>
      </c>
      <c r="AP39" s="27">
        <f t="shared" si="48"/>
        <v>7.2555497631345165E-3</v>
      </c>
      <c r="AQ39" s="241">
        <f t="shared" si="49"/>
        <v>0.114</v>
      </c>
      <c r="AR39" s="6">
        <f t="shared" si="50"/>
        <v>0.09</v>
      </c>
      <c r="AS39" s="6">
        <f t="shared" si="51"/>
        <v>0.10199999999999999</v>
      </c>
      <c r="AT39" s="137">
        <f t="shared" si="52"/>
        <v>0.76</v>
      </c>
      <c r="AU39" s="137">
        <f t="shared" si="53"/>
        <v>0.6</v>
      </c>
      <c r="AV39" s="137">
        <f t="shared" si="54"/>
        <v>0.68</v>
      </c>
      <c r="AW39" s="138">
        <f t="shared" si="55"/>
        <v>4</v>
      </c>
      <c r="AX39" s="138">
        <f t="shared" si="56"/>
        <v>5</v>
      </c>
      <c r="AY39" s="242">
        <f t="shared" si="57"/>
        <v>4</v>
      </c>
    </row>
    <row r="40" spans="1:51" ht="13.15" customHeight="1">
      <c r="A40" s="149">
        <v>10648</v>
      </c>
      <c r="B40" s="68" t="s">
        <v>229</v>
      </c>
      <c r="C40" s="238" t="str">
        <f>Rollover!A40</f>
        <v>Jeep</v>
      </c>
      <c r="D40" s="239" t="str">
        <f>Rollover!B40</f>
        <v>Cherokee SUV 4WD</v>
      </c>
      <c r="E40" s="136" t="s">
        <v>165</v>
      </c>
      <c r="F40" s="240">
        <f>Rollover!C40</f>
        <v>2019</v>
      </c>
      <c r="G40" s="11">
        <v>204.08699999999999</v>
      </c>
      <c r="H40" s="12">
        <v>0.38200000000000001</v>
      </c>
      <c r="I40" s="12">
        <v>1816.4770000000001</v>
      </c>
      <c r="J40" s="12">
        <v>183.50399999999999</v>
      </c>
      <c r="K40" s="12">
        <v>25.431000000000001</v>
      </c>
      <c r="L40" s="12">
        <v>41.752000000000002</v>
      </c>
      <c r="M40" s="12">
        <v>1638.011</v>
      </c>
      <c r="N40" s="13">
        <v>2295.799</v>
      </c>
      <c r="O40" s="11">
        <v>165.69399999999999</v>
      </c>
      <c r="P40" s="12">
        <v>0.37</v>
      </c>
      <c r="Q40" s="12">
        <v>967.49199999999996</v>
      </c>
      <c r="R40" s="12">
        <v>117.631</v>
      </c>
      <c r="S40" s="12">
        <v>13.364000000000001</v>
      </c>
      <c r="T40" s="12">
        <v>32.902999999999999</v>
      </c>
      <c r="U40" s="12">
        <v>1072.913</v>
      </c>
      <c r="V40" s="13">
        <v>1150.011</v>
      </c>
      <c r="W40" s="241">
        <f t="shared" si="29"/>
        <v>1.9661491932314291E-3</v>
      </c>
      <c r="X40" s="6">
        <f t="shared" si="30"/>
        <v>7.7642466682145958E-2</v>
      </c>
      <c r="Y40" s="6">
        <f t="shared" si="31"/>
        <v>1.2790380823260667E-3</v>
      </c>
      <c r="Z40" s="6">
        <f t="shared" si="32"/>
        <v>2.649102685978644E-5</v>
      </c>
      <c r="AA40" s="6">
        <f t="shared" si="33"/>
        <v>7.7642466682145958E-2</v>
      </c>
      <c r="AB40" s="6">
        <f t="shared" si="34"/>
        <v>2.7348471504206304E-2</v>
      </c>
      <c r="AC40" s="6">
        <f t="shared" si="35"/>
        <v>2.7348471504206304E-2</v>
      </c>
      <c r="AD40" s="6">
        <f t="shared" si="36"/>
        <v>7.0770951784240926E-3</v>
      </c>
      <c r="AE40" s="6">
        <f t="shared" si="37"/>
        <v>9.9320877177736661E-3</v>
      </c>
      <c r="AF40" s="27">
        <f t="shared" si="38"/>
        <v>9.9320877177736661E-3</v>
      </c>
      <c r="AG40" s="26">
        <f t="shared" si="39"/>
        <v>7.7494458717989375E-4</v>
      </c>
      <c r="AH40" s="6">
        <f t="shared" si="40"/>
        <v>7.5967333419551489E-2</v>
      </c>
      <c r="AI40" s="6">
        <f t="shared" si="41"/>
        <v>6.6799933325844781E-4</v>
      </c>
      <c r="AJ40" s="6">
        <f t="shared" si="42"/>
        <v>2.7138470289385529E-5</v>
      </c>
      <c r="AK40" s="6">
        <f t="shared" si="43"/>
        <v>7.5967333419551489E-2</v>
      </c>
      <c r="AL40" s="6">
        <f t="shared" si="44"/>
        <v>7.7240324227007854E-3</v>
      </c>
      <c r="AM40" s="6">
        <f t="shared" si="45"/>
        <v>7.7240324227007854E-3</v>
      </c>
      <c r="AN40" s="6">
        <f t="shared" si="46"/>
        <v>6.8444609313152742E-3</v>
      </c>
      <c r="AO40" s="6">
        <f t="shared" si="47"/>
        <v>7.2555497631345165E-3</v>
      </c>
      <c r="AP40" s="27">
        <f t="shared" si="48"/>
        <v>7.2555497631345165E-3</v>
      </c>
      <c r="AQ40" s="241">
        <f t="shared" si="49"/>
        <v>0.114</v>
      </c>
      <c r="AR40" s="6">
        <f t="shared" si="50"/>
        <v>0.09</v>
      </c>
      <c r="AS40" s="6">
        <f t="shared" si="51"/>
        <v>0.10199999999999999</v>
      </c>
      <c r="AT40" s="137">
        <f t="shared" si="52"/>
        <v>0.76</v>
      </c>
      <c r="AU40" s="137">
        <f t="shared" si="53"/>
        <v>0.6</v>
      </c>
      <c r="AV40" s="137">
        <f t="shared" si="54"/>
        <v>0.68</v>
      </c>
      <c r="AW40" s="138">
        <f t="shared" si="55"/>
        <v>4</v>
      </c>
      <c r="AX40" s="138">
        <f t="shared" si="56"/>
        <v>5</v>
      </c>
      <c r="AY40" s="242">
        <f t="shared" si="57"/>
        <v>4</v>
      </c>
    </row>
    <row r="41" spans="1:51" ht="13.15" customHeight="1">
      <c r="A41" s="149">
        <v>10709</v>
      </c>
      <c r="B41" s="68" t="s">
        <v>265</v>
      </c>
      <c r="C41" s="238" t="str">
        <f>Rollover!A41</f>
        <v>Jeep</v>
      </c>
      <c r="D41" s="239" t="str">
        <f>Rollover!B41</f>
        <v>Wrangler Unlimited SUV 4WD</v>
      </c>
      <c r="E41" s="136" t="s">
        <v>165</v>
      </c>
      <c r="F41" s="240">
        <f>Rollover!C41</f>
        <v>2019</v>
      </c>
      <c r="G41" s="11">
        <v>137.221</v>
      </c>
      <c r="H41" s="12">
        <v>0.32900000000000001</v>
      </c>
      <c r="I41" s="12">
        <v>1628.5930000000001</v>
      </c>
      <c r="J41" s="12">
        <v>99.975999999999999</v>
      </c>
      <c r="K41" s="12">
        <v>30.448</v>
      </c>
      <c r="L41" s="12">
        <v>50.329000000000001</v>
      </c>
      <c r="M41" s="12">
        <v>4228.7139999999999</v>
      </c>
      <c r="N41" s="13">
        <v>2914.3969999999999</v>
      </c>
      <c r="O41" s="11">
        <v>206.53299999999999</v>
      </c>
      <c r="P41" s="12">
        <v>0.35</v>
      </c>
      <c r="Q41" s="12">
        <v>938.41499999999996</v>
      </c>
      <c r="R41" s="12">
        <v>230.911</v>
      </c>
      <c r="S41" s="12">
        <v>18.036000000000001</v>
      </c>
      <c r="T41" s="12">
        <v>37.091999999999999</v>
      </c>
      <c r="U41" s="12">
        <v>1813.21</v>
      </c>
      <c r="V41" s="13">
        <v>2304.614</v>
      </c>
      <c r="W41" s="241">
        <f t="shared" si="29"/>
        <v>3.1312802269857124E-4</v>
      </c>
      <c r="X41" s="6">
        <f t="shared" si="30"/>
        <v>7.0491435568372424E-2</v>
      </c>
      <c r="Y41" s="6">
        <f t="shared" si="31"/>
        <v>8.1901269528781109E-4</v>
      </c>
      <c r="Z41" s="6">
        <f t="shared" si="32"/>
        <v>2.1724308336293845E-5</v>
      </c>
      <c r="AA41" s="6">
        <f t="shared" si="33"/>
        <v>7.0491435568372424E-2</v>
      </c>
      <c r="AB41" s="6">
        <f t="shared" si="34"/>
        <v>4.8916034655232477E-2</v>
      </c>
      <c r="AC41" s="6">
        <f t="shared" si="35"/>
        <v>4.8916034655232477E-2</v>
      </c>
      <c r="AD41" s="6">
        <f t="shared" si="36"/>
        <v>2.6657637047803877E-2</v>
      </c>
      <c r="AE41" s="6">
        <f t="shared" si="37"/>
        <v>1.3645859471711345E-2</v>
      </c>
      <c r="AF41" s="27">
        <f t="shared" si="38"/>
        <v>2.6657637047803877E-2</v>
      </c>
      <c r="AG41" s="26">
        <f t="shared" si="39"/>
        <v>2.0690226661556777E-3</v>
      </c>
      <c r="AH41" s="6">
        <f t="shared" si="40"/>
        <v>7.324902207187918E-2</v>
      </c>
      <c r="AI41" s="6">
        <f t="shared" si="41"/>
        <v>5.9868539510370253E-4</v>
      </c>
      <c r="AJ41" s="6">
        <f t="shared" si="42"/>
        <v>4.1595975971045162E-5</v>
      </c>
      <c r="AK41" s="6">
        <f t="shared" si="43"/>
        <v>7.324902207187918E-2</v>
      </c>
      <c r="AL41" s="6">
        <f t="shared" si="44"/>
        <v>1.7776858576464244E-2</v>
      </c>
      <c r="AM41" s="6">
        <f t="shared" si="45"/>
        <v>1.7776858576464244E-2</v>
      </c>
      <c r="AN41" s="6">
        <f t="shared" si="46"/>
        <v>1.1968749283627844E-2</v>
      </c>
      <c r="AO41" s="6">
        <f t="shared" si="47"/>
        <v>1.730991063939101E-2</v>
      </c>
      <c r="AP41" s="27">
        <f t="shared" si="48"/>
        <v>1.730991063939101E-2</v>
      </c>
      <c r="AQ41" s="241">
        <f t="shared" si="49"/>
        <v>0.14000000000000001</v>
      </c>
      <c r="AR41" s="6">
        <f t="shared" si="50"/>
        <v>0.107</v>
      </c>
      <c r="AS41" s="6">
        <f t="shared" si="51"/>
        <v>0.124</v>
      </c>
      <c r="AT41" s="137">
        <f t="shared" si="52"/>
        <v>0.93</v>
      </c>
      <c r="AU41" s="137">
        <f t="shared" si="53"/>
        <v>0.71</v>
      </c>
      <c r="AV41" s="137">
        <f t="shared" si="54"/>
        <v>0.83</v>
      </c>
      <c r="AW41" s="138">
        <f t="shared" si="55"/>
        <v>4</v>
      </c>
      <c r="AX41" s="138">
        <f t="shared" si="56"/>
        <v>4</v>
      </c>
      <c r="AY41" s="242">
        <f t="shared" si="57"/>
        <v>4</v>
      </c>
    </row>
    <row r="42" spans="1:51" ht="13.15" customHeight="1">
      <c r="A42" s="149">
        <v>10688</v>
      </c>
      <c r="B42" s="68" t="s">
        <v>255</v>
      </c>
      <c r="C42" s="238" t="str">
        <f>Rollover!A42</f>
        <v>Kia</v>
      </c>
      <c r="D42" s="239" t="str">
        <f>Rollover!B42</f>
        <v>Forte 4DR FWD</v>
      </c>
      <c r="E42" s="136" t="s">
        <v>165</v>
      </c>
      <c r="F42" s="240">
        <f>Rollover!C42</f>
        <v>2019</v>
      </c>
      <c r="G42" s="11">
        <v>245.48500000000001</v>
      </c>
      <c r="H42" s="12">
        <v>0.24199999999999999</v>
      </c>
      <c r="I42" s="12">
        <v>927.63900000000001</v>
      </c>
      <c r="J42" s="12">
        <v>221.678</v>
      </c>
      <c r="K42" s="12">
        <v>28.541</v>
      </c>
      <c r="L42" s="12">
        <v>44.802</v>
      </c>
      <c r="M42" s="12">
        <v>327.99299999999999</v>
      </c>
      <c r="N42" s="13">
        <v>587.91600000000005</v>
      </c>
      <c r="O42" s="11">
        <v>325.39800000000002</v>
      </c>
      <c r="P42" s="12">
        <v>0.49099999999999999</v>
      </c>
      <c r="Q42" s="12">
        <v>661.91700000000003</v>
      </c>
      <c r="R42" s="12">
        <v>438.80799999999999</v>
      </c>
      <c r="S42" s="12">
        <v>27.756</v>
      </c>
      <c r="T42" s="12">
        <v>47.405999999999999</v>
      </c>
      <c r="U42" s="12">
        <v>771.57100000000003</v>
      </c>
      <c r="V42" s="13">
        <v>449.23899999999998</v>
      </c>
      <c r="W42" s="241">
        <f t="shared" ref="W42:W65" si="89">NORMDIST(LN(G42),7.45231,0.73998,1)</f>
        <v>4.2198313840130014E-3</v>
      </c>
      <c r="X42" s="6">
        <f t="shared" ref="X42:X65" si="90">1/(1+EXP(3.2269-1.9688*H42))</f>
        <v>6.0061218312841474E-2</v>
      </c>
      <c r="Y42" s="6">
        <f t="shared" ref="Y42:Y65" si="91">1/(1+EXP(10.9745-2.375*I42/1000))</f>
        <v>1.5508883505054632E-4</v>
      </c>
      <c r="Z42" s="6">
        <f t="shared" ref="Z42:Z65" si="92">1/(1+EXP(10.9745-2.375*J42/1000))</f>
        <v>2.9004958629239817E-5</v>
      </c>
      <c r="AA42" s="6">
        <f t="shared" ref="AA42:AA65" si="93">MAX(X42,Y42,Z42)</f>
        <v>6.0061218312841474E-2</v>
      </c>
      <c r="AB42" s="6">
        <f t="shared" ref="AB42:AB65" si="94">1/(1+EXP(12.597-0.05861*35-1.568*(K42^0.4612)))</f>
        <v>3.9535669151734405E-2</v>
      </c>
      <c r="AC42" s="6">
        <f t="shared" ref="AC42:AC65" si="95">AB42</f>
        <v>3.9535669151734405E-2</v>
      </c>
      <c r="AD42" s="6">
        <f t="shared" ref="AD42:AD65" si="96">1/(1+EXP(5.7949-0.5196*M42/1000))</f>
        <v>3.595483516177697E-3</v>
      </c>
      <c r="AE42" s="6">
        <f t="shared" ref="AE42:AE65" si="97">1/(1+EXP(5.7949-0.5196*N42/1000))</f>
        <v>4.1132550369166682E-3</v>
      </c>
      <c r="AF42" s="27">
        <f t="shared" ref="AF42:AF65" si="98">MAX(AD42,AE42)</f>
        <v>4.1132550369166682E-3</v>
      </c>
      <c r="AG42" s="26">
        <f t="shared" ref="AG42:AG65" si="99">NORMDIST(LN(O42),7.45231,0.73998,1)</f>
        <v>1.21259105427958E-2</v>
      </c>
      <c r="AH42" s="6">
        <f t="shared" ref="AH42:AH65" si="100">1/(1+EXP(3.2269-1.9688*P42))</f>
        <v>9.4471615440134604E-2</v>
      </c>
      <c r="AI42" s="6">
        <f t="shared" ref="AI42:AI65" si="101">1/(1+EXP(10.958-3.77*Q42/1000))</f>
        <v>2.1118329274229393E-4</v>
      </c>
      <c r="AJ42" s="6">
        <f t="shared" ref="AJ42:AJ65" si="102">1/(1+EXP(10.958-3.77*R42/1000))</f>
        <v>9.1078851831715175E-5</v>
      </c>
      <c r="AK42" s="6">
        <f t="shared" ref="AK42:AK65" si="103">MAX(AH42,AI42,AJ42)</f>
        <v>9.4471615440134604E-2</v>
      </c>
      <c r="AL42" s="6">
        <f t="shared" ref="AL42:AL65" si="104">1/(1+EXP(12.597-0.05861*35-1.568*((S42/0.817)^0.4612)))</f>
        <v>7.0778932482173484E-2</v>
      </c>
      <c r="AM42" s="6">
        <f t="shared" ref="AM42:AM65" si="105">AL42</f>
        <v>7.0778932482173484E-2</v>
      </c>
      <c r="AN42" s="6">
        <f t="shared" ref="AN42:AN65" si="106">1/(1+EXP(5.7949-0.7619*U42/1000))</f>
        <v>5.4480203759611967E-3</v>
      </c>
      <c r="AO42" s="6">
        <f t="shared" ref="AO42:AO65" si="107">1/(1+EXP(5.7949-0.7619*V42/1000))</f>
        <v>4.2667592669878799E-3</v>
      </c>
      <c r="AP42" s="27">
        <f t="shared" ref="AP42:AP65" si="108">MAX(AN42,AO42)</f>
        <v>5.4480203759611967E-3</v>
      </c>
      <c r="AQ42" s="241">
        <f t="shared" ref="AQ42:AQ65" si="109">ROUND(1-(1-W42)*(1-AA42)*(1-AC42)*(1-AF42),3)</f>
        <v>0.105</v>
      </c>
      <c r="AR42" s="6">
        <f t="shared" ref="AR42:AR65" si="110">ROUND(1-(1-AG42)*(1-AK42)*(1-AM42)*(1-AP42),3)</f>
        <v>0.17299999999999999</v>
      </c>
      <c r="AS42" s="6">
        <f t="shared" ref="AS42:AS65" si="111">ROUND(AVERAGE(AR42,AQ42),3)</f>
        <v>0.13900000000000001</v>
      </c>
      <c r="AT42" s="137">
        <f t="shared" ref="AT42:AT65" si="112">ROUND(AQ42/0.15,2)</f>
        <v>0.7</v>
      </c>
      <c r="AU42" s="137">
        <f t="shared" ref="AU42:AU65" si="113">ROUND(AR42/0.15,2)</f>
        <v>1.1499999999999999</v>
      </c>
      <c r="AV42" s="137">
        <f t="shared" ref="AV42:AV65" si="114">ROUND(AS42/0.15,2)</f>
        <v>0.93</v>
      </c>
      <c r="AW42" s="138">
        <f t="shared" ref="AW42:AW65" si="115">IF(AT42&lt;0.67,5,IF(AT42&lt;1,4,IF(AT42&lt;1.33,3,IF(AT42&lt;2.67,2,1))))</f>
        <v>4</v>
      </c>
      <c r="AX42" s="138">
        <f t="shared" ref="AX42:AX65" si="116">IF(AU42&lt;0.67,5,IF(AU42&lt;1,4,IF(AU42&lt;1.33,3,IF(AU42&lt;2.67,2,1))))</f>
        <v>3</v>
      </c>
      <c r="AY42" s="242">
        <f t="shared" ref="AY42:AY65" si="117">IF(AV42&lt;0.67,5,IF(AV42&lt;1,4,IF(AV42&lt;1.33,3,IF(AV42&lt;2.67,2,1))))</f>
        <v>4</v>
      </c>
    </row>
    <row r="43" spans="1:51" ht="13.15" customHeight="1">
      <c r="A43" s="149">
        <v>10656</v>
      </c>
      <c r="B43" s="68" t="s">
        <v>233</v>
      </c>
      <c r="C43" s="238" t="str">
        <f>Rollover!A43</f>
        <v xml:space="preserve">Lexus </v>
      </c>
      <c r="D43" s="239" t="str">
        <f>Rollover!B43</f>
        <v>ES 350 4DR FWD</v>
      </c>
      <c r="E43" s="136" t="s">
        <v>88</v>
      </c>
      <c r="F43" s="240">
        <f>Rollover!C43</f>
        <v>2019</v>
      </c>
      <c r="G43" s="11">
        <v>119.994</v>
      </c>
      <c r="H43" s="12">
        <v>0.24399999999999999</v>
      </c>
      <c r="I43" s="12">
        <v>1063.452</v>
      </c>
      <c r="J43" s="12">
        <v>132.958</v>
      </c>
      <c r="K43" s="12">
        <v>20.744</v>
      </c>
      <c r="L43" s="12">
        <v>37.594999999999999</v>
      </c>
      <c r="M43" s="12">
        <v>2328.8649999999998</v>
      </c>
      <c r="N43" s="13">
        <v>2793.4870000000001</v>
      </c>
      <c r="O43" s="11">
        <v>318.64600000000002</v>
      </c>
      <c r="P43" s="12">
        <v>0.32800000000000001</v>
      </c>
      <c r="Q43" s="12">
        <v>708.01400000000001</v>
      </c>
      <c r="R43" s="12">
        <v>276.79199999999997</v>
      </c>
      <c r="S43" s="12">
        <v>19.841000000000001</v>
      </c>
      <c r="T43" s="12">
        <v>38.475000000000001</v>
      </c>
      <c r="U43" s="12">
        <v>2103.1579999999999</v>
      </c>
      <c r="V43" s="13">
        <v>2302.654</v>
      </c>
      <c r="W43" s="241">
        <f t="shared" ref="W43:W51" si="118">NORMDIST(LN(G43),7.45231,0.73998,1)</f>
        <v>1.5833285040348267E-4</v>
      </c>
      <c r="X43" s="6">
        <f t="shared" ref="X43:X51" si="119">1/(1+EXP(3.2269-1.9688*H43))</f>
        <v>6.0283896523332971E-2</v>
      </c>
      <c r="Y43" s="6">
        <f t="shared" ref="Y43:Y51" si="120">1/(1+EXP(10.9745-2.375*I43/1000))</f>
        <v>2.1411107533009558E-4</v>
      </c>
      <c r="Z43" s="6">
        <f t="shared" ref="Z43:Z51" si="121">1/(1+EXP(10.9745-2.375*J43/1000))</f>
        <v>2.3494405131243788E-5</v>
      </c>
      <c r="AA43" s="6">
        <f t="shared" ref="AA43:AA51" si="122">MAX(X43,Y43,Z43)</f>
        <v>6.0283896523332971E-2</v>
      </c>
      <c r="AB43" s="6">
        <f t="shared" ref="AB43:AB51" si="123">1/(1+EXP(12.597-0.05861*35-1.568*(K43^0.4612)))</f>
        <v>1.4821069865784211E-2</v>
      </c>
      <c r="AC43" s="6">
        <f t="shared" ref="AC43:AC51" si="124">AB43</f>
        <v>1.4821069865784211E-2</v>
      </c>
      <c r="AD43" s="6">
        <f t="shared" ref="AD43:AD51" si="125">1/(1+EXP(5.7949-0.5196*M43/1000))</f>
        <v>1.0102467383063219E-2</v>
      </c>
      <c r="AE43" s="6">
        <f t="shared" ref="AE43:AE51" si="126">1/(1+EXP(5.7949-0.5196*N43/1000))</f>
        <v>1.2825592308355692E-2</v>
      </c>
      <c r="AF43" s="27">
        <f t="shared" ref="AF43:AF51" si="127">MAX(AD43,AE43)</f>
        <v>1.2825592308355692E-2</v>
      </c>
      <c r="AG43" s="26">
        <f t="shared" ref="AG43:AG51" si="128">NORMDIST(LN(O43),7.45231,0.73998,1)</f>
        <v>1.1260841800944763E-2</v>
      </c>
      <c r="AH43" s="6">
        <f t="shared" ref="AH43:AH51" si="129">1/(1+EXP(3.2269-1.9688*P43))</f>
        <v>7.0362544115245063E-2</v>
      </c>
      <c r="AI43" s="6">
        <f t="shared" ref="AI43:AI51" si="130">1/(1+EXP(10.958-3.77*Q43/1000))</f>
        <v>2.5125592733218232E-4</v>
      </c>
      <c r="AJ43" s="6">
        <f t="shared" ref="AJ43:AJ51" si="131">1/(1+EXP(10.958-3.77*R43/1000))</f>
        <v>4.9450241733509514E-5</v>
      </c>
      <c r="AK43" s="6">
        <f t="shared" ref="AK43:AK51" si="132">MAX(AH43,AI43,AJ43)</f>
        <v>7.0362544115245063E-2</v>
      </c>
      <c r="AL43" s="6">
        <f t="shared" ref="AL43:AL51" si="133">1/(1+EXP(12.597-0.05861*35-1.568*((S43/0.817)^0.4612)))</f>
        <v>2.3704752786364042E-2</v>
      </c>
      <c r="AM43" s="6">
        <f t="shared" ref="AM43:AM51" si="134">AL43</f>
        <v>2.3704752786364042E-2</v>
      </c>
      <c r="AN43" s="6">
        <f t="shared" ref="AN43:AN51" si="135">1/(1+EXP(5.7949-0.7619*U43/1000))</f>
        <v>1.4883540638521172E-2</v>
      </c>
      <c r="AO43" s="6">
        <f t="shared" ref="AO43:AO51" si="136">1/(1+EXP(5.7949-0.7619*V43/1000))</f>
        <v>1.7284527085060265E-2</v>
      </c>
      <c r="AP43" s="27">
        <f t="shared" ref="AP43:AP51" si="137">MAX(AN43,AO43)</f>
        <v>1.7284527085060265E-2</v>
      </c>
      <c r="AQ43" s="241">
        <f t="shared" ref="AQ43:AQ51" si="138">ROUND(1-(1-W43)*(1-AA43)*(1-AC43)*(1-AF43),3)</f>
        <v>8.5999999999999993E-2</v>
      </c>
      <c r="AR43" s="6">
        <f t="shared" ref="AR43:AR51" si="139">ROUND(1-(1-AG43)*(1-AK43)*(1-AM43)*(1-AP43),3)</f>
        <v>0.11799999999999999</v>
      </c>
      <c r="AS43" s="6">
        <f t="shared" ref="AS43:AS51" si="140">ROUND(AVERAGE(AR43,AQ43),3)</f>
        <v>0.10199999999999999</v>
      </c>
      <c r="AT43" s="137">
        <f t="shared" ref="AT43:AT51" si="141">ROUND(AQ43/0.15,2)</f>
        <v>0.56999999999999995</v>
      </c>
      <c r="AU43" s="137">
        <f t="shared" ref="AU43:AU51" si="142">ROUND(AR43/0.15,2)</f>
        <v>0.79</v>
      </c>
      <c r="AV43" s="137">
        <f t="shared" ref="AV43:AV51" si="143">ROUND(AS43/0.15,2)</f>
        <v>0.68</v>
      </c>
      <c r="AW43" s="138">
        <f t="shared" ref="AW43:AW51" si="144">IF(AT43&lt;0.67,5,IF(AT43&lt;1,4,IF(AT43&lt;1.33,3,IF(AT43&lt;2.67,2,1))))</f>
        <v>5</v>
      </c>
      <c r="AX43" s="138">
        <f t="shared" ref="AX43:AX51" si="145">IF(AU43&lt;0.67,5,IF(AU43&lt;1,4,IF(AU43&lt;1.33,3,IF(AU43&lt;2.67,2,1))))</f>
        <v>4</v>
      </c>
      <c r="AY43" s="242">
        <f t="shared" ref="AY43:AY51" si="146">IF(AV43&lt;0.67,5,IF(AV43&lt;1,4,IF(AV43&lt;1.33,3,IF(AV43&lt;2.67,2,1))))</f>
        <v>4</v>
      </c>
    </row>
    <row r="44" spans="1:51" ht="13.15" customHeight="1">
      <c r="A44" s="149">
        <v>10656</v>
      </c>
      <c r="B44" s="68" t="s">
        <v>233</v>
      </c>
      <c r="C44" s="243" t="str">
        <f>Rollover!A44</f>
        <v xml:space="preserve">Lexus </v>
      </c>
      <c r="D44" s="244" t="str">
        <f>Rollover!B44</f>
        <v>ES 300h 4DR FWD</v>
      </c>
      <c r="E44" s="136" t="s">
        <v>88</v>
      </c>
      <c r="F44" s="240">
        <f>Rollover!C44</f>
        <v>2019</v>
      </c>
      <c r="G44" s="11">
        <v>119.994</v>
      </c>
      <c r="H44" s="12">
        <v>0.24399999999999999</v>
      </c>
      <c r="I44" s="12">
        <v>1063.452</v>
      </c>
      <c r="J44" s="12">
        <v>132.958</v>
      </c>
      <c r="K44" s="12">
        <v>20.744</v>
      </c>
      <c r="L44" s="12">
        <v>37.594999999999999</v>
      </c>
      <c r="M44" s="12">
        <v>2328.8649999999998</v>
      </c>
      <c r="N44" s="13">
        <v>2793.4870000000001</v>
      </c>
      <c r="O44" s="11">
        <v>318.64600000000002</v>
      </c>
      <c r="P44" s="12">
        <v>0.32800000000000001</v>
      </c>
      <c r="Q44" s="12">
        <v>708.01400000000001</v>
      </c>
      <c r="R44" s="12">
        <v>276.79199999999997</v>
      </c>
      <c r="S44" s="12">
        <v>19.841000000000001</v>
      </c>
      <c r="T44" s="12">
        <v>38.475000000000001</v>
      </c>
      <c r="U44" s="12">
        <v>2103.1579999999999</v>
      </c>
      <c r="V44" s="13">
        <v>2302.654</v>
      </c>
      <c r="W44" s="241">
        <f t="shared" si="118"/>
        <v>1.5833285040348267E-4</v>
      </c>
      <c r="X44" s="6">
        <f t="shared" si="119"/>
        <v>6.0283896523332971E-2</v>
      </c>
      <c r="Y44" s="6">
        <f t="shared" si="120"/>
        <v>2.1411107533009558E-4</v>
      </c>
      <c r="Z44" s="6">
        <f t="shared" si="121"/>
        <v>2.3494405131243788E-5</v>
      </c>
      <c r="AA44" s="6">
        <f t="shared" si="122"/>
        <v>6.0283896523332971E-2</v>
      </c>
      <c r="AB44" s="6">
        <f t="shared" si="123"/>
        <v>1.4821069865784211E-2</v>
      </c>
      <c r="AC44" s="6">
        <f t="shared" si="124"/>
        <v>1.4821069865784211E-2</v>
      </c>
      <c r="AD44" s="6">
        <f t="shared" si="125"/>
        <v>1.0102467383063219E-2</v>
      </c>
      <c r="AE44" s="6">
        <f t="shared" si="126"/>
        <v>1.2825592308355692E-2</v>
      </c>
      <c r="AF44" s="27">
        <f t="shared" si="127"/>
        <v>1.2825592308355692E-2</v>
      </c>
      <c r="AG44" s="26">
        <f t="shared" si="128"/>
        <v>1.1260841800944763E-2</v>
      </c>
      <c r="AH44" s="6">
        <f t="shared" si="129"/>
        <v>7.0362544115245063E-2</v>
      </c>
      <c r="AI44" s="6">
        <f t="shared" si="130"/>
        <v>2.5125592733218232E-4</v>
      </c>
      <c r="AJ44" s="6">
        <f t="shared" si="131"/>
        <v>4.9450241733509514E-5</v>
      </c>
      <c r="AK44" s="6">
        <f t="shared" si="132"/>
        <v>7.0362544115245063E-2</v>
      </c>
      <c r="AL44" s="6">
        <f t="shared" si="133"/>
        <v>2.3704752786364042E-2</v>
      </c>
      <c r="AM44" s="6">
        <f t="shared" si="134"/>
        <v>2.3704752786364042E-2</v>
      </c>
      <c r="AN44" s="6">
        <f t="shared" si="135"/>
        <v>1.4883540638521172E-2</v>
      </c>
      <c r="AO44" s="6">
        <f t="shared" si="136"/>
        <v>1.7284527085060265E-2</v>
      </c>
      <c r="AP44" s="27">
        <f t="shared" si="137"/>
        <v>1.7284527085060265E-2</v>
      </c>
      <c r="AQ44" s="241">
        <f t="shared" si="138"/>
        <v>8.5999999999999993E-2</v>
      </c>
      <c r="AR44" s="6">
        <f t="shared" si="139"/>
        <v>0.11799999999999999</v>
      </c>
      <c r="AS44" s="6">
        <f t="shared" si="140"/>
        <v>0.10199999999999999</v>
      </c>
      <c r="AT44" s="137">
        <f t="shared" si="141"/>
        <v>0.56999999999999995</v>
      </c>
      <c r="AU44" s="137">
        <f t="shared" si="142"/>
        <v>0.79</v>
      </c>
      <c r="AV44" s="137">
        <f t="shared" si="143"/>
        <v>0.68</v>
      </c>
      <c r="AW44" s="138">
        <f t="shared" si="144"/>
        <v>5</v>
      </c>
      <c r="AX44" s="138">
        <f t="shared" si="145"/>
        <v>4</v>
      </c>
      <c r="AY44" s="242">
        <f t="shared" si="146"/>
        <v>4</v>
      </c>
    </row>
    <row r="45" spans="1:51" ht="13.15" customHeight="1">
      <c r="A45" s="149">
        <v>10562</v>
      </c>
      <c r="B45" s="68" t="s">
        <v>192</v>
      </c>
      <c r="C45" s="238" t="str">
        <f>Rollover!A45</f>
        <v>Nissan</v>
      </c>
      <c r="D45" s="239" t="str">
        <f>Rollover!B45</f>
        <v>Armada SUV RWD</v>
      </c>
      <c r="E45" s="136" t="s">
        <v>160</v>
      </c>
      <c r="F45" s="240">
        <f>Rollover!C45</f>
        <v>2019</v>
      </c>
      <c r="G45" s="11">
        <v>383.53699999999998</v>
      </c>
      <c r="H45" s="12">
        <v>0.35499999999999998</v>
      </c>
      <c r="I45" s="12">
        <v>1952.6010000000001</v>
      </c>
      <c r="J45" s="12">
        <v>422.40300000000002</v>
      </c>
      <c r="K45" s="12">
        <v>36.606999999999999</v>
      </c>
      <c r="L45" s="12">
        <v>43.747</v>
      </c>
      <c r="M45" s="12">
        <v>4373.2269999999999</v>
      </c>
      <c r="N45" s="13">
        <v>2895.462</v>
      </c>
      <c r="O45" s="11">
        <v>285.30500000000001</v>
      </c>
      <c r="P45" s="12">
        <v>0.36899999999999999</v>
      </c>
      <c r="Q45" s="12">
        <v>969.86300000000006</v>
      </c>
      <c r="R45" s="12">
        <v>344.846</v>
      </c>
      <c r="S45" s="12">
        <v>29.405000000000001</v>
      </c>
      <c r="T45" s="12">
        <v>50.031999999999996</v>
      </c>
      <c r="U45" s="12">
        <v>2008.404</v>
      </c>
      <c r="V45" s="13">
        <v>2376.9679999999998</v>
      </c>
      <c r="W45" s="241">
        <f t="shared" si="118"/>
        <v>2.1129243572108911E-2</v>
      </c>
      <c r="X45" s="6">
        <f t="shared" si="119"/>
        <v>7.3920081919059202E-2</v>
      </c>
      <c r="Y45" s="6">
        <f t="shared" si="120"/>
        <v>1.7663490683199952E-3</v>
      </c>
      <c r="Z45" s="6">
        <f t="shared" si="121"/>
        <v>4.671993568609608E-5</v>
      </c>
      <c r="AA45" s="6">
        <f t="shared" si="122"/>
        <v>7.3920081919059202E-2</v>
      </c>
      <c r="AB45" s="6">
        <f t="shared" si="123"/>
        <v>9.1496326935683672E-2</v>
      </c>
      <c r="AC45" s="6">
        <f t="shared" si="124"/>
        <v>9.1496326935683672E-2</v>
      </c>
      <c r="AD45" s="6">
        <f t="shared" si="125"/>
        <v>2.8676788338520276E-2</v>
      </c>
      <c r="AE45" s="6">
        <f t="shared" si="126"/>
        <v>1.351406670828811E-2</v>
      </c>
      <c r="AF45" s="27">
        <f t="shared" si="127"/>
        <v>2.8676788338520276E-2</v>
      </c>
      <c r="AG45" s="26">
        <f t="shared" si="128"/>
        <v>7.532544019244798E-3</v>
      </c>
      <c r="AH45" s="6">
        <f t="shared" si="129"/>
        <v>7.5829246273351331E-2</v>
      </c>
      <c r="AI45" s="6">
        <f t="shared" si="130"/>
        <v>6.739930825941634E-4</v>
      </c>
      <c r="AJ45" s="6">
        <f t="shared" si="131"/>
        <v>6.3912570492021971E-5</v>
      </c>
      <c r="AK45" s="6">
        <f t="shared" si="132"/>
        <v>7.5829246273351331E-2</v>
      </c>
      <c r="AL45" s="6">
        <f t="shared" si="133"/>
        <v>8.6291914122943264E-2</v>
      </c>
      <c r="AM45" s="6">
        <f t="shared" si="134"/>
        <v>8.6291914122943264E-2</v>
      </c>
      <c r="AN45" s="6">
        <f t="shared" si="135"/>
        <v>1.3861289573490016E-2</v>
      </c>
      <c r="AO45" s="6">
        <f t="shared" si="136"/>
        <v>1.8273011199532486E-2</v>
      </c>
      <c r="AP45" s="27">
        <f t="shared" si="137"/>
        <v>1.8273011199532486E-2</v>
      </c>
      <c r="AQ45" s="241">
        <f t="shared" si="138"/>
        <v>0.2</v>
      </c>
      <c r="AR45" s="6">
        <f t="shared" si="139"/>
        <v>0.17699999999999999</v>
      </c>
      <c r="AS45" s="6">
        <f t="shared" si="140"/>
        <v>0.189</v>
      </c>
      <c r="AT45" s="137">
        <f t="shared" si="141"/>
        <v>1.33</v>
      </c>
      <c r="AU45" s="137">
        <f t="shared" si="142"/>
        <v>1.18</v>
      </c>
      <c r="AV45" s="137">
        <f t="shared" si="143"/>
        <v>1.26</v>
      </c>
      <c r="AW45" s="138">
        <f t="shared" si="144"/>
        <v>2</v>
      </c>
      <c r="AX45" s="138">
        <f t="shared" si="145"/>
        <v>3</v>
      </c>
      <c r="AY45" s="242">
        <f t="shared" si="146"/>
        <v>3</v>
      </c>
    </row>
    <row r="46" spans="1:51" ht="13.15" customHeight="1">
      <c r="A46" s="161">
        <v>10562</v>
      </c>
      <c r="B46" s="44" t="s">
        <v>192</v>
      </c>
      <c r="C46" s="238" t="str">
        <f>Rollover!A46</f>
        <v>Nissan</v>
      </c>
      <c r="D46" s="239" t="str">
        <f>Rollover!B46</f>
        <v>Armada SUV AWD</v>
      </c>
      <c r="E46" s="136" t="s">
        <v>160</v>
      </c>
      <c r="F46" s="240">
        <f>Rollover!C46</f>
        <v>2019</v>
      </c>
      <c r="G46" s="19">
        <v>383.53699999999998</v>
      </c>
      <c r="H46" s="20">
        <v>0.35499999999999998</v>
      </c>
      <c r="I46" s="20">
        <v>1952.6010000000001</v>
      </c>
      <c r="J46" s="20">
        <v>422.40300000000002</v>
      </c>
      <c r="K46" s="20">
        <v>36.606999999999999</v>
      </c>
      <c r="L46" s="20">
        <v>43.747</v>
      </c>
      <c r="M46" s="20">
        <v>4373.2269999999999</v>
      </c>
      <c r="N46" s="21">
        <v>2895.462</v>
      </c>
      <c r="O46" s="19">
        <v>285.30500000000001</v>
      </c>
      <c r="P46" s="20">
        <v>0.36899999999999999</v>
      </c>
      <c r="Q46" s="20">
        <v>969.86300000000006</v>
      </c>
      <c r="R46" s="20">
        <v>344.846</v>
      </c>
      <c r="S46" s="20">
        <v>29.405000000000001</v>
      </c>
      <c r="T46" s="20">
        <v>50.031999999999996</v>
      </c>
      <c r="U46" s="20">
        <v>2008.404</v>
      </c>
      <c r="V46" s="21">
        <v>2376.9679999999998</v>
      </c>
      <c r="W46" s="241">
        <f t="shared" si="118"/>
        <v>2.1129243572108911E-2</v>
      </c>
      <c r="X46" s="6">
        <f t="shared" si="119"/>
        <v>7.3920081919059202E-2</v>
      </c>
      <c r="Y46" s="6">
        <f t="shared" si="120"/>
        <v>1.7663490683199952E-3</v>
      </c>
      <c r="Z46" s="6">
        <f t="shared" si="121"/>
        <v>4.671993568609608E-5</v>
      </c>
      <c r="AA46" s="6">
        <f t="shared" si="122"/>
        <v>7.3920081919059202E-2</v>
      </c>
      <c r="AB46" s="6">
        <f t="shared" si="123"/>
        <v>9.1496326935683672E-2</v>
      </c>
      <c r="AC46" s="6">
        <f t="shared" si="124"/>
        <v>9.1496326935683672E-2</v>
      </c>
      <c r="AD46" s="6">
        <f t="shared" si="125"/>
        <v>2.8676788338520276E-2</v>
      </c>
      <c r="AE46" s="6">
        <f t="shared" si="126"/>
        <v>1.351406670828811E-2</v>
      </c>
      <c r="AF46" s="27">
        <f t="shared" si="127"/>
        <v>2.8676788338520276E-2</v>
      </c>
      <c r="AG46" s="26">
        <f t="shared" si="128"/>
        <v>7.532544019244798E-3</v>
      </c>
      <c r="AH46" s="6">
        <f t="shared" si="129"/>
        <v>7.5829246273351331E-2</v>
      </c>
      <c r="AI46" s="6">
        <f t="shared" si="130"/>
        <v>6.739930825941634E-4</v>
      </c>
      <c r="AJ46" s="6">
        <f t="shared" si="131"/>
        <v>6.3912570492021971E-5</v>
      </c>
      <c r="AK46" s="6">
        <f t="shared" si="132"/>
        <v>7.5829246273351331E-2</v>
      </c>
      <c r="AL46" s="6">
        <f t="shared" si="133"/>
        <v>8.6291914122943264E-2</v>
      </c>
      <c r="AM46" s="6">
        <f t="shared" si="134"/>
        <v>8.6291914122943264E-2</v>
      </c>
      <c r="AN46" s="6">
        <f t="shared" si="135"/>
        <v>1.3861289573490016E-2</v>
      </c>
      <c r="AO46" s="6">
        <f t="shared" si="136"/>
        <v>1.8273011199532486E-2</v>
      </c>
      <c r="AP46" s="27">
        <f t="shared" si="137"/>
        <v>1.8273011199532486E-2</v>
      </c>
      <c r="AQ46" s="241">
        <f t="shared" si="138"/>
        <v>0.2</v>
      </c>
      <c r="AR46" s="6">
        <f t="shared" si="139"/>
        <v>0.17699999999999999</v>
      </c>
      <c r="AS46" s="6">
        <f t="shared" si="140"/>
        <v>0.189</v>
      </c>
      <c r="AT46" s="137">
        <f t="shared" si="141"/>
        <v>1.33</v>
      </c>
      <c r="AU46" s="137">
        <f t="shared" si="142"/>
        <v>1.18</v>
      </c>
      <c r="AV46" s="137">
        <f t="shared" si="143"/>
        <v>1.26</v>
      </c>
      <c r="AW46" s="138">
        <f t="shared" si="144"/>
        <v>2</v>
      </c>
      <c r="AX46" s="138">
        <f t="shared" si="145"/>
        <v>3</v>
      </c>
      <c r="AY46" s="242">
        <f t="shared" si="146"/>
        <v>3</v>
      </c>
    </row>
    <row r="47" spans="1:51" ht="13.15" customHeight="1">
      <c r="A47" s="149">
        <v>10562</v>
      </c>
      <c r="B47" s="68" t="s">
        <v>192</v>
      </c>
      <c r="C47" s="243" t="str">
        <f>Rollover!A47</f>
        <v>Infiniti</v>
      </c>
      <c r="D47" s="244" t="str">
        <f>Rollover!B47</f>
        <v>QX80 SUV RWD</v>
      </c>
      <c r="E47" s="136" t="s">
        <v>160</v>
      </c>
      <c r="F47" s="240">
        <f>Rollover!C47</f>
        <v>2019</v>
      </c>
      <c r="G47" s="11">
        <v>383.53699999999998</v>
      </c>
      <c r="H47" s="12">
        <v>0.35499999999999998</v>
      </c>
      <c r="I47" s="12">
        <v>1952.6010000000001</v>
      </c>
      <c r="J47" s="12">
        <v>422.40300000000002</v>
      </c>
      <c r="K47" s="12">
        <v>36.606999999999999</v>
      </c>
      <c r="L47" s="12">
        <v>43.747</v>
      </c>
      <c r="M47" s="12">
        <v>4373.2269999999999</v>
      </c>
      <c r="N47" s="13">
        <v>2895.462</v>
      </c>
      <c r="O47" s="11">
        <v>285.30500000000001</v>
      </c>
      <c r="P47" s="12">
        <v>0.36899999999999999</v>
      </c>
      <c r="Q47" s="12">
        <v>969.86300000000006</v>
      </c>
      <c r="R47" s="12">
        <v>344.846</v>
      </c>
      <c r="S47" s="12">
        <v>29.405000000000001</v>
      </c>
      <c r="T47" s="12">
        <v>50.031999999999996</v>
      </c>
      <c r="U47" s="12">
        <v>2008.404</v>
      </c>
      <c r="V47" s="13">
        <v>2376.9679999999998</v>
      </c>
      <c r="W47" s="241">
        <f t="shared" si="118"/>
        <v>2.1129243572108911E-2</v>
      </c>
      <c r="X47" s="6">
        <f t="shared" si="119"/>
        <v>7.3920081919059202E-2</v>
      </c>
      <c r="Y47" s="6">
        <f t="shared" si="120"/>
        <v>1.7663490683199952E-3</v>
      </c>
      <c r="Z47" s="6">
        <f t="shared" si="121"/>
        <v>4.671993568609608E-5</v>
      </c>
      <c r="AA47" s="6">
        <f t="shared" si="122"/>
        <v>7.3920081919059202E-2</v>
      </c>
      <c r="AB47" s="6">
        <f t="shared" si="123"/>
        <v>9.1496326935683672E-2</v>
      </c>
      <c r="AC47" s="6">
        <f t="shared" si="124"/>
        <v>9.1496326935683672E-2</v>
      </c>
      <c r="AD47" s="6">
        <f t="shared" si="125"/>
        <v>2.8676788338520276E-2</v>
      </c>
      <c r="AE47" s="6">
        <f t="shared" si="126"/>
        <v>1.351406670828811E-2</v>
      </c>
      <c r="AF47" s="27">
        <f t="shared" si="127"/>
        <v>2.8676788338520276E-2</v>
      </c>
      <c r="AG47" s="26">
        <f t="shared" si="128"/>
        <v>7.532544019244798E-3</v>
      </c>
      <c r="AH47" s="6">
        <f t="shared" si="129"/>
        <v>7.5829246273351331E-2</v>
      </c>
      <c r="AI47" s="6">
        <f t="shared" si="130"/>
        <v>6.739930825941634E-4</v>
      </c>
      <c r="AJ47" s="6">
        <f t="shared" si="131"/>
        <v>6.3912570492021971E-5</v>
      </c>
      <c r="AK47" s="6">
        <f t="shared" si="132"/>
        <v>7.5829246273351331E-2</v>
      </c>
      <c r="AL47" s="6">
        <f t="shared" si="133"/>
        <v>8.6291914122943264E-2</v>
      </c>
      <c r="AM47" s="6">
        <f t="shared" si="134"/>
        <v>8.6291914122943264E-2</v>
      </c>
      <c r="AN47" s="6">
        <f t="shared" si="135"/>
        <v>1.3861289573490016E-2</v>
      </c>
      <c r="AO47" s="6">
        <f t="shared" si="136"/>
        <v>1.8273011199532486E-2</v>
      </c>
      <c r="AP47" s="27">
        <f t="shared" si="137"/>
        <v>1.8273011199532486E-2</v>
      </c>
      <c r="AQ47" s="241">
        <f t="shared" si="138"/>
        <v>0.2</v>
      </c>
      <c r="AR47" s="6">
        <f t="shared" si="139"/>
        <v>0.17699999999999999</v>
      </c>
      <c r="AS47" s="6">
        <f t="shared" si="140"/>
        <v>0.189</v>
      </c>
      <c r="AT47" s="137">
        <f t="shared" si="141"/>
        <v>1.33</v>
      </c>
      <c r="AU47" s="137">
        <f t="shared" si="142"/>
        <v>1.18</v>
      </c>
      <c r="AV47" s="137">
        <f t="shared" si="143"/>
        <v>1.26</v>
      </c>
      <c r="AW47" s="138">
        <f t="shared" si="144"/>
        <v>2</v>
      </c>
      <c r="AX47" s="138">
        <f t="shared" si="145"/>
        <v>3</v>
      </c>
      <c r="AY47" s="242">
        <f t="shared" si="146"/>
        <v>3</v>
      </c>
    </row>
    <row r="48" spans="1:51">
      <c r="A48" s="161">
        <v>10562</v>
      </c>
      <c r="B48" s="44" t="s">
        <v>192</v>
      </c>
      <c r="C48" s="243" t="str">
        <f>Rollover!A48</f>
        <v>Infiniti</v>
      </c>
      <c r="D48" s="244" t="str">
        <f>Rollover!B48</f>
        <v>QX80 SUV AWD</v>
      </c>
      <c r="E48" s="136" t="s">
        <v>160</v>
      </c>
      <c r="F48" s="240">
        <f>Rollover!C48</f>
        <v>2019</v>
      </c>
      <c r="G48" s="19">
        <v>383.53699999999998</v>
      </c>
      <c r="H48" s="20">
        <v>0.35499999999999998</v>
      </c>
      <c r="I48" s="20">
        <v>1952.6010000000001</v>
      </c>
      <c r="J48" s="20">
        <v>422.40300000000002</v>
      </c>
      <c r="K48" s="20">
        <v>36.606999999999999</v>
      </c>
      <c r="L48" s="20">
        <v>43.747</v>
      </c>
      <c r="M48" s="20">
        <v>4373.2269999999999</v>
      </c>
      <c r="N48" s="21">
        <v>2895.462</v>
      </c>
      <c r="O48" s="19">
        <v>285.30500000000001</v>
      </c>
      <c r="P48" s="20">
        <v>0.36899999999999999</v>
      </c>
      <c r="Q48" s="20">
        <v>969.86300000000006</v>
      </c>
      <c r="R48" s="20">
        <v>344.846</v>
      </c>
      <c r="S48" s="20">
        <v>29.405000000000001</v>
      </c>
      <c r="T48" s="20">
        <v>50.031999999999996</v>
      </c>
      <c r="U48" s="20">
        <v>2008.404</v>
      </c>
      <c r="V48" s="21">
        <v>2376.9679999999998</v>
      </c>
      <c r="W48" s="241">
        <f t="shared" si="118"/>
        <v>2.1129243572108911E-2</v>
      </c>
      <c r="X48" s="6">
        <f t="shared" si="119"/>
        <v>7.3920081919059202E-2</v>
      </c>
      <c r="Y48" s="6">
        <f t="shared" si="120"/>
        <v>1.7663490683199952E-3</v>
      </c>
      <c r="Z48" s="6">
        <f t="shared" si="121"/>
        <v>4.671993568609608E-5</v>
      </c>
      <c r="AA48" s="6">
        <f t="shared" si="122"/>
        <v>7.3920081919059202E-2</v>
      </c>
      <c r="AB48" s="6">
        <f t="shared" si="123"/>
        <v>9.1496326935683672E-2</v>
      </c>
      <c r="AC48" s="6">
        <f t="shared" si="124"/>
        <v>9.1496326935683672E-2</v>
      </c>
      <c r="AD48" s="6">
        <f t="shared" si="125"/>
        <v>2.8676788338520276E-2</v>
      </c>
      <c r="AE48" s="6">
        <f t="shared" si="126"/>
        <v>1.351406670828811E-2</v>
      </c>
      <c r="AF48" s="27">
        <f t="shared" si="127"/>
        <v>2.8676788338520276E-2</v>
      </c>
      <c r="AG48" s="26">
        <f t="shared" si="128"/>
        <v>7.532544019244798E-3</v>
      </c>
      <c r="AH48" s="6">
        <f t="shared" si="129"/>
        <v>7.5829246273351331E-2</v>
      </c>
      <c r="AI48" s="6">
        <f t="shared" si="130"/>
        <v>6.739930825941634E-4</v>
      </c>
      <c r="AJ48" s="6">
        <f t="shared" si="131"/>
        <v>6.3912570492021971E-5</v>
      </c>
      <c r="AK48" s="6">
        <f t="shared" si="132"/>
        <v>7.5829246273351331E-2</v>
      </c>
      <c r="AL48" s="6">
        <f t="shared" si="133"/>
        <v>8.6291914122943264E-2</v>
      </c>
      <c r="AM48" s="6">
        <f t="shared" si="134"/>
        <v>8.6291914122943264E-2</v>
      </c>
      <c r="AN48" s="6">
        <f t="shared" si="135"/>
        <v>1.3861289573490016E-2</v>
      </c>
      <c r="AO48" s="6">
        <f t="shared" si="136"/>
        <v>1.8273011199532486E-2</v>
      </c>
      <c r="AP48" s="27">
        <f t="shared" si="137"/>
        <v>1.8273011199532486E-2</v>
      </c>
      <c r="AQ48" s="241">
        <f t="shared" si="138"/>
        <v>0.2</v>
      </c>
      <c r="AR48" s="6">
        <f t="shared" si="139"/>
        <v>0.17699999999999999</v>
      </c>
      <c r="AS48" s="6">
        <f t="shared" si="140"/>
        <v>0.189</v>
      </c>
      <c r="AT48" s="137">
        <f t="shared" si="141"/>
        <v>1.33</v>
      </c>
      <c r="AU48" s="137">
        <f t="shared" si="142"/>
        <v>1.18</v>
      </c>
      <c r="AV48" s="137">
        <f t="shared" si="143"/>
        <v>1.26</v>
      </c>
      <c r="AW48" s="138">
        <f t="shared" si="144"/>
        <v>2</v>
      </c>
      <c r="AX48" s="138">
        <f t="shared" si="145"/>
        <v>3</v>
      </c>
      <c r="AY48" s="242">
        <f t="shared" si="146"/>
        <v>3</v>
      </c>
    </row>
    <row r="49" spans="1:51" ht="13.15" customHeight="1">
      <c r="A49" s="52">
        <v>10050</v>
      </c>
      <c r="B49" s="52" t="s">
        <v>166</v>
      </c>
      <c r="C49" s="238" t="str">
        <f>Rollover!A49</f>
        <v>Nissan</v>
      </c>
      <c r="D49" s="239" t="str">
        <f>Rollover!B49</f>
        <v>Frontier Crew Cab PU/CC RWD</v>
      </c>
      <c r="E49" s="136" t="s">
        <v>163</v>
      </c>
      <c r="F49" s="240">
        <f>Rollover!C49</f>
        <v>2019</v>
      </c>
      <c r="G49" s="19">
        <v>329.03199999999998</v>
      </c>
      <c r="H49" s="20">
        <v>0.40699999999999997</v>
      </c>
      <c r="I49" s="20">
        <v>2459.3629999999998</v>
      </c>
      <c r="J49" s="20">
        <v>320.10300000000001</v>
      </c>
      <c r="K49" s="20">
        <v>31.63</v>
      </c>
      <c r="L49" s="20">
        <v>46.77</v>
      </c>
      <c r="M49" s="20">
        <v>5435.5119999999997</v>
      </c>
      <c r="N49" s="21">
        <v>2915.3130000000001</v>
      </c>
      <c r="O49" s="19">
        <v>473.25200000000001</v>
      </c>
      <c r="P49" s="20">
        <v>0.60499999999999998</v>
      </c>
      <c r="Q49" s="20">
        <v>1180.731</v>
      </c>
      <c r="R49" s="20">
        <v>427.25299999999999</v>
      </c>
      <c r="S49" s="20">
        <v>22.082000000000001</v>
      </c>
      <c r="T49" s="20">
        <v>44.920999999999999</v>
      </c>
      <c r="U49" s="20">
        <v>3397.9209999999998</v>
      </c>
      <c r="V49" s="21">
        <v>2069.703</v>
      </c>
      <c r="W49" s="241">
        <f t="shared" si="118"/>
        <v>1.2607013960937271E-2</v>
      </c>
      <c r="X49" s="6">
        <f t="shared" si="119"/>
        <v>8.1241403103101392E-2</v>
      </c>
      <c r="Y49" s="6">
        <f t="shared" si="120"/>
        <v>5.8612559318914279E-3</v>
      </c>
      <c r="Z49" s="6">
        <f t="shared" si="121"/>
        <v>3.6642858017865822E-5</v>
      </c>
      <c r="AA49" s="6">
        <f t="shared" si="122"/>
        <v>8.1241403103101392E-2</v>
      </c>
      <c r="AB49" s="6">
        <f t="shared" si="123"/>
        <v>5.5555737780133764E-2</v>
      </c>
      <c r="AC49" s="6">
        <f t="shared" si="124"/>
        <v>5.5555737780133764E-2</v>
      </c>
      <c r="AD49" s="6">
        <f t="shared" si="125"/>
        <v>4.8771510040299081E-2</v>
      </c>
      <c r="AE49" s="6">
        <f t="shared" si="126"/>
        <v>1.3652267123714456E-2</v>
      </c>
      <c r="AF49" s="27">
        <f t="shared" si="127"/>
        <v>4.8771510040299081E-2</v>
      </c>
      <c r="AG49" s="26">
        <f t="shared" si="128"/>
        <v>4.0326062595323946E-2</v>
      </c>
      <c r="AH49" s="6">
        <f t="shared" si="129"/>
        <v>0.11549754651711759</v>
      </c>
      <c r="AI49" s="6">
        <f t="shared" si="130"/>
        <v>1.4912560924109652E-3</v>
      </c>
      <c r="AJ49" s="6">
        <f t="shared" si="131"/>
        <v>8.7196759401976967E-5</v>
      </c>
      <c r="AK49" s="6">
        <f t="shared" si="132"/>
        <v>0.11549754651711759</v>
      </c>
      <c r="AL49" s="6">
        <f t="shared" si="133"/>
        <v>3.3160672646004398E-2</v>
      </c>
      <c r="AM49" s="6">
        <f t="shared" si="134"/>
        <v>3.3160672646004398E-2</v>
      </c>
      <c r="AN49" s="6">
        <f t="shared" si="135"/>
        <v>3.8939657647438175E-2</v>
      </c>
      <c r="AO49" s="6">
        <f t="shared" si="136"/>
        <v>1.4514399574321763E-2</v>
      </c>
      <c r="AP49" s="27">
        <f t="shared" si="137"/>
        <v>3.8939657647438175E-2</v>
      </c>
      <c r="AQ49" s="241">
        <f t="shared" si="138"/>
        <v>0.185</v>
      </c>
      <c r="AR49" s="6">
        <f t="shared" si="139"/>
        <v>0.21099999999999999</v>
      </c>
      <c r="AS49" s="6">
        <f t="shared" si="140"/>
        <v>0.19800000000000001</v>
      </c>
      <c r="AT49" s="137">
        <f t="shared" si="141"/>
        <v>1.23</v>
      </c>
      <c r="AU49" s="137">
        <f t="shared" si="142"/>
        <v>1.41</v>
      </c>
      <c r="AV49" s="137">
        <f t="shared" si="143"/>
        <v>1.32</v>
      </c>
      <c r="AW49" s="138">
        <f t="shared" si="144"/>
        <v>3</v>
      </c>
      <c r="AX49" s="138">
        <f t="shared" si="145"/>
        <v>2</v>
      </c>
      <c r="AY49" s="242">
        <f t="shared" si="146"/>
        <v>3</v>
      </c>
    </row>
    <row r="50" spans="1:51" ht="13.15" customHeight="1">
      <c r="A50" s="52">
        <v>10050</v>
      </c>
      <c r="B50" s="52" t="s">
        <v>166</v>
      </c>
      <c r="C50" s="238" t="str">
        <f>Rollover!A50</f>
        <v>Nissan</v>
      </c>
      <c r="D50" s="239" t="str">
        <f>Rollover!B50</f>
        <v>Frontier Crew Cab PU/CC AWD</v>
      </c>
      <c r="E50" s="136" t="s">
        <v>163</v>
      </c>
      <c r="F50" s="240">
        <f>Rollover!C50</f>
        <v>2019</v>
      </c>
      <c r="G50" s="11">
        <v>329.03199999999998</v>
      </c>
      <c r="H50" s="12">
        <v>0.40699999999999997</v>
      </c>
      <c r="I50" s="12">
        <v>2459.3629999999998</v>
      </c>
      <c r="J50" s="12">
        <v>320.10300000000001</v>
      </c>
      <c r="K50" s="12">
        <v>31.63</v>
      </c>
      <c r="L50" s="12">
        <v>46.77</v>
      </c>
      <c r="M50" s="12">
        <v>5435.5119999999997</v>
      </c>
      <c r="N50" s="13">
        <v>2915.3130000000001</v>
      </c>
      <c r="O50" s="11">
        <v>473.25200000000001</v>
      </c>
      <c r="P50" s="12">
        <v>0.60499999999999998</v>
      </c>
      <c r="Q50" s="12">
        <v>1180.731</v>
      </c>
      <c r="R50" s="12">
        <v>427.25299999999999</v>
      </c>
      <c r="S50" s="12">
        <v>22.082000000000001</v>
      </c>
      <c r="T50" s="12">
        <v>44.920999999999999</v>
      </c>
      <c r="U50" s="12">
        <v>3397.9209999999998</v>
      </c>
      <c r="V50" s="13">
        <v>2069.703</v>
      </c>
      <c r="W50" s="241">
        <f t="shared" si="118"/>
        <v>1.2607013960937271E-2</v>
      </c>
      <c r="X50" s="6">
        <f t="shared" si="119"/>
        <v>8.1241403103101392E-2</v>
      </c>
      <c r="Y50" s="6">
        <f t="shared" si="120"/>
        <v>5.8612559318914279E-3</v>
      </c>
      <c r="Z50" s="6">
        <f t="shared" si="121"/>
        <v>3.6642858017865822E-5</v>
      </c>
      <c r="AA50" s="6">
        <f t="shared" si="122"/>
        <v>8.1241403103101392E-2</v>
      </c>
      <c r="AB50" s="6">
        <f t="shared" si="123"/>
        <v>5.5555737780133764E-2</v>
      </c>
      <c r="AC50" s="6">
        <f t="shared" si="124"/>
        <v>5.5555737780133764E-2</v>
      </c>
      <c r="AD50" s="6">
        <f t="shared" si="125"/>
        <v>4.8771510040299081E-2</v>
      </c>
      <c r="AE50" s="6">
        <f t="shared" si="126"/>
        <v>1.3652267123714456E-2</v>
      </c>
      <c r="AF50" s="27">
        <f t="shared" si="127"/>
        <v>4.8771510040299081E-2</v>
      </c>
      <c r="AG50" s="26">
        <f t="shared" si="128"/>
        <v>4.0326062595323946E-2</v>
      </c>
      <c r="AH50" s="6">
        <f t="shared" si="129"/>
        <v>0.11549754651711759</v>
      </c>
      <c r="AI50" s="6">
        <f t="shared" si="130"/>
        <v>1.4912560924109652E-3</v>
      </c>
      <c r="AJ50" s="6">
        <f t="shared" si="131"/>
        <v>8.7196759401976967E-5</v>
      </c>
      <c r="AK50" s="6">
        <f t="shared" si="132"/>
        <v>0.11549754651711759</v>
      </c>
      <c r="AL50" s="6">
        <f t="shared" si="133"/>
        <v>3.3160672646004398E-2</v>
      </c>
      <c r="AM50" s="6">
        <f t="shared" si="134"/>
        <v>3.3160672646004398E-2</v>
      </c>
      <c r="AN50" s="6">
        <f t="shared" si="135"/>
        <v>3.8939657647438175E-2</v>
      </c>
      <c r="AO50" s="6">
        <f t="shared" si="136"/>
        <v>1.4514399574321763E-2</v>
      </c>
      <c r="AP50" s="27">
        <f t="shared" si="137"/>
        <v>3.8939657647438175E-2</v>
      </c>
      <c r="AQ50" s="241">
        <f t="shared" si="138"/>
        <v>0.185</v>
      </c>
      <c r="AR50" s="6">
        <f t="shared" si="139"/>
        <v>0.21099999999999999</v>
      </c>
      <c r="AS50" s="6">
        <f t="shared" si="140"/>
        <v>0.19800000000000001</v>
      </c>
      <c r="AT50" s="137">
        <f t="shared" si="141"/>
        <v>1.23</v>
      </c>
      <c r="AU50" s="137">
        <f t="shared" si="142"/>
        <v>1.41</v>
      </c>
      <c r="AV50" s="137">
        <f t="shared" si="143"/>
        <v>1.32</v>
      </c>
      <c r="AW50" s="138">
        <f t="shared" si="144"/>
        <v>3</v>
      </c>
      <c r="AX50" s="138">
        <f t="shared" si="145"/>
        <v>2</v>
      </c>
      <c r="AY50" s="242">
        <f t="shared" si="146"/>
        <v>3</v>
      </c>
    </row>
    <row r="51" spans="1:51" ht="13.15" customHeight="1">
      <c r="A51" s="161">
        <v>10712</v>
      </c>
      <c r="B51" s="44" t="s">
        <v>263</v>
      </c>
      <c r="C51" s="238" t="str">
        <f>Rollover!A51</f>
        <v>Nissan</v>
      </c>
      <c r="D51" s="239" t="str">
        <f>Rollover!B51</f>
        <v>Kicks SUV FWD</v>
      </c>
      <c r="E51" s="136" t="s">
        <v>163</v>
      </c>
      <c r="F51" s="240">
        <f>Rollover!C51</f>
        <v>2019</v>
      </c>
      <c r="G51" s="11">
        <v>224.29</v>
      </c>
      <c r="H51" s="12">
        <v>0.28799999999999998</v>
      </c>
      <c r="I51" s="12">
        <v>1631.586</v>
      </c>
      <c r="J51" s="12">
        <v>335.60500000000002</v>
      </c>
      <c r="K51" s="12">
        <v>23.515000000000001</v>
      </c>
      <c r="L51" s="12">
        <v>45.420999999999999</v>
      </c>
      <c r="M51" s="12">
        <v>856.8</v>
      </c>
      <c r="N51" s="13">
        <v>741.70600000000002</v>
      </c>
      <c r="O51" s="11">
        <v>197.71100000000001</v>
      </c>
      <c r="P51" s="12">
        <v>0.59099999999999997</v>
      </c>
      <c r="Q51" s="12">
        <v>1278.625</v>
      </c>
      <c r="R51" s="12">
        <v>871.29200000000003</v>
      </c>
      <c r="S51" s="12">
        <v>11.244999999999999</v>
      </c>
      <c r="T51" s="12">
        <v>57.2</v>
      </c>
      <c r="U51" s="12">
        <v>1302.777</v>
      </c>
      <c r="V51" s="13">
        <v>1753.75</v>
      </c>
      <c r="W51" s="241">
        <f t="shared" si="118"/>
        <v>2.9258279938182558E-3</v>
      </c>
      <c r="X51" s="6">
        <f t="shared" si="119"/>
        <v>6.5382323773201578E-2</v>
      </c>
      <c r="Y51" s="6">
        <f t="shared" si="120"/>
        <v>8.248504664524406E-4</v>
      </c>
      <c r="Z51" s="6">
        <f t="shared" si="121"/>
        <v>3.8017037526449435E-5</v>
      </c>
      <c r="AA51" s="6">
        <f t="shared" si="122"/>
        <v>6.5382323773201578E-2</v>
      </c>
      <c r="AB51" s="6">
        <f t="shared" si="123"/>
        <v>2.1482051433691716E-2</v>
      </c>
      <c r="AC51" s="6">
        <f t="shared" si="124"/>
        <v>2.1482051433691716E-2</v>
      </c>
      <c r="AD51" s="6">
        <f t="shared" si="125"/>
        <v>4.727092210136799E-3</v>
      </c>
      <c r="AE51" s="6">
        <f t="shared" si="126"/>
        <v>4.4539077665578849E-3</v>
      </c>
      <c r="AF51" s="27">
        <f t="shared" si="127"/>
        <v>4.727092210136799E-3</v>
      </c>
      <c r="AG51" s="26">
        <f t="shared" si="128"/>
        <v>1.7143537936125601E-3</v>
      </c>
      <c r="AH51" s="6">
        <f t="shared" si="129"/>
        <v>0.11271145263978737</v>
      </c>
      <c r="AI51" s="6">
        <f t="shared" si="130"/>
        <v>2.1554806151798307E-3</v>
      </c>
      <c r="AJ51" s="6">
        <f t="shared" si="131"/>
        <v>4.6489724032886649E-4</v>
      </c>
      <c r="AK51" s="6">
        <f t="shared" si="132"/>
        <v>0.11271145263978737</v>
      </c>
      <c r="AL51" s="6">
        <f t="shared" si="133"/>
        <v>5.0107529496921143E-3</v>
      </c>
      <c r="AM51" s="6">
        <f t="shared" si="134"/>
        <v>5.0107529496921143E-3</v>
      </c>
      <c r="AN51" s="6">
        <f t="shared" si="135"/>
        <v>8.143856799813361E-3</v>
      </c>
      <c r="AO51" s="6">
        <f t="shared" si="136"/>
        <v>1.1444699645351331E-2</v>
      </c>
      <c r="AP51" s="27">
        <f t="shared" si="137"/>
        <v>1.1444699645351331E-2</v>
      </c>
      <c r="AQ51" s="241">
        <f t="shared" si="138"/>
        <v>9.1999999999999998E-2</v>
      </c>
      <c r="AR51" s="6">
        <f t="shared" si="139"/>
        <v>0.129</v>
      </c>
      <c r="AS51" s="6">
        <f t="shared" si="140"/>
        <v>0.111</v>
      </c>
      <c r="AT51" s="137">
        <f t="shared" si="141"/>
        <v>0.61</v>
      </c>
      <c r="AU51" s="137">
        <f t="shared" si="142"/>
        <v>0.86</v>
      </c>
      <c r="AV51" s="137">
        <f t="shared" si="143"/>
        <v>0.74</v>
      </c>
      <c r="AW51" s="138">
        <f t="shared" si="144"/>
        <v>5</v>
      </c>
      <c r="AX51" s="138">
        <f t="shared" si="145"/>
        <v>4</v>
      </c>
      <c r="AY51" s="242">
        <f t="shared" si="146"/>
        <v>4</v>
      </c>
    </row>
    <row r="52" spans="1:51" ht="13.15" customHeight="1">
      <c r="A52" s="161">
        <v>10675</v>
      </c>
      <c r="B52" s="44" t="s">
        <v>247</v>
      </c>
      <c r="C52" s="238" t="str">
        <f>Rollover!A52</f>
        <v>Nissan</v>
      </c>
      <c r="D52" s="239" t="str">
        <f>Rollover!B52</f>
        <v>Murano SUV FWD</v>
      </c>
      <c r="E52" s="136" t="s">
        <v>88</v>
      </c>
      <c r="F52" s="240">
        <f>Rollover!C52</f>
        <v>2019</v>
      </c>
      <c r="G52" s="11">
        <v>341.87299999999999</v>
      </c>
      <c r="H52" s="12">
        <v>0.28399999999999997</v>
      </c>
      <c r="I52" s="12">
        <v>994.37599999999998</v>
      </c>
      <c r="J52" s="12">
        <v>151.82300000000001</v>
      </c>
      <c r="K52" s="12">
        <v>20.372</v>
      </c>
      <c r="L52" s="12">
        <v>46.817999999999998</v>
      </c>
      <c r="M52" s="12">
        <v>1075.027</v>
      </c>
      <c r="N52" s="13">
        <v>1137.913</v>
      </c>
      <c r="O52" s="11">
        <v>266.02199999999999</v>
      </c>
      <c r="P52" s="12">
        <v>0.246</v>
      </c>
      <c r="Q52" s="12">
        <v>552.04600000000005</v>
      </c>
      <c r="R52" s="12">
        <v>344.80200000000002</v>
      </c>
      <c r="S52" s="12">
        <v>17.317</v>
      </c>
      <c r="T52" s="12">
        <v>46.621000000000002</v>
      </c>
      <c r="U52" s="12">
        <v>751.19</v>
      </c>
      <c r="V52" s="13">
        <v>1052.1479999999999</v>
      </c>
      <c r="W52" s="241">
        <f t="shared" ref="W52:W56" si="147">NORMDIST(LN(G52),7.45231,0.73998,1)</f>
        <v>1.4394243454280607E-2</v>
      </c>
      <c r="X52" s="6">
        <f t="shared" ref="X52:X56" si="148">1/(1+EXP(3.2269-1.9688*H52))</f>
        <v>6.4902734152616492E-2</v>
      </c>
      <c r="Y52" s="6">
        <f t="shared" ref="Y52:Y56" si="149">1/(1+EXP(10.9745-2.375*I52/1000))</f>
        <v>1.8172086856757235E-4</v>
      </c>
      <c r="Z52" s="6">
        <f t="shared" ref="Z52:Z56" si="150">1/(1+EXP(10.9745-2.375*J52/1000))</f>
        <v>2.4570968695291763E-5</v>
      </c>
      <c r="AA52" s="6">
        <f t="shared" ref="AA52:AA56" si="151">MAX(X52,Y52,Z52)</f>
        <v>6.4902734152616492E-2</v>
      </c>
      <c r="AB52" s="6">
        <f t="shared" ref="AB52:AB56" si="152">1/(1+EXP(12.597-0.05861*35-1.568*(K52^0.4612)))</f>
        <v>1.4070022599412526E-2</v>
      </c>
      <c r="AC52" s="6">
        <f t="shared" ref="AC52:AC56" si="153">AB52</f>
        <v>1.4070022599412526E-2</v>
      </c>
      <c r="AD52" s="6">
        <f t="shared" ref="AD52:AD56" si="154">1/(1+EXP(5.7949-0.5196*M52/1000))</f>
        <v>5.2916684297207922E-3</v>
      </c>
      <c r="AE52" s="6">
        <f t="shared" ref="AE52:AE56" si="155">1/(1+EXP(5.7949-0.5196*N52/1000))</f>
        <v>5.4664718378682328E-3</v>
      </c>
      <c r="AF52" s="27">
        <f t="shared" ref="AF52:AF56" si="156">MAX(AD52,AE52)</f>
        <v>5.4664718378682328E-3</v>
      </c>
      <c r="AG52" s="26">
        <f t="shared" ref="AG52:AG56" si="157">NORMDIST(LN(O52),7.45231,0.73998,1)</f>
        <v>5.7786556539667936E-3</v>
      </c>
      <c r="AH52" s="6">
        <f t="shared" ref="AH52:AH56" si="158">1/(1+EXP(3.2269-1.9688*P52))</f>
        <v>6.0507347171990106E-2</v>
      </c>
      <c r="AI52" s="6">
        <f t="shared" ref="AI52:AI56" si="159">1/(1+EXP(10.958-3.77*Q52/1000))</f>
        <v>1.3957253017195497E-4</v>
      </c>
      <c r="AJ52" s="6">
        <f t="shared" ref="AJ52:AJ56" si="160">1/(1+EXP(10.958-3.77*R52/1000))</f>
        <v>6.3901970231515731E-5</v>
      </c>
      <c r="AK52" s="6">
        <f t="shared" ref="AK52:AK56" si="161">MAX(AH52,AI52,AJ52)</f>
        <v>6.0507347171990106E-2</v>
      </c>
      <c r="AL52" s="6">
        <f t="shared" ref="AL52:AL56" si="162">1/(1+EXP(12.597-0.05861*35-1.568*((S52/0.817)^0.4612)))</f>
        <v>1.5775984303342049E-2</v>
      </c>
      <c r="AM52" s="6">
        <f t="shared" ref="AM52:AM56" si="163">AL52</f>
        <v>1.5775984303342049E-2</v>
      </c>
      <c r="AN52" s="6">
        <f t="shared" ref="AN52:AN56" si="164">1/(1+EXP(5.7949-0.7619*U52/1000))</f>
        <v>5.3645257411313379E-3</v>
      </c>
      <c r="AO52" s="6">
        <f t="shared" ref="AO52:AO56" si="165">1/(1+EXP(5.7949-0.7619*V52/1000))</f>
        <v>6.7377516581643183E-3</v>
      </c>
      <c r="AP52" s="27">
        <f t="shared" ref="AP52:AP56" si="166">MAX(AN52,AO52)</f>
        <v>6.7377516581643183E-3</v>
      </c>
      <c r="AQ52" s="241">
        <f t="shared" ref="AQ52:AQ56" si="167">ROUND(1-(1-W52)*(1-AA52)*(1-AC52)*(1-AF52),3)</f>
        <v>9.6000000000000002E-2</v>
      </c>
      <c r="AR52" s="6">
        <f t="shared" ref="AR52:AR56" si="168">ROUND(1-(1-AG52)*(1-AK52)*(1-AM52)*(1-AP52),3)</f>
        <v>8.6999999999999994E-2</v>
      </c>
      <c r="AS52" s="6">
        <f t="shared" ref="AS52:AS56" si="169">ROUND(AVERAGE(AR52,AQ52),3)</f>
        <v>9.1999999999999998E-2</v>
      </c>
      <c r="AT52" s="137">
        <f t="shared" ref="AT52:AT56" si="170">ROUND(AQ52/0.15,2)</f>
        <v>0.64</v>
      </c>
      <c r="AU52" s="137">
        <f t="shared" ref="AU52:AU56" si="171">ROUND(AR52/0.15,2)</f>
        <v>0.57999999999999996</v>
      </c>
      <c r="AV52" s="137">
        <f t="shared" ref="AV52:AV56" si="172">ROUND(AS52/0.15,2)</f>
        <v>0.61</v>
      </c>
      <c r="AW52" s="138">
        <f t="shared" ref="AW52:AW56" si="173">IF(AT52&lt;0.67,5,IF(AT52&lt;1,4,IF(AT52&lt;1.33,3,IF(AT52&lt;2.67,2,1))))</f>
        <v>5</v>
      </c>
      <c r="AX52" s="138">
        <f t="shared" ref="AX52:AX56" si="174">IF(AU52&lt;0.67,5,IF(AU52&lt;1,4,IF(AU52&lt;1.33,3,IF(AU52&lt;2.67,2,1))))</f>
        <v>5</v>
      </c>
      <c r="AY52" s="242">
        <f t="shared" ref="AY52:AY56" si="175">IF(AV52&lt;0.67,5,IF(AV52&lt;1,4,IF(AV52&lt;1.33,3,IF(AV52&lt;2.67,2,1))))</f>
        <v>5</v>
      </c>
    </row>
    <row r="53" spans="1:51" ht="13.15" customHeight="1">
      <c r="A53" s="161">
        <v>10675</v>
      </c>
      <c r="B53" s="44" t="s">
        <v>247</v>
      </c>
      <c r="C53" s="238" t="str">
        <f>Rollover!A53</f>
        <v>Nissan</v>
      </c>
      <c r="D53" s="239" t="str">
        <f>Rollover!B53</f>
        <v>Murano SUV AWD</v>
      </c>
      <c r="E53" s="136" t="s">
        <v>88</v>
      </c>
      <c r="F53" s="240">
        <f>Rollover!C53</f>
        <v>2019</v>
      </c>
      <c r="G53" s="19">
        <v>341.87299999999999</v>
      </c>
      <c r="H53" s="20">
        <v>0.28399999999999997</v>
      </c>
      <c r="I53" s="20">
        <v>994.37599999999998</v>
      </c>
      <c r="J53" s="20">
        <v>151.82300000000001</v>
      </c>
      <c r="K53" s="20">
        <v>20.372</v>
      </c>
      <c r="L53" s="20">
        <v>46.817999999999998</v>
      </c>
      <c r="M53" s="20">
        <v>1075.027</v>
      </c>
      <c r="N53" s="21">
        <v>1137.913</v>
      </c>
      <c r="O53" s="19">
        <v>266.02199999999999</v>
      </c>
      <c r="P53" s="20">
        <v>0.246</v>
      </c>
      <c r="Q53" s="20">
        <v>552.04600000000005</v>
      </c>
      <c r="R53" s="20">
        <v>344.80200000000002</v>
      </c>
      <c r="S53" s="20">
        <v>17.317</v>
      </c>
      <c r="T53" s="20">
        <v>46.621000000000002</v>
      </c>
      <c r="U53" s="20">
        <v>751.19</v>
      </c>
      <c r="V53" s="21">
        <v>1052.1479999999999</v>
      </c>
      <c r="W53" s="241">
        <f t="shared" si="147"/>
        <v>1.4394243454280607E-2</v>
      </c>
      <c r="X53" s="6">
        <f t="shared" si="148"/>
        <v>6.4902734152616492E-2</v>
      </c>
      <c r="Y53" s="6">
        <f t="shared" si="149"/>
        <v>1.8172086856757235E-4</v>
      </c>
      <c r="Z53" s="6">
        <f t="shared" si="150"/>
        <v>2.4570968695291763E-5</v>
      </c>
      <c r="AA53" s="6">
        <f t="shared" si="151"/>
        <v>6.4902734152616492E-2</v>
      </c>
      <c r="AB53" s="6">
        <f t="shared" si="152"/>
        <v>1.4070022599412526E-2</v>
      </c>
      <c r="AC53" s="6">
        <f t="shared" si="153"/>
        <v>1.4070022599412526E-2</v>
      </c>
      <c r="AD53" s="6">
        <f t="shared" si="154"/>
        <v>5.2916684297207922E-3</v>
      </c>
      <c r="AE53" s="6">
        <f t="shared" si="155"/>
        <v>5.4664718378682328E-3</v>
      </c>
      <c r="AF53" s="27">
        <f t="shared" si="156"/>
        <v>5.4664718378682328E-3</v>
      </c>
      <c r="AG53" s="26">
        <f t="shared" si="157"/>
        <v>5.7786556539667936E-3</v>
      </c>
      <c r="AH53" s="6">
        <f t="shared" si="158"/>
        <v>6.0507347171990106E-2</v>
      </c>
      <c r="AI53" s="6">
        <f t="shared" si="159"/>
        <v>1.3957253017195497E-4</v>
      </c>
      <c r="AJ53" s="6">
        <f t="shared" si="160"/>
        <v>6.3901970231515731E-5</v>
      </c>
      <c r="AK53" s="6">
        <f t="shared" si="161"/>
        <v>6.0507347171990106E-2</v>
      </c>
      <c r="AL53" s="6">
        <f t="shared" si="162"/>
        <v>1.5775984303342049E-2</v>
      </c>
      <c r="AM53" s="6">
        <f t="shared" si="163"/>
        <v>1.5775984303342049E-2</v>
      </c>
      <c r="AN53" s="6">
        <f t="shared" si="164"/>
        <v>5.3645257411313379E-3</v>
      </c>
      <c r="AO53" s="6">
        <f t="shared" si="165"/>
        <v>6.7377516581643183E-3</v>
      </c>
      <c r="AP53" s="27">
        <f t="shared" si="166"/>
        <v>6.7377516581643183E-3</v>
      </c>
      <c r="AQ53" s="241">
        <f t="shared" si="167"/>
        <v>9.6000000000000002E-2</v>
      </c>
      <c r="AR53" s="6">
        <f t="shared" si="168"/>
        <v>8.6999999999999994E-2</v>
      </c>
      <c r="AS53" s="6">
        <f t="shared" si="169"/>
        <v>9.1999999999999998E-2</v>
      </c>
      <c r="AT53" s="137">
        <f t="shared" si="170"/>
        <v>0.64</v>
      </c>
      <c r="AU53" s="137">
        <f t="shared" si="171"/>
        <v>0.57999999999999996</v>
      </c>
      <c r="AV53" s="137">
        <f t="shared" si="172"/>
        <v>0.61</v>
      </c>
      <c r="AW53" s="138">
        <f t="shared" si="173"/>
        <v>5</v>
      </c>
      <c r="AX53" s="138">
        <f t="shared" si="174"/>
        <v>5</v>
      </c>
      <c r="AY53" s="242">
        <f t="shared" si="175"/>
        <v>5</v>
      </c>
    </row>
    <row r="54" spans="1:51" ht="13.15" customHeight="1">
      <c r="A54" s="161">
        <v>10576</v>
      </c>
      <c r="B54" s="44" t="s">
        <v>194</v>
      </c>
      <c r="C54" s="238" t="str">
        <f>Rollover!A54</f>
        <v>Nissan</v>
      </c>
      <c r="D54" s="239" t="str">
        <f>Rollover!B54</f>
        <v>Versa 4DR FWD</v>
      </c>
      <c r="E54" s="136" t="s">
        <v>88</v>
      </c>
      <c r="F54" s="240">
        <f>Rollover!C54</f>
        <v>2019</v>
      </c>
      <c r="G54" s="19">
        <v>292.93799999999999</v>
      </c>
      <c r="H54" s="20">
        <v>0.38</v>
      </c>
      <c r="I54" s="20">
        <v>1875.874</v>
      </c>
      <c r="J54" s="20">
        <v>605.90499999999997</v>
      </c>
      <c r="K54" s="20">
        <v>24.052</v>
      </c>
      <c r="L54" s="20">
        <v>46.713999999999999</v>
      </c>
      <c r="M54" s="20">
        <v>3394.951</v>
      </c>
      <c r="N54" s="21">
        <v>3890.9290000000001</v>
      </c>
      <c r="O54" s="19">
        <v>396.07299999999998</v>
      </c>
      <c r="P54" s="20">
        <v>0.35599999999999998</v>
      </c>
      <c r="Q54" s="20">
        <v>1063.1679999999999</v>
      </c>
      <c r="R54" s="20">
        <v>472.048</v>
      </c>
      <c r="S54" s="20">
        <v>17.731000000000002</v>
      </c>
      <c r="T54" s="20">
        <v>47.997999999999998</v>
      </c>
      <c r="U54" s="20">
        <v>2681.6970000000001</v>
      </c>
      <c r="V54" s="21">
        <v>2594.413</v>
      </c>
      <c r="W54" s="241">
        <f t="shared" si="147"/>
        <v>8.3072146493603175E-3</v>
      </c>
      <c r="X54" s="6">
        <f t="shared" si="148"/>
        <v>7.736094749792681E-2</v>
      </c>
      <c r="Y54" s="6">
        <f t="shared" si="149"/>
        <v>1.4725305938701394E-3</v>
      </c>
      <c r="Z54" s="6">
        <f t="shared" si="150"/>
        <v>7.223774495533263E-5</v>
      </c>
      <c r="AA54" s="6">
        <f t="shared" si="151"/>
        <v>7.736094749792681E-2</v>
      </c>
      <c r="AB54" s="6">
        <f t="shared" si="152"/>
        <v>2.3013227075292568E-2</v>
      </c>
      <c r="AC54" s="6">
        <f t="shared" si="153"/>
        <v>2.3013227075292568E-2</v>
      </c>
      <c r="AD54" s="6">
        <f t="shared" si="154"/>
        <v>1.744876769271193E-2</v>
      </c>
      <c r="AE54" s="6">
        <f t="shared" si="155"/>
        <v>2.2462853757925162E-2</v>
      </c>
      <c r="AF54" s="27">
        <f t="shared" si="156"/>
        <v>2.2462853757925162E-2</v>
      </c>
      <c r="AG54" s="26">
        <f t="shared" si="157"/>
        <v>2.3433417268107354E-2</v>
      </c>
      <c r="AH54" s="6">
        <f t="shared" si="158"/>
        <v>7.4054971012011139E-2</v>
      </c>
      <c r="AI54" s="6">
        <f t="shared" si="159"/>
        <v>9.5785422909769248E-4</v>
      </c>
      <c r="AJ54" s="6">
        <f t="shared" si="160"/>
        <v>1.0323709906752605E-4</v>
      </c>
      <c r="AK54" s="6">
        <f t="shared" si="161"/>
        <v>7.4054971012011139E-2</v>
      </c>
      <c r="AL54" s="6">
        <f t="shared" si="162"/>
        <v>1.6904724620958617E-2</v>
      </c>
      <c r="AM54" s="6">
        <f t="shared" si="163"/>
        <v>1.6904724620958617E-2</v>
      </c>
      <c r="AN54" s="6">
        <f t="shared" si="164"/>
        <v>2.2938899403723328E-2</v>
      </c>
      <c r="AO54" s="6">
        <f t="shared" si="165"/>
        <v>2.1494764672603344E-2</v>
      </c>
      <c r="AP54" s="27">
        <f t="shared" si="166"/>
        <v>2.2938899403723328E-2</v>
      </c>
      <c r="AQ54" s="241">
        <f t="shared" si="167"/>
        <v>0.126</v>
      </c>
      <c r="AR54" s="6">
        <f t="shared" si="168"/>
        <v>0.13100000000000001</v>
      </c>
      <c r="AS54" s="6">
        <f t="shared" si="169"/>
        <v>0.129</v>
      </c>
      <c r="AT54" s="137">
        <f t="shared" si="170"/>
        <v>0.84</v>
      </c>
      <c r="AU54" s="137">
        <f t="shared" si="171"/>
        <v>0.87</v>
      </c>
      <c r="AV54" s="137">
        <f t="shared" si="172"/>
        <v>0.86</v>
      </c>
      <c r="AW54" s="138">
        <f t="shared" si="173"/>
        <v>4</v>
      </c>
      <c r="AX54" s="138">
        <f t="shared" si="174"/>
        <v>4</v>
      </c>
      <c r="AY54" s="242">
        <f t="shared" si="175"/>
        <v>4</v>
      </c>
    </row>
    <row r="55" spans="1:51" ht="13.15" customHeight="1">
      <c r="A55" s="52">
        <v>7527</v>
      </c>
      <c r="B55" s="68" t="s">
        <v>168</v>
      </c>
      <c r="C55" s="238" t="str">
        <f>Rollover!A55</f>
        <v>Ram</v>
      </c>
      <c r="D55" s="239" t="str">
        <f>Rollover!B55</f>
        <v>1500 Classic Quad Cab PU/EC 2WD</v>
      </c>
      <c r="E55" s="136" t="s">
        <v>88</v>
      </c>
      <c r="F55" s="240">
        <f>Rollover!C55</f>
        <v>2019</v>
      </c>
      <c r="G55" s="11">
        <v>253.59299999999999</v>
      </c>
      <c r="H55" s="12">
        <v>0.27400000000000002</v>
      </c>
      <c r="I55" s="12">
        <v>1569.625</v>
      </c>
      <c r="J55" s="12">
        <v>147.01900000000001</v>
      </c>
      <c r="K55" s="12">
        <v>24.908000000000001</v>
      </c>
      <c r="L55" s="12">
        <v>34.664000000000001</v>
      </c>
      <c r="M55" s="12">
        <v>3338.7950000000001</v>
      </c>
      <c r="N55" s="13">
        <v>1798.6079999999999</v>
      </c>
      <c r="O55" s="11">
        <v>305.57299999999998</v>
      </c>
      <c r="P55" s="12">
        <v>0.436</v>
      </c>
      <c r="Q55" s="12">
        <v>998.22400000000005</v>
      </c>
      <c r="R55" s="12">
        <v>413.3</v>
      </c>
      <c r="S55" s="12">
        <v>10.747999999999999</v>
      </c>
      <c r="T55" s="12">
        <v>41.2</v>
      </c>
      <c r="U55" s="12">
        <v>2654.453</v>
      </c>
      <c r="V55" s="13">
        <v>1539.4590000000001</v>
      </c>
      <c r="W55" s="241">
        <f t="shared" si="147"/>
        <v>4.7982092405346958E-3</v>
      </c>
      <c r="X55" s="6">
        <f t="shared" si="148"/>
        <v>6.3718048676354236E-2</v>
      </c>
      <c r="Y55" s="6">
        <f t="shared" si="149"/>
        <v>7.1205675660999891E-4</v>
      </c>
      <c r="Z55" s="6">
        <f t="shared" si="150"/>
        <v>2.429222621806034E-5</v>
      </c>
      <c r="AA55" s="6">
        <f t="shared" si="151"/>
        <v>6.3718048676354236E-2</v>
      </c>
      <c r="AB55" s="6">
        <f t="shared" si="152"/>
        <v>2.5633554500335283E-2</v>
      </c>
      <c r="AC55" s="6">
        <f t="shared" si="153"/>
        <v>2.5633554500335283E-2</v>
      </c>
      <c r="AD55" s="6">
        <f t="shared" si="154"/>
        <v>1.6955500095618435E-2</v>
      </c>
      <c r="AE55" s="6">
        <f t="shared" si="155"/>
        <v>7.6882564807874629E-3</v>
      </c>
      <c r="AF55" s="27">
        <f t="shared" si="156"/>
        <v>1.6955500095618435E-2</v>
      </c>
      <c r="AG55" s="26">
        <f t="shared" si="157"/>
        <v>9.6919397018483365E-3</v>
      </c>
      <c r="AH55" s="6">
        <f t="shared" si="158"/>
        <v>8.5606233003783699E-2</v>
      </c>
      <c r="AI55" s="6">
        <f t="shared" si="159"/>
        <v>7.4999366731222665E-4</v>
      </c>
      <c r="AJ55" s="6">
        <f t="shared" si="160"/>
        <v>8.2728885837432119E-5</v>
      </c>
      <c r="AK55" s="6">
        <f t="shared" si="161"/>
        <v>8.5606233003783699E-2</v>
      </c>
      <c r="AL55" s="6">
        <f t="shared" si="162"/>
        <v>4.4982528353656398E-3</v>
      </c>
      <c r="AM55" s="6">
        <f t="shared" si="163"/>
        <v>4.4982528353656398E-3</v>
      </c>
      <c r="AN55" s="6">
        <f t="shared" si="164"/>
        <v>2.2478252371569963E-2</v>
      </c>
      <c r="AO55" s="6">
        <f t="shared" si="165"/>
        <v>9.7374947968151895E-3</v>
      </c>
      <c r="AP55" s="27">
        <f t="shared" si="166"/>
        <v>2.2478252371569963E-2</v>
      </c>
      <c r="AQ55" s="241">
        <f t="shared" si="167"/>
        <v>0.107</v>
      </c>
      <c r="AR55" s="6">
        <f t="shared" si="168"/>
        <v>0.11899999999999999</v>
      </c>
      <c r="AS55" s="6">
        <f t="shared" si="169"/>
        <v>0.113</v>
      </c>
      <c r="AT55" s="137">
        <f t="shared" si="170"/>
        <v>0.71</v>
      </c>
      <c r="AU55" s="137">
        <f t="shared" si="171"/>
        <v>0.79</v>
      </c>
      <c r="AV55" s="137">
        <f t="shared" si="172"/>
        <v>0.75</v>
      </c>
      <c r="AW55" s="138">
        <f t="shared" si="173"/>
        <v>4</v>
      </c>
      <c r="AX55" s="138">
        <f t="shared" si="174"/>
        <v>4</v>
      </c>
      <c r="AY55" s="242">
        <f t="shared" si="175"/>
        <v>4</v>
      </c>
    </row>
    <row r="56" spans="1:51" ht="13.15" customHeight="1">
      <c r="A56" s="52">
        <v>7527</v>
      </c>
      <c r="B56" s="68" t="s">
        <v>168</v>
      </c>
      <c r="C56" s="238" t="str">
        <f>Rollover!A56</f>
        <v>Ram</v>
      </c>
      <c r="D56" s="239" t="str">
        <f>Rollover!B56</f>
        <v>1500 Classic Quad Cab PU/EC 4WD</v>
      </c>
      <c r="E56" s="136" t="s">
        <v>88</v>
      </c>
      <c r="F56" s="240">
        <f>Rollover!C56</f>
        <v>2019</v>
      </c>
      <c r="G56" s="11">
        <v>253.59299999999999</v>
      </c>
      <c r="H56" s="12">
        <v>0.27400000000000002</v>
      </c>
      <c r="I56" s="12">
        <v>1569.625</v>
      </c>
      <c r="J56" s="12">
        <v>147.01900000000001</v>
      </c>
      <c r="K56" s="12">
        <v>24.908000000000001</v>
      </c>
      <c r="L56" s="12">
        <v>34.664000000000001</v>
      </c>
      <c r="M56" s="12">
        <v>3338.7950000000001</v>
      </c>
      <c r="N56" s="13">
        <v>1798.6079999999999</v>
      </c>
      <c r="O56" s="11">
        <v>305.57299999999998</v>
      </c>
      <c r="P56" s="12">
        <v>0.436</v>
      </c>
      <c r="Q56" s="12">
        <v>998.22400000000005</v>
      </c>
      <c r="R56" s="12">
        <v>413.3</v>
      </c>
      <c r="S56" s="12">
        <v>10.747999999999999</v>
      </c>
      <c r="T56" s="12">
        <v>41.2</v>
      </c>
      <c r="U56" s="12">
        <v>2654.453</v>
      </c>
      <c r="V56" s="13">
        <v>1539.4590000000001</v>
      </c>
      <c r="W56" s="241">
        <f t="shared" si="147"/>
        <v>4.7982092405346958E-3</v>
      </c>
      <c r="X56" s="6">
        <f t="shared" si="148"/>
        <v>6.3718048676354236E-2</v>
      </c>
      <c r="Y56" s="6">
        <f t="shared" si="149"/>
        <v>7.1205675660999891E-4</v>
      </c>
      <c r="Z56" s="6">
        <f t="shared" si="150"/>
        <v>2.429222621806034E-5</v>
      </c>
      <c r="AA56" s="6">
        <f t="shared" si="151"/>
        <v>6.3718048676354236E-2</v>
      </c>
      <c r="AB56" s="6">
        <f t="shared" si="152"/>
        <v>2.5633554500335283E-2</v>
      </c>
      <c r="AC56" s="6">
        <f t="shared" si="153"/>
        <v>2.5633554500335283E-2</v>
      </c>
      <c r="AD56" s="6">
        <f t="shared" si="154"/>
        <v>1.6955500095618435E-2</v>
      </c>
      <c r="AE56" s="6">
        <f t="shared" si="155"/>
        <v>7.6882564807874629E-3</v>
      </c>
      <c r="AF56" s="27">
        <f t="shared" si="156"/>
        <v>1.6955500095618435E-2</v>
      </c>
      <c r="AG56" s="26">
        <f t="shared" si="157"/>
        <v>9.6919397018483365E-3</v>
      </c>
      <c r="AH56" s="6">
        <f t="shared" si="158"/>
        <v>8.5606233003783699E-2</v>
      </c>
      <c r="AI56" s="6">
        <f t="shared" si="159"/>
        <v>7.4999366731222665E-4</v>
      </c>
      <c r="AJ56" s="6">
        <f t="shared" si="160"/>
        <v>8.2728885837432119E-5</v>
      </c>
      <c r="AK56" s="6">
        <f t="shared" si="161"/>
        <v>8.5606233003783699E-2</v>
      </c>
      <c r="AL56" s="6">
        <f t="shared" si="162"/>
        <v>4.4982528353656398E-3</v>
      </c>
      <c r="AM56" s="6">
        <f t="shared" si="163"/>
        <v>4.4982528353656398E-3</v>
      </c>
      <c r="AN56" s="6">
        <f t="shared" si="164"/>
        <v>2.2478252371569963E-2</v>
      </c>
      <c r="AO56" s="6">
        <f t="shared" si="165"/>
        <v>9.7374947968151895E-3</v>
      </c>
      <c r="AP56" s="27">
        <f t="shared" si="166"/>
        <v>2.2478252371569963E-2</v>
      </c>
      <c r="AQ56" s="241">
        <f t="shared" si="167"/>
        <v>0.107</v>
      </c>
      <c r="AR56" s="6">
        <f t="shared" si="168"/>
        <v>0.11899999999999999</v>
      </c>
      <c r="AS56" s="6">
        <f t="shared" si="169"/>
        <v>0.113</v>
      </c>
      <c r="AT56" s="137">
        <f t="shared" si="170"/>
        <v>0.71</v>
      </c>
      <c r="AU56" s="137">
        <f t="shared" si="171"/>
        <v>0.79</v>
      </c>
      <c r="AV56" s="137">
        <f t="shared" si="172"/>
        <v>0.75</v>
      </c>
      <c r="AW56" s="138">
        <f t="shared" si="173"/>
        <v>4</v>
      </c>
      <c r="AX56" s="138">
        <f t="shared" si="174"/>
        <v>4</v>
      </c>
      <c r="AY56" s="242">
        <f t="shared" si="175"/>
        <v>4</v>
      </c>
    </row>
    <row r="57" spans="1:51" ht="13.15" customHeight="1">
      <c r="A57" s="52">
        <v>7527</v>
      </c>
      <c r="B57" s="68" t="s">
        <v>168</v>
      </c>
      <c r="C57" s="243" t="str">
        <f>Rollover!A57</f>
        <v>Ram</v>
      </c>
      <c r="D57" s="244" t="str">
        <f>Rollover!B57</f>
        <v>1500 Classic Regular Cab PU/RC 2WD</v>
      </c>
      <c r="E57" s="136" t="s">
        <v>88</v>
      </c>
      <c r="F57" s="240">
        <f>Rollover!C57</f>
        <v>2019</v>
      </c>
      <c r="G57" s="11">
        <v>253.59299999999999</v>
      </c>
      <c r="H57" s="12">
        <v>0.27400000000000002</v>
      </c>
      <c r="I57" s="12">
        <v>1569.625</v>
      </c>
      <c r="J57" s="12">
        <v>147.01900000000001</v>
      </c>
      <c r="K57" s="12">
        <v>24.908000000000001</v>
      </c>
      <c r="L57" s="12">
        <v>34.664000000000001</v>
      </c>
      <c r="M57" s="12">
        <v>3338.7950000000001</v>
      </c>
      <c r="N57" s="13">
        <v>1798.6079999999999</v>
      </c>
      <c r="O57" s="11">
        <v>305.57299999999998</v>
      </c>
      <c r="P57" s="12">
        <v>0.436</v>
      </c>
      <c r="Q57" s="12">
        <v>998.22400000000005</v>
      </c>
      <c r="R57" s="12">
        <v>413.3</v>
      </c>
      <c r="S57" s="12">
        <v>10.747999999999999</v>
      </c>
      <c r="T57" s="12">
        <v>41.2</v>
      </c>
      <c r="U57" s="12">
        <v>2654.453</v>
      </c>
      <c r="V57" s="13">
        <v>1539.4590000000001</v>
      </c>
      <c r="W57" s="241">
        <f t="shared" si="89"/>
        <v>4.7982092405346958E-3</v>
      </c>
      <c r="X57" s="6">
        <f t="shared" si="90"/>
        <v>6.3718048676354236E-2</v>
      </c>
      <c r="Y57" s="6">
        <f t="shared" si="91"/>
        <v>7.1205675660999891E-4</v>
      </c>
      <c r="Z57" s="6">
        <f t="shared" si="92"/>
        <v>2.429222621806034E-5</v>
      </c>
      <c r="AA57" s="6">
        <f t="shared" si="93"/>
        <v>6.3718048676354236E-2</v>
      </c>
      <c r="AB57" s="6">
        <f t="shared" si="94"/>
        <v>2.5633554500335283E-2</v>
      </c>
      <c r="AC57" s="6">
        <f t="shared" si="95"/>
        <v>2.5633554500335283E-2</v>
      </c>
      <c r="AD57" s="6">
        <f t="shared" si="96"/>
        <v>1.6955500095618435E-2</v>
      </c>
      <c r="AE57" s="6">
        <f t="shared" si="97"/>
        <v>7.6882564807874629E-3</v>
      </c>
      <c r="AF57" s="27">
        <f t="shared" si="98"/>
        <v>1.6955500095618435E-2</v>
      </c>
      <c r="AG57" s="26">
        <f t="shared" si="99"/>
        <v>9.6919397018483365E-3</v>
      </c>
      <c r="AH57" s="6">
        <f t="shared" si="100"/>
        <v>8.5606233003783699E-2</v>
      </c>
      <c r="AI57" s="6">
        <f t="shared" si="101"/>
        <v>7.4999366731222665E-4</v>
      </c>
      <c r="AJ57" s="6">
        <f t="shared" si="102"/>
        <v>8.2728885837432119E-5</v>
      </c>
      <c r="AK57" s="6">
        <f t="shared" si="103"/>
        <v>8.5606233003783699E-2</v>
      </c>
      <c r="AL57" s="6">
        <f t="shared" si="104"/>
        <v>4.4982528353656398E-3</v>
      </c>
      <c r="AM57" s="6">
        <f t="shared" si="105"/>
        <v>4.4982528353656398E-3</v>
      </c>
      <c r="AN57" s="6">
        <f t="shared" si="106"/>
        <v>2.2478252371569963E-2</v>
      </c>
      <c r="AO57" s="6">
        <f t="shared" si="107"/>
        <v>9.7374947968151895E-3</v>
      </c>
      <c r="AP57" s="27">
        <f t="shared" si="108"/>
        <v>2.2478252371569963E-2</v>
      </c>
      <c r="AQ57" s="241">
        <f t="shared" si="109"/>
        <v>0.107</v>
      </c>
      <c r="AR57" s="6">
        <f t="shared" si="110"/>
        <v>0.11899999999999999</v>
      </c>
      <c r="AS57" s="6">
        <f t="shared" si="111"/>
        <v>0.113</v>
      </c>
      <c r="AT57" s="137">
        <f t="shared" si="112"/>
        <v>0.71</v>
      </c>
      <c r="AU57" s="137">
        <f t="shared" si="113"/>
        <v>0.79</v>
      </c>
      <c r="AV57" s="137">
        <f t="shared" si="114"/>
        <v>0.75</v>
      </c>
      <c r="AW57" s="138">
        <f t="shared" si="115"/>
        <v>4</v>
      </c>
      <c r="AX57" s="138">
        <f t="shared" si="116"/>
        <v>4</v>
      </c>
      <c r="AY57" s="242">
        <f t="shared" si="117"/>
        <v>4</v>
      </c>
    </row>
    <row r="58" spans="1:51" ht="13.15" customHeight="1">
      <c r="A58" s="52">
        <v>7527</v>
      </c>
      <c r="B58" s="68" t="s">
        <v>168</v>
      </c>
      <c r="C58" s="243" t="str">
        <f>Rollover!A58</f>
        <v>Ram</v>
      </c>
      <c r="D58" s="244" t="str">
        <f>Rollover!B58</f>
        <v>1500 Classic Regular Cab PU/RC 4WD</v>
      </c>
      <c r="E58" s="136" t="s">
        <v>88</v>
      </c>
      <c r="F58" s="240">
        <f>Rollover!C58</f>
        <v>2019</v>
      </c>
      <c r="G58" s="11">
        <v>253.59299999999999</v>
      </c>
      <c r="H58" s="12">
        <v>0.27400000000000002</v>
      </c>
      <c r="I58" s="12">
        <v>1569.625</v>
      </c>
      <c r="J58" s="12">
        <v>147.01900000000001</v>
      </c>
      <c r="K58" s="12">
        <v>24.908000000000001</v>
      </c>
      <c r="L58" s="12">
        <v>34.664000000000001</v>
      </c>
      <c r="M58" s="12">
        <v>3338.7950000000001</v>
      </c>
      <c r="N58" s="13">
        <v>1798.6079999999999</v>
      </c>
      <c r="O58" s="11">
        <v>305.57299999999998</v>
      </c>
      <c r="P58" s="12">
        <v>0.436</v>
      </c>
      <c r="Q58" s="12">
        <v>998.22400000000005</v>
      </c>
      <c r="R58" s="12">
        <v>413.3</v>
      </c>
      <c r="S58" s="12">
        <v>10.747999999999999</v>
      </c>
      <c r="T58" s="12">
        <v>41.2</v>
      </c>
      <c r="U58" s="12">
        <v>2654.453</v>
      </c>
      <c r="V58" s="13">
        <v>1539.4590000000001</v>
      </c>
      <c r="W58" s="241">
        <f t="shared" si="89"/>
        <v>4.7982092405346958E-3</v>
      </c>
      <c r="X58" s="6">
        <f t="shared" si="90"/>
        <v>6.3718048676354236E-2</v>
      </c>
      <c r="Y58" s="6">
        <f t="shared" si="91"/>
        <v>7.1205675660999891E-4</v>
      </c>
      <c r="Z58" s="6">
        <f t="shared" si="92"/>
        <v>2.429222621806034E-5</v>
      </c>
      <c r="AA58" s="6">
        <f t="shared" si="93"/>
        <v>6.3718048676354236E-2</v>
      </c>
      <c r="AB58" s="6">
        <f t="shared" si="94"/>
        <v>2.5633554500335283E-2</v>
      </c>
      <c r="AC58" s="6">
        <f t="shared" si="95"/>
        <v>2.5633554500335283E-2</v>
      </c>
      <c r="AD58" s="6">
        <f t="shared" si="96"/>
        <v>1.6955500095618435E-2</v>
      </c>
      <c r="AE58" s="6">
        <f t="shared" si="97"/>
        <v>7.6882564807874629E-3</v>
      </c>
      <c r="AF58" s="27">
        <f t="shared" si="98"/>
        <v>1.6955500095618435E-2</v>
      </c>
      <c r="AG58" s="26">
        <f t="shared" si="99"/>
        <v>9.6919397018483365E-3</v>
      </c>
      <c r="AH58" s="6">
        <f t="shared" si="100"/>
        <v>8.5606233003783699E-2</v>
      </c>
      <c r="AI58" s="6">
        <f t="shared" si="101"/>
        <v>7.4999366731222665E-4</v>
      </c>
      <c r="AJ58" s="6">
        <f t="shared" si="102"/>
        <v>8.2728885837432119E-5</v>
      </c>
      <c r="AK58" s="6">
        <f t="shared" si="103"/>
        <v>8.5606233003783699E-2</v>
      </c>
      <c r="AL58" s="6">
        <f t="shared" si="104"/>
        <v>4.4982528353656398E-3</v>
      </c>
      <c r="AM58" s="6">
        <f t="shared" si="105"/>
        <v>4.4982528353656398E-3</v>
      </c>
      <c r="AN58" s="6">
        <f t="shared" si="106"/>
        <v>2.2478252371569963E-2</v>
      </c>
      <c r="AO58" s="6">
        <f t="shared" si="107"/>
        <v>9.7374947968151895E-3</v>
      </c>
      <c r="AP58" s="27">
        <f t="shared" si="108"/>
        <v>2.2478252371569963E-2</v>
      </c>
      <c r="AQ58" s="241">
        <f t="shared" si="109"/>
        <v>0.107</v>
      </c>
      <c r="AR58" s="6">
        <f t="shared" si="110"/>
        <v>0.11899999999999999</v>
      </c>
      <c r="AS58" s="6">
        <f t="shared" si="111"/>
        <v>0.113</v>
      </c>
      <c r="AT58" s="137">
        <f t="shared" si="112"/>
        <v>0.71</v>
      </c>
      <c r="AU58" s="137">
        <f t="shared" si="113"/>
        <v>0.79</v>
      </c>
      <c r="AV58" s="137">
        <f t="shared" si="114"/>
        <v>0.75</v>
      </c>
      <c r="AW58" s="138">
        <f t="shared" si="115"/>
        <v>4</v>
      </c>
      <c r="AX58" s="138">
        <f t="shared" si="116"/>
        <v>4</v>
      </c>
      <c r="AY58" s="242">
        <f t="shared" si="117"/>
        <v>4</v>
      </c>
    </row>
    <row r="59" spans="1:51" ht="13.15" customHeight="1">
      <c r="A59" s="161">
        <v>10391</v>
      </c>
      <c r="B59" s="44" t="s">
        <v>178</v>
      </c>
      <c r="C59" s="238" t="str">
        <f>Rollover!A59</f>
        <v>Subaru</v>
      </c>
      <c r="D59" s="239" t="str">
        <f>Rollover!B59</f>
        <v>Ascent SUV AWD</v>
      </c>
      <c r="E59" s="136" t="s">
        <v>163</v>
      </c>
      <c r="F59" s="240">
        <f>Rollover!C59</f>
        <v>2019</v>
      </c>
      <c r="G59" s="19">
        <v>190.13399999999999</v>
      </c>
      <c r="H59" s="20">
        <v>0.20899999999999999</v>
      </c>
      <c r="I59" s="20">
        <v>1017.735</v>
      </c>
      <c r="J59" s="20">
        <v>36.090000000000003</v>
      </c>
      <c r="K59" s="20">
        <v>20.026</v>
      </c>
      <c r="L59" s="20">
        <v>35.091000000000001</v>
      </c>
      <c r="M59" s="20">
        <v>707.91399999999999</v>
      </c>
      <c r="N59" s="21">
        <v>1298.6510000000001</v>
      </c>
      <c r="O59" s="19">
        <v>209.874</v>
      </c>
      <c r="P59" s="20">
        <v>0.32800000000000001</v>
      </c>
      <c r="Q59" s="20">
        <v>877.24699999999996</v>
      </c>
      <c r="R59" s="20">
        <v>691.90700000000004</v>
      </c>
      <c r="S59" s="20">
        <v>16.853000000000002</v>
      </c>
      <c r="T59" s="20">
        <v>40.588999999999999</v>
      </c>
      <c r="U59" s="20">
        <v>154.65799999999999</v>
      </c>
      <c r="V59" s="21">
        <v>131.40199999999999</v>
      </c>
      <c r="W59" s="241">
        <f t="shared" ref="W59:W64" si="176">NORMDIST(LN(G59),7.45231,0.73998,1)</f>
        <v>1.4448032687786976E-3</v>
      </c>
      <c r="X59" s="6">
        <f t="shared" ref="X59:X64" si="177">1/(1+EXP(3.2269-1.9688*H59))</f>
        <v>5.6496531186568832E-2</v>
      </c>
      <c r="Y59" s="6">
        <f t="shared" ref="Y59:Y64" si="178">1/(1+EXP(10.9745-2.375*I59/1000))</f>
        <v>1.9208521069971835E-4</v>
      </c>
      <c r="Z59" s="6">
        <f t="shared" ref="Z59:Z64" si="179">1/(1+EXP(10.9745-2.375*J59/1000))</f>
        <v>1.8666036484786309E-5</v>
      </c>
      <c r="AA59" s="6">
        <f t="shared" ref="AA59:AA64" si="180">MAX(X59,Y59,Z59)</f>
        <v>5.6496531186568832E-2</v>
      </c>
      <c r="AB59" s="6">
        <f t="shared" ref="AB59:AB64" si="181">1/(1+EXP(12.597-0.05861*35-1.568*(K59^0.4612)))</f>
        <v>1.3399016888409202E-2</v>
      </c>
      <c r="AC59" s="6">
        <f t="shared" ref="AC59:AC64" si="182">AB59</f>
        <v>1.3399016888409202E-2</v>
      </c>
      <c r="AD59" s="6">
        <f t="shared" ref="AD59:AD64" si="183">1/(1+EXP(5.7949-0.5196*M59/1000))</f>
        <v>4.3767264583440156E-3</v>
      </c>
      <c r="AE59" s="6">
        <f t="shared" ref="AE59:AE64" si="184">1/(1+EXP(5.7949-0.5196*N59/1000))</f>
        <v>5.9398080598443981E-3</v>
      </c>
      <c r="AF59" s="27">
        <f t="shared" ref="AF59:AF64" si="185">MAX(AD59,AE59)</f>
        <v>5.9398080598443981E-3</v>
      </c>
      <c r="AG59" s="26">
        <f t="shared" ref="AG59:AG64" si="186">NORMDIST(LN(O59),7.45231,0.73998,1)</f>
        <v>2.215305331049825E-3</v>
      </c>
      <c r="AH59" s="6">
        <f t="shared" ref="AH59:AH64" si="187">1/(1+EXP(3.2269-1.9688*P59))</f>
        <v>7.0362544115245063E-2</v>
      </c>
      <c r="AI59" s="6">
        <f t="shared" ref="AI59:AI64" si="188">1/(1+EXP(10.958-3.77*Q59/1000))</f>
        <v>4.7544736770222028E-4</v>
      </c>
      <c r="AJ59" s="6">
        <f t="shared" ref="AJ59:AJ64" si="189">1/(1+EXP(10.958-3.77*R59/1000))</f>
        <v>2.3645631202293013E-4</v>
      </c>
      <c r="AK59" s="6">
        <f t="shared" ref="AK59:AK64" si="190">MAX(AH59,AI59,AJ59)</f>
        <v>7.0362544115245063E-2</v>
      </c>
      <c r="AL59" s="6">
        <f t="shared" ref="AL59:AL64" si="191">1/(1+EXP(12.597-0.05861*35-1.568*((S59/0.817)^0.4612)))</f>
        <v>1.4583333004553618E-2</v>
      </c>
      <c r="AM59" s="6">
        <f t="shared" ref="AM59:AM64" si="192">AL59</f>
        <v>1.4583333004553618E-2</v>
      </c>
      <c r="AN59" s="6">
        <f t="shared" ref="AN59:AN64" si="193">1/(1+EXP(5.7949-0.7619*U59/1000))</f>
        <v>3.4119073258711929E-3</v>
      </c>
      <c r="AO59" s="6">
        <f t="shared" ref="AO59:AO64" si="194">1/(1+EXP(5.7949-0.7619*V59/1000))</f>
        <v>3.3521859174055527E-3</v>
      </c>
      <c r="AP59" s="27">
        <f t="shared" ref="AP59:AP64" si="195">MAX(AN59,AO59)</f>
        <v>3.4119073258711929E-3</v>
      </c>
      <c r="AQ59" s="241">
        <f t="shared" ref="AQ59:AQ64" si="196">ROUND(1-(1-W59)*(1-AA59)*(1-AC59)*(1-AF59),3)</f>
        <v>7.5999999999999998E-2</v>
      </c>
      <c r="AR59" s="6">
        <f t="shared" ref="AR59:AR64" si="197">ROUND(1-(1-AG59)*(1-AK59)*(1-AM59)*(1-AP59),3)</f>
        <v>8.8999999999999996E-2</v>
      </c>
      <c r="AS59" s="6">
        <f t="shared" ref="AS59:AS64" si="198">ROUND(AVERAGE(AR59,AQ59),3)</f>
        <v>8.3000000000000004E-2</v>
      </c>
      <c r="AT59" s="137">
        <f t="shared" ref="AT59:AT64" si="199">ROUND(AQ59/0.15,2)</f>
        <v>0.51</v>
      </c>
      <c r="AU59" s="137">
        <f t="shared" ref="AU59:AU64" si="200">ROUND(AR59/0.15,2)</f>
        <v>0.59</v>
      </c>
      <c r="AV59" s="137">
        <f t="shared" ref="AV59:AV64" si="201">ROUND(AS59/0.15,2)</f>
        <v>0.55000000000000004</v>
      </c>
      <c r="AW59" s="138">
        <f t="shared" ref="AW59:AW64" si="202">IF(AT59&lt;0.67,5,IF(AT59&lt;1,4,IF(AT59&lt;1.33,3,IF(AT59&lt;2.67,2,1))))</f>
        <v>5</v>
      </c>
      <c r="AX59" s="138">
        <f t="shared" ref="AX59:AX64" si="203">IF(AU59&lt;0.67,5,IF(AU59&lt;1,4,IF(AU59&lt;1.33,3,IF(AU59&lt;2.67,2,1))))</f>
        <v>5</v>
      </c>
      <c r="AY59" s="242">
        <f t="shared" ref="AY59:AY64" si="204">IF(AV59&lt;0.67,5,IF(AV59&lt;1,4,IF(AV59&lt;1.33,3,IF(AV59&lt;2.67,2,1))))</f>
        <v>5</v>
      </c>
    </row>
    <row r="60" spans="1:51" ht="13.15" customHeight="1">
      <c r="A60" s="161">
        <v>10635</v>
      </c>
      <c r="B60" s="44" t="s">
        <v>227</v>
      </c>
      <c r="C60" s="238" t="str">
        <f>Rollover!A60</f>
        <v>Subaru</v>
      </c>
      <c r="D60" s="239" t="str">
        <f>Rollover!B60</f>
        <v>Forester SUV AWD</v>
      </c>
      <c r="E60" s="136" t="s">
        <v>163</v>
      </c>
      <c r="F60" s="240">
        <f>Rollover!C60</f>
        <v>2019</v>
      </c>
      <c r="G60" s="11">
        <v>186.00899999999999</v>
      </c>
      <c r="H60" s="12">
        <v>0.23100000000000001</v>
      </c>
      <c r="I60" s="12">
        <v>1452.15</v>
      </c>
      <c r="J60" s="12">
        <v>98.75</v>
      </c>
      <c r="K60" s="12">
        <v>22.658000000000001</v>
      </c>
      <c r="L60" s="12">
        <v>39.869999999999997</v>
      </c>
      <c r="M60" s="12">
        <v>1101.81</v>
      </c>
      <c r="N60" s="13">
        <v>1636.1990000000001</v>
      </c>
      <c r="O60" s="11">
        <v>292.87099999999998</v>
      </c>
      <c r="P60" s="12">
        <v>0.311</v>
      </c>
      <c r="Q60" s="12">
        <v>947.10199999999998</v>
      </c>
      <c r="R60" s="12">
        <v>458.37400000000002</v>
      </c>
      <c r="S60" s="12">
        <v>18.981000000000002</v>
      </c>
      <c r="T60" s="12">
        <v>43.216000000000001</v>
      </c>
      <c r="U60" s="12">
        <v>467.50200000000001</v>
      </c>
      <c r="V60" s="13">
        <v>412.33</v>
      </c>
      <c r="W60" s="241">
        <f t="shared" si="176"/>
        <v>1.3110404594310061E-3</v>
      </c>
      <c r="X60" s="6">
        <f t="shared" si="177"/>
        <v>5.8850193746436144E-2</v>
      </c>
      <c r="Y60" s="6">
        <f t="shared" si="178"/>
        <v>5.3879107062638489E-4</v>
      </c>
      <c r="Z60" s="6">
        <f t="shared" si="179"/>
        <v>2.1661145952848496E-5</v>
      </c>
      <c r="AA60" s="6">
        <f t="shared" si="180"/>
        <v>5.8850193746436144E-2</v>
      </c>
      <c r="AB60" s="6">
        <f t="shared" si="181"/>
        <v>1.9208262289615054E-2</v>
      </c>
      <c r="AC60" s="6">
        <f t="shared" si="182"/>
        <v>1.9208262289615054E-2</v>
      </c>
      <c r="AD60" s="6">
        <f t="shared" si="183"/>
        <v>5.3654265705820482E-3</v>
      </c>
      <c r="AE60" s="6">
        <f t="shared" si="184"/>
        <v>7.0704822113201189E-3</v>
      </c>
      <c r="AF60" s="27">
        <f t="shared" si="185"/>
        <v>7.0704822113201189E-3</v>
      </c>
      <c r="AG60" s="26">
        <f t="shared" si="186"/>
        <v>8.3002133307984744E-3</v>
      </c>
      <c r="AH60" s="6">
        <f t="shared" si="187"/>
        <v>6.8204476163385666E-2</v>
      </c>
      <c r="AI60" s="6">
        <f t="shared" si="188"/>
        <v>6.1860460344970712E-4</v>
      </c>
      <c r="AJ60" s="6">
        <f t="shared" si="189"/>
        <v>9.8050483390757013E-5</v>
      </c>
      <c r="AK60" s="6">
        <f t="shared" si="190"/>
        <v>6.8204476163385666E-2</v>
      </c>
      <c r="AL60" s="6">
        <f t="shared" si="191"/>
        <v>2.0710100378025367E-2</v>
      </c>
      <c r="AM60" s="6">
        <f t="shared" si="192"/>
        <v>2.0710100378025367E-2</v>
      </c>
      <c r="AN60" s="6">
        <f t="shared" si="193"/>
        <v>4.3262857592086907E-3</v>
      </c>
      <c r="AO60" s="6">
        <f t="shared" si="194"/>
        <v>4.1489360968420454E-3</v>
      </c>
      <c r="AP60" s="27">
        <f t="shared" si="195"/>
        <v>4.3262857592086907E-3</v>
      </c>
      <c r="AQ60" s="241">
        <f t="shared" si="196"/>
        <v>8.5000000000000006E-2</v>
      </c>
      <c r="AR60" s="6">
        <f t="shared" si="197"/>
        <v>9.9000000000000005E-2</v>
      </c>
      <c r="AS60" s="6">
        <f t="shared" si="198"/>
        <v>9.1999999999999998E-2</v>
      </c>
      <c r="AT60" s="137">
        <f t="shared" si="199"/>
        <v>0.56999999999999995</v>
      </c>
      <c r="AU60" s="137">
        <f t="shared" si="200"/>
        <v>0.66</v>
      </c>
      <c r="AV60" s="137">
        <f t="shared" si="201"/>
        <v>0.61</v>
      </c>
      <c r="AW60" s="138">
        <f t="shared" si="202"/>
        <v>5</v>
      </c>
      <c r="AX60" s="138">
        <f t="shared" si="203"/>
        <v>5</v>
      </c>
      <c r="AY60" s="242">
        <f t="shared" si="204"/>
        <v>5</v>
      </c>
    </row>
    <row r="61" spans="1:51">
      <c r="A61" s="149">
        <v>10671</v>
      </c>
      <c r="B61" s="68" t="s">
        <v>240</v>
      </c>
      <c r="C61" s="238" t="str">
        <f>Rollover!A61</f>
        <v>Toyota</v>
      </c>
      <c r="D61" s="239" t="str">
        <f>Rollover!B61</f>
        <v>Avalon 4DR FWD</v>
      </c>
      <c r="E61" s="136" t="s">
        <v>88</v>
      </c>
      <c r="F61" s="240">
        <f>Rollover!C61</f>
        <v>2019</v>
      </c>
      <c r="G61" s="11">
        <v>161.6</v>
      </c>
      <c r="H61" s="12">
        <v>0.35099999999999998</v>
      </c>
      <c r="I61" s="12">
        <v>980.26900000000001</v>
      </c>
      <c r="J61" s="12">
        <v>26.978999999999999</v>
      </c>
      <c r="K61" s="12">
        <v>22.050999999999998</v>
      </c>
      <c r="L61" s="12">
        <v>43.256999999999998</v>
      </c>
      <c r="M61" s="12">
        <v>2221.1660000000002</v>
      </c>
      <c r="N61" s="13">
        <v>2521.3679999999999</v>
      </c>
      <c r="O61" s="11">
        <v>302.45600000000002</v>
      </c>
      <c r="P61" s="12">
        <v>0.251</v>
      </c>
      <c r="Q61" s="12">
        <v>798.63</v>
      </c>
      <c r="R61" s="12">
        <v>286.3</v>
      </c>
      <c r="S61" s="12">
        <v>20.023</v>
      </c>
      <c r="T61" s="12">
        <v>40.043999999999997</v>
      </c>
      <c r="U61" s="12">
        <v>1988.808</v>
      </c>
      <c r="V61" s="13">
        <v>2015.9680000000001</v>
      </c>
      <c r="W61" s="241">
        <f t="shared" si="176"/>
        <v>6.895587033991646E-4</v>
      </c>
      <c r="X61" s="6">
        <f t="shared" si="177"/>
        <v>7.3382783650721664E-2</v>
      </c>
      <c r="Y61" s="6">
        <f t="shared" si="178"/>
        <v>1.7573438573580515E-4</v>
      </c>
      <c r="Z61" s="6">
        <f t="shared" si="179"/>
        <v>1.8266475069271751E-5</v>
      </c>
      <c r="AA61" s="6">
        <f t="shared" si="180"/>
        <v>7.3382783650721664E-2</v>
      </c>
      <c r="AB61" s="6">
        <f t="shared" si="181"/>
        <v>1.7717620999514162E-2</v>
      </c>
      <c r="AC61" s="6">
        <f t="shared" si="182"/>
        <v>1.7717620999514162E-2</v>
      </c>
      <c r="AD61" s="6">
        <f t="shared" si="183"/>
        <v>9.5579115969339212E-3</v>
      </c>
      <c r="AE61" s="6">
        <f t="shared" si="184"/>
        <v>1.1153373994368028E-2</v>
      </c>
      <c r="AF61" s="27">
        <f t="shared" si="185"/>
        <v>1.1153373994368028E-2</v>
      </c>
      <c r="AG61" s="26">
        <f t="shared" si="186"/>
        <v>9.3383811970220339E-3</v>
      </c>
      <c r="AH61" s="6">
        <f t="shared" si="187"/>
        <v>6.106936821465854E-2</v>
      </c>
      <c r="AI61" s="6">
        <f t="shared" si="188"/>
        <v>3.5353838219225829E-4</v>
      </c>
      <c r="AJ61" s="6">
        <f t="shared" si="189"/>
        <v>5.1254852773430546E-5</v>
      </c>
      <c r="AK61" s="6">
        <f t="shared" si="190"/>
        <v>6.106936821465854E-2</v>
      </c>
      <c r="AL61" s="6">
        <f t="shared" si="191"/>
        <v>2.438080570271374E-2</v>
      </c>
      <c r="AM61" s="6">
        <f t="shared" si="192"/>
        <v>2.438080570271374E-2</v>
      </c>
      <c r="AN61" s="6">
        <f t="shared" si="193"/>
        <v>1.365868079835428E-2</v>
      </c>
      <c r="AO61" s="6">
        <f t="shared" si="194"/>
        <v>1.3940286167889861E-2</v>
      </c>
      <c r="AP61" s="27">
        <f t="shared" si="195"/>
        <v>1.3940286167889861E-2</v>
      </c>
      <c r="AQ61" s="241">
        <f t="shared" si="196"/>
        <v>0.10100000000000001</v>
      </c>
      <c r="AR61" s="6">
        <f t="shared" si="197"/>
        <v>0.105</v>
      </c>
      <c r="AS61" s="6">
        <f t="shared" si="198"/>
        <v>0.10299999999999999</v>
      </c>
      <c r="AT61" s="137">
        <f t="shared" si="199"/>
        <v>0.67</v>
      </c>
      <c r="AU61" s="137">
        <f t="shared" si="200"/>
        <v>0.7</v>
      </c>
      <c r="AV61" s="137">
        <f t="shared" si="201"/>
        <v>0.69</v>
      </c>
      <c r="AW61" s="138">
        <f t="shared" si="202"/>
        <v>4</v>
      </c>
      <c r="AX61" s="138">
        <f t="shared" si="203"/>
        <v>4</v>
      </c>
      <c r="AY61" s="242">
        <f t="shared" si="204"/>
        <v>4</v>
      </c>
    </row>
    <row r="62" spans="1:51">
      <c r="A62" s="149">
        <v>10671</v>
      </c>
      <c r="B62" s="68" t="s">
        <v>240</v>
      </c>
      <c r="C62" s="243" t="str">
        <f>Rollover!A62</f>
        <v>Toyota</v>
      </c>
      <c r="D62" s="244" t="str">
        <f>Rollover!B62</f>
        <v>Avalon Hybrid 4DR FWD</v>
      </c>
      <c r="E62" s="136" t="s">
        <v>88</v>
      </c>
      <c r="F62" s="240">
        <f>Rollover!C62</f>
        <v>2019</v>
      </c>
      <c r="G62" s="11">
        <v>161.6</v>
      </c>
      <c r="H62" s="12">
        <v>0.35099999999999998</v>
      </c>
      <c r="I62" s="12">
        <v>980.26900000000001</v>
      </c>
      <c r="J62" s="12">
        <v>26.978999999999999</v>
      </c>
      <c r="K62" s="12">
        <v>22.050999999999998</v>
      </c>
      <c r="L62" s="12">
        <v>43.256999999999998</v>
      </c>
      <c r="M62" s="12">
        <v>2221.1660000000002</v>
      </c>
      <c r="N62" s="13">
        <v>2521.3679999999999</v>
      </c>
      <c r="O62" s="11">
        <v>302.45600000000002</v>
      </c>
      <c r="P62" s="12">
        <v>0.251</v>
      </c>
      <c r="Q62" s="12">
        <v>798.63</v>
      </c>
      <c r="R62" s="12">
        <v>286.3</v>
      </c>
      <c r="S62" s="12">
        <v>20.023</v>
      </c>
      <c r="T62" s="12">
        <v>40.043999999999997</v>
      </c>
      <c r="U62" s="12">
        <v>1988.808</v>
      </c>
      <c r="V62" s="13">
        <v>2015.9680000000001</v>
      </c>
      <c r="W62" s="241">
        <f t="shared" si="176"/>
        <v>6.895587033991646E-4</v>
      </c>
      <c r="X62" s="6">
        <f t="shared" si="177"/>
        <v>7.3382783650721664E-2</v>
      </c>
      <c r="Y62" s="6">
        <f t="shared" si="178"/>
        <v>1.7573438573580515E-4</v>
      </c>
      <c r="Z62" s="6">
        <f t="shared" si="179"/>
        <v>1.8266475069271751E-5</v>
      </c>
      <c r="AA62" s="6">
        <f t="shared" si="180"/>
        <v>7.3382783650721664E-2</v>
      </c>
      <c r="AB62" s="6">
        <f t="shared" si="181"/>
        <v>1.7717620999514162E-2</v>
      </c>
      <c r="AC62" s="6">
        <f t="shared" si="182"/>
        <v>1.7717620999514162E-2</v>
      </c>
      <c r="AD62" s="6">
        <f t="shared" si="183"/>
        <v>9.5579115969339212E-3</v>
      </c>
      <c r="AE62" s="6">
        <f t="shared" si="184"/>
        <v>1.1153373994368028E-2</v>
      </c>
      <c r="AF62" s="27">
        <f t="shared" si="185"/>
        <v>1.1153373994368028E-2</v>
      </c>
      <c r="AG62" s="26">
        <f t="shared" si="186"/>
        <v>9.3383811970220339E-3</v>
      </c>
      <c r="AH62" s="6">
        <f t="shared" si="187"/>
        <v>6.106936821465854E-2</v>
      </c>
      <c r="AI62" s="6">
        <f t="shared" si="188"/>
        <v>3.5353838219225829E-4</v>
      </c>
      <c r="AJ62" s="6">
        <f t="shared" si="189"/>
        <v>5.1254852773430546E-5</v>
      </c>
      <c r="AK62" s="6">
        <f t="shared" si="190"/>
        <v>6.106936821465854E-2</v>
      </c>
      <c r="AL62" s="6">
        <f t="shared" si="191"/>
        <v>2.438080570271374E-2</v>
      </c>
      <c r="AM62" s="6">
        <f t="shared" si="192"/>
        <v>2.438080570271374E-2</v>
      </c>
      <c r="AN62" s="6">
        <f t="shared" si="193"/>
        <v>1.365868079835428E-2</v>
      </c>
      <c r="AO62" s="6">
        <f t="shared" si="194"/>
        <v>1.3940286167889861E-2</v>
      </c>
      <c r="AP62" s="27">
        <f t="shared" si="195"/>
        <v>1.3940286167889861E-2</v>
      </c>
      <c r="AQ62" s="241">
        <f t="shared" si="196"/>
        <v>0.10100000000000001</v>
      </c>
      <c r="AR62" s="6">
        <f t="shared" si="197"/>
        <v>0.105</v>
      </c>
      <c r="AS62" s="6">
        <f t="shared" si="198"/>
        <v>0.10299999999999999</v>
      </c>
      <c r="AT62" s="137">
        <f t="shared" si="199"/>
        <v>0.67</v>
      </c>
      <c r="AU62" s="137">
        <f t="shared" si="200"/>
        <v>0.7</v>
      </c>
      <c r="AV62" s="137">
        <f t="shared" si="201"/>
        <v>0.69</v>
      </c>
      <c r="AW62" s="138">
        <f t="shared" si="202"/>
        <v>4</v>
      </c>
      <c r="AX62" s="138">
        <f t="shared" si="203"/>
        <v>4</v>
      </c>
      <c r="AY62" s="242">
        <f t="shared" si="204"/>
        <v>4</v>
      </c>
    </row>
    <row r="63" spans="1:51" ht="13.15" customHeight="1">
      <c r="A63" s="161">
        <v>10555</v>
      </c>
      <c r="B63" s="44" t="s">
        <v>181</v>
      </c>
      <c r="C63" s="238" t="str">
        <f>Rollover!A63</f>
        <v>Toyota</v>
      </c>
      <c r="D63" s="239" t="str">
        <f>Rollover!B63</f>
        <v>C-HR 5HB FWD</v>
      </c>
      <c r="E63" s="136" t="s">
        <v>160</v>
      </c>
      <c r="F63" s="240">
        <f>Rollover!C63</f>
        <v>2019</v>
      </c>
      <c r="G63" s="11">
        <v>162.92599999999999</v>
      </c>
      <c r="H63" s="12">
        <v>0.26500000000000001</v>
      </c>
      <c r="I63" s="12">
        <v>1389.0419999999999</v>
      </c>
      <c r="J63" s="12">
        <v>105.749</v>
      </c>
      <c r="K63" s="12">
        <v>19.760000000000002</v>
      </c>
      <c r="L63" s="12">
        <v>42.151000000000003</v>
      </c>
      <c r="M63" s="12">
        <v>1704.9269999999999</v>
      </c>
      <c r="N63" s="13">
        <v>1530.499</v>
      </c>
      <c r="O63" s="11">
        <v>148.93199999999999</v>
      </c>
      <c r="P63" s="12">
        <v>0.40899999999999997</v>
      </c>
      <c r="Q63" s="12">
        <v>1057.58</v>
      </c>
      <c r="R63" s="12">
        <v>257.827</v>
      </c>
      <c r="S63" s="12">
        <v>19.702999999999999</v>
      </c>
      <c r="T63" s="12">
        <v>44.463999999999999</v>
      </c>
      <c r="U63" s="12">
        <v>687.53200000000004</v>
      </c>
      <c r="V63" s="13">
        <v>1226.046</v>
      </c>
      <c r="W63" s="241">
        <f t="shared" si="176"/>
        <v>7.1644447102986854E-4</v>
      </c>
      <c r="X63" s="6">
        <f t="shared" si="177"/>
        <v>6.266909207262164E-2</v>
      </c>
      <c r="Y63" s="6">
        <f t="shared" si="178"/>
        <v>4.6383151350992626E-4</v>
      </c>
      <c r="Z63" s="6">
        <f t="shared" si="179"/>
        <v>2.2024212327119822E-5</v>
      </c>
      <c r="AA63" s="6">
        <f t="shared" si="180"/>
        <v>6.266909207262164E-2</v>
      </c>
      <c r="AB63" s="6">
        <f t="shared" si="181"/>
        <v>1.2900705240459156E-2</v>
      </c>
      <c r="AC63" s="6">
        <f t="shared" si="182"/>
        <v>1.2900705240459156E-2</v>
      </c>
      <c r="AD63" s="6">
        <f t="shared" si="183"/>
        <v>7.3256561497189289E-3</v>
      </c>
      <c r="AE63" s="6">
        <f t="shared" si="184"/>
        <v>6.6951600596331113E-3</v>
      </c>
      <c r="AF63" s="27">
        <f t="shared" si="185"/>
        <v>7.3256561497189289E-3</v>
      </c>
      <c r="AG63" s="26">
        <f t="shared" si="186"/>
        <v>4.6763796420525749E-4</v>
      </c>
      <c r="AH63" s="6">
        <f t="shared" si="187"/>
        <v>8.1535795484338883E-2</v>
      </c>
      <c r="AI63" s="6">
        <f t="shared" si="188"/>
        <v>9.3790513895781297E-4</v>
      </c>
      <c r="AJ63" s="6">
        <f t="shared" si="189"/>
        <v>4.6038237844112083E-5</v>
      </c>
      <c r="AK63" s="6">
        <f t="shared" si="190"/>
        <v>8.1535795484338883E-2</v>
      </c>
      <c r="AL63" s="6">
        <f t="shared" si="191"/>
        <v>2.3202213114239905E-2</v>
      </c>
      <c r="AM63" s="6">
        <f t="shared" si="192"/>
        <v>2.3202213114239905E-2</v>
      </c>
      <c r="AN63" s="6">
        <f t="shared" si="193"/>
        <v>5.1118478419155695E-3</v>
      </c>
      <c r="AO63" s="6">
        <f t="shared" si="194"/>
        <v>7.6849593356289022E-3</v>
      </c>
      <c r="AP63" s="27">
        <f t="shared" si="195"/>
        <v>7.6849593356289022E-3</v>
      </c>
      <c r="AQ63" s="241">
        <f t="shared" si="196"/>
        <v>8.2000000000000003E-2</v>
      </c>
      <c r="AR63" s="6">
        <f t="shared" si="197"/>
        <v>0.11</v>
      </c>
      <c r="AS63" s="6">
        <f t="shared" si="198"/>
        <v>9.6000000000000002E-2</v>
      </c>
      <c r="AT63" s="137">
        <f t="shared" si="199"/>
        <v>0.55000000000000004</v>
      </c>
      <c r="AU63" s="137">
        <f t="shared" si="200"/>
        <v>0.73</v>
      </c>
      <c r="AV63" s="137">
        <f t="shared" si="201"/>
        <v>0.64</v>
      </c>
      <c r="AW63" s="138">
        <f t="shared" si="202"/>
        <v>5</v>
      </c>
      <c r="AX63" s="138">
        <f t="shared" si="203"/>
        <v>4</v>
      </c>
      <c r="AY63" s="242">
        <f t="shared" si="204"/>
        <v>5</v>
      </c>
    </row>
    <row r="64" spans="1:51" ht="13.15" customHeight="1">
      <c r="A64" s="161">
        <v>10651</v>
      </c>
      <c r="B64" s="44" t="s">
        <v>222</v>
      </c>
      <c r="C64" s="238" t="str">
        <f>Rollover!A64</f>
        <v>Toyota</v>
      </c>
      <c r="D64" s="239" t="str">
        <f>Rollover!B64</f>
        <v>Corolla 5HB FWD</v>
      </c>
      <c r="E64" s="136" t="s">
        <v>88</v>
      </c>
      <c r="F64" s="240">
        <f>Rollover!C64</f>
        <v>2019</v>
      </c>
      <c r="G64" s="11">
        <v>186.548</v>
      </c>
      <c r="H64" s="12">
        <v>0.27300000000000002</v>
      </c>
      <c r="I64" s="12">
        <v>1080.8340000000001</v>
      </c>
      <c r="J64" s="12">
        <v>221.012</v>
      </c>
      <c r="K64" s="12">
        <v>24.053999999999998</v>
      </c>
      <c r="L64" s="12">
        <v>45.079000000000001</v>
      </c>
      <c r="M64" s="12">
        <v>1468.2719999999999</v>
      </c>
      <c r="N64" s="13">
        <v>1380.788</v>
      </c>
      <c r="O64" s="11">
        <v>356.32299999999998</v>
      </c>
      <c r="P64" s="12">
        <v>0.27100000000000002</v>
      </c>
      <c r="Q64" s="12">
        <v>733.971</v>
      </c>
      <c r="R64" s="12">
        <v>381.9</v>
      </c>
      <c r="S64" s="12">
        <v>13.587999999999999</v>
      </c>
      <c r="T64" s="12">
        <v>48.542000000000002</v>
      </c>
      <c r="U64" s="12">
        <v>1337.059</v>
      </c>
      <c r="V64" s="13">
        <v>693.72799999999995</v>
      </c>
      <c r="W64" s="241">
        <f t="shared" si="176"/>
        <v>1.3280132735441646E-3</v>
      </c>
      <c r="X64" s="6">
        <f t="shared" si="177"/>
        <v>6.3600694729198576E-2</v>
      </c>
      <c r="Y64" s="6">
        <f t="shared" si="178"/>
        <v>2.231330320868445E-4</v>
      </c>
      <c r="Z64" s="6">
        <f t="shared" si="179"/>
        <v>2.8959117628590589E-5</v>
      </c>
      <c r="AA64" s="6">
        <f t="shared" si="180"/>
        <v>6.3600694729198576E-2</v>
      </c>
      <c r="AB64" s="6">
        <f t="shared" si="181"/>
        <v>2.3019088613042766E-2</v>
      </c>
      <c r="AC64" s="6">
        <f t="shared" si="182"/>
        <v>2.3019088613042766E-2</v>
      </c>
      <c r="AD64" s="6">
        <f t="shared" si="183"/>
        <v>6.4835277820869067E-3</v>
      </c>
      <c r="AE64" s="6">
        <f t="shared" si="184"/>
        <v>6.1971917736574752E-3</v>
      </c>
      <c r="AF64" s="27">
        <f t="shared" si="185"/>
        <v>6.4835277820869067E-3</v>
      </c>
      <c r="AG64" s="26">
        <f t="shared" si="186"/>
        <v>1.6568243756006254E-2</v>
      </c>
      <c r="AH64" s="6">
        <f t="shared" si="187"/>
        <v>6.3366590994446123E-2</v>
      </c>
      <c r="AI64" s="6">
        <f t="shared" si="188"/>
        <v>2.7707940068093061E-4</v>
      </c>
      <c r="AJ64" s="6">
        <f t="shared" si="189"/>
        <v>7.3493727433486964E-5</v>
      </c>
      <c r="AK64" s="6">
        <f t="shared" si="190"/>
        <v>6.3366590994446123E-2</v>
      </c>
      <c r="AL64" s="6">
        <f t="shared" si="191"/>
        <v>8.066984148380035E-3</v>
      </c>
      <c r="AM64" s="6">
        <f t="shared" si="192"/>
        <v>8.066984148380035E-3</v>
      </c>
      <c r="AN64" s="6">
        <f t="shared" si="193"/>
        <v>8.3575710425069869E-3</v>
      </c>
      <c r="AO64" s="6">
        <f t="shared" si="194"/>
        <v>5.1359123258313873E-3</v>
      </c>
      <c r="AP64" s="27">
        <f t="shared" si="195"/>
        <v>8.3575710425069869E-3</v>
      </c>
      <c r="AQ64" s="241">
        <f t="shared" si="196"/>
        <v>9.1999999999999998E-2</v>
      </c>
      <c r="AR64" s="6">
        <f t="shared" si="197"/>
        <v>9.4E-2</v>
      </c>
      <c r="AS64" s="6">
        <f t="shared" si="198"/>
        <v>9.2999999999999999E-2</v>
      </c>
      <c r="AT64" s="137">
        <f t="shared" si="199"/>
        <v>0.61</v>
      </c>
      <c r="AU64" s="137">
        <f t="shared" si="200"/>
        <v>0.63</v>
      </c>
      <c r="AV64" s="137">
        <f t="shared" si="201"/>
        <v>0.62</v>
      </c>
      <c r="AW64" s="138">
        <f t="shared" si="202"/>
        <v>5</v>
      </c>
      <c r="AX64" s="138">
        <f t="shared" si="203"/>
        <v>5</v>
      </c>
      <c r="AY64" s="242">
        <f t="shared" si="204"/>
        <v>5</v>
      </c>
    </row>
    <row r="65" spans="1:51" ht="13.15" customHeight="1">
      <c r="A65" s="149">
        <v>10673</v>
      </c>
      <c r="B65" s="68" t="s">
        <v>248</v>
      </c>
      <c r="C65" s="238" t="str">
        <f>Rollover!A65</f>
        <v xml:space="preserve">Volkswagen </v>
      </c>
      <c r="D65" s="239" t="str">
        <f>Rollover!B65</f>
        <v>Jetta 4DR FWD</v>
      </c>
      <c r="E65" s="136" t="s">
        <v>165</v>
      </c>
      <c r="F65" s="240">
        <f>Rollover!C65</f>
        <v>2019</v>
      </c>
      <c r="G65" s="11">
        <v>247.256</v>
      </c>
      <c r="H65" s="12">
        <v>0.317</v>
      </c>
      <c r="I65" s="12">
        <v>1573.0329999999999</v>
      </c>
      <c r="J65" s="12">
        <v>258.96199999999999</v>
      </c>
      <c r="K65" s="12">
        <v>30.013000000000002</v>
      </c>
      <c r="L65" s="12">
        <v>42.189</v>
      </c>
      <c r="M65" s="12">
        <v>203.59800000000001</v>
      </c>
      <c r="N65" s="13">
        <v>473.29399999999998</v>
      </c>
      <c r="O65" s="11">
        <v>315.22800000000001</v>
      </c>
      <c r="P65" s="12">
        <v>0.41599999999999998</v>
      </c>
      <c r="Q65" s="12">
        <v>676.79600000000005</v>
      </c>
      <c r="R65" s="12">
        <v>628.37400000000002</v>
      </c>
      <c r="S65" s="12">
        <v>18.55</v>
      </c>
      <c r="T65" s="12">
        <v>50.814</v>
      </c>
      <c r="U65" s="12">
        <v>1369.8420000000001</v>
      </c>
      <c r="V65" s="13">
        <v>280.63900000000001</v>
      </c>
      <c r="W65" s="241">
        <f t="shared" si="89"/>
        <v>4.3421172338595736E-3</v>
      </c>
      <c r="X65" s="6">
        <f t="shared" si="90"/>
        <v>6.895905071354097E-2</v>
      </c>
      <c r="Y65" s="6">
        <f t="shared" si="91"/>
        <v>7.1783937750873896E-4</v>
      </c>
      <c r="Z65" s="6">
        <f t="shared" si="92"/>
        <v>3.1690394332688976E-5</v>
      </c>
      <c r="AA65" s="6">
        <f t="shared" si="93"/>
        <v>6.895905071354097E-2</v>
      </c>
      <c r="AB65" s="6">
        <f t="shared" si="94"/>
        <v>4.6636036592218419E-2</v>
      </c>
      <c r="AC65" s="6">
        <f t="shared" si="95"/>
        <v>4.6636036592218419E-2</v>
      </c>
      <c r="AD65" s="6">
        <f t="shared" si="96"/>
        <v>3.3711971119409294E-3</v>
      </c>
      <c r="AE65" s="6">
        <f t="shared" si="97"/>
        <v>3.8763537440804816E-3</v>
      </c>
      <c r="AF65" s="27">
        <f t="shared" si="98"/>
        <v>3.8763537440804816E-3</v>
      </c>
      <c r="AG65" s="26">
        <f t="shared" si="99"/>
        <v>1.0837178322053245E-2</v>
      </c>
      <c r="AH65" s="6">
        <f t="shared" si="100"/>
        <v>8.2573838013932671E-2</v>
      </c>
      <c r="AI65" s="6">
        <f t="shared" si="101"/>
        <v>2.2336519725528646E-4</v>
      </c>
      <c r="AJ65" s="6">
        <f t="shared" si="102"/>
        <v>1.8610190848175178E-4</v>
      </c>
      <c r="AK65" s="6">
        <f t="shared" si="103"/>
        <v>8.2573838013932671E-2</v>
      </c>
      <c r="AL65" s="6">
        <f t="shared" si="104"/>
        <v>1.9327785706300726E-2</v>
      </c>
      <c r="AM65" s="6">
        <f t="shared" si="105"/>
        <v>1.9327785706300726E-2</v>
      </c>
      <c r="AN65" s="6">
        <f t="shared" si="106"/>
        <v>8.5671391103621479E-3</v>
      </c>
      <c r="AO65" s="6">
        <f t="shared" si="107"/>
        <v>3.7543408368311761E-3</v>
      </c>
      <c r="AP65" s="27">
        <f t="shared" si="108"/>
        <v>8.5671391103621479E-3</v>
      </c>
      <c r="AQ65" s="241">
        <f t="shared" si="109"/>
        <v>0.12</v>
      </c>
      <c r="AR65" s="6">
        <f t="shared" si="110"/>
        <v>0.11799999999999999</v>
      </c>
      <c r="AS65" s="6">
        <f t="shared" si="111"/>
        <v>0.11899999999999999</v>
      </c>
      <c r="AT65" s="137">
        <f t="shared" si="112"/>
        <v>0.8</v>
      </c>
      <c r="AU65" s="137">
        <f t="shared" si="113"/>
        <v>0.79</v>
      </c>
      <c r="AV65" s="137">
        <f t="shared" si="114"/>
        <v>0.79</v>
      </c>
      <c r="AW65" s="138">
        <f t="shared" si="115"/>
        <v>4</v>
      </c>
      <c r="AX65" s="138">
        <f t="shared" si="116"/>
        <v>4</v>
      </c>
      <c r="AY65" s="242">
        <f t="shared" si="117"/>
        <v>4</v>
      </c>
    </row>
    <row r="66" spans="1:51">
      <c r="A66" s="105"/>
      <c r="B66" s="105"/>
      <c r="C66" s="105"/>
      <c r="G66" s="247"/>
      <c r="H66" s="247"/>
      <c r="I66" s="247"/>
      <c r="J66" s="247"/>
      <c r="K66" s="247"/>
      <c r="L66" s="247"/>
      <c r="M66" s="247"/>
      <c r="N66" s="247"/>
      <c r="O66" s="247"/>
      <c r="P66" s="247"/>
      <c r="Q66" s="247"/>
      <c r="R66" s="247"/>
      <c r="S66" s="247"/>
      <c r="T66" s="247"/>
      <c r="U66" s="247"/>
      <c r="V66" s="247"/>
    </row>
    <row r="67" spans="1:51">
      <c r="A67" s="105"/>
      <c r="B67" s="105"/>
      <c r="C67" s="105"/>
      <c r="G67" s="247"/>
      <c r="H67" s="247"/>
      <c r="I67" s="247"/>
      <c r="J67" s="247"/>
      <c r="K67" s="247"/>
      <c r="L67" s="247"/>
      <c r="M67" s="247"/>
      <c r="N67" s="247"/>
      <c r="O67" s="247"/>
      <c r="P67" s="247"/>
      <c r="Q67" s="247"/>
      <c r="R67" s="247"/>
      <c r="S67" s="247"/>
      <c r="T67" s="247"/>
      <c r="U67" s="247"/>
      <c r="V67" s="247"/>
    </row>
    <row r="68" spans="1:51">
      <c r="A68" s="105"/>
      <c r="B68" s="105"/>
      <c r="C68" s="105"/>
      <c r="D68" s="105"/>
      <c r="E68" s="105"/>
      <c r="F68" s="105"/>
      <c r="G68" s="247"/>
      <c r="H68" s="247"/>
      <c r="I68" s="247"/>
      <c r="J68" s="247"/>
      <c r="K68" s="247"/>
      <c r="L68" s="247"/>
      <c r="M68" s="247"/>
      <c r="N68" s="247"/>
      <c r="O68" s="247"/>
      <c r="P68" s="247"/>
      <c r="Q68" s="247"/>
      <c r="R68" s="247"/>
      <c r="S68" s="247"/>
      <c r="T68" s="247"/>
      <c r="U68" s="247"/>
      <c r="V68" s="247"/>
    </row>
    <row r="69" spans="1:51">
      <c r="A69" s="105"/>
      <c r="B69" s="105"/>
      <c r="C69" s="105"/>
      <c r="D69" s="105"/>
      <c r="E69" s="105"/>
      <c r="F69" s="105"/>
      <c r="G69" s="247"/>
      <c r="H69" s="247"/>
      <c r="I69" s="247"/>
      <c r="J69" s="247"/>
      <c r="K69" s="247"/>
      <c r="L69" s="247"/>
      <c r="M69" s="247"/>
      <c r="N69" s="247"/>
      <c r="O69" s="247"/>
      <c r="P69" s="247"/>
      <c r="Q69" s="247"/>
      <c r="R69" s="247"/>
      <c r="S69" s="247"/>
      <c r="T69" s="247"/>
      <c r="U69" s="247"/>
      <c r="V69" s="247"/>
    </row>
    <row r="70" spans="1:51">
      <c r="A70" s="105"/>
      <c r="B70" s="105"/>
      <c r="C70" s="105"/>
      <c r="D70" s="105"/>
      <c r="E70" s="105"/>
      <c r="F70" s="105"/>
      <c r="G70" s="247"/>
      <c r="H70" s="247"/>
      <c r="I70" s="247"/>
      <c r="J70" s="247"/>
      <c r="K70" s="247"/>
      <c r="L70" s="247"/>
      <c r="M70" s="247"/>
      <c r="N70" s="247"/>
      <c r="O70" s="247"/>
      <c r="P70" s="247"/>
      <c r="Q70" s="247"/>
      <c r="R70" s="247"/>
      <c r="S70" s="247"/>
      <c r="T70" s="247"/>
      <c r="U70" s="247"/>
      <c r="V70" s="247"/>
    </row>
    <row r="71" spans="1:51">
      <c r="A71" s="105"/>
      <c r="B71" s="105"/>
      <c r="C71" s="105"/>
      <c r="D71" s="105"/>
      <c r="E71" s="105"/>
      <c r="F71" s="105"/>
      <c r="G71" s="247"/>
      <c r="H71" s="247"/>
      <c r="I71" s="247"/>
      <c r="J71" s="247"/>
      <c r="K71" s="247"/>
      <c r="L71" s="247"/>
      <c r="M71" s="247"/>
      <c r="N71" s="247"/>
      <c r="O71" s="247"/>
      <c r="P71" s="247"/>
      <c r="Q71" s="247"/>
      <c r="R71" s="247"/>
      <c r="S71" s="247"/>
      <c r="T71" s="247"/>
      <c r="U71" s="247"/>
      <c r="V71" s="247"/>
    </row>
    <row r="72" spans="1:51">
      <c r="A72" s="105"/>
      <c r="B72" s="105"/>
      <c r="C72" s="105"/>
      <c r="D72" s="105"/>
      <c r="E72" s="105"/>
      <c r="F72" s="105"/>
      <c r="G72" s="247"/>
      <c r="H72" s="247"/>
      <c r="I72" s="247"/>
      <c r="J72" s="247"/>
      <c r="K72" s="247"/>
      <c r="L72" s="247"/>
      <c r="M72" s="247"/>
      <c r="N72" s="247"/>
      <c r="O72" s="247"/>
      <c r="P72" s="247"/>
      <c r="Q72" s="247"/>
      <c r="R72" s="247"/>
      <c r="S72" s="247"/>
      <c r="T72" s="247"/>
      <c r="U72" s="247"/>
      <c r="V72" s="247"/>
    </row>
    <row r="73" spans="1:51">
      <c r="A73" s="105"/>
      <c r="B73" s="105"/>
      <c r="C73" s="105"/>
      <c r="D73" s="105"/>
      <c r="E73" s="105"/>
      <c r="F73" s="105"/>
      <c r="G73" s="247"/>
      <c r="H73" s="247"/>
      <c r="I73" s="247"/>
      <c r="J73" s="247"/>
      <c r="K73" s="247"/>
      <c r="L73" s="247"/>
      <c r="M73" s="247"/>
      <c r="N73" s="247"/>
      <c r="O73" s="247"/>
      <c r="P73" s="247"/>
      <c r="Q73" s="247"/>
      <c r="R73" s="247"/>
      <c r="S73" s="247"/>
      <c r="T73" s="247"/>
      <c r="U73" s="247"/>
      <c r="V73" s="247"/>
    </row>
    <row r="74" spans="1:51">
      <c r="A74" s="249"/>
      <c r="B74" s="249"/>
      <c r="C74" s="105"/>
      <c r="D74" s="105"/>
      <c r="E74" s="105"/>
      <c r="F74" s="105"/>
      <c r="G74" s="247"/>
      <c r="H74" s="247"/>
      <c r="I74" s="247"/>
      <c r="J74" s="247"/>
      <c r="K74" s="247"/>
      <c r="L74" s="143"/>
      <c r="M74" s="197"/>
      <c r="N74" s="197"/>
      <c r="O74" s="197"/>
      <c r="P74" s="197"/>
      <c r="Q74" s="197"/>
      <c r="R74" s="197"/>
      <c r="S74" s="197"/>
      <c r="T74" s="197"/>
      <c r="U74" s="197"/>
      <c r="V74" s="197"/>
      <c r="W74" s="73"/>
      <c r="X74" s="73"/>
      <c r="Y74" s="73"/>
      <c r="Z74" s="73"/>
    </row>
    <row r="75" spans="1:51">
      <c r="L75" s="143"/>
      <c r="M75" s="197"/>
      <c r="N75" s="197"/>
      <c r="O75" s="197"/>
      <c r="P75" s="197"/>
      <c r="Q75" s="197"/>
      <c r="R75" s="197"/>
      <c r="S75" s="197"/>
      <c r="T75" s="197"/>
      <c r="U75" s="197"/>
      <c r="V75" s="197"/>
      <c r="W75" s="73"/>
      <c r="X75" s="73"/>
      <c r="Y75" s="73"/>
      <c r="Z75" s="73"/>
    </row>
    <row r="76" spans="1:51">
      <c r="L76" s="143"/>
      <c r="M76" s="197"/>
      <c r="N76" s="197"/>
      <c r="O76" s="197"/>
      <c r="P76" s="197"/>
      <c r="Q76" s="197"/>
      <c r="R76" s="197"/>
      <c r="S76" s="197"/>
      <c r="T76" s="197"/>
      <c r="U76" s="197"/>
      <c r="V76" s="197"/>
      <c r="W76" s="73"/>
      <c r="X76" s="73"/>
      <c r="Y76" s="73"/>
      <c r="Z76" s="73"/>
    </row>
    <row r="77" spans="1:51">
      <c r="C77" s="111"/>
      <c r="D77" s="111"/>
      <c r="E77" s="111"/>
      <c r="F77" s="111"/>
      <c r="G77" s="251"/>
      <c r="H77" s="251"/>
      <c r="K77" s="251"/>
      <c r="L77" s="197"/>
      <c r="M77" s="197"/>
      <c r="N77" s="197"/>
      <c r="O77" s="197"/>
      <c r="P77" s="197"/>
      <c r="Q77" s="197"/>
      <c r="R77" s="197"/>
      <c r="S77" s="197"/>
      <c r="T77" s="197"/>
      <c r="U77" s="197"/>
      <c r="V77" s="197"/>
      <c r="W77" s="73"/>
      <c r="X77" s="73"/>
      <c r="Y77" s="73"/>
      <c r="Z77" s="73"/>
    </row>
    <row r="78" spans="1:51">
      <c r="C78" s="111"/>
      <c r="D78" s="111"/>
      <c r="E78" s="111"/>
      <c r="F78" s="111"/>
      <c r="G78" s="251"/>
      <c r="H78" s="251"/>
      <c r="K78" s="252"/>
      <c r="L78" s="197"/>
      <c r="M78" s="197"/>
      <c r="N78" s="197"/>
      <c r="O78" s="197"/>
      <c r="P78" s="197"/>
      <c r="Q78" s="197"/>
      <c r="R78" s="197"/>
      <c r="S78" s="197"/>
      <c r="T78" s="197"/>
      <c r="U78" s="197"/>
      <c r="V78" s="197"/>
      <c r="W78" s="73"/>
      <c r="X78" s="73"/>
      <c r="Y78" s="73"/>
      <c r="Z78" s="73"/>
    </row>
    <row r="79" spans="1:51">
      <c r="C79" s="111"/>
      <c r="D79" s="111"/>
      <c r="E79" s="111"/>
      <c r="F79" s="111"/>
      <c r="G79" s="251"/>
      <c r="H79" s="251"/>
      <c r="K79" s="251"/>
      <c r="L79" s="143"/>
      <c r="M79" s="197"/>
      <c r="N79" s="197"/>
      <c r="O79" s="197"/>
      <c r="P79" s="197"/>
      <c r="Q79" s="197"/>
      <c r="R79" s="197"/>
      <c r="S79" s="197"/>
      <c r="T79" s="197"/>
      <c r="U79" s="197"/>
      <c r="V79" s="197"/>
      <c r="W79" s="73"/>
      <c r="X79" s="73"/>
      <c r="Y79" s="73"/>
      <c r="Z79" s="73"/>
    </row>
    <row r="80" spans="1:51">
      <c r="C80" s="111"/>
      <c r="D80" s="111"/>
      <c r="E80" s="111"/>
      <c r="F80" s="111"/>
      <c r="G80" s="251"/>
      <c r="H80" s="251"/>
      <c r="K80" s="251"/>
      <c r="L80" s="143"/>
      <c r="M80" s="197"/>
      <c r="N80" s="197"/>
      <c r="O80" s="197"/>
      <c r="P80" s="197"/>
      <c r="Q80" s="197"/>
      <c r="R80" s="197"/>
      <c r="S80" s="197"/>
      <c r="T80" s="197"/>
      <c r="U80" s="197"/>
      <c r="V80" s="197"/>
      <c r="W80" s="73"/>
      <c r="X80" s="73"/>
      <c r="Y80" s="73"/>
      <c r="Z80" s="73"/>
    </row>
    <row r="81" spans="1:31">
      <c r="C81" s="111"/>
      <c r="D81" s="111"/>
      <c r="E81" s="111"/>
      <c r="F81" s="111"/>
      <c r="G81" s="251"/>
      <c r="H81" s="251"/>
      <c r="K81" s="252"/>
      <c r="L81" s="143"/>
      <c r="M81" s="197"/>
      <c r="N81" s="197"/>
      <c r="O81" s="197"/>
      <c r="P81" s="197"/>
      <c r="Q81" s="197"/>
      <c r="R81" s="197"/>
      <c r="S81" s="197"/>
      <c r="T81" s="197"/>
      <c r="U81" s="197"/>
      <c r="V81" s="197"/>
      <c r="W81" s="73"/>
      <c r="X81" s="73"/>
      <c r="Y81" s="73"/>
      <c r="Z81" s="73"/>
    </row>
    <row r="82" spans="1:31">
      <c r="C82" s="111"/>
      <c r="D82" s="111"/>
      <c r="E82" s="111"/>
      <c r="F82" s="111"/>
      <c r="G82" s="251"/>
      <c r="H82" s="251"/>
      <c r="K82" s="251"/>
      <c r="L82" s="143"/>
      <c r="M82" s="197"/>
      <c r="N82" s="197"/>
      <c r="O82" s="197"/>
      <c r="P82" s="197"/>
      <c r="Q82" s="197"/>
      <c r="R82" s="197"/>
      <c r="S82" s="197"/>
      <c r="T82" s="197"/>
      <c r="U82" s="197"/>
      <c r="V82" s="197"/>
      <c r="W82" s="73"/>
      <c r="X82" s="73"/>
      <c r="Y82" s="73"/>
      <c r="Z82" s="73"/>
    </row>
    <row r="83" spans="1:31">
      <c r="C83" s="111"/>
      <c r="D83" s="111"/>
      <c r="E83" s="111"/>
      <c r="F83" s="111"/>
      <c r="G83" s="251"/>
      <c r="H83" s="251"/>
      <c r="K83" s="251"/>
    </row>
    <row r="84" spans="1:31">
      <c r="C84" s="111"/>
      <c r="D84" s="111"/>
      <c r="E84" s="111"/>
      <c r="F84" s="111"/>
      <c r="G84" s="251"/>
      <c r="H84" s="251"/>
      <c r="K84" s="251"/>
    </row>
    <row r="85" spans="1:31">
      <c r="C85" s="111"/>
      <c r="D85" s="111"/>
      <c r="E85" s="111"/>
      <c r="F85" s="111"/>
      <c r="G85" s="251"/>
      <c r="H85" s="251"/>
      <c r="K85" s="252"/>
      <c r="L85" s="247"/>
      <c r="M85" s="247"/>
      <c r="N85" s="247"/>
      <c r="O85" s="247"/>
      <c r="P85" s="247"/>
      <c r="Q85" s="247"/>
      <c r="R85" s="247"/>
      <c r="S85" s="247"/>
      <c r="T85" s="247"/>
      <c r="U85" s="247"/>
      <c r="V85" s="247"/>
    </row>
    <row r="86" spans="1:31">
      <c r="C86" s="111"/>
      <c r="D86" s="111"/>
      <c r="E86" s="111"/>
      <c r="F86" s="111"/>
      <c r="G86" s="251"/>
      <c r="H86" s="251"/>
      <c r="K86" s="251"/>
    </row>
    <row r="87" spans="1:31">
      <c r="G87" s="251"/>
      <c r="H87" s="251"/>
      <c r="K87" s="251"/>
    </row>
    <row r="88" spans="1:31">
      <c r="G88" s="251"/>
      <c r="H88" s="251"/>
      <c r="K88" s="251"/>
    </row>
    <row r="89" spans="1:31">
      <c r="C89" s="111"/>
      <c r="D89" s="111"/>
      <c r="E89" s="111"/>
      <c r="F89" s="111"/>
      <c r="G89" s="251"/>
      <c r="H89" s="251"/>
      <c r="K89" s="251"/>
    </row>
    <row r="90" spans="1:31">
      <c r="A90" s="105"/>
      <c r="B90" s="105"/>
      <c r="C90" s="111"/>
      <c r="D90" s="111"/>
      <c r="E90" s="111"/>
      <c r="F90" s="111"/>
      <c r="G90" s="251"/>
      <c r="H90" s="251"/>
      <c r="K90" s="251"/>
    </row>
    <row r="91" spans="1:31">
      <c r="A91" s="105"/>
      <c r="B91" s="105"/>
      <c r="C91" s="111"/>
      <c r="D91" s="111"/>
      <c r="E91" s="111"/>
      <c r="F91" s="111"/>
      <c r="G91" s="251"/>
      <c r="H91" s="251"/>
      <c r="K91" s="251"/>
    </row>
    <row r="92" spans="1:31">
      <c r="A92" s="105"/>
      <c r="B92" s="105"/>
      <c r="C92" s="111"/>
      <c r="D92" s="111"/>
      <c r="E92" s="111"/>
      <c r="F92" s="111"/>
      <c r="G92" s="251"/>
      <c r="H92" s="251"/>
      <c r="K92" s="251"/>
      <c r="N92" s="251"/>
      <c r="O92" s="251"/>
      <c r="P92" s="251"/>
      <c r="Q92" s="251"/>
      <c r="R92" s="251"/>
      <c r="S92" s="251"/>
      <c r="T92" s="251"/>
      <c r="U92" s="251"/>
      <c r="V92" s="251"/>
      <c r="W92" s="253"/>
      <c r="X92" s="254"/>
      <c r="Y92" s="253"/>
      <c r="Z92" s="253"/>
      <c r="AA92" s="111"/>
      <c r="AB92" s="111"/>
      <c r="AC92" s="111"/>
      <c r="AD92" s="111"/>
      <c r="AE92" s="111"/>
    </row>
    <row r="93" spans="1:31">
      <c r="C93" s="111"/>
      <c r="D93" s="111"/>
      <c r="E93" s="111"/>
      <c r="F93" s="111"/>
      <c r="H93" s="197"/>
      <c r="I93" s="197"/>
      <c r="J93" s="197"/>
      <c r="K93" s="197"/>
      <c r="L93" s="197"/>
      <c r="M93" s="197"/>
      <c r="N93" s="251"/>
      <c r="O93" s="251"/>
      <c r="P93" s="251"/>
      <c r="Q93" s="251"/>
      <c r="R93" s="251"/>
      <c r="S93" s="251"/>
      <c r="T93" s="251"/>
      <c r="U93" s="251"/>
      <c r="V93" s="251"/>
      <c r="W93" s="253"/>
      <c r="X93" s="254"/>
      <c r="Y93" s="253"/>
      <c r="Z93" s="253"/>
      <c r="AA93" s="75"/>
      <c r="AB93" s="75"/>
      <c r="AC93" s="75"/>
      <c r="AD93" s="75"/>
      <c r="AE93" s="75"/>
    </row>
    <row r="94" spans="1:31">
      <c r="C94" s="111"/>
      <c r="D94" s="111"/>
      <c r="E94" s="111"/>
      <c r="F94" s="111"/>
      <c r="H94" s="197"/>
      <c r="I94" s="197"/>
      <c r="J94" s="197"/>
      <c r="K94" s="197"/>
      <c r="L94" s="197"/>
      <c r="M94" s="197"/>
      <c r="N94" s="251"/>
      <c r="O94" s="251"/>
      <c r="P94" s="251"/>
      <c r="Q94" s="251"/>
      <c r="R94" s="251"/>
      <c r="S94" s="251"/>
      <c r="T94" s="251"/>
      <c r="U94" s="251"/>
      <c r="V94" s="251"/>
      <c r="W94" s="253"/>
      <c r="X94" s="254"/>
      <c r="Y94" s="253"/>
      <c r="Z94" s="253"/>
      <c r="AA94" s="216"/>
      <c r="AB94" s="253"/>
      <c r="AC94" s="253"/>
      <c r="AD94" s="216"/>
      <c r="AE94" s="216"/>
    </row>
    <row r="95" spans="1:31">
      <c r="A95" s="255"/>
      <c r="B95" s="255"/>
      <c r="C95" s="114"/>
      <c r="D95" s="114"/>
      <c r="E95" s="114"/>
      <c r="F95" s="114"/>
      <c r="G95" s="256"/>
      <c r="H95" s="197"/>
      <c r="I95" s="197"/>
      <c r="J95" s="197"/>
      <c r="K95" s="197"/>
      <c r="L95" s="197"/>
      <c r="M95" s="197"/>
      <c r="N95" s="251"/>
      <c r="O95" s="251"/>
      <c r="P95" s="251"/>
      <c r="Q95" s="251"/>
      <c r="R95" s="251"/>
      <c r="S95" s="251"/>
      <c r="T95" s="251"/>
      <c r="U95" s="251"/>
      <c r="V95" s="251"/>
      <c r="W95" s="253"/>
      <c r="X95" s="254"/>
      <c r="Y95" s="253"/>
      <c r="Z95" s="253"/>
      <c r="AA95" s="216"/>
      <c r="AB95" s="253"/>
      <c r="AC95" s="253"/>
      <c r="AD95" s="216"/>
      <c r="AE95" s="216"/>
    </row>
    <row r="96" spans="1:31">
      <c r="A96" s="105"/>
      <c r="B96" s="105"/>
      <c r="C96" s="105"/>
      <c r="D96" s="105"/>
      <c r="E96" s="105"/>
      <c r="F96" s="105"/>
      <c r="G96" s="247"/>
      <c r="H96" s="197"/>
      <c r="I96" s="197"/>
      <c r="J96" s="197"/>
      <c r="K96" s="197"/>
      <c r="L96" s="197"/>
      <c r="M96" s="197"/>
      <c r="N96" s="251"/>
      <c r="O96" s="251"/>
      <c r="P96" s="251"/>
      <c r="Q96" s="251"/>
      <c r="R96" s="251"/>
      <c r="S96" s="251"/>
      <c r="T96" s="251"/>
      <c r="U96" s="251"/>
      <c r="V96" s="251"/>
      <c r="W96" s="253"/>
      <c r="X96" s="254"/>
      <c r="Y96" s="253"/>
      <c r="Z96" s="253"/>
      <c r="AA96" s="216"/>
      <c r="AB96" s="253"/>
      <c r="AC96" s="253"/>
      <c r="AD96" s="216"/>
      <c r="AE96" s="216"/>
    </row>
    <row r="97" spans="1:31">
      <c r="C97" s="111"/>
      <c r="D97" s="111"/>
      <c r="E97" s="111"/>
      <c r="F97" s="111"/>
      <c r="H97" s="197"/>
      <c r="I97" s="197"/>
      <c r="J97" s="197"/>
      <c r="K97" s="197"/>
      <c r="L97" s="197"/>
      <c r="M97" s="197"/>
      <c r="N97" s="251"/>
      <c r="O97" s="251"/>
      <c r="P97" s="251"/>
      <c r="Q97" s="251"/>
      <c r="R97" s="251"/>
      <c r="S97" s="251"/>
      <c r="T97" s="251"/>
      <c r="U97" s="251"/>
      <c r="V97" s="251"/>
      <c r="W97" s="253"/>
      <c r="X97" s="254"/>
      <c r="Y97" s="253"/>
      <c r="Z97" s="253"/>
      <c r="AA97" s="216"/>
      <c r="AB97" s="253"/>
      <c r="AC97" s="253"/>
      <c r="AD97" s="216"/>
      <c r="AE97" s="216"/>
    </row>
    <row r="98" spans="1:31">
      <c r="A98" s="105"/>
      <c r="B98" s="105"/>
      <c r="C98" s="111"/>
      <c r="D98" s="111"/>
      <c r="E98" s="111"/>
      <c r="F98" s="111"/>
      <c r="H98" s="197"/>
      <c r="I98" s="197"/>
      <c r="J98" s="197"/>
      <c r="K98" s="197"/>
      <c r="L98" s="197"/>
      <c r="M98" s="197"/>
      <c r="N98" s="251"/>
      <c r="O98" s="251"/>
      <c r="P98" s="251"/>
      <c r="Q98" s="251"/>
      <c r="R98" s="251"/>
      <c r="S98" s="251"/>
      <c r="T98" s="251"/>
      <c r="U98" s="251"/>
      <c r="V98" s="251"/>
      <c r="W98" s="253"/>
      <c r="X98" s="254"/>
      <c r="Y98" s="253"/>
      <c r="Z98" s="253"/>
      <c r="AA98" s="216"/>
      <c r="AB98" s="253"/>
      <c r="AC98" s="253"/>
      <c r="AD98" s="216"/>
      <c r="AE98" s="216"/>
    </row>
    <row r="99" spans="1:31">
      <c r="C99" s="111"/>
      <c r="D99" s="111"/>
      <c r="E99" s="111"/>
      <c r="F99" s="111"/>
      <c r="H99" s="197"/>
      <c r="I99" s="197"/>
      <c r="J99" s="197"/>
      <c r="K99" s="197"/>
      <c r="L99" s="197"/>
      <c r="M99" s="197"/>
      <c r="N99" s="251"/>
      <c r="O99" s="251"/>
      <c r="P99" s="251"/>
      <c r="Q99" s="251"/>
      <c r="R99" s="251"/>
      <c r="S99" s="251"/>
      <c r="T99" s="251"/>
      <c r="U99" s="251"/>
      <c r="V99" s="251"/>
      <c r="W99" s="253"/>
      <c r="X99" s="254"/>
      <c r="Y99" s="253"/>
      <c r="Z99" s="253"/>
      <c r="AA99" s="216"/>
      <c r="AB99" s="253"/>
      <c r="AC99" s="253"/>
      <c r="AD99" s="216"/>
      <c r="AE99" s="216"/>
    </row>
    <row r="100" spans="1:31">
      <c r="C100" s="111"/>
      <c r="D100" s="111"/>
      <c r="E100" s="111"/>
      <c r="F100" s="111"/>
      <c r="H100" s="197"/>
      <c r="I100" s="197"/>
      <c r="J100" s="197"/>
      <c r="K100" s="197"/>
      <c r="L100" s="197"/>
      <c r="M100" s="197"/>
      <c r="N100" s="251"/>
      <c r="O100" s="251"/>
      <c r="P100" s="251"/>
      <c r="Q100" s="251"/>
      <c r="R100" s="251"/>
      <c r="S100" s="251"/>
      <c r="T100" s="251"/>
      <c r="U100" s="251"/>
      <c r="V100" s="251"/>
      <c r="W100" s="253"/>
      <c r="X100" s="254"/>
      <c r="Y100" s="253"/>
      <c r="Z100" s="253"/>
      <c r="AA100" s="216"/>
      <c r="AB100" s="253"/>
      <c r="AC100" s="253"/>
      <c r="AD100" s="216"/>
      <c r="AE100" s="216"/>
    </row>
    <row r="101" spans="1:31">
      <c r="A101" s="105"/>
      <c r="B101" s="105"/>
      <c r="C101" s="105"/>
      <c r="D101" s="105"/>
      <c r="E101" s="105"/>
      <c r="F101" s="105"/>
      <c r="G101" s="247"/>
      <c r="H101" s="197"/>
      <c r="I101" s="197"/>
      <c r="J101" s="197"/>
      <c r="K101" s="197"/>
      <c r="L101" s="197"/>
      <c r="M101" s="197"/>
      <c r="N101" s="251"/>
      <c r="O101" s="251"/>
      <c r="P101" s="251"/>
      <c r="Q101" s="251"/>
      <c r="R101" s="251"/>
      <c r="S101" s="251"/>
      <c r="T101" s="251"/>
      <c r="U101" s="251"/>
      <c r="V101" s="251"/>
      <c r="W101" s="253"/>
      <c r="X101" s="254"/>
      <c r="Y101" s="253"/>
      <c r="Z101" s="253"/>
      <c r="AA101" s="216"/>
      <c r="AB101" s="253"/>
      <c r="AC101" s="253"/>
      <c r="AD101" s="216"/>
      <c r="AE101" s="216"/>
    </row>
    <row r="102" spans="1:31">
      <c r="H102" s="197"/>
      <c r="I102" s="197"/>
      <c r="J102" s="197"/>
      <c r="K102" s="197"/>
      <c r="L102" s="197"/>
      <c r="M102" s="197"/>
      <c r="N102" s="251"/>
      <c r="O102" s="251"/>
      <c r="P102" s="251"/>
      <c r="Q102" s="251"/>
      <c r="R102" s="251"/>
      <c r="S102" s="251"/>
      <c r="T102" s="251"/>
      <c r="U102" s="251"/>
      <c r="V102" s="251"/>
      <c r="W102" s="253"/>
      <c r="X102" s="254"/>
      <c r="Y102" s="253"/>
      <c r="Z102" s="253"/>
      <c r="AA102" s="216"/>
      <c r="AB102" s="253"/>
      <c r="AC102" s="253"/>
      <c r="AD102" s="216"/>
      <c r="AE102" s="216"/>
    </row>
    <row r="103" spans="1:31">
      <c r="H103" s="197"/>
      <c r="I103" s="197"/>
      <c r="J103" s="197"/>
      <c r="K103" s="197"/>
      <c r="L103" s="197"/>
      <c r="M103" s="197"/>
      <c r="N103" s="251"/>
      <c r="O103" s="251"/>
      <c r="P103" s="251"/>
      <c r="Q103" s="251"/>
      <c r="R103" s="251"/>
      <c r="S103" s="251"/>
      <c r="T103" s="251"/>
      <c r="U103" s="251"/>
      <c r="V103" s="251"/>
      <c r="W103" s="253"/>
      <c r="X103" s="254"/>
      <c r="Y103" s="253"/>
      <c r="Z103" s="253"/>
      <c r="AA103" s="216"/>
      <c r="AB103" s="253"/>
      <c r="AC103" s="253"/>
      <c r="AD103" s="216"/>
      <c r="AE103" s="216"/>
    </row>
  </sheetData>
  <mergeCells count="4">
    <mergeCell ref="O1:V1"/>
    <mergeCell ref="W1:AF1"/>
    <mergeCell ref="AG1:AP1"/>
    <mergeCell ref="G1:N1"/>
  </mergeCells>
  <phoneticPr fontId="2" type="noConversion"/>
  <pageMargins left="0.25" right="0.2" top="0.25" bottom="0.25" header="0.3" footer="0.3"/>
  <pageSetup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222"/>
  <sheetViews>
    <sheetView workbookViewId="0">
      <pane xSplit="6" ySplit="2" topLeftCell="G3" activePane="bottomRight" state="frozen"/>
      <selection activeCell="A66" sqref="A66"/>
      <selection pane="topRight" activeCell="A66" sqref="A66"/>
      <selection pane="bottomLeft" activeCell="A66" sqref="A66"/>
      <selection pane="bottomRight" activeCell="A2" sqref="A2"/>
    </sheetView>
  </sheetViews>
  <sheetFormatPr defaultRowHeight="12.75"/>
  <cols>
    <col min="1" max="1" width="7.28515625" style="215" customWidth="1"/>
    <col min="2" max="2" width="9" style="215" bestFit="1" customWidth="1"/>
    <col min="3" max="3" width="13.5703125" style="73" bestFit="1" customWidth="1"/>
    <col min="4" max="4" width="36.140625" style="73" customWidth="1"/>
    <col min="5" max="5" width="6.5703125" style="73" bestFit="1" customWidth="1"/>
    <col min="6" max="6" width="5.7109375" style="73" customWidth="1"/>
    <col min="7" max="16" width="8.7109375" style="197" customWidth="1"/>
    <col min="17" max="20" width="9.140625" style="73" customWidth="1"/>
    <col min="21" max="21" width="10.7109375" style="73" customWidth="1"/>
    <col min="22" max="22" width="8.140625" style="73" customWidth="1"/>
    <col min="23" max="23" width="8" style="216" customWidth="1"/>
    <col min="24" max="24" width="10.140625" style="216" customWidth="1"/>
    <col min="25" max="25" width="9.140625" style="216" customWidth="1"/>
    <col min="26" max="26" width="8" style="216" customWidth="1"/>
    <col min="27" max="27" width="9.5703125" style="216" customWidth="1"/>
    <col min="28" max="28" width="6.140625" style="216" customWidth="1"/>
    <col min="29" max="29" width="5.7109375" style="2" customWidth="1"/>
    <col min="30" max="30" width="9" style="2" customWidth="1"/>
    <col min="31" max="31" width="8.28515625" style="1" bestFit="1" customWidth="1"/>
    <col min="32" max="16384" width="9.140625" style="73"/>
  </cols>
  <sheetData>
    <row r="1" spans="1:51" s="60" customFormat="1" ht="13.5" thickBot="1">
      <c r="A1" s="119"/>
      <c r="B1" s="120"/>
      <c r="C1" s="121"/>
      <c r="D1" s="121"/>
      <c r="E1" s="122"/>
      <c r="F1" s="122"/>
      <c r="G1" s="123" t="s">
        <v>41</v>
      </c>
      <c r="H1" s="124"/>
      <c r="I1" s="124"/>
      <c r="J1" s="124"/>
      <c r="K1" s="125"/>
      <c r="L1" s="126" t="s">
        <v>42</v>
      </c>
      <c r="M1" s="127"/>
      <c r="N1" s="127"/>
      <c r="O1" s="127"/>
      <c r="P1" s="128"/>
      <c r="Q1" s="55" t="s">
        <v>43</v>
      </c>
      <c r="R1" s="129"/>
      <c r="S1" s="129"/>
      <c r="T1" s="130"/>
      <c r="U1" s="55" t="s">
        <v>42</v>
      </c>
      <c r="V1" s="56"/>
      <c r="W1" s="37" t="s">
        <v>13</v>
      </c>
      <c r="X1" s="38" t="s">
        <v>69</v>
      </c>
      <c r="Y1" s="39" t="s">
        <v>49</v>
      </c>
      <c r="Z1" s="37" t="s">
        <v>13</v>
      </c>
      <c r="AA1" s="38" t="s">
        <v>16</v>
      </c>
      <c r="AB1" s="39" t="s">
        <v>54</v>
      </c>
      <c r="AC1" s="41" t="s">
        <v>13</v>
      </c>
      <c r="AD1" s="42" t="s">
        <v>16</v>
      </c>
      <c r="AE1" s="43" t="s">
        <v>44</v>
      </c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</row>
    <row r="2" spans="1:51" ht="34.5" thickBot="1">
      <c r="A2" s="131" t="s">
        <v>27</v>
      </c>
      <c r="B2" s="132" t="s">
        <v>84</v>
      </c>
      <c r="C2" s="54" t="s">
        <v>19</v>
      </c>
      <c r="D2" s="61" t="s">
        <v>20</v>
      </c>
      <c r="E2" s="61" t="s">
        <v>76</v>
      </c>
      <c r="F2" s="62" t="s">
        <v>21</v>
      </c>
      <c r="G2" s="133" t="s">
        <v>59</v>
      </c>
      <c r="H2" s="134" t="s">
        <v>33</v>
      </c>
      <c r="I2" s="134" t="s">
        <v>10</v>
      </c>
      <c r="J2" s="134" t="s">
        <v>11</v>
      </c>
      <c r="K2" s="135" t="s">
        <v>12</v>
      </c>
      <c r="L2" s="133" t="s">
        <v>59</v>
      </c>
      <c r="M2" s="134" t="s">
        <v>33</v>
      </c>
      <c r="N2" s="134" t="s">
        <v>10</v>
      </c>
      <c r="O2" s="134" t="s">
        <v>39</v>
      </c>
      <c r="P2" s="135" t="s">
        <v>40</v>
      </c>
      <c r="Q2" s="31" t="s">
        <v>1</v>
      </c>
      <c r="R2" s="32" t="s">
        <v>3</v>
      </c>
      <c r="S2" s="32" t="s">
        <v>14</v>
      </c>
      <c r="T2" s="33" t="s">
        <v>15</v>
      </c>
      <c r="U2" s="31" t="s">
        <v>1</v>
      </c>
      <c r="V2" s="33" t="s">
        <v>15</v>
      </c>
      <c r="W2" s="34" t="s">
        <v>17</v>
      </c>
      <c r="X2" s="35" t="s">
        <v>17</v>
      </c>
      <c r="Y2" s="36" t="s">
        <v>17</v>
      </c>
      <c r="Z2" s="209" t="s">
        <v>66</v>
      </c>
      <c r="AA2" s="210" t="s">
        <v>66</v>
      </c>
      <c r="AB2" s="40" t="s">
        <v>66</v>
      </c>
      <c r="AC2" s="211" t="s">
        <v>45</v>
      </c>
      <c r="AD2" s="186" t="s">
        <v>45</v>
      </c>
      <c r="AE2" s="33" t="s">
        <v>45</v>
      </c>
      <c r="AF2" s="212"/>
      <c r="AG2" s="212"/>
      <c r="AH2" s="213"/>
      <c r="AI2" s="213"/>
      <c r="AJ2" s="213"/>
      <c r="AK2" s="213"/>
      <c r="AL2" s="15"/>
      <c r="AM2" s="15"/>
      <c r="AN2" s="15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</row>
    <row r="3" spans="1:51" s="60" customFormat="1">
      <c r="A3" s="52">
        <v>10364</v>
      </c>
      <c r="B3" s="136" t="s">
        <v>89</v>
      </c>
      <c r="C3" s="30" t="str">
        <f>Rollover!A3</f>
        <v>Acura</v>
      </c>
      <c r="D3" s="51" t="str">
        <f>Rollover!B3</f>
        <v>RDX SUV FWD</v>
      </c>
      <c r="E3" s="10" t="s">
        <v>88</v>
      </c>
      <c r="F3" s="74">
        <f>Rollover!C3</f>
        <v>2019</v>
      </c>
      <c r="G3" s="11">
        <v>62.71</v>
      </c>
      <c r="H3" s="12">
        <v>15.513999999999999</v>
      </c>
      <c r="I3" s="12">
        <v>18.719000000000001</v>
      </c>
      <c r="J3" s="12">
        <v>577.10299999999995</v>
      </c>
      <c r="K3" s="13">
        <v>964.57600000000002</v>
      </c>
      <c r="L3" s="11">
        <v>123.639</v>
      </c>
      <c r="M3" s="12">
        <v>11.208</v>
      </c>
      <c r="N3" s="12">
        <v>51.731999999999999</v>
      </c>
      <c r="O3" s="12">
        <v>37.43</v>
      </c>
      <c r="P3" s="13">
        <v>2055.4560000000001</v>
      </c>
      <c r="Q3" s="26">
        <f t="shared" ref="Q3:Q10" si="0">NORMDIST(LN(G3),7.45231,0.73998,1)</f>
        <v>3.7634996560355928E-6</v>
      </c>
      <c r="R3" s="6">
        <f t="shared" ref="R3:R10" si="1">1/(1+EXP(5.3895-0.0919*H3))</f>
        <v>1.8637551799870099E-2</v>
      </c>
      <c r="S3" s="6">
        <f t="shared" ref="S3:S10" si="2">1/(1+EXP(6.04044-0.002133*J3))</f>
        <v>8.0861839770530151E-3</v>
      </c>
      <c r="T3" s="27">
        <f t="shared" ref="T3:T10" si="3">1/(1+EXP(7.5969-0.0011*K3))</f>
        <v>1.4483709731910293E-3</v>
      </c>
      <c r="U3" s="26">
        <f t="shared" ref="U3:U10" si="4">NORMDIST(LN(L3),7.45231,0.73998,1)</f>
        <v>1.8484125073790704E-4</v>
      </c>
      <c r="V3" s="27">
        <f t="shared" ref="V3:V10" si="5">1/(1+EXP(6.3055-0.00094*P3))</f>
        <v>1.2451661723001418E-2</v>
      </c>
      <c r="W3" s="26">
        <f t="shared" ref="W3:W10" si="6">ROUND(1-(1-Q3)*(1-R3)*(1-S3)*(1-T3),3)</f>
        <v>2.8000000000000001E-2</v>
      </c>
      <c r="X3" s="6">
        <f t="shared" ref="X3:X10" si="7">IF(L3="N/A",L3,ROUND(1-(1-U3)*(1-V3),3))</f>
        <v>1.2999999999999999E-2</v>
      </c>
      <c r="Y3" s="27">
        <f t="shared" ref="Y3:Y10" si="8">ROUND(AVERAGE(W3:X3),3)</f>
        <v>2.1000000000000001E-2</v>
      </c>
      <c r="Z3" s="28">
        <f t="shared" ref="Z3:Z10" si="9">ROUND(W3/0.15,2)</f>
        <v>0.19</v>
      </c>
      <c r="AA3" s="137">
        <f t="shared" ref="AA3:AA10" si="10">IF(L3="N/A", L3, ROUND(X3/0.15,2))</f>
        <v>0.09</v>
      </c>
      <c r="AB3" s="29">
        <f t="shared" ref="AB3:AB10" si="11">ROUND(Y3/0.15,2)</f>
        <v>0.14000000000000001</v>
      </c>
      <c r="AC3" s="24">
        <f t="shared" ref="AC3:AC10" si="12">IF(Z3&lt;0.67,5,IF(Z3&lt;1,4,IF(Z3&lt;1.33,3,IF(Z3&lt;2.67,2,1))))</f>
        <v>5</v>
      </c>
      <c r="AD3" s="138">
        <f t="shared" ref="AD3:AD10" si="13">IF(L3="N/A",L3,IF(AA3&lt;0.67,5,IF(AA3&lt;1,4,IF(AA3&lt;1.33,3,IF(AA3&lt;2.67,2,1)))))</f>
        <v>5</v>
      </c>
      <c r="AE3" s="25">
        <f t="shared" ref="AE3:AE10" si="14">IF(AB3&lt;0.67,5,IF(AB3&lt;1,4,IF(AB3&lt;1.33,3,IF(AB3&lt;2.67,2,1))))</f>
        <v>5</v>
      </c>
      <c r="AF3" s="22"/>
      <c r="AG3" s="22"/>
      <c r="AH3" s="3"/>
      <c r="AI3" s="3"/>
      <c r="AJ3" s="3"/>
      <c r="AK3" s="3"/>
      <c r="AL3" s="23"/>
      <c r="AM3" s="23"/>
      <c r="AN3" s="23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</row>
    <row r="4" spans="1:51" ht="13.15" customHeight="1">
      <c r="A4" s="52">
        <v>10364</v>
      </c>
      <c r="B4" s="136" t="s">
        <v>89</v>
      </c>
      <c r="C4" s="30" t="str">
        <f>Rollover!A4</f>
        <v>Acura</v>
      </c>
      <c r="D4" s="51" t="str">
        <f>Rollover!B4</f>
        <v>RDX SUV AWD</v>
      </c>
      <c r="E4" s="10" t="s">
        <v>88</v>
      </c>
      <c r="F4" s="74">
        <f>Rollover!C4</f>
        <v>2019</v>
      </c>
      <c r="G4" s="11">
        <v>62.71</v>
      </c>
      <c r="H4" s="12">
        <v>15.513999999999999</v>
      </c>
      <c r="I4" s="12">
        <v>18.719000000000001</v>
      </c>
      <c r="J4" s="12">
        <v>577.10299999999995</v>
      </c>
      <c r="K4" s="13">
        <v>964.57600000000002</v>
      </c>
      <c r="L4" s="11">
        <v>123.639</v>
      </c>
      <c r="M4" s="12">
        <v>11.208</v>
      </c>
      <c r="N4" s="12">
        <v>51.731999999999999</v>
      </c>
      <c r="O4" s="12">
        <v>37.43</v>
      </c>
      <c r="P4" s="13">
        <v>2055.4560000000001</v>
      </c>
      <c r="Q4" s="26">
        <f t="shared" si="0"/>
        <v>3.7634996560355928E-6</v>
      </c>
      <c r="R4" s="6">
        <f t="shared" si="1"/>
        <v>1.8637551799870099E-2</v>
      </c>
      <c r="S4" s="6">
        <f t="shared" si="2"/>
        <v>8.0861839770530151E-3</v>
      </c>
      <c r="T4" s="27">
        <f t="shared" si="3"/>
        <v>1.4483709731910293E-3</v>
      </c>
      <c r="U4" s="26">
        <f t="shared" si="4"/>
        <v>1.8484125073790704E-4</v>
      </c>
      <c r="V4" s="27">
        <f t="shared" si="5"/>
        <v>1.2451661723001418E-2</v>
      </c>
      <c r="W4" s="26">
        <f t="shared" si="6"/>
        <v>2.8000000000000001E-2</v>
      </c>
      <c r="X4" s="6">
        <f t="shared" si="7"/>
        <v>1.2999999999999999E-2</v>
      </c>
      <c r="Y4" s="27">
        <f t="shared" si="8"/>
        <v>2.1000000000000001E-2</v>
      </c>
      <c r="Z4" s="28">
        <f t="shared" si="9"/>
        <v>0.19</v>
      </c>
      <c r="AA4" s="137">
        <f t="shared" si="10"/>
        <v>0.09</v>
      </c>
      <c r="AB4" s="29">
        <f t="shared" si="11"/>
        <v>0.14000000000000001</v>
      </c>
      <c r="AC4" s="24">
        <f t="shared" si="12"/>
        <v>5</v>
      </c>
      <c r="AD4" s="138">
        <f t="shared" si="13"/>
        <v>5</v>
      </c>
      <c r="AE4" s="25">
        <f t="shared" si="14"/>
        <v>5</v>
      </c>
      <c r="AF4" s="14"/>
      <c r="AG4" s="14"/>
      <c r="AH4" s="16"/>
      <c r="AI4" s="16"/>
      <c r="AJ4" s="16"/>
      <c r="AK4" s="16"/>
      <c r="AL4" s="15"/>
      <c r="AM4" s="15"/>
      <c r="AN4" s="15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</row>
    <row r="5" spans="1:51" ht="13.15" customHeight="1">
      <c r="A5" s="52">
        <v>10663</v>
      </c>
      <c r="B5" s="136" t="s">
        <v>235</v>
      </c>
      <c r="C5" s="30" t="str">
        <f>Rollover!A5</f>
        <v>Audi</v>
      </c>
      <c r="D5" s="51" t="str">
        <f>Rollover!B5</f>
        <v>Q8 SUV AWD</v>
      </c>
      <c r="E5" s="10" t="s">
        <v>88</v>
      </c>
      <c r="F5" s="74">
        <f>Rollover!C5</f>
        <v>2019</v>
      </c>
      <c r="G5" s="11">
        <v>60.338999999999999</v>
      </c>
      <c r="H5" s="12">
        <v>18.859000000000002</v>
      </c>
      <c r="I5" s="12">
        <v>19.853000000000002</v>
      </c>
      <c r="J5" s="12">
        <v>569.38300000000004</v>
      </c>
      <c r="K5" s="13">
        <v>1156.01</v>
      </c>
      <c r="L5" s="11">
        <v>140.904</v>
      </c>
      <c r="M5" s="12">
        <v>1.946</v>
      </c>
      <c r="N5" s="12">
        <v>43.371000000000002</v>
      </c>
      <c r="O5" s="12">
        <v>0.158</v>
      </c>
      <c r="P5" s="13">
        <v>3040.5929999999998</v>
      </c>
      <c r="Q5" s="26">
        <f t="shared" si="0"/>
        <v>2.9450005104858582E-6</v>
      </c>
      <c r="R5" s="6">
        <f t="shared" si="1"/>
        <v>2.517619344506564E-2</v>
      </c>
      <c r="S5" s="6">
        <f t="shared" si="2"/>
        <v>7.9551716180512808E-3</v>
      </c>
      <c r="T5" s="27">
        <f t="shared" si="3"/>
        <v>1.7872487587980567E-3</v>
      </c>
      <c r="U5" s="26">
        <f t="shared" si="4"/>
        <v>3.5694594460446984E-4</v>
      </c>
      <c r="V5" s="27">
        <f t="shared" si="5"/>
        <v>3.084820819640742E-2</v>
      </c>
      <c r="W5" s="26">
        <f t="shared" si="6"/>
        <v>3.5000000000000003E-2</v>
      </c>
      <c r="X5" s="6">
        <f t="shared" si="7"/>
        <v>3.1E-2</v>
      </c>
      <c r="Y5" s="27">
        <f t="shared" si="8"/>
        <v>3.3000000000000002E-2</v>
      </c>
      <c r="Z5" s="28">
        <f t="shared" si="9"/>
        <v>0.23</v>
      </c>
      <c r="AA5" s="137">
        <f t="shared" si="10"/>
        <v>0.21</v>
      </c>
      <c r="AB5" s="29">
        <f t="shared" si="11"/>
        <v>0.22</v>
      </c>
      <c r="AC5" s="24">
        <f t="shared" si="12"/>
        <v>5</v>
      </c>
      <c r="AD5" s="138">
        <f t="shared" si="13"/>
        <v>5</v>
      </c>
      <c r="AE5" s="25">
        <f t="shared" si="14"/>
        <v>5</v>
      </c>
      <c r="AF5" s="14"/>
      <c r="AG5" s="14"/>
      <c r="AH5" s="16"/>
      <c r="AI5" s="16"/>
      <c r="AJ5" s="16"/>
      <c r="AK5" s="16"/>
      <c r="AL5" s="15"/>
      <c r="AM5" s="15"/>
      <c r="AN5" s="15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</row>
    <row r="6" spans="1:51">
      <c r="A6" s="52">
        <v>10683</v>
      </c>
      <c r="B6" s="136" t="s">
        <v>250</v>
      </c>
      <c r="C6" s="30" t="str">
        <f>Rollover!A6</f>
        <v>BMW</v>
      </c>
      <c r="D6" s="51" t="str">
        <f>Rollover!B6</f>
        <v>X3 SUV RWD</v>
      </c>
      <c r="E6" s="10" t="s">
        <v>163</v>
      </c>
      <c r="F6" s="74">
        <f>Rollover!C6</f>
        <v>2019</v>
      </c>
      <c r="G6" s="11">
        <v>63.462000000000003</v>
      </c>
      <c r="H6" s="12">
        <v>12.204000000000001</v>
      </c>
      <c r="I6" s="12">
        <v>15.583</v>
      </c>
      <c r="J6" s="12">
        <v>680.54300000000001</v>
      </c>
      <c r="K6" s="13">
        <v>1224.912</v>
      </c>
      <c r="L6" s="11">
        <v>132.744</v>
      </c>
      <c r="M6" s="12">
        <v>9.7029999999999994</v>
      </c>
      <c r="N6" s="12">
        <v>45.097999999999999</v>
      </c>
      <c r="O6" s="12">
        <v>5.7539999999999996</v>
      </c>
      <c r="P6" s="13">
        <v>3533.8110000000001</v>
      </c>
      <c r="Q6" s="26">
        <f t="shared" si="0"/>
        <v>4.0579157706803072E-6</v>
      </c>
      <c r="R6" s="6">
        <f t="shared" si="1"/>
        <v>1.3816861255529281E-2</v>
      </c>
      <c r="S6" s="6">
        <f t="shared" si="2"/>
        <v>1.0062344467069849E-2</v>
      </c>
      <c r="T6" s="27">
        <f t="shared" si="3"/>
        <v>1.9277025707441155E-3</v>
      </c>
      <c r="U6" s="26">
        <f t="shared" si="4"/>
        <v>2.6530652406550116E-4</v>
      </c>
      <c r="V6" s="27">
        <f t="shared" si="5"/>
        <v>4.8166899134985501E-2</v>
      </c>
      <c r="W6" s="26">
        <f t="shared" si="6"/>
        <v>2.5999999999999999E-2</v>
      </c>
      <c r="X6" s="6">
        <f t="shared" si="7"/>
        <v>4.8000000000000001E-2</v>
      </c>
      <c r="Y6" s="27">
        <f t="shared" si="8"/>
        <v>3.6999999999999998E-2</v>
      </c>
      <c r="Z6" s="28">
        <f t="shared" si="9"/>
        <v>0.17</v>
      </c>
      <c r="AA6" s="137">
        <f t="shared" si="10"/>
        <v>0.32</v>
      </c>
      <c r="AB6" s="29">
        <f t="shared" si="11"/>
        <v>0.25</v>
      </c>
      <c r="AC6" s="24">
        <f t="shared" si="12"/>
        <v>5</v>
      </c>
      <c r="AD6" s="138">
        <f t="shared" si="13"/>
        <v>5</v>
      </c>
      <c r="AE6" s="25">
        <f t="shared" si="14"/>
        <v>5</v>
      </c>
      <c r="AF6" s="14"/>
      <c r="AG6" s="14"/>
      <c r="AH6" s="16"/>
      <c r="AI6" s="16"/>
      <c r="AJ6" s="16"/>
      <c r="AK6" s="16"/>
      <c r="AL6" s="15"/>
      <c r="AM6" s="15"/>
      <c r="AN6" s="15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</row>
    <row r="7" spans="1:51">
      <c r="A7" s="52">
        <v>10683</v>
      </c>
      <c r="B7" s="136" t="s">
        <v>250</v>
      </c>
      <c r="C7" s="30" t="str">
        <f>Rollover!A7</f>
        <v>BMW</v>
      </c>
      <c r="D7" s="51" t="str">
        <f>Rollover!B7</f>
        <v>X3 SUV AWD</v>
      </c>
      <c r="E7" s="10" t="s">
        <v>163</v>
      </c>
      <c r="F7" s="74">
        <f>Rollover!C7</f>
        <v>2019</v>
      </c>
      <c r="G7" s="11">
        <v>63.462000000000003</v>
      </c>
      <c r="H7" s="12">
        <v>12.204000000000001</v>
      </c>
      <c r="I7" s="12">
        <v>15.583</v>
      </c>
      <c r="J7" s="12">
        <v>680.54300000000001</v>
      </c>
      <c r="K7" s="13">
        <v>1224.912</v>
      </c>
      <c r="L7" s="11">
        <v>132.744</v>
      </c>
      <c r="M7" s="12">
        <v>9.7029999999999994</v>
      </c>
      <c r="N7" s="12">
        <v>45.097999999999999</v>
      </c>
      <c r="O7" s="12">
        <v>5.7539999999999996</v>
      </c>
      <c r="P7" s="13">
        <v>3533.8110000000001</v>
      </c>
      <c r="Q7" s="26">
        <f t="shared" si="0"/>
        <v>4.0579157706803072E-6</v>
      </c>
      <c r="R7" s="6">
        <f t="shared" si="1"/>
        <v>1.3816861255529281E-2</v>
      </c>
      <c r="S7" s="6">
        <f t="shared" si="2"/>
        <v>1.0062344467069849E-2</v>
      </c>
      <c r="T7" s="27">
        <f t="shared" si="3"/>
        <v>1.9277025707441155E-3</v>
      </c>
      <c r="U7" s="26">
        <f t="shared" si="4"/>
        <v>2.6530652406550116E-4</v>
      </c>
      <c r="V7" s="27">
        <f t="shared" si="5"/>
        <v>4.8166899134985501E-2</v>
      </c>
      <c r="W7" s="26">
        <f t="shared" si="6"/>
        <v>2.5999999999999999E-2</v>
      </c>
      <c r="X7" s="6">
        <f t="shared" si="7"/>
        <v>4.8000000000000001E-2</v>
      </c>
      <c r="Y7" s="27">
        <f t="shared" si="8"/>
        <v>3.6999999999999998E-2</v>
      </c>
      <c r="Z7" s="28">
        <f t="shared" si="9"/>
        <v>0.17</v>
      </c>
      <c r="AA7" s="137">
        <f t="shared" si="10"/>
        <v>0.32</v>
      </c>
      <c r="AB7" s="29">
        <f t="shared" si="11"/>
        <v>0.25</v>
      </c>
      <c r="AC7" s="24">
        <f t="shared" si="12"/>
        <v>5</v>
      </c>
      <c r="AD7" s="138">
        <f t="shared" si="13"/>
        <v>5</v>
      </c>
      <c r="AE7" s="25">
        <f t="shared" si="14"/>
        <v>5</v>
      </c>
      <c r="AF7" s="14"/>
      <c r="AG7" s="14"/>
      <c r="AH7" s="16"/>
      <c r="AI7" s="16"/>
      <c r="AJ7" s="16"/>
      <c r="AK7" s="16"/>
      <c r="AL7" s="15"/>
      <c r="AM7" s="15"/>
      <c r="AN7" s="15"/>
      <c r="AO7" s="17"/>
      <c r="AP7" s="17"/>
      <c r="AQ7" s="17"/>
      <c r="AR7" s="17"/>
      <c r="AS7" s="17"/>
      <c r="AT7" s="17"/>
      <c r="AU7" s="17"/>
      <c r="AV7" s="17"/>
      <c r="AW7" s="17"/>
      <c r="AX7" s="17"/>
      <c r="AY7" s="17"/>
    </row>
    <row r="8" spans="1:51">
      <c r="A8" s="18">
        <v>10645</v>
      </c>
      <c r="B8" s="139" t="s">
        <v>220</v>
      </c>
      <c r="C8" s="30" t="str">
        <f>Rollover!A8</f>
        <v>BMW</v>
      </c>
      <c r="D8" s="51" t="str">
        <f>Rollover!B8</f>
        <v>X5 SUV AWD</v>
      </c>
      <c r="E8" s="10" t="s">
        <v>160</v>
      </c>
      <c r="F8" s="74">
        <f>Rollover!C8</f>
        <v>2019</v>
      </c>
      <c r="G8" s="19">
        <v>72.253</v>
      </c>
      <c r="H8" s="20">
        <v>15.724</v>
      </c>
      <c r="I8" s="20">
        <v>14.343999999999999</v>
      </c>
      <c r="J8" s="20">
        <v>579.78499999999997</v>
      </c>
      <c r="K8" s="21">
        <v>1240.9829999999999</v>
      </c>
      <c r="L8" s="19">
        <v>47.680999999999997</v>
      </c>
      <c r="M8" s="20">
        <v>11.313000000000001</v>
      </c>
      <c r="N8" s="20">
        <v>30.123999999999999</v>
      </c>
      <c r="O8" s="20">
        <v>6.5640000000000001</v>
      </c>
      <c r="P8" s="21">
        <v>2597.0819999999999</v>
      </c>
      <c r="Q8" s="26">
        <f t="shared" si="0"/>
        <v>9.0638249505081457E-6</v>
      </c>
      <c r="R8" s="6">
        <f t="shared" si="1"/>
        <v>1.8993832971232121E-2</v>
      </c>
      <c r="S8" s="6">
        <f t="shared" si="2"/>
        <v>8.1321979642513583E-3</v>
      </c>
      <c r="T8" s="27">
        <f t="shared" si="3"/>
        <v>1.9620162343016488E-3</v>
      </c>
      <c r="U8" s="26">
        <f t="shared" si="4"/>
        <v>6.2206055144524455E-7</v>
      </c>
      <c r="V8" s="27">
        <f t="shared" si="5"/>
        <v>2.0547732308402022E-2</v>
      </c>
      <c r="W8" s="26">
        <f t="shared" si="6"/>
        <v>2.9000000000000001E-2</v>
      </c>
      <c r="X8" s="6">
        <f t="shared" si="7"/>
        <v>2.1000000000000001E-2</v>
      </c>
      <c r="Y8" s="27">
        <f t="shared" si="8"/>
        <v>2.5000000000000001E-2</v>
      </c>
      <c r="Z8" s="28">
        <f t="shared" si="9"/>
        <v>0.19</v>
      </c>
      <c r="AA8" s="137">
        <f t="shared" si="10"/>
        <v>0.14000000000000001</v>
      </c>
      <c r="AB8" s="29">
        <f t="shared" si="11"/>
        <v>0.17</v>
      </c>
      <c r="AC8" s="24">
        <f t="shared" si="12"/>
        <v>5</v>
      </c>
      <c r="AD8" s="138">
        <f t="shared" si="13"/>
        <v>5</v>
      </c>
      <c r="AE8" s="25">
        <f t="shared" si="14"/>
        <v>5</v>
      </c>
      <c r="AF8" s="14"/>
      <c r="AG8" s="14"/>
      <c r="AH8" s="16"/>
      <c r="AI8" s="16"/>
      <c r="AJ8" s="16"/>
      <c r="AK8" s="16"/>
      <c r="AL8" s="15"/>
      <c r="AM8" s="15"/>
      <c r="AN8" s="15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</row>
    <row r="9" spans="1:51">
      <c r="A9" s="52">
        <v>10686</v>
      </c>
      <c r="B9" s="136" t="s">
        <v>257</v>
      </c>
      <c r="C9" s="30" t="str">
        <f>Rollover!A9</f>
        <v>Cadillac</v>
      </c>
      <c r="D9" s="51" t="str">
        <f>Rollover!B9</f>
        <v>XT4 SUV FWD</v>
      </c>
      <c r="E9" s="10" t="s">
        <v>160</v>
      </c>
      <c r="F9" s="74">
        <f>Rollover!C9</f>
        <v>2019</v>
      </c>
      <c r="G9" s="11">
        <v>113.92100000000001</v>
      </c>
      <c r="H9" s="12">
        <v>19.119</v>
      </c>
      <c r="I9" s="12">
        <v>26.073</v>
      </c>
      <c r="J9" s="12">
        <v>824.59199999999998</v>
      </c>
      <c r="K9" s="13">
        <v>1458.7349999999999</v>
      </c>
      <c r="L9" s="11">
        <v>168.76900000000001</v>
      </c>
      <c r="M9" s="12">
        <v>35.384999999999998</v>
      </c>
      <c r="N9" s="12">
        <v>51.317</v>
      </c>
      <c r="O9" s="214">
        <v>47.801000000000002</v>
      </c>
      <c r="P9" s="13">
        <v>2661.8609999999999</v>
      </c>
      <c r="Q9" s="26">
        <f t="shared" si="0"/>
        <v>1.2058581442372803E-4</v>
      </c>
      <c r="R9" s="6">
        <f t="shared" si="1"/>
        <v>2.576930936388503E-2</v>
      </c>
      <c r="S9" s="6">
        <f t="shared" si="2"/>
        <v>1.3632326423534883E-2</v>
      </c>
      <c r="T9" s="27">
        <f t="shared" si="3"/>
        <v>2.4917093481640878E-3</v>
      </c>
      <c r="U9" s="26">
        <f t="shared" si="4"/>
        <v>8.437970899371315E-4</v>
      </c>
      <c r="V9" s="27">
        <f t="shared" si="5"/>
        <v>2.1809673266820231E-2</v>
      </c>
      <c r="W9" s="26">
        <f t="shared" si="6"/>
        <v>4.2000000000000003E-2</v>
      </c>
      <c r="X9" s="6">
        <f t="shared" si="7"/>
        <v>2.3E-2</v>
      </c>
      <c r="Y9" s="27">
        <f t="shared" si="8"/>
        <v>3.3000000000000002E-2</v>
      </c>
      <c r="Z9" s="28">
        <f t="shared" si="9"/>
        <v>0.28000000000000003</v>
      </c>
      <c r="AA9" s="137">
        <f t="shared" si="10"/>
        <v>0.15</v>
      </c>
      <c r="AB9" s="29">
        <f t="shared" si="11"/>
        <v>0.22</v>
      </c>
      <c r="AC9" s="24">
        <f t="shared" si="12"/>
        <v>5</v>
      </c>
      <c r="AD9" s="138">
        <f t="shared" si="13"/>
        <v>5</v>
      </c>
      <c r="AE9" s="25">
        <f t="shared" si="14"/>
        <v>5</v>
      </c>
      <c r="AF9" s="14"/>
      <c r="AG9" s="14"/>
      <c r="AH9" s="16"/>
      <c r="AI9" s="16"/>
      <c r="AJ9" s="16"/>
      <c r="AK9" s="16"/>
      <c r="AL9" s="15"/>
      <c r="AM9" s="15"/>
      <c r="AN9" s="15"/>
      <c r="AO9" s="17"/>
      <c r="AP9" s="17"/>
      <c r="AQ9" s="17"/>
      <c r="AR9" s="17"/>
      <c r="AS9" s="17"/>
      <c r="AT9" s="17"/>
      <c r="AU9" s="17"/>
      <c r="AV9" s="17"/>
      <c r="AW9" s="17"/>
      <c r="AX9" s="17"/>
      <c r="AY9" s="17"/>
    </row>
    <row r="10" spans="1:51" ht="13.5" customHeight="1">
      <c r="A10" s="52">
        <v>10686</v>
      </c>
      <c r="B10" s="136" t="s">
        <v>257</v>
      </c>
      <c r="C10" s="30" t="str">
        <f>Rollover!A10</f>
        <v>Cadillac</v>
      </c>
      <c r="D10" s="51" t="str">
        <f>Rollover!B10</f>
        <v>XT4 SUV AWD</v>
      </c>
      <c r="E10" s="10" t="s">
        <v>160</v>
      </c>
      <c r="F10" s="74">
        <f>Rollover!C10</f>
        <v>2019</v>
      </c>
      <c r="G10" s="11">
        <v>113.92100000000001</v>
      </c>
      <c r="H10" s="12">
        <v>19.119</v>
      </c>
      <c r="I10" s="12">
        <v>26.073</v>
      </c>
      <c r="J10" s="12">
        <v>824.59199999999998</v>
      </c>
      <c r="K10" s="13">
        <v>1458.7349999999999</v>
      </c>
      <c r="L10" s="11">
        <v>168.76900000000001</v>
      </c>
      <c r="M10" s="12">
        <v>35.384999999999998</v>
      </c>
      <c r="N10" s="12">
        <v>51.317</v>
      </c>
      <c r="O10" s="214">
        <v>47.801000000000002</v>
      </c>
      <c r="P10" s="13">
        <v>2661.8609999999999</v>
      </c>
      <c r="Q10" s="26">
        <f t="shared" si="0"/>
        <v>1.2058581442372803E-4</v>
      </c>
      <c r="R10" s="6">
        <f t="shared" si="1"/>
        <v>2.576930936388503E-2</v>
      </c>
      <c r="S10" s="6">
        <f t="shared" si="2"/>
        <v>1.3632326423534883E-2</v>
      </c>
      <c r="T10" s="27">
        <f t="shared" si="3"/>
        <v>2.4917093481640878E-3</v>
      </c>
      <c r="U10" s="26">
        <f t="shared" si="4"/>
        <v>8.437970899371315E-4</v>
      </c>
      <c r="V10" s="27">
        <f t="shared" si="5"/>
        <v>2.1809673266820231E-2</v>
      </c>
      <c r="W10" s="26">
        <f t="shared" si="6"/>
        <v>4.2000000000000003E-2</v>
      </c>
      <c r="X10" s="6">
        <f t="shared" si="7"/>
        <v>2.3E-2</v>
      </c>
      <c r="Y10" s="27">
        <f t="shared" si="8"/>
        <v>3.3000000000000002E-2</v>
      </c>
      <c r="Z10" s="28">
        <f t="shared" si="9"/>
        <v>0.28000000000000003</v>
      </c>
      <c r="AA10" s="137">
        <f t="shared" si="10"/>
        <v>0.15</v>
      </c>
      <c r="AB10" s="29">
        <f t="shared" si="11"/>
        <v>0.22</v>
      </c>
      <c r="AC10" s="24">
        <f t="shared" si="12"/>
        <v>5</v>
      </c>
      <c r="AD10" s="138">
        <f t="shared" si="13"/>
        <v>5</v>
      </c>
      <c r="AE10" s="25">
        <f t="shared" si="14"/>
        <v>5</v>
      </c>
      <c r="AF10" s="14"/>
      <c r="AG10" s="14"/>
      <c r="AH10" s="16"/>
      <c r="AI10" s="16"/>
      <c r="AJ10" s="16"/>
      <c r="AK10" s="16"/>
      <c r="AL10" s="15"/>
      <c r="AM10" s="15"/>
      <c r="AN10" s="15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</row>
    <row r="11" spans="1:51">
      <c r="A11" s="52">
        <v>8664</v>
      </c>
      <c r="B11" s="52" t="s">
        <v>159</v>
      </c>
      <c r="C11" s="30" t="str">
        <f>Rollover!A11</f>
        <v>Chevrolet</v>
      </c>
      <c r="D11" s="51" t="str">
        <f>Rollover!B11</f>
        <v>Silverado 2500 PU/EC RWD</v>
      </c>
      <c r="E11" s="10" t="s">
        <v>88</v>
      </c>
      <c r="F11" s="74">
        <f>Rollover!C11</f>
        <v>2019</v>
      </c>
      <c r="G11" s="11">
        <v>30.782</v>
      </c>
      <c r="H11" s="12">
        <v>18.145</v>
      </c>
      <c r="I11" s="12">
        <v>30.512</v>
      </c>
      <c r="J11" s="12">
        <v>427.64</v>
      </c>
      <c r="K11" s="13">
        <v>1184.578</v>
      </c>
      <c r="L11" s="11">
        <v>29.309000000000001</v>
      </c>
      <c r="M11" s="12">
        <v>8.8030000000000008</v>
      </c>
      <c r="N11" s="12">
        <v>22.277999999999999</v>
      </c>
      <c r="O11" s="12">
        <v>1.403</v>
      </c>
      <c r="P11" s="13">
        <v>1183.692</v>
      </c>
      <c r="Q11" s="26">
        <f t="shared" ref="Q11:Q41" si="15">NORMDIST(LN(G11),7.45231,0.73998,1)</f>
        <v>2.6662786942231189E-8</v>
      </c>
      <c r="R11" s="6">
        <f t="shared" ref="R11:R41" si="16">1/(1+EXP(5.3895-0.0919*H11))</f>
        <v>2.3615008588774373E-2</v>
      </c>
      <c r="S11" s="6">
        <f t="shared" ref="S11:S41" si="17">1/(1+EXP(6.04044-0.002133*J11))</f>
        <v>5.8918036323217437E-3</v>
      </c>
      <c r="T11" s="27">
        <f t="shared" ref="T11:T41" si="18">1/(1+EXP(7.5969-0.0011*K11))</f>
        <v>1.8441992585792898E-3</v>
      </c>
      <c r="U11" s="26">
        <f t="shared" ref="U11:U41" si="19">NORMDIST(LN(L11),7.45231,0.73998,1)</f>
        <v>1.8341892864512963E-8</v>
      </c>
      <c r="V11" s="27">
        <f t="shared" ref="V11:V41" si="20">1/(1+EXP(6.3055-0.00094*P11))</f>
        <v>5.5255615214235883E-3</v>
      </c>
      <c r="W11" s="26">
        <f t="shared" ref="W11:W41" si="21">ROUND(1-(1-Q11)*(1-R11)*(1-S11)*(1-T11),3)</f>
        <v>3.1E-2</v>
      </c>
      <c r="X11" s="6">
        <f t="shared" ref="X11:X41" si="22">IF(L11="N/A",L11,ROUND(1-(1-U11)*(1-V11),3))</f>
        <v>6.0000000000000001E-3</v>
      </c>
      <c r="Y11" s="27">
        <f t="shared" ref="Y11:Y41" si="23">ROUND(AVERAGE(W11:X11),3)</f>
        <v>1.9E-2</v>
      </c>
      <c r="Z11" s="28">
        <f t="shared" ref="Z11:Z41" si="24">ROUND(W11/0.15,2)</f>
        <v>0.21</v>
      </c>
      <c r="AA11" s="137">
        <f t="shared" ref="AA11:AA41" si="25">IF(L11="N/A", L11, ROUND(X11/0.15,2))</f>
        <v>0.04</v>
      </c>
      <c r="AB11" s="29">
        <f t="shared" ref="AB11:AB41" si="26">ROUND(Y11/0.15,2)</f>
        <v>0.13</v>
      </c>
      <c r="AC11" s="24">
        <f t="shared" ref="AC11:AC41" si="27">IF(Z11&lt;0.67,5,IF(Z11&lt;1,4,IF(Z11&lt;1.33,3,IF(Z11&lt;2.67,2,1))))</f>
        <v>5</v>
      </c>
      <c r="AD11" s="138">
        <f t="shared" ref="AD11:AD41" si="28">IF(L11="N/A",L11,IF(AA11&lt;0.67,5,IF(AA11&lt;1,4,IF(AA11&lt;1.33,3,IF(AA11&lt;2.67,2,1)))))</f>
        <v>5</v>
      </c>
      <c r="AE11" s="25">
        <f t="shared" ref="AE11:AE41" si="29">IF(AB11&lt;0.67,5,IF(AB11&lt;1,4,IF(AB11&lt;1.33,3,IF(AB11&lt;2.67,2,1))))</f>
        <v>5</v>
      </c>
      <c r="AF11" s="14"/>
      <c r="AG11" s="14"/>
      <c r="AH11" s="16"/>
      <c r="AI11" s="16"/>
      <c r="AJ11" s="16"/>
      <c r="AK11" s="16"/>
      <c r="AL11" s="15"/>
      <c r="AM11" s="15"/>
      <c r="AN11" s="15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</row>
    <row r="12" spans="1:51">
      <c r="A12" s="52">
        <v>8664</v>
      </c>
      <c r="B12" s="52" t="s">
        <v>159</v>
      </c>
      <c r="C12" s="30" t="str">
        <f>Rollover!A12</f>
        <v>Chevrolet</v>
      </c>
      <c r="D12" s="51" t="str">
        <f>Rollover!B12</f>
        <v>Silverado 2500 PU/EC 4WD</v>
      </c>
      <c r="E12" s="10" t="s">
        <v>88</v>
      </c>
      <c r="F12" s="74">
        <f>Rollover!C12</f>
        <v>2019</v>
      </c>
      <c r="G12" s="11">
        <v>30.782</v>
      </c>
      <c r="H12" s="12">
        <v>18.145</v>
      </c>
      <c r="I12" s="12">
        <v>30.512</v>
      </c>
      <c r="J12" s="12">
        <v>427.64</v>
      </c>
      <c r="K12" s="13">
        <v>1184.578</v>
      </c>
      <c r="L12" s="11">
        <v>29.309000000000001</v>
      </c>
      <c r="M12" s="12">
        <v>8.8030000000000008</v>
      </c>
      <c r="N12" s="12">
        <v>22.277999999999999</v>
      </c>
      <c r="O12" s="12">
        <v>1.403</v>
      </c>
      <c r="P12" s="13">
        <v>1183.692</v>
      </c>
      <c r="Q12" s="26">
        <f t="shared" ref="Q12:Q28" si="30">NORMDIST(LN(G12),7.45231,0.73998,1)</f>
        <v>2.6662786942231189E-8</v>
      </c>
      <c r="R12" s="6">
        <f t="shared" ref="R12:R28" si="31">1/(1+EXP(5.3895-0.0919*H12))</f>
        <v>2.3615008588774373E-2</v>
      </c>
      <c r="S12" s="6">
        <f t="shared" ref="S12:S28" si="32">1/(1+EXP(6.04044-0.002133*J12))</f>
        <v>5.8918036323217437E-3</v>
      </c>
      <c r="T12" s="27">
        <f t="shared" ref="T12:T28" si="33">1/(1+EXP(7.5969-0.0011*K12))</f>
        <v>1.8441992585792898E-3</v>
      </c>
      <c r="U12" s="26">
        <f t="shared" ref="U12:U28" si="34">NORMDIST(LN(L12),7.45231,0.73998,1)</f>
        <v>1.8341892864512963E-8</v>
      </c>
      <c r="V12" s="27">
        <f t="shared" ref="V12:V28" si="35">1/(1+EXP(6.3055-0.00094*P12))</f>
        <v>5.5255615214235883E-3</v>
      </c>
      <c r="W12" s="26">
        <f t="shared" ref="W12:W28" si="36">ROUND(1-(1-Q12)*(1-R12)*(1-S12)*(1-T12),3)</f>
        <v>3.1E-2</v>
      </c>
      <c r="X12" s="6">
        <f t="shared" ref="X12:X28" si="37">IF(L12="N/A",L12,ROUND(1-(1-U12)*(1-V12),3))</f>
        <v>6.0000000000000001E-3</v>
      </c>
      <c r="Y12" s="27">
        <f t="shared" ref="Y12:Y28" si="38">ROUND(AVERAGE(W12:X12),3)</f>
        <v>1.9E-2</v>
      </c>
      <c r="Z12" s="28">
        <f t="shared" ref="Z12:Z28" si="39">ROUND(W12/0.15,2)</f>
        <v>0.21</v>
      </c>
      <c r="AA12" s="137">
        <f t="shared" ref="AA12:AA28" si="40">IF(L12="N/A", L12, ROUND(X12/0.15,2))</f>
        <v>0.04</v>
      </c>
      <c r="AB12" s="29">
        <f t="shared" ref="AB12:AB28" si="41">ROUND(Y12/0.15,2)</f>
        <v>0.13</v>
      </c>
      <c r="AC12" s="24">
        <f t="shared" ref="AC12:AC28" si="42">IF(Z12&lt;0.67,5,IF(Z12&lt;1,4,IF(Z12&lt;1.33,3,IF(Z12&lt;2.67,2,1))))</f>
        <v>5</v>
      </c>
      <c r="AD12" s="138">
        <f t="shared" ref="AD12:AD28" si="43">IF(L12="N/A",L12,IF(AA12&lt;0.67,5,IF(AA12&lt;1,4,IF(AA12&lt;1.33,3,IF(AA12&lt;2.67,2,1)))))</f>
        <v>5</v>
      </c>
      <c r="AE12" s="25">
        <f t="shared" ref="AE12:AE28" si="44">IF(AB12&lt;0.67,5,IF(AB12&lt;1,4,IF(AB12&lt;1.33,3,IF(AB12&lt;2.67,2,1))))</f>
        <v>5</v>
      </c>
      <c r="AF12" s="14"/>
      <c r="AG12" s="14"/>
      <c r="AH12" s="16"/>
      <c r="AI12" s="16"/>
      <c r="AJ12" s="16"/>
      <c r="AK12" s="16"/>
      <c r="AL12" s="15"/>
      <c r="AM12" s="15"/>
      <c r="AN12" s="15"/>
      <c r="AO12" s="17"/>
      <c r="AP12" s="17"/>
      <c r="AQ12" s="17"/>
      <c r="AR12" s="17"/>
      <c r="AS12" s="17"/>
      <c r="AT12" s="17"/>
      <c r="AU12" s="17"/>
      <c r="AV12" s="17"/>
      <c r="AW12" s="17"/>
      <c r="AX12" s="17"/>
      <c r="AY12" s="17"/>
    </row>
    <row r="13" spans="1:51">
      <c r="A13" s="52">
        <v>8664</v>
      </c>
      <c r="B13" s="52" t="s">
        <v>159</v>
      </c>
      <c r="C13" s="140" t="str">
        <f>Rollover!A13</f>
        <v>GMC</v>
      </c>
      <c r="D13" s="10" t="str">
        <f>Rollover!B13</f>
        <v>Sierra 2500 PU/EC RWD</v>
      </c>
      <c r="E13" s="10" t="s">
        <v>88</v>
      </c>
      <c r="F13" s="74">
        <f>Rollover!C13</f>
        <v>2019</v>
      </c>
      <c r="G13" s="11">
        <v>30.782</v>
      </c>
      <c r="H13" s="12">
        <v>18.145</v>
      </c>
      <c r="I13" s="12">
        <v>30.512</v>
      </c>
      <c r="J13" s="12">
        <v>427.64</v>
      </c>
      <c r="K13" s="13">
        <v>1184.578</v>
      </c>
      <c r="L13" s="11">
        <v>29.309000000000001</v>
      </c>
      <c r="M13" s="12">
        <v>8.8030000000000008</v>
      </c>
      <c r="N13" s="12">
        <v>22.277999999999999</v>
      </c>
      <c r="O13" s="12">
        <v>1.403</v>
      </c>
      <c r="P13" s="13">
        <v>1183.692</v>
      </c>
      <c r="Q13" s="26">
        <f t="shared" si="30"/>
        <v>2.6662786942231189E-8</v>
      </c>
      <c r="R13" s="6">
        <f t="shared" si="31"/>
        <v>2.3615008588774373E-2</v>
      </c>
      <c r="S13" s="6">
        <f t="shared" si="32"/>
        <v>5.8918036323217437E-3</v>
      </c>
      <c r="T13" s="27">
        <f t="shared" si="33"/>
        <v>1.8441992585792898E-3</v>
      </c>
      <c r="U13" s="26">
        <f t="shared" si="34"/>
        <v>1.8341892864512963E-8</v>
      </c>
      <c r="V13" s="27">
        <f t="shared" si="35"/>
        <v>5.5255615214235883E-3</v>
      </c>
      <c r="W13" s="26">
        <f t="shared" si="36"/>
        <v>3.1E-2</v>
      </c>
      <c r="X13" s="6">
        <f t="shared" si="37"/>
        <v>6.0000000000000001E-3</v>
      </c>
      <c r="Y13" s="27">
        <f t="shared" si="38"/>
        <v>1.9E-2</v>
      </c>
      <c r="Z13" s="28">
        <f t="shared" si="39"/>
        <v>0.21</v>
      </c>
      <c r="AA13" s="137">
        <f t="shared" si="40"/>
        <v>0.04</v>
      </c>
      <c r="AB13" s="29">
        <f t="shared" si="41"/>
        <v>0.13</v>
      </c>
      <c r="AC13" s="24">
        <f t="shared" si="42"/>
        <v>5</v>
      </c>
      <c r="AD13" s="138">
        <f t="shared" si="43"/>
        <v>5</v>
      </c>
      <c r="AE13" s="25">
        <f t="shared" si="44"/>
        <v>5</v>
      </c>
      <c r="AF13" s="14"/>
      <c r="AG13" s="14"/>
      <c r="AH13" s="16"/>
      <c r="AI13" s="16"/>
      <c r="AJ13" s="16"/>
      <c r="AK13" s="16"/>
      <c r="AL13" s="15"/>
      <c r="AM13" s="15"/>
      <c r="AN13" s="15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</row>
    <row r="14" spans="1:51">
      <c r="A14" s="52">
        <v>8664</v>
      </c>
      <c r="B14" s="52" t="s">
        <v>159</v>
      </c>
      <c r="C14" s="140" t="str">
        <f>Rollover!A14</f>
        <v>GMC</v>
      </c>
      <c r="D14" s="10" t="str">
        <f>Rollover!B14</f>
        <v>Sierra 2500 PU/EC 4WD</v>
      </c>
      <c r="E14" s="10" t="s">
        <v>88</v>
      </c>
      <c r="F14" s="74">
        <f>Rollover!C14</f>
        <v>2019</v>
      </c>
      <c r="G14" s="11">
        <v>30.782</v>
      </c>
      <c r="H14" s="12">
        <v>18.145</v>
      </c>
      <c r="I14" s="12">
        <v>30.512</v>
      </c>
      <c r="J14" s="12">
        <v>427.64</v>
      </c>
      <c r="K14" s="13">
        <v>1184.578</v>
      </c>
      <c r="L14" s="11">
        <v>29.309000000000001</v>
      </c>
      <c r="M14" s="12">
        <v>8.8030000000000008</v>
      </c>
      <c r="N14" s="12">
        <v>22.277999999999999</v>
      </c>
      <c r="O14" s="12">
        <v>1.403</v>
      </c>
      <c r="P14" s="13">
        <v>1183.692</v>
      </c>
      <c r="Q14" s="26">
        <f t="shared" si="30"/>
        <v>2.6662786942231189E-8</v>
      </c>
      <c r="R14" s="6">
        <f t="shared" si="31"/>
        <v>2.3615008588774373E-2</v>
      </c>
      <c r="S14" s="6">
        <f t="shared" si="32"/>
        <v>5.8918036323217437E-3</v>
      </c>
      <c r="T14" s="27">
        <f t="shared" si="33"/>
        <v>1.8441992585792898E-3</v>
      </c>
      <c r="U14" s="26">
        <f t="shared" si="34"/>
        <v>1.8341892864512963E-8</v>
      </c>
      <c r="V14" s="27">
        <f t="shared" si="35"/>
        <v>5.5255615214235883E-3</v>
      </c>
      <c r="W14" s="26">
        <f t="shared" si="36"/>
        <v>3.1E-2</v>
      </c>
      <c r="X14" s="6">
        <f t="shared" si="37"/>
        <v>6.0000000000000001E-3</v>
      </c>
      <c r="Y14" s="27">
        <f t="shared" si="38"/>
        <v>1.9E-2</v>
      </c>
      <c r="Z14" s="28">
        <f t="shared" si="39"/>
        <v>0.21</v>
      </c>
      <c r="AA14" s="137">
        <f t="shared" si="40"/>
        <v>0.04</v>
      </c>
      <c r="AB14" s="29">
        <f t="shared" si="41"/>
        <v>0.13</v>
      </c>
      <c r="AC14" s="24">
        <f t="shared" si="42"/>
        <v>5</v>
      </c>
      <c r="AD14" s="138">
        <f t="shared" si="43"/>
        <v>5</v>
      </c>
      <c r="AE14" s="25">
        <f t="shared" si="44"/>
        <v>5</v>
      </c>
      <c r="AF14" s="14"/>
      <c r="AG14" s="14"/>
      <c r="AH14" s="16"/>
      <c r="AI14" s="16"/>
      <c r="AJ14" s="16"/>
      <c r="AK14" s="16"/>
      <c r="AL14" s="15"/>
      <c r="AM14" s="15"/>
      <c r="AN14" s="15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</row>
    <row r="15" spans="1:51" ht="13.15" customHeight="1">
      <c r="A15" s="52">
        <v>8664</v>
      </c>
      <c r="B15" s="52" t="s">
        <v>159</v>
      </c>
      <c r="C15" s="140" t="str">
        <f>Rollover!A15</f>
        <v>Chevrolet</v>
      </c>
      <c r="D15" s="10" t="str">
        <f>Rollover!B15</f>
        <v>Silverado 2500 PU/RC RWD</v>
      </c>
      <c r="E15" s="10" t="s">
        <v>88</v>
      </c>
      <c r="F15" s="74">
        <f>Rollover!C15</f>
        <v>2019</v>
      </c>
      <c r="G15" s="11">
        <v>30.782</v>
      </c>
      <c r="H15" s="12">
        <v>18.145</v>
      </c>
      <c r="I15" s="12">
        <v>30.512</v>
      </c>
      <c r="J15" s="12">
        <v>427.64</v>
      </c>
      <c r="K15" s="13">
        <v>1184.578</v>
      </c>
      <c r="L15" s="11" t="s">
        <v>183</v>
      </c>
      <c r="M15" s="12"/>
      <c r="N15" s="12"/>
      <c r="O15" s="12"/>
      <c r="P15" s="13"/>
      <c r="Q15" s="26">
        <f t="shared" si="30"/>
        <v>2.6662786942231189E-8</v>
      </c>
      <c r="R15" s="6">
        <f t="shared" si="31"/>
        <v>2.3615008588774373E-2</v>
      </c>
      <c r="S15" s="6">
        <f t="shared" si="32"/>
        <v>5.8918036323217437E-3</v>
      </c>
      <c r="T15" s="27">
        <f t="shared" si="33"/>
        <v>1.8441992585792898E-3</v>
      </c>
      <c r="U15" s="26" t="e">
        <f t="shared" si="34"/>
        <v>#VALUE!</v>
      </c>
      <c r="V15" s="27">
        <f t="shared" si="35"/>
        <v>1.8229037773026034E-3</v>
      </c>
      <c r="W15" s="26">
        <f t="shared" si="36"/>
        <v>3.1E-2</v>
      </c>
      <c r="X15" s="6" t="str">
        <f t="shared" si="37"/>
        <v>N/A</v>
      </c>
      <c r="Y15" s="27">
        <f t="shared" si="38"/>
        <v>3.1E-2</v>
      </c>
      <c r="Z15" s="28">
        <f t="shared" si="39"/>
        <v>0.21</v>
      </c>
      <c r="AA15" s="137" t="str">
        <f t="shared" si="40"/>
        <v>N/A</v>
      </c>
      <c r="AB15" s="29">
        <f t="shared" si="41"/>
        <v>0.21</v>
      </c>
      <c r="AC15" s="24">
        <f t="shared" si="42"/>
        <v>5</v>
      </c>
      <c r="AD15" s="138" t="str">
        <f t="shared" si="43"/>
        <v>N/A</v>
      </c>
      <c r="AE15" s="25">
        <f t="shared" si="44"/>
        <v>5</v>
      </c>
      <c r="AF15" s="14"/>
      <c r="AG15" s="14"/>
      <c r="AH15" s="16"/>
      <c r="AI15" s="16"/>
      <c r="AJ15" s="16"/>
      <c r="AK15" s="16"/>
      <c r="AL15" s="15"/>
      <c r="AM15" s="15"/>
      <c r="AN15" s="15"/>
      <c r="AO15" s="17"/>
      <c r="AP15" s="17"/>
      <c r="AQ15" s="17"/>
      <c r="AR15" s="17"/>
      <c r="AS15" s="17"/>
      <c r="AT15" s="17"/>
      <c r="AU15" s="17"/>
      <c r="AV15" s="17"/>
      <c r="AW15" s="17"/>
      <c r="AX15" s="17"/>
      <c r="AY15" s="17"/>
    </row>
    <row r="16" spans="1:51" ht="13.15" customHeight="1">
      <c r="A16" s="52">
        <v>8664</v>
      </c>
      <c r="B16" s="52" t="s">
        <v>159</v>
      </c>
      <c r="C16" s="140" t="str">
        <f>Rollover!A16</f>
        <v>Chevrolet</v>
      </c>
      <c r="D16" s="10" t="str">
        <f>Rollover!B16</f>
        <v>Silverado 2500 PU/RC 4WD</v>
      </c>
      <c r="E16" s="10" t="s">
        <v>88</v>
      </c>
      <c r="F16" s="74">
        <f>Rollover!C16</f>
        <v>2019</v>
      </c>
      <c r="G16" s="11">
        <v>30.782</v>
      </c>
      <c r="H16" s="12">
        <v>18.145</v>
      </c>
      <c r="I16" s="12">
        <v>30.512</v>
      </c>
      <c r="J16" s="12">
        <v>427.64</v>
      </c>
      <c r="K16" s="13">
        <v>1184.578</v>
      </c>
      <c r="L16" s="11" t="s">
        <v>183</v>
      </c>
      <c r="M16" s="12"/>
      <c r="N16" s="12"/>
      <c r="O16" s="12"/>
      <c r="P16" s="13"/>
      <c r="Q16" s="26">
        <f t="shared" si="30"/>
        <v>2.6662786942231189E-8</v>
      </c>
      <c r="R16" s="6">
        <f t="shared" si="31"/>
        <v>2.3615008588774373E-2</v>
      </c>
      <c r="S16" s="6">
        <f t="shared" si="32"/>
        <v>5.8918036323217437E-3</v>
      </c>
      <c r="T16" s="27">
        <f t="shared" si="33"/>
        <v>1.8441992585792898E-3</v>
      </c>
      <c r="U16" s="26" t="e">
        <f t="shared" si="34"/>
        <v>#VALUE!</v>
      </c>
      <c r="V16" s="27">
        <f t="shared" si="35"/>
        <v>1.8229037773026034E-3</v>
      </c>
      <c r="W16" s="26">
        <f t="shared" si="36"/>
        <v>3.1E-2</v>
      </c>
      <c r="X16" s="6" t="str">
        <f t="shared" si="37"/>
        <v>N/A</v>
      </c>
      <c r="Y16" s="27">
        <f t="shared" si="38"/>
        <v>3.1E-2</v>
      </c>
      <c r="Z16" s="28">
        <f t="shared" si="39"/>
        <v>0.21</v>
      </c>
      <c r="AA16" s="137" t="str">
        <f t="shared" si="40"/>
        <v>N/A</v>
      </c>
      <c r="AB16" s="29">
        <f t="shared" si="41"/>
        <v>0.21</v>
      </c>
      <c r="AC16" s="24">
        <f t="shared" si="42"/>
        <v>5</v>
      </c>
      <c r="AD16" s="138" t="str">
        <f t="shared" si="43"/>
        <v>N/A</v>
      </c>
      <c r="AE16" s="25">
        <f t="shared" si="44"/>
        <v>5</v>
      </c>
      <c r="AF16" s="14"/>
      <c r="AG16" s="14"/>
      <c r="AH16" s="16"/>
      <c r="AI16" s="16"/>
      <c r="AJ16" s="16"/>
      <c r="AK16" s="16"/>
      <c r="AL16" s="15"/>
      <c r="AM16" s="15"/>
      <c r="AN16" s="15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</row>
    <row r="17" spans="1:51" ht="13.15" customHeight="1">
      <c r="A17" s="52">
        <v>8664</v>
      </c>
      <c r="B17" s="52" t="s">
        <v>159</v>
      </c>
      <c r="C17" s="140" t="str">
        <f>Rollover!A17</f>
        <v>GMC</v>
      </c>
      <c r="D17" s="10" t="str">
        <f>Rollover!B17</f>
        <v>Sierra 2500 PU/RC RWD</v>
      </c>
      <c r="E17" s="10" t="s">
        <v>88</v>
      </c>
      <c r="F17" s="74">
        <f>Rollover!C17</f>
        <v>2019</v>
      </c>
      <c r="G17" s="11">
        <v>30.782</v>
      </c>
      <c r="H17" s="12">
        <v>18.145</v>
      </c>
      <c r="I17" s="12">
        <v>30.512</v>
      </c>
      <c r="J17" s="12">
        <v>427.64</v>
      </c>
      <c r="K17" s="13">
        <v>1184.578</v>
      </c>
      <c r="L17" s="11" t="s">
        <v>183</v>
      </c>
      <c r="M17" s="12"/>
      <c r="N17" s="12"/>
      <c r="O17" s="12"/>
      <c r="P17" s="13"/>
      <c r="Q17" s="26">
        <f t="shared" si="30"/>
        <v>2.6662786942231189E-8</v>
      </c>
      <c r="R17" s="6">
        <f t="shared" si="31"/>
        <v>2.3615008588774373E-2</v>
      </c>
      <c r="S17" s="6">
        <f t="shared" si="32"/>
        <v>5.8918036323217437E-3</v>
      </c>
      <c r="T17" s="27">
        <f t="shared" si="33"/>
        <v>1.8441992585792898E-3</v>
      </c>
      <c r="U17" s="26" t="e">
        <f t="shared" si="34"/>
        <v>#VALUE!</v>
      </c>
      <c r="V17" s="27">
        <f t="shared" si="35"/>
        <v>1.8229037773026034E-3</v>
      </c>
      <c r="W17" s="26">
        <f t="shared" si="36"/>
        <v>3.1E-2</v>
      </c>
      <c r="X17" s="6" t="str">
        <f t="shared" si="37"/>
        <v>N/A</v>
      </c>
      <c r="Y17" s="27">
        <f t="shared" si="38"/>
        <v>3.1E-2</v>
      </c>
      <c r="Z17" s="28">
        <f t="shared" si="39"/>
        <v>0.21</v>
      </c>
      <c r="AA17" s="137" t="str">
        <f t="shared" si="40"/>
        <v>N/A</v>
      </c>
      <c r="AB17" s="29">
        <f t="shared" si="41"/>
        <v>0.21</v>
      </c>
      <c r="AC17" s="24">
        <f t="shared" si="42"/>
        <v>5</v>
      </c>
      <c r="AD17" s="138" t="str">
        <f t="shared" si="43"/>
        <v>N/A</v>
      </c>
      <c r="AE17" s="25">
        <f t="shared" si="44"/>
        <v>5</v>
      </c>
      <c r="AF17" s="14"/>
      <c r="AG17" s="14"/>
      <c r="AH17" s="16"/>
      <c r="AI17" s="16"/>
      <c r="AJ17" s="16"/>
      <c r="AK17" s="16"/>
      <c r="AL17" s="15"/>
      <c r="AM17" s="15"/>
      <c r="AN17" s="15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</row>
    <row r="18" spans="1:51" ht="13.15" customHeight="1">
      <c r="A18" s="52">
        <v>8664</v>
      </c>
      <c r="B18" s="52" t="s">
        <v>159</v>
      </c>
      <c r="C18" s="140" t="str">
        <f>Rollover!A18</f>
        <v>GMC</v>
      </c>
      <c r="D18" s="10" t="str">
        <f>Rollover!B18</f>
        <v>Sierra 2500 PU/RC 4WD</v>
      </c>
      <c r="E18" s="10" t="s">
        <v>88</v>
      </c>
      <c r="F18" s="74">
        <f>Rollover!C18</f>
        <v>2019</v>
      </c>
      <c r="G18" s="11">
        <v>30.782</v>
      </c>
      <c r="H18" s="12">
        <v>18.145</v>
      </c>
      <c r="I18" s="12">
        <v>30.512</v>
      </c>
      <c r="J18" s="12">
        <v>427.64</v>
      </c>
      <c r="K18" s="13">
        <v>1184.578</v>
      </c>
      <c r="L18" s="11" t="s">
        <v>183</v>
      </c>
      <c r="M18" s="12"/>
      <c r="N18" s="12"/>
      <c r="O18" s="12"/>
      <c r="P18" s="13"/>
      <c r="Q18" s="26">
        <f t="shared" si="30"/>
        <v>2.6662786942231189E-8</v>
      </c>
      <c r="R18" s="6">
        <f t="shared" si="31"/>
        <v>2.3615008588774373E-2</v>
      </c>
      <c r="S18" s="6">
        <f t="shared" si="32"/>
        <v>5.8918036323217437E-3</v>
      </c>
      <c r="T18" s="27">
        <f t="shared" si="33"/>
        <v>1.8441992585792898E-3</v>
      </c>
      <c r="U18" s="26" t="e">
        <f t="shared" si="34"/>
        <v>#VALUE!</v>
      </c>
      <c r="V18" s="27">
        <f t="shared" si="35"/>
        <v>1.8229037773026034E-3</v>
      </c>
      <c r="W18" s="26">
        <f t="shared" si="36"/>
        <v>3.1E-2</v>
      </c>
      <c r="X18" s="6" t="str">
        <f t="shared" si="37"/>
        <v>N/A</v>
      </c>
      <c r="Y18" s="27">
        <f t="shared" si="38"/>
        <v>3.1E-2</v>
      </c>
      <c r="Z18" s="28">
        <f t="shared" si="39"/>
        <v>0.21</v>
      </c>
      <c r="AA18" s="137" t="str">
        <f t="shared" si="40"/>
        <v>N/A</v>
      </c>
      <c r="AB18" s="29">
        <f t="shared" si="41"/>
        <v>0.21</v>
      </c>
      <c r="AC18" s="24">
        <f t="shared" si="42"/>
        <v>5</v>
      </c>
      <c r="AD18" s="138" t="str">
        <f t="shared" si="43"/>
        <v>N/A</v>
      </c>
      <c r="AE18" s="25">
        <f t="shared" si="44"/>
        <v>5</v>
      </c>
      <c r="AF18" s="14"/>
      <c r="AG18" s="14"/>
      <c r="AH18" s="16"/>
      <c r="AI18" s="16"/>
      <c r="AJ18" s="16"/>
      <c r="AK18" s="16"/>
      <c r="AL18" s="15"/>
      <c r="AM18" s="15"/>
      <c r="AN18" s="15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</row>
    <row r="19" spans="1:51" ht="13.15" customHeight="1">
      <c r="A19" s="52">
        <v>8750</v>
      </c>
      <c r="B19" s="52" t="s">
        <v>196</v>
      </c>
      <c r="C19" s="30" t="str">
        <f>Rollover!A19</f>
        <v>Chevrolet</v>
      </c>
      <c r="D19" s="51" t="str">
        <f>Rollover!B19</f>
        <v>Suburban 1500 SUV RWD</v>
      </c>
      <c r="E19" s="10" t="s">
        <v>88</v>
      </c>
      <c r="F19" s="74">
        <f>Rollover!C19</f>
        <v>2019</v>
      </c>
      <c r="G19" s="11">
        <v>27.114000000000001</v>
      </c>
      <c r="H19" s="12">
        <v>23.036999999999999</v>
      </c>
      <c r="I19" s="12">
        <v>32.71</v>
      </c>
      <c r="J19" s="12">
        <v>482.13600000000002</v>
      </c>
      <c r="K19" s="13">
        <v>1366.163</v>
      </c>
      <c r="L19" s="11">
        <v>75.058000000000007</v>
      </c>
      <c r="M19" s="12">
        <v>8.5009999999999994</v>
      </c>
      <c r="N19" s="12">
        <v>20.587</v>
      </c>
      <c r="O19" s="12">
        <v>2.214</v>
      </c>
      <c r="P19" s="13">
        <v>1775.0719999999999</v>
      </c>
      <c r="Q19" s="26">
        <f t="shared" si="30"/>
        <v>1.0039827922654699E-8</v>
      </c>
      <c r="R19" s="6">
        <f t="shared" si="31"/>
        <v>3.6530274881158953E-2</v>
      </c>
      <c r="S19" s="6">
        <f t="shared" si="32"/>
        <v>6.6132561769926788E-3</v>
      </c>
      <c r="T19" s="27">
        <f t="shared" si="33"/>
        <v>2.2510145531283066E-3</v>
      </c>
      <c r="U19" s="26">
        <f t="shared" si="34"/>
        <v>1.1411545498671365E-5</v>
      </c>
      <c r="V19" s="27">
        <f t="shared" si="35"/>
        <v>9.5944250982035011E-3</v>
      </c>
      <c r="W19" s="26">
        <f t="shared" si="36"/>
        <v>4.4999999999999998E-2</v>
      </c>
      <c r="X19" s="6">
        <f t="shared" si="37"/>
        <v>0.01</v>
      </c>
      <c r="Y19" s="27">
        <f t="shared" si="38"/>
        <v>2.8000000000000001E-2</v>
      </c>
      <c r="Z19" s="28">
        <f t="shared" si="39"/>
        <v>0.3</v>
      </c>
      <c r="AA19" s="137">
        <f t="shared" si="40"/>
        <v>7.0000000000000007E-2</v>
      </c>
      <c r="AB19" s="29">
        <f t="shared" si="41"/>
        <v>0.19</v>
      </c>
      <c r="AC19" s="24">
        <f t="shared" si="42"/>
        <v>5</v>
      </c>
      <c r="AD19" s="138">
        <f t="shared" si="43"/>
        <v>5</v>
      </c>
      <c r="AE19" s="25">
        <f t="shared" si="44"/>
        <v>5</v>
      </c>
      <c r="AF19" s="14"/>
      <c r="AG19" s="14"/>
      <c r="AH19" s="16"/>
      <c r="AI19" s="16"/>
      <c r="AJ19" s="16"/>
      <c r="AK19" s="16"/>
      <c r="AL19" s="15"/>
      <c r="AM19" s="15"/>
      <c r="AN19" s="15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</row>
    <row r="20" spans="1:51" ht="13.15" customHeight="1">
      <c r="A20" s="52">
        <v>8750</v>
      </c>
      <c r="B20" s="52" t="s">
        <v>196</v>
      </c>
      <c r="C20" s="30" t="str">
        <f>Rollover!A20</f>
        <v>Chevrolet</v>
      </c>
      <c r="D20" s="51" t="str">
        <f>Rollover!B20</f>
        <v>Suburban 1500 SUV 4WD</v>
      </c>
      <c r="E20" s="10" t="s">
        <v>88</v>
      </c>
      <c r="F20" s="74">
        <f>Rollover!C20</f>
        <v>2019</v>
      </c>
      <c r="G20" s="11">
        <v>27.114000000000001</v>
      </c>
      <c r="H20" s="12">
        <v>23.036999999999999</v>
      </c>
      <c r="I20" s="12">
        <v>32.71</v>
      </c>
      <c r="J20" s="12">
        <v>482.13600000000002</v>
      </c>
      <c r="K20" s="13">
        <v>1366.163</v>
      </c>
      <c r="L20" s="11">
        <v>75.058000000000007</v>
      </c>
      <c r="M20" s="12">
        <v>8.5009999999999994</v>
      </c>
      <c r="N20" s="12">
        <v>20.587</v>
      </c>
      <c r="O20" s="12">
        <v>2.214</v>
      </c>
      <c r="P20" s="13">
        <v>1775.0719999999999</v>
      </c>
      <c r="Q20" s="26">
        <f t="shared" si="30"/>
        <v>1.0039827922654699E-8</v>
      </c>
      <c r="R20" s="6">
        <f t="shared" si="31"/>
        <v>3.6530274881158953E-2</v>
      </c>
      <c r="S20" s="6">
        <f t="shared" si="32"/>
        <v>6.6132561769926788E-3</v>
      </c>
      <c r="T20" s="27">
        <f t="shared" si="33"/>
        <v>2.2510145531283066E-3</v>
      </c>
      <c r="U20" s="26">
        <f t="shared" si="34"/>
        <v>1.1411545498671365E-5</v>
      </c>
      <c r="V20" s="27">
        <f t="shared" si="35"/>
        <v>9.5944250982035011E-3</v>
      </c>
      <c r="W20" s="26">
        <f t="shared" si="36"/>
        <v>4.4999999999999998E-2</v>
      </c>
      <c r="X20" s="6">
        <f t="shared" si="37"/>
        <v>0.01</v>
      </c>
      <c r="Y20" s="27">
        <f t="shared" si="38"/>
        <v>2.8000000000000001E-2</v>
      </c>
      <c r="Z20" s="28">
        <f t="shared" si="39"/>
        <v>0.3</v>
      </c>
      <c r="AA20" s="137">
        <f t="shared" si="40"/>
        <v>7.0000000000000007E-2</v>
      </c>
      <c r="AB20" s="29">
        <f t="shared" si="41"/>
        <v>0.19</v>
      </c>
      <c r="AC20" s="24">
        <f t="shared" si="42"/>
        <v>5</v>
      </c>
      <c r="AD20" s="138">
        <f t="shared" si="43"/>
        <v>5</v>
      </c>
      <c r="AE20" s="25">
        <f t="shared" si="44"/>
        <v>5</v>
      </c>
      <c r="AF20" s="14"/>
      <c r="AG20" s="14"/>
      <c r="AH20" s="16"/>
      <c r="AI20" s="16"/>
      <c r="AJ20" s="16"/>
      <c r="AK20" s="16"/>
      <c r="AL20" s="15"/>
      <c r="AM20" s="15"/>
      <c r="AN20" s="15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</row>
    <row r="21" spans="1:51" ht="13.15" customHeight="1">
      <c r="A21" s="52">
        <v>8750</v>
      </c>
      <c r="B21" s="52" t="s">
        <v>196</v>
      </c>
      <c r="C21" s="140" t="str">
        <f>Rollover!A21</f>
        <v>GMC</v>
      </c>
      <c r="D21" s="10" t="str">
        <f>Rollover!B21</f>
        <v>Yukon XL 1500 SUV RWD</v>
      </c>
      <c r="E21" s="10" t="s">
        <v>88</v>
      </c>
      <c r="F21" s="74">
        <f>Rollover!C21</f>
        <v>2019</v>
      </c>
      <c r="G21" s="11">
        <v>27.114000000000001</v>
      </c>
      <c r="H21" s="12">
        <v>23.036999999999999</v>
      </c>
      <c r="I21" s="12">
        <v>32.71</v>
      </c>
      <c r="J21" s="12">
        <v>482.13600000000002</v>
      </c>
      <c r="K21" s="13">
        <v>1366.163</v>
      </c>
      <c r="L21" s="11">
        <v>75.058000000000007</v>
      </c>
      <c r="M21" s="12">
        <v>8.5009999999999994</v>
      </c>
      <c r="N21" s="12">
        <v>20.587</v>
      </c>
      <c r="O21" s="12">
        <v>2.214</v>
      </c>
      <c r="P21" s="13">
        <v>1775.0719999999999</v>
      </c>
      <c r="Q21" s="26">
        <f t="shared" si="30"/>
        <v>1.0039827922654699E-8</v>
      </c>
      <c r="R21" s="6">
        <f t="shared" si="31"/>
        <v>3.6530274881158953E-2</v>
      </c>
      <c r="S21" s="6">
        <f t="shared" si="32"/>
        <v>6.6132561769926788E-3</v>
      </c>
      <c r="T21" s="27">
        <f t="shared" si="33"/>
        <v>2.2510145531283066E-3</v>
      </c>
      <c r="U21" s="26">
        <f t="shared" si="34"/>
        <v>1.1411545498671365E-5</v>
      </c>
      <c r="V21" s="27">
        <f t="shared" si="35"/>
        <v>9.5944250982035011E-3</v>
      </c>
      <c r="W21" s="26">
        <f t="shared" si="36"/>
        <v>4.4999999999999998E-2</v>
      </c>
      <c r="X21" s="6">
        <f t="shared" si="37"/>
        <v>0.01</v>
      </c>
      <c r="Y21" s="27">
        <f t="shared" si="38"/>
        <v>2.8000000000000001E-2</v>
      </c>
      <c r="Z21" s="28">
        <f t="shared" si="39"/>
        <v>0.3</v>
      </c>
      <c r="AA21" s="137">
        <f t="shared" si="40"/>
        <v>7.0000000000000007E-2</v>
      </c>
      <c r="AB21" s="29">
        <f t="shared" si="41"/>
        <v>0.19</v>
      </c>
      <c r="AC21" s="24">
        <f t="shared" si="42"/>
        <v>5</v>
      </c>
      <c r="AD21" s="138">
        <f t="shared" si="43"/>
        <v>5</v>
      </c>
      <c r="AE21" s="25">
        <f t="shared" si="44"/>
        <v>5</v>
      </c>
      <c r="AF21" s="14"/>
      <c r="AG21" s="14"/>
      <c r="AH21" s="16"/>
      <c r="AI21" s="16"/>
      <c r="AJ21" s="16"/>
      <c r="AK21" s="16"/>
      <c r="AL21" s="15"/>
      <c r="AM21" s="15"/>
      <c r="AN21" s="15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</row>
    <row r="22" spans="1:51" ht="13.15" customHeight="1">
      <c r="A22" s="52">
        <v>8750</v>
      </c>
      <c r="B22" s="52" t="s">
        <v>196</v>
      </c>
      <c r="C22" s="140" t="str">
        <f>Rollover!A22</f>
        <v>GMC</v>
      </c>
      <c r="D22" s="10" t="str">
        <f>Rollover!B22</f>
        <v>Yukon XL 1500 SUV 4WD</v>
      </c>
      <c r="E22" s="10" t="s">
        <v>88</v>
      </c>
      <c r="F22" s="74">
        <f>Rollover!C22</f>
        <v>2019</v>
      </c>
      <c r="G22" s="11">
        <v>27.114000000000001</v>
      </c>
      <c r="H22" s="12">
        <v>23.036999999999999</v>
      </c>
      <c r="I22" s="12">
        <v>32.71</v>
      </c>
      <c r="J22" s="12">
        <v>482.13600000000002</v>
      </c>
      <c r="K22" s="13">
        <v>1366.163</v>
      </c>
      <c r="L22" s="11">
        <v>75.058000000000007</v>
      </c>
      <c r="M22" s="12">
        <v>8.5009999999999994</v>
      </c>
      <c r="N22" s="12">
        <v>20.587</v>
      </c>
      <c r="O22" s="12">
        <v>2.214</v>
      </c>
      <c r="P22" s="13">
        <v>1775.0719999999999</v>
      </c>
      <c r="Q22" s="26">
        <f t="shared" si="30"/>
        <v>1.0039827922654699E-8</v>
      </c>
      <c r="R22" s="6">
        <f t="shared" si="31"/>
        <v>3.6530274881158953E-2</v>
      </c>
      <c r="S22" s="6">
        <f t="shared" si="32"/>
        <v>6.6132561769926788E-3</v>
      </c>
      <c r="T22" s="27">
        <f t="shared" si="33"/>
        <v>2.2510145531283066E-3</v>
      </c>
      <c r="U22" s="26">
        <f t="shared" si="34"/>
        <v>1.1411545498671365E-5</v>
      </c>
      <c r="V22" s="27">
        <f t="shared" si="35"/>
        <v>9.5944250982035011E-3</v>
      </c>
      <c r="W22" s="26">
        <f t="shared" si="36"/>
        <v>4.4999999999999998E-2</v>
      </c>
      <c r="X22" s="6">
        <f t="shared" si="37"/>
        <v>0.01</v>
      </c>
      <c r="Y22" s="27">
        <f t="shared" si="38"/>
        <v>2.8000000000000001E-2</v>
      </c>
      <c r="Z22" s="28">
        <f t="shared" si="39"/>
        <v>0.3</v>
      </c>
      <c r="AA22" s="137">
        <f t="shared" si="40"/>
        <v>7.0000000000000007E-2</v>
      </c>
      <c r="AB22" s="29">
        <f t="shared" si="41"/>
        <v>0.19</v>
      </c>
      <c r="AC22" s="24">
        <f t="shared" si="42"/>
        <v>5</v>
      </c>
      <c r="AD22" s="138">
        <f t="shared" si="43"/>
        <v>5</v>
      </c>
      <c r="AE22" s="25">
        <f t="shared" si="44"/>
        <v>5</v>
      </c>
      <c r="AF22" s="14"/>
      <c r="AG22" s="14"/>
      <c r="AH22" s="16"/>
      <c r="AI22" s="16"/>
      <c r="AJ22" s="16"/>
      <c r="AK22" s="16"/>
      <c r="AL22" s="15"/>
      <c r="AM22" s="15"/>
      <c r="AN22" s="15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</row>
    <row r="23" spans="1:51" ht="13.15" customHeight="1">
      <c r="A23" s="52">
        <v>8642</v>
      </c>
      <c r="B23" s="52" t="s">
        <v>207</v>
      </c>
      <c r="C23" s="30" t="str">
        <f>Rollover!A23</f>
        <v>Chevrolet</v>
      </c>
      <c r="D23" s="51" t="str">
        <f>Rollover!B23</f>
        <v>Tahoe SUV RWD</v>
      </c>
      <c r="E23" s="10" t="s">
        <v>160</v>
      </c>
      <c r="F23" s="74">
        <f>Rollover!C23</f>
        <v>2019</v>
      </c>
      <c r="G23" s="11">
        <v>22.847999999999999</v>
      </c>
      <c r="H23" s="12">
        <v>17.475000000000001</v>
      </c>
      <c r="I23" s="12" t="s">
        <v>208</v>
      </c>
      <c r="J23" s="12">
        <v>473.77</v>
      </c>
      <c r="K23" s="13">
        <v>950.86800000000005</v>
      </c>
      <c r="L23" s="11">
        <v>106.536</v>
      </c>
      <c r="M23" s="12">
        <v>9.0090000000000003</v>
      </c>
      <c r="N23" s="12">
        <v>26.11</v>
      </c>
      <c r="O23" s="12">
        <v>12.529</v>
      </c>
      <c r="P23" s="13">
        <v>927.072</v>
      </c>
      <c r="Q23" s="26">
        <f t="shared" si="30"/>
        <v>2.5687971734165525E-9</v>
      </c>
      <c r="R23" s="6">
        <f t="shared" si="31"/>
        <v>2.2236179043116356E-2</v>
      </c>
      <c r="S23" s="6">
        <f t="shared" si="32"/>
        <v>6.4970513784922395E-3</v>
      </c>
      <c r="T23" s="27">
        <f t="shared" si="33"/>
        <v>1.4267260361780945E-3</v>
      </c>
      <c r="U23" s="26">
        <f t="shared" si="34"/>
        <v>8.426987437660663E-5</v>
      </c>
      <c r="V23" s="27">
        <f t="shared" si="35"/>
        <v>4.3463964067471045E-3</v>
      </c>
      <c r="W23" s="26">
        <f t="shared" si="36"/>
        <v>0.03</v>
      </c>
      <c r="X23" s="6">
        <f t="shared" si="37"/>
        <v>4.0000000000000001E-3</v>
      </c>
      <c r="Y23" s="27">
        <f t="shared" si="38"/>
        <v>1.7000000000000001E-2</v>
      </c>
      <c r="Z23" s="28">
        <f t="shared" si="39"/>
        <v>0.2</v>
      </c>
      <c r="AA23" s="137">
        <f t="shared" si="40"/>
        <v>0.03</v>
      </c>
      <c r="AB23" s="29">
        <f t="shared" si="41"/>
        <v>0.11</v>
      </c>
      <c r="AC23" s="24">
        <f t="shared" si="42"/>
        <v>5</v>
      </c>
      <c r="AD23" s="138">
        <f t="shared" si="43"/>
        <v>5</v>
      </c>
      <c r="AE23" s="25">
        <f t="shared" si="44"/>
        <v>5</v>
      </c>
      <c r="AF23" s="14"/>
      <c r="AG23" s="14"/>
      <c r="AH23" s="16"/>
      <c r="AI23" s="16"/>
      <c r="AJ23" s="16"/>
      <c r="AK23" s="16"/>
      <c r="AL23" s="15"/>
      <c r="AM23" s="15"/>
      <c r="AN23" s="15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</row>
    <row r="24" spans="1:51" ht="13.15" customHeight="1">
      <c r="A24" s="52">
        <v>8642</v>
      </c>
      <c r="B24" s="52" t="s">
        <v>207</v>
      </c>
      <c r="C24" s="30" t="str">
        <f>Rollover!A24</f>
        <v>Chevrolet</v>
      </c>
      <c r="D24" s="51" t="str">
        <f>Rollover!B24</f>
        <v>Tahoe SUV 4WD</v>
      </c>
      <c r="E24" s="10" t="s">
        <v>160</v>
      </c>
      <c r="F24" s="74">
        <f>Rollover!C24</f>
        <v>2019</v>
      </c>
      <c r="G24" s="11">
        <v>22.847999999999999</v>
      </c>
      <c r="H24" s="12">
        <v>17.475000000000001</v>
      </c>
      <c r="I24" s="12" t="s">
        <v>208</v>
      </c>
      <c r="J24" s="12">
        <v>473.77</v>
      </c>
      <c r="K24" s="13">
        <v>950.86800000000005</v>
      </c>
      <c r="L24" s="11">
        <v>106.536</v>
      </c>
      <c r="M24" s="12">
        <v>9.0090000000000003</v>
      </c>
      <c r="N24" s="12">
        <v>26.11</v>
      </c>
      <c r="O24" s="12">
        <v>12.529</v>
      </c>
      <c r="P24" s="13">
        <v>927.072</v>
      </c>
      <c r="Q24" s="26">
        <f t="shared" si="30"/>
        <v>2.5687971734165525E-9</v>
      </c>
      <c r="R24" s="6">
        <f t="shared" si="31"/>
        <v>2.2236179043116356E-2</v>
      </c>
      <c r="S24" s="6">
        <f t="shared" si="32"/>
        <v>6.4970513784922395E-3</v>
      </c>
      <c r="T24" s="27">
        <f t="shared" si="33"/>
        <v>1.4267260361780945E-3</v>
      </c>
      <c r="U24" s="26">
        <f t="shared" si="34"/>
        <v>8.426987437660663E-5</v>
      </c>
      <c r="V24" s="27">
        <f t="shared" si="35"/>
        <v>4.3463964067471045E-3</v>
      </c>
      <c r="W24" s="26">
        <f t="shared" si="36"/>
        <v>0.03</v>
      </c>
      <c r="X24" s="6">
        <f t="shared" si="37"/>
        <v>4.0000000000000001E-3</v>
      </c>
      <c r="Y24" s="27">
        <f t="shared" si="38"/>
        <v>1.7000000000000001E-2</v>
      </c>
      <c r="Z24" s="28">
        <f t="shared" si="39"/>
        <v>0.2</v>
      </c>
      <c r="AA24" s="137">
        <f t="shared" si="40"/>
        <v>0.03</v>
      </c>
      <c r="AB24" s="29">
        <f t="shared" si="41"/>
        <v>0.11</v>
      </c>
      <c r="AC24" s="24">
        <f t="shared" si="42"/>
        <v>5</v>
      </c>
      <c r="AD24" s="138">
        <f t="shared" si="43"/>
        <v>5</v>
      </c>
      <c r="AE24" s="25">
        <f t="shared" si="44"/>
        <v>5</v>
      </c>
      <c r="AF24" s="14"/>
      <c r="AG24" s="14"/>
      <c r="AH24" s="16"/>
      <c r="AI24" s="16"/>
      <c r="AJ24" s="16"/>
      <c r="AK24" s="16"/>
      <c r="AL24" s="15"/>
      <c r="AM24" s="15"/>
      <c r="AN24" s="15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</row>
    <row r="25" spans="1:51" ht="13.15" customHeight="1">
      <c r="A25" s="52">
        <v>8642</v>
      </c>
      <c r="B25" s="52" t="s">
        <v>207</v>
      </c>
      <c r="C25" s="140" t="str">
        <f>Rollover!A25</f>
        <v>GMC</v>
      </c>
      <c r="D25" s="10" t="str">
        <f>Rollover!B25</f>
        <v>Yukon SUV RWD</v>
      </c>
      <c r="E25" s="10" t="s">
        <v>160</v>
      </c>
      <c r="F25" s="74">
        <f>Rollover!C25</f>
        <v>2019</v>
      </c>
      <c r="G25" s="11">
        <v>22.847999999999999</v>
      </c>
      <c r="H25" s="12">
        <v>17.475000000000001</v>
      </c>
      <c r="I25" s="12" t="s">
        <v>208</v>
      </c>
      <c r="J25" s="12">
        <v>473.77</v>
      </c>
      <c r="K25" s="13">
        <v>950.86800000000005</v>
      </c>
      <c r="L25" s="11">
        <v>106.536</v>
      </c>
      <c r="M25" s="12">
        <v>9.0090000000000003</v>
      </c>
      <c r="N25" s="12">
        <v>26.11</v>
      </c>
      <c r="O25" s="12">
        <v>12.529</v>
      </c>
      <c r="P25" s="13">
        <v>927.072</v>
      </c>
      <c r="Q25" s="26">
        <f t="shared" si="30"/>
        <v>2.5687971734165525E-9</v>
      </c>
      <c r="R25" s="6">
        <f t="shared" si="31"/>
        <v>2.2236179043116356E-2</v>
      </c>
      <c r="S25" s="6">
        <f t="shared" si="32"/>
        <v>6.4970513784922395E-3</v>
      </c>
      <c r="T25" s="27">
        <f t="shared" si="33"/>
        <v>1.4267260361780945E-3</v>
      </c>
      <c r="U25" s="26">
        <f t="shared" si="34"/>
        <v>8.426987437660663E-5</v>
      </c>
      <c r="V25" s="27">
        <f t="shared" si="35"/>
        <v>4.3463964067471045E-3</v>
      </c>
      <c r="W25" s="26">
        <f t="shared" si="36"/>
        <v>0.03</v>
      </c>
      <c r="X25" s="6">
        <f t="shared" si="37"/>
        <v>4.0000000000000001E-3</v>
      </c>
      <c r="Y25" s="27">
        <f t="shared" si="38"/>
        <v>1.7000000000000001E-2</v>
      </c>
      <c r="Z25" s="28">
        <f t="shared" si="39"/>
        <v>0.2</v>
      </c>
      <c r="AA25" s="137">
        <f t="shared" si="40"/>
        <v>0.03</v>
      </c>
      <c r="AB25" s="29">
        <f t="shared" si="41"/>
        <v>0.11</v>
      </c>
      <c r="AC25" s="24">
        <f t="shared" si="42"/>
        <v>5</v>
      </c>
      <c r="AD25" s="138">
        <f t="shared" si="43"/>
        <v>5</v>
      </c>
      <c r="AE25" s="25">
        <f t="shared" si="44"/>
        <v>5</v>
      </c>
      <c r="AF25" s="14"/>
      <c r="AG25" s="14"/>
      <c r="AH25" s="16"/>
      <c r="AI25" s="16"/>
      <c r="AJ25" s="16"/>
      <c r="AK25" s="16"/>
      <c r="AL25" s="15"/>
      <c r="AM25" s="15"/>
      <c r="AN25" s="15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</row>
    <row r="26" spans="1:51" ht="13.15" customHeight="1">
      <c r="A26" s="52">
        <v>8642</v>
      </c>
      <c r="B26" s="52" t="s">
        <v>207</v>
      </c>
      <c r="C26" s="140" t="str">
        <f>Rollover!A26</f>
        <v xml:space="preserve">GMC </v>
      </c>
      <c r="D26" s="10" t="str">
        <f>Rollover!B26</f>
        <v>Yukon SUV 4WD</v>
      </c>
      <c r="E26" s="10" t="s">
        <v>160</v>
      </c>
      <c r="F26" s="74">
        <f>Rollover!C26</f>
        <v>2019</v>
      </c>
      <c r="G26" s="11">
        <v>22.847999999999999</v>
      </c>
      <c r="H26" s="12">
        <v>17.475000000000001</v>
      </c>
      <c r="I26" s="12" t="s">
        <v>208</v>
      </c>
      <c r="J26" s="12">
        <v>473.77</v>
      </c>
      <c r="K26" s="13">
        <v>950.86800000000005</v>
      </c>
      <c r="L26" s="11">
        <v>106.536</v>
      </c>
      <c r="M26" s="12">
        <v>9.0090000000000003</v>
      </c>
      <c r="N26" s="12">
        <v>26.11</v>
      </c>
      <c r="O26" s="12">
        <v>12.529</v>
      </c>
      <c r="P26" s="13">
        <v>927.072</v>
      </c>
      <c r="Q26" s="26">
        <f t="shared" si="30"/>
        <v>2.5687971734165525E-9</v>
      </c>
      <c r="R26" s="6">
        <f t="shared" si="31"/>
        <v>2.2236179043116356E-2</v>
      </c>
      <c r="S26" s="6">
        <f t="shared" si="32"/>
        <v>6.4970513784922395E-3</v>
      </c>
      <c r="T26" s="27">
        <f t="shared" si="33"/>
        <v>1.4267260361780945E-3</v>
      </c>
      <c r="U26" s="26">
        <f t="shared" si="34"/>
        <v>8.426987437660663E-5</v>
      </c>
      <c r="V26" s="27">
        <f t="shared" si="35"/>
        <v>4.3463964067471045E-3</v>
      </c>
      <c r="W26" s="26">
        <f t="shared" si="36"/>
        <v>0.03</v>
      </c>
      <c r="X26" s="6">
        <f t="shared" si="37"/>
        <v>4.0000000000000001E-3</v>
      </c>
      <c r="Y26" s="27">
        <f t="shared" si="38"/>
        <v>1.7000000000000001E-2</v>
      </c>
      <c r="Z26" s="28">
        <f t="shared" si="39"/>
        <v>0.2</v>
      </c>
      <c r="AA26" s="137">
        <f t="shared" si="40"/>
        <v>0.03</v>
      </c>
      <c r="AB26" s="29">
        <f t="shared" si="41"/>
        <v>0.11</v>
      </c>
      <c r="AC26" s="24">
        <f t="shared" si="42"/>
        <v>5</v>
      </c>
      <c r="AD26" s="138">
        <f t="shared" si="43"/>
        <v>5</v>
      </c>
      <c r="AE26" s="25">
        <f t="shared" si="44"/>
        <v>5</v>
      </c>
      <c r="AF26" s="14"/>
      <c r="AG26" s="14"/>
      <c r="AH26" s="16"/>
      <c r="AI26" s="16"/>
      <c r="AJ26" s="16"/>
      <c r="AK26" s="16"/>
      <c r="AL26" s="15"/>
      <c r="AM26" s="15"/>
      <c r="AN26" s="15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</row>
    <row r="27" spans="1:51">
      <c r="A27" s="18">
        <v>10641</v>
      </c>
      <c r="B27" s="136" t="s">
        <v>214</v>
      </c>
      <c r="C27" s="30" t="str">
        <f>Rollover!A27</f>
        <v>Dodge</v>
      </c>
      <c r="D27" s="51" t="str">
        <f>Rollover!B27</f>
        <v>Grand Caravan Minivan FWD</v>
      </c>
      <c r="E27" s="10" t="s">
        <v>163</v>
      </c>
      <c r="F27" s="74">
        <f>Rollover!C27</f>
        <v>2019</v>
      </c>
      <c r="G27" s="19">
        <v>38.139000000000003</v>
      </c>
      <c r="H27" s="20">
        <v>24.585999999999999</v>
      </c>
      <c r="I27" s="20">
        <v>24.859000000000002</v>
      </c>
      <c r="J27" s="20">
        <v>896.43</v>
      </c>
      <c r="K27" s="21">
        <v>1442.877</v>
      </c>
      <c r="L27" s="19">
        <v>110.456</v>
      </c>
      <c r="M27" s="20">
        <v>5.452</v>
      </c>
      <c r="N27" s="20">
        <v>37.628</v>
      </c>
      <c r="O27" s="20">
        <v>1.3440000000000001</v>
      </c>
      <c r="P27" s="21">
        <v>3739.4650000000001</v>
      </c>
      <c r="Q27" s="26">
        <f t="shared" si="30"/>
        <v>1.300785235406308E-7</v>
      </c>
      <c r="R27" s="6">
        <f t="shared" si="31"/>
        <v>4.1884736940961412E-2</v>
      </c>
      <c r="S27" s="6">
        <f t="shared" si="32"/>
        <v>1.5853962797311983E-2</v>
      </c>
      <c r="T27" s="27">
        <f t="shared" si="33"/>
        <v>2.4487268809449238E-3</v>
      </c>
      <c r="U27" s="26">
        <f t="shared" si="34"/>
        <v>1.0232805392664547E-4</v>
      </c>
      <c r="V27" s="27">
        <f t="shared" si="35"/>
        <v>5.7844993737205155E-2</v>
      </c>
      <c r="W27" s="26">
        <f t="shared" si="36"/>
        <v>5.8999999999999997E-2</v>
      </c>
      <c r="X27" s="6">
        <f t="shared" si="37"/>
        <v>5.8000000000000003E-2</v>
      </c>
      <c r="Y27" s="27">
        <f t="shared" si="38"/>
        <v>5.8999999999999997E-2</v>
      </c>
      <c r="Z27" s="28">
        <f t="shared" si="39"/>
        <v>0.39</v>
      </c>
      <c r="AA27" s="137">
        <f t="shared" si="40"/>
        <v>0.39</v>
      </c>
      <c r="AB27" s="29">
        <f t="shared" si="41"/>
        <v>0.39</v>
      </c>
      <c r="AC27" s="24">
        <f t="shared" si="42"/>
        <v>5</v>
      </c>
      <c r="AD27" s="138">
        <f t="shared" si="43"/>
        <v>5</v>
      </c>
      <c r="AE27" s="25">
        <f t="shared" si="44"/>
        <v>5</v>
      </c>
      <c r="AF27" s="14"/>
      <c r="AG27" s="14"/>
      <c r="AH27" s="16"/>
      <c r="AI27" s="16"/>
      <c r="AJ27" s="16"/>
      <c r="AK27" s="16"/>
      <c r="AL27" s="15"/>
      <c r="AM27" s="15"/>
      <c r="AN27" s="15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</row>
    <row r="28" spans="1:51">
      <c r="A28" s="18">
        <v>10653</v>
      </c>
      <c r="B28" s="136" t="s">
        <v>228</v>
      </c>
      <c r="C28" s="30" t="str">
        <f>Rollover!A28</f>
        <v>Ford</v>
      </c>
      <c r="D28" s="51" t="str">
        <f>Rollover!B28</f>
        <v>Edge SUV FWD</v>
      </c>
      <c r="E28" s="10" t="s">
        <v>162</v>
      </c>
      <c r="F28" s="74">
        <f>Rollover!C28</f>
        <v>2019</v>
      </c>
      <c r="G28" s="19">
        <v>83.75</v>
      </c>
      <c r="H28" s="20">
        <v>27.731999999999999</v>
      </c>
      <c r="I28" s="20">
        <v>29.088000000000001</v>
      </c>
      <c r="J28" s="20">
        <v>844.65899999999999</v>
      </c>
      <c r="K28" s="21">
        <v>853.9</v>
      </c>
      <c r="L28" s="19">
        <v>103.42</v>
      </c>
      <c r="M28" s="20">
        <v>3.21</v>
      </c>
      <c r="N28" s="20">
        <v>41.08</v>
      </c>
      <c r="O28" s="20">
        <v>12.351000000000001</v>
      </c>
      <c r="P28" s="21">
        <v>2823.4740000000002</v>
      </c>
      <c r="Q28" s="26">
        <f t="shared" si="30"/>
        <v>2.182703082799156E-5</v>
      </c>
      <c r="R28" s="6">
        <f t="shared" si="31"/>
        <v>5.5152096832463686E-2</v>
      </c>
      <c r="S28" s="6">
        <f t="shared" si="32"/>
        <v>1.4220020025823765E-2</v>
      </c>
      <c r="T28" s="27">
        <f t="shared" si="33"/>
        <v>1.2825648869613936E-3</v>
      </c>
      <c r="U28" s="26">
        <f t="shared" si="34"/>
        <v>7.1724216397857336E-5</v>
      </c>
      <c r="V28" s="27">
        <f t="shared" si="35"/>
        <v>2.5297309634896008E-2</v>
      </c>
      <c r="W28" s="26">
        <f t="shared" si="36"/>
        <v>7.0000000000000007E-2</v>
      </c>
      <c r="X28" s="6">
        <f t="shared" si="37"/>
        <v>2.5000000000000001E-2</v>
      </c>
      <c r="Y28" s="27">
        <f t="shared" si="38"/>
        <v>4.8000000000000001E-2</v>
      </c>
      <c r="Z28" s="28">
        <f t="shared" si="39"/>
        <v>0.47</v>
      </c>
      <c r="AA28" s="137">
        <f t="shared" si="40"/>
        <v>0.17</v>
      </c>
      <c r="AB28" s="29">
        <f t="shared" si="41"/>
        <v>0.32</v>
      </c>
      <c r="AC28" s="24">
        <f t="shared" si="42"/>
        <v>5</v>
      </c>
      <c r="AD28" s="138">
        <f t="shared" si="43"/>
        <v>5</v>
      </c>
      <c r="AE28" s="25">
        <f t="shared" si="44"/>
        <v>5</v>
      </c>
      <c r="AF28" s="14"/>
      <c r="AG28" s="14"/>
      <c r="AH28" s="16"/>
      <c r="AI28" s="16"/>
      <c r="AJ28" s="16"/>
      <c r="AK28" s="16"/>
      <c r="AL28" s="15"/>
      <c r="AM28" s="15"/>
      <c r="AN28" s="15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</row>
    <row r="29" spans="1:51">
      <c r="A29" s="18">
        <v>10653</v>
      </c>
      <c r="B29" s="136" t="s">
        <v>228</v>
      </c>
      <c r="C29" s="30" t="str">
        <f>Rollover!A29</f>
        <v>Ford</v>
      </c>
      <c r="D29" s="51" t="str">
        <f>Rollover!B29</f>
        <v>Edge SUV AWD</v>
      </c>
      <c r="E29" s="10" t="s">
        <v>162</v>
      </c>
      <c r="F29" s="74">
        <f>Rollover!C29</f>
        <v>2019</v>
      </c>
      <c r="G29" s="19">
        <v>83.75</v>
      </c>
      <c r="H29" s="20">
        <v>27.731999999999999</v>
      </c>
      <c r="I29" s="20">
        <v>29.088000000000001</v>
      </c>
      <c r="J29" s="20">
        <v>844.65899999999999</v>
      </c>
      <c r="K29" s="21">
        <v>853.9</v>
      </c>
      <c r="L29" s="19">
        <v>103.42</v>
      </c>
      <c r="M29" s="20">
        <v>3.21</v>
      </c>
      <c r="N29" s="20">
        <v>41.08</v>
      </c>
      <c r="O29" s="20">
        <v>12.351000000000001</v>
      </c>
      <c r="P29" s="21">
        <v>2823.4740000000002</v>
      </c>
      <c r="Q29" s="26">
        <f t="shared" si="15"/>
        <v>2.182703082799156E-5</v>
      </c>
      <c r="R29" s="6">
        <f t="shared" si="16"/>
        <v>5.5152096832463686E-2</v>
      </c>
      <c r="S29" s="6">
        <f t="shared" si="17"/>
        <v>1.4220020025823765E-2</v>
      </c>
      <c r="T29" s="27">
        <f t="shared" si="18"/>
        <v>1.2825648869613936E-3</v>
      </c>
      <c r="U29" s="26">
        <f t="shared" si="19"/>
        <v>7.1724216397857336E-5</v>
      </c>
      <c r="V29" s="27">
        <f t="shared" si="20"/>
        <v>2.5297309634896008E-2</v>
      </c>
      <c r="W29" s="26">
        <f t="shared" si="21"/>
        <v>7.0000000000000007E-2</v>
      </c>
      <c r="X29" s="6">
        <f t="shared" si="22"/>
        <v>2.5000000000000001E-2</v>
      </c>
      <c r="Y29" s="27">
        <f t="shared" si="23"/>
        <v>4.8000000000000001E-2</v>
      </c>
      <c r="Z29" s="28">
        <f t="shared" si="24"/>
        <v>0.47</v>
      </c>
      <c r="AA29" s="137">
        <f t="shared" si="25"/>
        <v>0.17</v>
      </c>
      <c r="AB29" s="29">
        <f t="shared" si="26"/>
        <v>0.32</v>
      </c>
      <c r="AC29" s="24">
        <f t="shared" si="27"/>
        <v>5</v>
      </c>
      <c r="AD29" s="138">
        <f t="shared" si="28"/>
        <v>5</v>
      </c>
      <c r="AE29" s="25">
        <f t="shared" si="29"/>
        <v>5</v>
      </c>
      <c r="AF29" s="14"/>
      <c r="AG29" s="14"/>
      <c r="AH29" s="16"/>
      <c r="AI29" s="16"/>
      <c r="AJ29" s="16"/>
      <c r="AK29" s="16"/>
      <c r="AL29" s="15"/>
      <c r="AM29" s="15"/>
      <c r="AN29" s="15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</row>
    <row r="30" spans="1:51">
      <c r="A30" s="18">
        <v>10653</v>
      </c>
      <c r="B30" s="136" t="s">
        <v>228</v>
      </c>
      <c r="C30" s="140" t="str">
        <f>Rollover!A30</f>
        <v>Lincoln</v>
      </c>
      <c r="D30" s="10" t="str">
        <f>Rollover!B30</f>
        <v>Nautilus SUV FWD</v>
      </c>
      <c r="E30" s="10" t="s">
        <v>162</v>
      </c>
      <c r="F30" s="74">
        <f>Rollover!C30</f>
        <v>2019</v>
      </c>
      <c r="G30" s="19">
        <v>83.75</v>
      </c>
      <c r="H30" s="20">
        <v>27.731999999999999</v>
      </c>
      <c r="I30" s="20">
        <v>29.088000000000001</v>
      </c>
      <c r="J30" s="20">
        <v>844.65899999999999</v>
      </c>
      <c r="K30" s="21">
        <v>853.9</v>
      </c>
      <c r="L30" s="19">
        <v>103.42</v>
      </c>
      <c r="M30" s="20">
        <v>3.21</v>
      </c>
      <c r="N30" s="20">
        <v>41.08</v>
      </c>
      <c r="O30" s="20">
        <v>12.351000000000001</v>
      </c>
      <c r="P30" s="21">
        <v>2823.4740000000002</v>
      </c>
      <c r="Q30" s="26">
        <f t="shared" si="15"/>
        <v>2.182703082799156E-5</v>
      </c>
      <c r="R30" s="6">
        <f t="shared" si="16"/>
        <v>5.5152096832463686E-2</v>
      </c>
      <c r="S30" s="6">
        <f t="shared" si="17"/>
        <v>1.4220020025823765E-2</v>
      </c>
      <c r="T30" s="27">
        <f t="shared" si="18"/>
        <v>1.2825648869613936E-3</v>
      </c>
      <c r="U30" s="26">
        <f t="shared" si="19"/>
        <v>7.1724216397857336E-5</v>
      </c>
      <c r="V30" s="27">
        <f t="shared" si="20"/>
        <v>2.5297309634896008E-2</v>
      </c>
      <c r="W30" s="26">
        <f t="shared" si="21"/>
        <v>7.0000000000000007E-2</v>
      </c>
      <c r="X30" s="6">
        <f t="shared" si="22"/>
        <v>2.5000000000000001E-2</v>
      </c>
      <c r="Y30" s="27">
        <f t="shared" si="23"/>
        <v>4.8000000000000001E-2</v>
      </c>
      <c r="Z30" s="28">
        <f t="shared" si="24"/>
        <v>0.47</v>
      </c>
      <c r="AA30" s="137">
        <f t="shared" si="25"/>
        <v>0.17</v>
      </c>
      <c r="AB30" s="29">
        <f t="shared" si="26"/>
        <v>0.32</v>
      </c>
      <c r="AC30" s="24">
        <f t="shared" si="27"/>
        <v>5</v>
      </c>
      <c r="AD30" s="138">
        <f t="shared" si="28"/>
        <v>5</v>
      </c>
      <c r="AE30" s="25">
        <f t="shared" si="29"/>
        <v>5</v>
      </c>
      <c r="AF30" s="14"/>
      <c r="AG30" s="14"/>
      <c r="AH30" s="16"/>
      <c r="AI30" s="16"/>
      <c r="AJ30" s="16"/>
      <c r="AK30" s="16"/>
      <c r="AL30" s="15"/>
      <c r="AM30" s="15"/>
      <c r="AN30" s="15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</row>
    <row r="31" spans="1:51" ht="13.5" customHeight="1">
      <c r="A31" s="18">
        <v>10653</v>
      </c>
      <c r="B31" s="136" t="s">
        <v>228</v>
      </c>
      <c r="C31" s="140" t="str">
        <f>Rollover!A31</f>
        <v>Lincoln</v>
      </c>
      <c r="D31" s="10" t="str">
        <f>Rollover!B31</f>
        <v>Nautilus SUV AWD</v>
      </c>
      <c r="E31" s="10" t="s">
        <v>162</v>
      </c>
      <c r="F31" s="74">
        <f>Rollover!C31</f>
        <v>2019</v>
      </c>
      <c r="G31" s="19">
        <v>83.75</v>
      </c>
      <c r="H31" s="20">
        <v>27.731999999999999</v>
      </c>
      <c r="I31" s="20">
        <v>29.088000000000001</v>
      </c>
      <c r="J31" s="20">
        <v>844.65899999999999</v>
      </c>
      <c r="K31" s="21">
        <v>853.9</v>
      </c>
      <c r="L31" s="19">
        <v>103.42</v>
      </c>
      <c r="M31" s="20">
        <v>3.21</v>
      </c>
      <c r="N31" s="20">
        <v>41.08</v>
      </c>
      <c r="O31" s="20">
        <v>12.351000000000001</v>
      </c>
      <c r="P31" s="21">
        <v>2823.4740000000002</v>
      </c>
      <c r="Q31" s="26">
        <f t="shared" si="15"/>
        <v>2.182703082799156E-5</v>
      </c>
      <c r="R31" s="6">
        <f t="shared" si="16"/>
        <v>5.5152096832463686E-2</v>
      </c>
      <c r="S31" s="6">
        <f t="shared" si="17"/>
        <v>1.4220020025823765E-2</v>
      </c>
      <c r="T31" s="27">
        <f t="shared" si="18"/>
        <v>1.2825648869613936E-3</v>
      </c>
      <c r="U31" s="26">
        <f t="shared" si="19"/>
        <v>7.1724216397857336E-5</v>
      </c>
      <c r="V31" s="27">
        <f t="shared" si="20"/>
        <v>2.5297309634896008E-2</v>
      </c>
      <c r="W31" s="26">
        <f t="shared" si="21"/>
        <v>7.0000000000000007E-2</v>
      </c>
      <c r="X31" s="6">
        <f t="shared" si="22"/>
        <v>2.5000000000000001E-2</v>
      </c>
      <c r="Y31" s="27">
        <f t="shared" si="23"/>
        <v>4.8000000000000001E-2</v>
      </c>
      <c r="Z31" s="28">
        <f t="shared" si="24"/>
        <v>0.47</v>
      </c>
      <c r="AA31" s="137">
        <f t="shared" si="25"/>
        <v>0.17</v>
      </c>
      <c r="AB31" s="29">
        <f t="shared" si="26"/>
        <v>0.32</v>
      </c>
      <c r="AC31" s="24">
        <f t="shared" si="27"/>
        <v>5</v>
      </c>
      <c r="AD31" s="138">
        <f t="shared" si="28"/>
        <v>5</v>
      </c>
      <c r="AE31" s="25">
        <f t="shared" si="29"/>
        <v>5</v>
      </c>
      <c r="AF31" s="14"/>
      <c r="AG31" s="14"/>
      <c r="AH31" s="16"/>
      <c r="AI31" s="16"/>
      <c r="AJ31" s="16"/>
      <c r="AK31" s="16"/>
      <c r="AL31" s="15"/>
      <c r="AM31" s="15"/>
      <c r="AN31" s="15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</row>
    <row r="32" spans="1:51" ht="13.15" customHeight="1">
      <c r="A32" s="52">
        <v>10718</v>
      </c>
      <c r="B32" s="136" t="s">
        <v>264</v>
      </c>
      <c r="C32" s="30" t="str">
        <f>Rollover!A32</f>
        <v>Ford</v>
      </c>
      <c r="D32" s="51" t="str">
        <f>Rollover!B32</f>
        <v>F-250 Crew Cab PU/CC 2WD</v>
      </c>
      <c r="E32" s="10" t="s">
        <v>162</v>
      </c>
      <c r="F32" s="74">
        <f>Rollover!C32</f>
        <v>2019</v>
      </c>
      <c r="G32" s="11">
        <v>11.593999999999999</v>
      </c>
      <c r="H32" s="12">
        <v>17.527000000000001</v>
      </c>
      <c r="I32" s="12">
        <v>18.768999999999998</v>
      </c>
      <c r="J32" s="12">
        <v>524.13800000000003</v>
      </c>
      <c r="K32" s="13">
        <v>502.221</v>
      </c>
      <c r="L32" s="11">
        <v>23.228000000000002</v>
      </c>
      <c r="M32" s="12">
        <v>4.8390000000000004</v>
      </c>
      <c r="N32" s="12">
        <v>14.631</v>
      </c>
      <c r="O32" s="12">
        <v>0.879</v>
      </c>
      <c r="P32" s="13">
        <v>354.28500000000003</v>
      </c>
      <c r="Q32" s="26">
        <f t="shared" si="15"/>
        <v>6.9281232198670345E-12</v>
      </c>
      <c r="R32" s="6">
        <f t="shared" si="16"/>
        <v>2.2340315989870921E-2</v>
      </c>
      <c r="S32" s="6">
        <f t="shared" si="17"/>
        <v>7.2286100487778246E-3</v>
      </c>
      <c r="T32" s="27">
        <f t="shared" si="18"/>
        <v>8.7147031959773592E-4</v>
      </c>
      <c r="U32" s="26">
        <f t="shared" si="19"/>
        <v>2.936013531417371E-9</v>
      </c>
      <c r="V32" s="27">
        <f t="shared" si="20"/>
        <v>2.5414594041390701E-3</v>
      </c>
      <c r="W32" s="26">
        <f t="shared" si="21"/>
        <v>0.03</v>
      </c>
      <c r="X32" s="6">
        <f t="shared" si="22"/>
        <v>3.0000000000000001E-3</v>
      </c>
      <c r="Y32" s="27">
        <f t="shared" si="23"/>
        <v>1.7000000000000001E-2</v>
      </c>
      <c r="Z32" s="28">
        <f t="shared" si="24"/>
        <v>0.2</v>
      </c>
      <c r="AA32" s="137">
        <f t="shared" si="25"/>
        <v>0.02</v>
      </c>
      <c r="AB32" s="29">
        <f t="shared" si="26"/>
        <v>0.11</v>
      </c>
      <c r="AC32" s="24">
        <f t="shared" si="27"/>
        <v>5</v>
      </c>
      <c r="AD32" s="138">
        <f t="shared" si="28"/>
        <v>5</v>
      </c>
      <c r="AE32" s="25">
        <f t="shared" si="29"/>
        <v>5</v>
      </c>
      <c r="AF32" s="14"/>
      <c r="AG32" s="14"/>
      <c r="AH32" s="16"/>
      <c r="AI32" s="16"/>
      <c r="AJ32" s="16"/>
      <c r="AK32" s="16"/>
      <c r="AL32" s="15"/>
      <c r="AM32" s="15"/>
      <c r="AN32" s="15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</row>
    <row r="33" spans="1:51">
      <c r="A33" s="18">
        <v>10718</v>
      </c>
      <c r="B33" s="139" t="s">
        <v>264</v>
      </c>
      <c r="C33" s="30" t="str">
        <f>Rollover!A33</f>
        <v>Ford</v>
      </c>
      <c r="D33" s="51" t="str">
        <f>Rollover!B33</f>
        <v>F-250 Crew Cab PU/CC 4WD</v>
      </c>
      <c r="E33" s="10" t="s">
        <v>162</v>
      </c>
      <c r="F33" s="74">
        <f>Rollover!C33</f>
        <v>2019</v>
      </c>
      <c r="G33" s="11">
        <v>11.593999999999999</v>
      </c>
      <c r="H33" s="12">
        <v>17.527000000000001</v>
      </c>
      <c r="I33" s="12">
        <v>18.768999999999998</v>
      </c>
      <c r="J33" s="12">
        <v>524.13800000000003</v>
      </c>
      <c r="K33" s="13">
        <v>502.221</v>
      </c>
      <c r="L33" s="11">
        <v>23.228000000000002</v>
      </c>
      <c r="M33" s="12">
        <v>4.8390000000000004</v>
      </c>
      <c r="N33" s="12">
        <v>14.631</v>
      </c>
      <c r="O33" s="12">
        <v>0.879</v>
      </c>
      <c r="P33" s="13">
        <v>354.28500000000003</v>
      </c>
      <c r="Q33" s="26">
        <f>NORMDIST(LN(G33),7.45231,0.73998,1)</f>
        <v>6.9281232198670345E-12</v>
      </c>
      <c r="R33" s="6">
        <f>1/(1+EXP(5.3895-0.0919*H33))</f>
        <v>2.2340315989870921E-2</v>
      </c>
      <c r="S33" s="6">
        <f>1/(1+EXP(6.04044-0.002133*J33))</f>
        <v>7.2286100487778246E-3</v>
      </c>
      <c r="T33" s="27">
        <f>1/(1+EXP(7.5969-0.0011*K33))</f>
        <v>8.7147031959773592E-4</v>
      </c>
      <c r="U33" s="26">
        <f>NORMDIST(LN(L33),7.45231,0.73998,1)</f>
        <v>2.936013531417371E-9</v>
      </c>
      <c r="V33" s="27">
        <f>1/(1+EXP(6.3055-0.00094*P33))</f>
        <v>2.5414594041390701E-3</v>
      </c>
      <c r="W33" s="26">
        <f>ROUND(1-(1-Q33)*(1-R33)*(1-S33)*(1-T33),3)</f>
        <v>0.03</v>
      </c>
      <c r="X33" s="6">
        <f>IF(L33="N/A",L33,ROUND(1-(1-U33)*(1-V33),3))</f>
        <v>3.0000000000000001E-3</v>
      </c>
      <c r="Y33" s="27">
        <f>ROUND(AVERAGE(W33:X33),3)</f>
        <v>1.7000000000000001E-2</v>
      </c>
      <c r="Z33" s="28">
        <f>ROUND(W33/0.15,2)</f>
        <v>0.2</v>
      </c>
      <c r="AA33" s="137">
        <f>IF(L33="N/A", L33, ROUND(X33/0.15,2))</f>
        <v>0.02</v>
      </c>
      <c r="AB33" s="29">
        <f>ROUND(Y33/0.15,2)</f>
        <v>0.11</v>
      </c>
      <c r="AC33" s="24">
        <f>IF(Z33&lt;0.67,5,IF(Z33&lt;1,4,IF(Z33&lt;1.33,3,IF(Z33&lt;2.67,2,1))))</f>
        <v>5</v>
      </c>
      <c r="AD33" s="138">
        <f>IF(L33="N/A",L33,IF(AA33&lt;0.67,5,IF(AA33&lt;1,4,IF(AA33&lt;1.33,3,IF(AA33&lt;2.67,2,1)))))</f>
        <v>5</v>
      </c>
      <c r="AE33" s="25">
        <f>IF(AB33&lt;0.67,5,IF(AB33&lt;1,4,IF(AB33&lt;1.33,3,IF(AB33&lt;2.67,2,1))))</f>
        <v>5</v>
      </c>
      <c r="AF33" s="14"/>
      <c r="AG33" s="14"/>
      <c r="AH33" s="16"/>
      <c r="AI33" s="16"/>
      <c r="AJ33" s="16"/>
      <c r="AK33" s="16"/>
      <c r="AL33" s="15"/>
      <c r="AM33" s="15"/>
      <c r="AN33" s="15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</row>
    <row r="34" spans="1:51">
      <c r="A34" s="52">
        <v>10388</v>
      </c>
      <c r="B34" s="136" t="s">
        <v>173</v>
      </c>
      <c r="C34" s="30" t="str">
        <f>Rollover!A34</f>
        <v>Honda</v>
      </c>
      <c r="D34" s="51" t="str">
        <f>Rollover!B34</f>
        <v>Insight 4DR FWD</v>
      </c>
      <c r="E34" s="10" t="s">
        <v>88</v>
      </c>
      <c r="F34" s="74">
        <f>Rollover!C34</f>
        <v>2019</v>
      </c>
      <c r="G34" s="11">
        <v>220.02199999999999</v>
      </c>
      <c r="H34" s="12">
        <v>23.893999999999998</v>
      </c>
      <c r="I34" s="12">
        <v>29.338999999999999</v>
      </c>
      <c r="J34" s="12">
        <v>691.476</v>
      </c>
      <c r="K34" s="13">
        <v>1404.8969999999999</v>
      </c>
      <c r="L34" s="11">
        <v>328.45800000000003</v>
      </c>
      <c r="M34" s="12">
        <v>24.577999999999999</v>
      </c>
      <c r="N34" s="12">
        <v>59.328000000000003</v>
      </c>
      <c r="O34" s="12">
        <v>16.853000000000002</v>
      </c>
      <c r="P34" s="13">
        <v>1227.049</v>
      </c>
      <c r="Q34" s="26">
        <f t="shared" si="15"/>
        <v>2.7017233467550804E-3</v>
      </c>
      <c r="R34" s="6">
        <f t="shared" si="16"/>
        <v>3.9405710581049892E-2</v>
      </c>
      <c r="S34" s="6">
        <f t="shared" si="17"/>
        <v>1.0297312005814272E-2</v>
      </c>
      <c r="T34" s="27">
        <f t="shared" si="18"/>
        <v>2.3487668586793077E-3</v>
      </c>
      <c r="U34" s="26">
        <f t="shared" si="19"/>
        <v>1.2530299311196353E-2</v>
      </c>
      <c r="V34" s="27">
        <f t="shared" si="20"/>
        <v>5.7540884217292254E-3</v>
      </c>
      <c r="W34" s="26">
        <f t="shared" si="21"/>
        <v>5.3999999999999999E-2</v>
      </c>
      <c r="X34" s="6">
        <f t="shared" si="22"/>
        <v>1.7999999999999999E-2</v>
      </c>
      <c r="Y34" s="27">
        <f t="shared" si="23"/>
        <v>3.5999999999999997E-2</v>
      </c>
      <c r="Z34" s="28">
        <f t="shared" si="24"/>
        <v>0.36</v>
      </c>
      <c r="AA34" s="137">
        <f t="shared" si="25"/>
        <v>0.12</v>
      </c>
      <c r="AB34" s="29">
        <f t="shared" si="26"/>
        <v>0.24</v>
      </c>
      <c r="AC34" s="24">
        <f t="shared" si="27"/>
        <v>5</v>
      </c>
      <c r="AD34" s="138">
        <f t="shared" si="28"/>
        <v>5</v>
      </c>
      <c r="AE34" s="25">
        <f t="shared" si="29"/>
        <v>5</v>
      </c>
      <c r="AF34" s="14"/>
      <c r="AG34" s="14"/>
      <c r="AH34" s="16"/>
      <c r="AI34" s="16"/>
      <c r="AJ34" s="16"/>
      <c r="AK34" s="16"/>
      <c r="AL34" s="15"/>
      <c r="AM34" s="15"/>
      <c r="AN34" s="15"/>
      <c r="AO34" s="17"/>
      <c r="AP34" s="17"/>
      <c r="AQ34" s="17"/>
      <c r="AR34" s="17"/>
      <c r="AS34" s="17"/>
      <c r="AT34" s="17"/>
      <c r="AU34" s="17"/>
      <c r="AV34" s="17"/>
      <c r="AW34" s="17"/>
      <c r="AX34" s="17"/>
      <c r="AY34" s="17"/>
    </row>
    <row r="35" spans="1:51">
      <c r="A35" s="52">
        <v>10664</v>
      </c>
      <c r="B35" s="136" t="s">
        <v>238</v>
      </c>
      <c r="C35" s="30" t="str">
        <f>Rollover!A35</f>
        <v>Hyundai</v>
      </c>
      <c r="D35" s="51" t="str">
        <f>Rollover!B35</f>
        <v>Kona SUV FWD</v>
      </c>
      <c r="E35" s="10" t="s">
        <v>163</v>
      </c>
      <c r="F35" s="74">
        <f>Rollover!C35</f>
        <v>2019</v>
      </c>
      <c r="G35" s="11">
        <v>108.48699999999999</v>
      </c>
      <c r="H35" s="12">
        <v>20.954999999999998</v>
      </c>
      <c r="I35" s="12">
        <v>38.771000000000001</v>
      </c>
      <c r="J35" s="12">
        <v>1094.32</v>
      </c>
      <c r="K35" s="13">
        <v>2719.3069999999998</v>
      </c>
      <c r="L35" s="11">
        <v>326.24200000000002</v>
      </c>
      <c r="M35" s="12">
        <v>32.246000000000002</v>
      </c>
      <c r="N35" s="12">
        <v>65.722999999999999</v>
      </c>
      <c r="O35" s="12">
        <v>36.777999999999999</v>
      </c>
      <c r="P35" s="13">
        <v>2839.9780000000001</v>
      </c>
      <c r="Q35" s="26">
        <f t="shared" si="15"/>
        <v>9.2927348083638681E-5</v>
      </c>
      <c r="R35" s="6">
        <f t="shared" si="16"/>
        <v>3.0361866914785131E-2</v>
      </c>
      <c r="S35" s="6">
        <f t="shared" si="17"/>
        <v>2.3980175266489195E-2</v>
      </c>
      <c r="T35" s="27">
        <f t="shared" si="18"/>
        <v>9.8961670881258235E-3</v>
      </c>
      <c r="U35" s="26">
        <f t="shared" si="19"/>
        <v>1.2236678180323021E-2</v>
      </c>
      <c r="V35" s="27">
        <f t="shared" si="20"/>
        <v>2.5682668148859864E-2</v>
      </c>
      <c r="W35" s="26">
        <f t="shared" si="21"/>
        <v>6.3E-2</v>
      </c>
      <c r="X35" s="6">
        <f t="shared" si="22"/>
        <v>3.7999999999999999E-2</v>
      </c>
      <c r="Y35" s="27">
        <f t="shared" si="23"/>
        <v>5.0999999999999997E-2</v>
      </c>
      <c r="Z35" s="28">
        <f t="shared" si="24"/>
        <v>0.42</v>
      </c>
      <c r="AA35" s="137">
        <f t="shared" si="25"/>
        <v>0.25</v>
      </c>
      <c r="AB35" s="29">
        <f t="shared" si="26"/>
        <v>0.34</v>
      </c>
      <c r="AC35" s="24">
        <f t="shared" si="27"/>
        <v>5</v>
      </c>
      <c r="AD35" s="138">
        <f t="shared" si="28"/>
        <v>5</v>
      </c>
      <c r="AE35" s="25">
        <f t="shared" si="29"/>
        <v>5</v>
      </c>
      <c r="AF35" s="14"/>
      <c r="AG35" s="14"/>
      <c r="AH35" s="16"/>
      <c r="AI35" s="16"/>
      <c r="AJ35" s="16"/>
      <c r="AK35" s="16"/>
      <c r="AL35" s="15"/>
      <c r="AM35" s="15"/>
      <c r="AN35" s="15"/>
      <c r="AO35" s="17"/>
      <c r="AP35" s="17"/>
      <c r="AQ35" s="17"/>
      <c r="AR35" s="17"/>
      <c r="AS35" s="17"/>
      <c r="AT35" s="17"/>
      <c r="AU35" s="17"/>
      <c r="AV35" s="17"/>
      <c r="AW35" s="17"/>
      <c r="AX35" s="17"/>
      <c r="AY35" s="17"/>
    </row>
    <row r="36" spans="1:51">
      <c r="A36" s="52">
        <v>10664</v>
      </c>
      <c r="B36" s="136" t="s">
        <v>238</v>
      </c>
      <c r="C36" s="30" t="str">
        <f>Rollover!A36</f>
        <v>Hyundai</v>
      </c>
      <c r="D36" s="51" t="str">
        <f>Rollover!B36</f>
        <v>Kona SUV AWD</v>
      </c>
      <c r="E36" s="10" t="s">
        <v>163</v>
      </c>
      <c r="F36" s="74">
        <f>Rollover!C36</f>
        <v>2019</v>
      </c>
      <c r="G36" s="11">
        <v>108.48699999999999</v>
      </c>
      <c r="H36" s="12">
        <v>20.954999999999998</v>
      </c>
      <c r="I36" s="12">
        <v>38.771000000000001</v>
      </c>
      <c r="J36" s="12">
        <v>1094.32</v>
      </c>
      <c r="K36" s="13">
        <v>2719.3069999999998</v>
      </c>
      <c r="L36" s="11">
        <v>326.24200000000002</v>
      </c>
      <c r="M36" s="12">
        <v>32.246000000000002</v>
      </c>
      <c r="N36" s="12">
        <v>65.722999999999999</v>
      </c>
      <c r="O36" s="12">
        <v>36.777999999999999</v>
      </c>
      <c r="P36" s="13">
        <v>2839.9780000000001</v>
      </c>
      <c r="Q36" s="26">
        <f t="shared" si="15"/>
        <v>9.2927348083638681E-5</v>
      </c>
      <c r="R36" s="6">
        <f t="shared" si="16"/>
        <v>3.0361866914785131E-2</v>
      </c>
      <c r="S36" s="6">
        <f t="shared" si="17"/>
        <v>2.3980175266489195E-2</v>
      </c>
      <c r="T36" s="27">
        <f t="shared" si="18"/>
        <v>9.8961670881258235E-3</v>
      </c>
      <c r="U36" s="26">
        <f t="shared" si="19"/>
        <v>1.2236678180323021E-2</v>
      </c>
      <c r="V36" s="27">
        <f t="shared" si="20"/>
        <v>2.5682668148859864E-2</v>
      </c>
      <c r="W36" s="26">
        <f t="shared" si="21"/>
        <v>6.3E-2</v>
      </c>
      <c r="X36" s="6">
        <f t="shared" si="22"/>
        <v>3.7999999999999999E-2</v>
      </c>
      <c r="Y36" s="27">
        <f t="shared" si="23"/>
        <v>5.0999999999999997E-2</v>
      </c>
      <c r="Z36" s="28">
        <f t="shared" si="24"/>
        <v>0.42</v>
      </c>
      <c r="AA36" s="137">
        <f t="shared" si="25"/>
        <v>0.25</v>
      </c>
      <c r="AB36" s="29">
        <f t="shared" si="26"/>
        <v>0.34</v>
      </c>
      <c r="AC36" s="24">
        <f t="shared" si="27"/>
        <v>5</v>
      </c>
      <c r="AD36" s="138">
        <f t="shared" si="28"/>
        <v>5</v>
      </c>
      <c r="AE36" s="25">
        <f t="shared" si="29"/>
        <v>5</v>
      </c>
      <c r="AF36" s="14"/>
      <c r="AG36" s="14"/>
      <c r="AH36" s="16"/>
      <c r="AI36" s="16"/>
      <c r="AJ36" s="16"/>
      <c r="AK36" s="16"/>
      <c r="AL36" s="15"/>
      <c r="AM36" s="15"/>
      <c r="AN36" s="15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</row>
    <row r="37" spans="1:51">
      <c r="A37" s="52">
        <v>10643</v>
      </c>
      <c r="B37" s="136" t="s">
        <v>218</v>
      </c>
      <c r="C37" s="30" t="str">
        <f>Rollover!A37</f>
        <v>Hyundai</v>
      </c>
      <c r="D37" s="51" t="str">
        <f>Rollover!B37</f>
        <v>Santa Fe SUV FWD</v>
      </c>
      <c r="E37" s="10" t="s">
        <v>88</v>
      </c>
      <c r="F37" s="74">
        <f>Rollover!C37</f>
        <v>2019</v>
      </c>
      <c r="G37" s="11">
        <v>48.56</v>
      </c>
      <c r="H37" s="12">
        <v>16.221</v>
      </c>
      <c r="I37" s="12">
        <v>27.384</v>
      </c>
      <c r="J37" s="12">
        <v>628.26300000000003</v>
      </c>
      <c r="K37" s="13">
        <v>1783.42</v>
      </c>
      <c r="L37" s="11">
        <v>179.30199999999999</v>
      </c>
      <c r="M37" s="12">
        <v>12.505000000000001</v>
      </c>
      <c r="N37" s="12">
        <v>53.694000000000003</v>
      </c>
      <c r="O37" s="12">
        <v>28.917000000000002</v>
      </c>
      <c r="P37" s="13">
        <v>2885.8809999999999</v>
      </c>
      <c r="Q37" s="26">
        <f t="shared" si="15"/>
        <v>7.0427034562709224E-7</v>
      </c>
      <c r="R37" s="6">
        <f t="shared" si="16"/>
        <v>1.9863847931548752E-2</v>
      </c>
      <c r="S37" s="6">
        <f t="shared" si="17"/>
        <v>9.010128136981788E-3</v>
      </c>
      <c r="T37" s="27">
        <f t="shared" si="18"/>
        <v>3.5574836407563171E-3</v>
      </c>
      <c r="U37" s="26">
        <f t="shared" si="19"/>
        <v>1.1121920628245033E-3</v>
      </c>
      <c r="V37" s="27">
        <f t="shared" si="20"/>
        <v>2.6784768899711393E-2</v>
      </c>
      <c r="W37" s="26">
        <f t="shared" si="21"/>
        <v>3.2000000000000001E-2</v>
      </c>
      <c r="X37" s="6">
        <f t="shared" si="22"/>
        <v>2.8000000000000001E-2</v>
      </c>
      <c r="Y37" s="27">
        <f t="shared" si="23"/>
        <v>0.03</v>
      </c>
      <c r="Z37" s="28">
        <f t="shared" si="24"/>
        <v>0.21</v>
      </c>
      <c r="AA37" s="137">
        <f t="shared" si="25"/>
        <v>0.19</v>
      </c>
      <c r="AB37" s="29">
        <f t="shared" si="26"/>
        <v>0.2</v>
      </c>
      <c r="AC37" s="24">
        <f t="shared" si="27"/>
        <v>5</v>
      </c>
      <c r="AD37" s="138">
        <f t="shared" si="28"/>
        <v>5</v>
      </c>
      <c r="AE37" s="25">
        <f t="shared" si="29"/>
        <v>5</v>
      </c>
      <c r="AF37" s="14"/>
      <c r="AG37" s="14"/>
      <c r="AH37" s="16"/>
      <c r="AI37" s="16"/>
      <c r="AJ37" s="16"/>
      <c r="AK37" s="16"/>
      <c r="AL37" s="15"/>
      <c r="AM37" s="15"/>
      <c r="AN37" s="15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</row>
    <row r="38" spans="1:51">
      <c r="A38" s="52">
        <v>10643</v>
      </c>
      <c r="B38" s="136" t="s">
        <v>218</v>
      </c>
      <c r="C38" s="30" t="str">
        <f>Rollover!A38</f>
        <v>Hyundai</v>
      </c>
      <c r="D38" s="51" t="str">
        <f>Rollover!B38</f>
        <v>Santa Fe SUV AWD</v>
      </c>
      <c r="E38" s="10" t="s">
        <v>88</v>
      </c>
      <c r="F38" s="74">
        <f>Rollover!C38</f>
        <v>2019</v>
      </c>
      <c r="G38" s="11">
        <v>48.56</v>
      </c>
      <c r="H38" s="12">
        <v>16.221</v>
      </c>
      <c r="I38" s="12">
        <v>27.384</v>
      </c>
      <c r="J38" s="12">
        <v>628.26300000000003</v>
      </c>
      <c r="K38" s="13">
        <v>1783.42</v>
      </c>
      <c r="L38" s="11">
        <v>179.30199999999999</v>
      </c>
      <c r="M38" s="12">
        <v>12.505000000000001</v>
      </c>
      <c r="N38" s="12">
        <v>53.694000000000003</v>
      </c>
      <c r="O38" s="12">
        <v>28.917000000000002</v>
      </c>
      <c r="P38" s="13">
        <v>2885.8809999999999</v>
      </c>
      <c r="Q38" s="26">
        <f t="shared" si="15"/>
        <v>7.0427034562709224E-7</v>
      </c>
      <c r="R38" s="6">
        <f t="shared" si="16"/>
        <v>1.9863847931548752E-2</v>
      </c>
      <c r="S38" s="6">
        <f t="shared" si="17"/>
        <v>9.010128136981788E-3</v>
      </c>
      <c r="T38" s="27">
        <f t="shared" si="18"/>
        <v>3.5574836407563171E-3</v>
      </c>
      <c r="U38" s="26">
        <f t="shared" si="19"/>
        <v>1.1121920628245033E-3</v>
      </c>
      <c r="V38" s="27">
        <f t="shared" si="20"/>
        <v>2.6784768899711393E-2</v>
      </c>
      <c r="W38" s="26">
        <f t="shared" si="21"/>
        <v>3.2000000000000001E-2</v>
      </c>
      <c r="X38" s="6">
        <f t="shared" si="22"/>
        <v>2.8000000000000001E-2</v>
      </c>
      <c r="Y38" s="27">
        <f t="shared" si="23"/>
        <v>0.03</v>
      </c>
      <c r="Z38" s="28">
        <f t="shared" si="24"/>
        <v>0.21</v>
      </c>
      <c r="AA38" s="137">
        <f t="shared" si="25"/>
        <v>0.19</v>
      </c>
      <c r="AB38" s="29">
        <f t="shared" si="26"/>
        <v>0.2</v>
      </c>
      <c r="AC38" s="24">
        <f t="shared" si="27"/>
        <v>5</v>
      </c>
      <c r="AD38" s="138">
        <f t="shared" si="28"/>
        <v>5</v>
      </c>
      <c r="AE38" s="25">
        <f t="shared" si="29"/>
        <v>5</v>
      </c>
      <c r="AF38" s="14"/>
      <c r="AG38" s="14"/>
      <c r="AH38" s="16"/>
      <c r="AI38" s="16"/>
      <c r="AJ38" s="16"/>
      <c r="AK38" s="16"/>
      <c r="AL38" s="15"/>
      <c r="AM38" s="15"/>
      <c r="AN38" s="15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</row>
    <row r="39" spans="1:51" ht="13.15" customHeight="1">
      <c r="A39" s="52">
        <v>10561</v>
      </c>
      <c r="B39" s="136" t="s">
        <v>190</v>
      </c>
      <c r="C39" s="30" t="str">
        <f>Rollover!A39</f>
        <v>Jeep</v>
      </c>
      <c r="D39" s="51" t="str">
        <f>Rollover!B39</f>
        <v>Cherokee SUV FWD</v>
      </c>
      <c r="E39" s="10" t="s">
        <v>162</v>
      </c>
      <c r="F39" s="74">
        <f>Rollover!C39</f>
        <v>2019</v>
      </c>
      <c r="G39" s="11">
        <v>64.483999999999995</v>
      </c>
      <c r="H39" s="12">
        <v>16.917999999999999</v>
      </c>
      <c r="I39" s="12">
        <v>24.998000000000001</v>
      </c>
      <c r="J39" s="12">
        <v>591.55399999999997</v>
      </c>
      <c r="K39" s="13">
        <v>1613.8150000000001</v>
      </c>
      <c r="L39" s="11">
        <v>264.22199999999998</v>
      </c>
      <c r="M39" s="12">
        <v>22.603000000000002</v>
      </c>
      <c r="N39" s="12">
        <v>53.417999999999999</v>
      </c>
      <c r="O39" s="12">
        <v>33.241999999999997</v>
      </c>
      <c r="P39" s="13">
        <v>4172.8440000000001</v>
      </c>
      <c r="Q39" s="26">
        <f t="shared" si="15"/>
        <v>4.4871761154025091E-6</v>
      </c>
      <c r="R39" s="6">
        <f t="shared" si="16"/>
        <v>2.1150056057339117E-2</v>
      </c>
      <c r="S39" s="6">
        <f t="shared" si="17"/>
        <v>8.3372031711477293E-3</v>
      </c>
      <c r="T39" s="27">
        <f t="shared" si="18"/>
        <v>2.9538033305731206E-3</v>
      </c>
      <c r="U39" s="26">
        <f t="shared" si="19"/>
        <v>5.6295053351668543E-3</v>
      </c>
      <c r="V39" s="27">
        <f t="shared" si="20"/>
        <v>8.4476190921377592E-2</v>
      </c>
      <c r="W39" s="26">
        <f t="shared" si="21"/>
        <v>3.2000000000000001E-2</v>
      </c>
      <c r="X39" s="6">
        <f t="shared" si="22"/>
        <v>0.09</v>
      </c>
      <c r="Y39" s="27">
        <f t="shared" si="23"/>
        <v>6.0999999999999999E-2</v>
      </c>
      <c r="Z39" s="28">
        <f t="shared" si="24"/>
        <v>0.21</v>
      </c>
      <c r="AA39" s="137">
        <f t="shared" si="25"/>
        <v>0.6</v>
      </c>
      <c r="AB39" s="29">
        <f t="shared" si="26"/>
        <v>0.41</v>
      </c>
      <c r="AC39" s="24">
        <f t="shared" si="27"/>
        <v>5</v>
      </c>
      <c r="AD39" s="138">
        <f t="shared" si="28"/>
        <v>5</v>
      </c>
      <c r="AE39" s="25">
        <f t="shared" si="29"/>
        <v>5</v>
      </c>
      <c r="AF39" s="14"/>
      <c r="AG39" s="14"/>
      <c r="AH39" s="16"/>
      <c r="AI39" s="16"/>
      <c r="AJ39" s="16"/>
      <c r="AK39" s="16"/>
      <c r="AL39" s="15"/>
      <c r="AM39" s="15"/>
      <c r="AN39" s="15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</row>
    <row r="40" spans="1:51" ht="13.15" customHeight="1">
      <c r="A40" s="52">
        <v>10561</v>
      </c>
      <c r="B40" s="136" t="s">
        <v>190</v>
      </c>
      <c r="C40" s="140" t="str">
        <f>Rollover!A40</f>
        <v>Jeep</v>
      </c>
      <c r="D40" s="10" t="str">
        <f>Rollover!B40</f>
        <v>Cherokee SUV 4WD</v>
      </c>
      <c r="E40" s="10" t="s">
        <v>162</v>
      </c>
      <c r="F40" s="74">
        <f>Rollover!C40</f>
        <v>2019</v>
      </c>
      <c r="G40" s="11">
        <v>64.483999999999995</v>
      </c>
      <c r="H40" s="12">
        <v>16.917999999999999</v>
      </c>
      <c r="I40" s="12">
        <v>24.998000000000001</v>
      </c>
      <c r="J40" s="12">
        <v>591.55399999999997</v>
      </c>
      <c r="K40" s="13">
        <v>1613.8150000000001</v>
      </c>
      <c r="L40" s="11">
        <v>264.22199999999998</v>
      </c>
      <c r="M40" s="12">
        <v>22.603000000000002</v>
      </c>
      <c r="N40" s="12">
        <v>53.417999999999999</v>
      </c>
      <c r="O40" s="12">
        <v>33.241999999999997</v>
      </c>
      <c r="P40" s="13">
        <v>4172.8440000000001</v>
      </c>
      <c r="Q40" s="26">
        <f t="shared" si="15"/>
        <v>4.4871761154025091E-6</v>
      </c>
      <c r="R40" s="6">
        <f t="shared" si="16"/>
        <v>2.1150056057339117E-2</v>
      </c>
      <c r="S40" s="6">
        <f t="shared" si="17"/>
        <v>8.3372031711477293E-3</v>
      </c>
      <c r="T40" s="27">
        <f t="shared" si="18"/>
        <v>2.9538033305731206E-3</v>
      </c>
      <c r="U40" s="26">
        <f t="shared" si="19"/>
        <v>5.6295053351668543E-3</v>
      </c>
      <c r="V40" s="27">
        <f t="shared" si="20"/>
        <v>8.4476190921377592E-2</v>
      </c>
      <c r="W40" s="26">
        <f t="shared" si="21"/>
        <v>3.2000000000000001E-2</v>
      </c>
      <c r="X40" s="6">
        <f t="shared" si="22"/>
        <v>0.09</v>
      </c>
      <c r="Y40" s="27">
        <f t="shared" si="23"/>
        <v>6.0999999999999999E-2</v>
      </c>
      <c r="Z40" s="28">
        <f t="shared" si="24"/>
        <v>0.21</v>
      </c>
      <c r="AA40" s="137">
        <f t="shared" si="25"/>
        <v>0.6</v>
      </c>
      <c r="AB40" s="29">
        <f t="shared" si="26"/>
        <v>0.41</v>
      </c>
      <c r="AC40" s="24">
        <f t="shared" si="27"/>
        <v>5</v>
      </c>
      <c r="AD40" s="138">
        <f t="shared" si="28"/>
        <v>5</v>
      </c>
      <c r="AE40" s="25">
        <f t="shared" si="29"/>
        <v>5</v>
      </c>
      <c r="AF40" s="14"/>
      <c r="AG40" s="14"/>
      <c r="AH40" s="16"/>
      <c r="AI40" s="16"/>
      <c r="AJ40" s="16"/>
      <c r="AK40" s="16"/>
      <c r="AL40" s="15"/>
      <c r="AM40" s="15"/>
      <c r="AN40" s="15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</row>
    <row r="41" spans="1:51">
      <c r="A41" s="52"/>
      <c r="B41" s="136"/>
      <c r="C41" s="30" t="str">
        <f>Rollover!A41</f>
        <v>Jeep</v>
      </c>
      <c r="D41" s="51" t="str">
        <f>Rollover!B41</f>
        <v>Wrangler Unlimited SUV 4WD</v>
      </c>
      <c r="E41" s="10"/>
      <c r="F41" s="74">
        <f>Rollover!C41</f>
        <v>2019</v>
      </c>
      <c r="G41" s="11"/>
      <c r="H41" s="12"/>
      <c r="I41" s="12"/>
      <c r="J41" s="12"/>
      <c r="K41" s="13"/>
      <c r="L41" s="11"/>
      <c r="M41" s="12"/>
      <c r="N41" s="12"/>
      <c r="O41" s="12"/>
      <c r="P41" s="13"/>
      <c r="Q41" s="26" t="e">
        <f t="shared" si="15"/>
        <v>#NUM!</v>
      </c>
      <c r="R41" s="6">
        <f t="shared" si="16"/>
        <v>4.5435171224880964E-3</v>
      </c>
      <c r="S41" s="6">
        <f t="shared" si="17"/>
        <v>2.3748578822706131E-3</v>
      </c>
      <c r="T41" s="27">
        <f t="shared" si="18"/>
        <v>5.0175335722563109E-4</v>
      </c>
      <c r="U41" s="26" t="e">
        <f t="shared" si="19"/>
        <v>#NUM!</v>
      </c>
      <c r="V41" s="27">
        <f t="shared" si="20"/>
        <v>1.8229037773026034E-3</v>
      </c>
      <c r="W41" s="26" t="e">
        <f t="shared" si="21"/>
        <v>#NUM!</v>
      </c>
      <c r="X41" s="6" t="e">
        <f t="shared" si="22"/>
        <v>#NUM!</v>
      </c>
      <c r="Y41" s="27" t="e">
        <f t="shared" si="23"/>
        <v>#NUM!</v>
      </c>
      <c r="Z41" s="28" t="e">
        <f t="shared" si="24"/>
        <v>#NUM!</v>
      </c>
      <c r="AA41" s="137" t="e">
        <f t="shared" si="25"/>
        <v>#NUM!</v>
      </c>
      <c r="AB41" s="29" t="e">
        <f t="shared" si="26"/>
        <v>#NUM!</v>
      </c>
      <c r="AC41" s="24" t="e">
        <f t="shared" si="27"/>
        <v>#NUM!</v>
      </c>
      <c r="AD41" s="138" t="e">
        <f t="shared" si="28"/>
        <v>#NUM!</v>
      </c>
      <c r="AE41" s="25" t="e">
        <f t="shared" si="29"/>
        <v>#NUM!</v>
      </c>
      <c r="AF41" s="14"/>
      <c r="AG41" s="14"/>
      <c r="AH41" s="16"/>
      <c r="AI41" s="16"/>
      <c r="AJ41" s="16"/>
      <c r="AK41" s="16"/>
      <c r="AL41" s="15"/>
      <c r="AM41" s="15"/>
      <c r="AN41" s="15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</row>
    <row r="42" spans="1:51">
      <c r="A42" s="52">
        <v>10689</v>
      </c>
      <c r="B42" s="136" t="s">
        <v>254</v>
      </c>
      <c r="C42" s="30" t="str">
        <f>Rollover!A42</f>
        <v>Kia</v>
      </c>
      <c r="D42" s="51" t="str">
        <f>Rollover!B42</f>
        <v>Forte 4DR FWD</v>
      </c>
      <c r="E42" s="10" t="s">
        <v>162</v>
      </c>
      <c r="F42" s="74">
        <f>Rollover!C42</f>
        <v>2019</v>
      </c>
      <c r="G42" s="11">
        <v>153.19999999999999</v>
      </c>
      <c r="H42" s="12">
        <v>27.372</v>
      </c>
      <c r="I42" s="12">
        <v>36.170999999999999</v>
      </c>
      <c r="J42" s="12">
        <v>1255.2850000000001</v>
      </c>
      <c r="K42" s="13">
        <v>1444.7470000000001</v>
      </c>
      <c r="L42" s="11">
        <v>286.48</v>
      </c>
      <c r="M42" s="214">
        <v>41.924999999999997</v>
      </c>
      <c r="N42" s="214">
        <v>88.954999999999998</v>
      </c>
      <c r="O42" s="214">
        <v>46.941000000000003</v>
      </c>
      <c r="P42" s="13">
        <v>3271.62</v>
      </c>
      <c r="Q42" s="26">
        <f t="shared" ref="Q42:Q65" si="45">NORMDIST(LN(G42),7.45231,0.73998,1)</f>
        <v>5.3560617109583628E-4</v>
      </c>
      <c r="R42" s="6">
        <f t="shared" ref="R42:R65" si="46">1/(1+EXP(5.3895-0.0919*H42))</f>
        <v>5.3453235924982488E-2</v>
      </c>
      <c r="S42" s="6">
        <f t="shared" ref="S42:S65" si="47">1/(1+EXP(6.04044-0.002133*J42))</f>
        <v>3.347471457902737E-2</v>
      </c>
      <c r="T42" s="27">
        <f t="shared" ref="T42:T65" si="48">1/(1+EXP(7.5969-0.0011*K42))</f>
        <v>2.4537567239098141E-3</v>
      </c>
      <c r="U42" s="26">
        <f t="shared" ref="U42:U65" si="49">NORMDIST(LN(L42),7.45231,0.73998,1)</f>
        <v>7.6487879384265879E-3</v>
      </c>
      <c r="V42" s="27">
        <f t="shared" ref="V42:V65" si="50">1/(1+EXP(6.3055-0.00094*P42))</f>
        <v>3.804576132463821E-2</v>
      </c>
      <c r="W42" s="26">
        <f t="shared" ref="W42:W65" si="51">ROUND(1-(1-Q42)*(1-R42)*(1-S42)*(1-T42),3)</f>
        <v>8.7999999999999995E-2</v>
      </c>
      <c r="X42" s="6">
        <f t="shared" ref="X42:X65" si="52">IF(L42="N/A",L42,ROUND(1-(1-U42)*(1-V42),3))</f>
        <v>4.4999999999999998E-2</v>
      </c>
      <c r="Y42" s="27">
        <f t="shared" ref="Y42:Y65" si="53">ROUND(AVERAGE(W42:X42),3)</f>
        <v>6.7000000000000004E-2</v>
      </c>
      <c r="Z42" s="28">
        <f t="shared" ref="Z42:Z65" si="54">ROUND(W42/0.15,2)</f>
        <v>0.59</v>
      </c>
      <c r="AA42" s="137">
        <f t="shared" ref="AA42:AA65" si="55">IF(L42="N/A", L42, ROUND(X42/0.15,2))</f>
        <v>0.3</v>
      </c>
      <c r="AB42" s="29">
        <f t="shared" ref="AB42:AB65" si="56">ROUND(Y42/0.15,2)</f>
        <v>0.45</v>
      </c>
      <c r="AC42" s="24">
        <f t="shared" ref="AC42:AC65" si="57">IF(Z42&lt;0.67,5,IF(Z42&lt;1,4,IF(Z42&lt;1.33,3,IF(Z42&lt;2.67,2,1))))</f>
        <v>5</v>
      </c>
      <c r="AD42" s="138">
        <f t="shared" ref="AD42:AD65" si="58">IF(L42="N/A",L42,IF(AA42&lt;0.67,5,IF(AA42&lt;1,4,IF(AA42&lt;1.33,3,IF(AA42&lt;2.67,2,1)))))</f>
        <v>5</v>
      </c>
      <c r="AE42" s="25">
        <f t="shared" ref="AE42:AE65" si="59">IF(AB42&lt;0.67,5,IF(AB42&lt;1,4,IF(AB42&lt;1.33,3,IF(AB42&lt;2.67,2,1))))</f>
        <v>5</v>
      </c>
      <c r="AF42" s="14"/>
      <c r="AG42" s="14"/>
      <c r="AH42" s="16"/>
      <c r="AI42" s="16"/>
      <c r="AJ42" s="16"/>
      <c r="AK42" s="16"/>
      <c r="AL42" s="15"/>
      <c r="AM42" s="15"/>
      <c r="AN42" s="15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</row>
    <row r="43" spans="1:51">
      <c r="A43" s="52">
        <v>10658</v>
      </c>
      <c r="B43" s="136" t="s">
        <v>234</v>
      </c>
      <c r="C43" s="30" t="str">
        <f>Rollover!A43</f>
        <v xml:space="preserve">Lexus </v>
      </c>
      <c r="D43" s="51" t="str">
        <f>Rollover!B43</f>
        <v>ES 350 4DR FWD</v>
      </c>
      <c r="E43" s="10" t="s">
        <v>88</v>
      </c>
      <c r="F43" s="74">
        <f>Rollover!C43</f>
        <v>2019</v>
      </c>
      <c r="G43" s="11">
        <v>84.983000000000004</v>
      </c>
      <c r="H43" s="12">
        <v>15.792</v>
      </c>
      <c r="I43" s="12">
        <v>26.056000000000001</v>
      </c>
      <c r="J43" s="12">
        <v>709.92399999999998</v>
      </c>
      <c r="K43" s="13">
        <v>1173.0709999999999</v>
      </c>
      <c r="L43" s="11">
        <v>299.81599999999997</v>
      </c>
      <c r="M43" s="12">
        <v>18.614000000000001</v>
      </c>
      <c r="N43" s="12">
        <v>42.792999999999999</v>
      </c>
      <c r="O43" s="12">
        <v>21.085999999999999</v>
      </c>
      <c r="P43" s="13">
        <v>2404.9050000000002</v>
      </c>
      <c r="Q43" s="26">
        <f t="shared" ref="Q43:Q51" si="60">NORMDIST(LN(G43),7.45231,0.73998,1)</f>
        <v>2.3761466166823871E-5</v>
      </c>
      <c r="R43" s="6">
        <f t="shared" ref="R43:R51" si="61">1/(1+EXP(5.3895-0.0919*H43))</f>
        <v>1.9110625422058561E-2</v>
      </c>
      <c r="S43" s="6">
        <f t="shared" ref="S43:S51" si="62">1/(1+EXP(6.04044-0.002133*J43))</f>
        <v>1.0706160115815008E-2</v>
      </c>
      <c r="T43" s="27">
        <f t="shared" ref="T43:T51" si="63">1/(1+EXP(7.5969-0.0011*K43))</f>
        <v>1.8210452939757395E-3</v>
      </c>
      <c r="U43" s="26">
        <f t="shared" ref="U43:U51" si="64">NORMDIST(LN(L43),7.45231,0.73998,1)</f>
        <v>9.045068491137849E-3</v>
      </c>
      <c r="V43" s="27">
        <f t="shared" ref="V43:V51" si="65">1/(1+EXP(6.3055-0.00094*P43))</f>
        <v>1.7210263102498836E-2</v>
      </c>
      <c r="W43" s="26">
        <f t="shared" ref="W43:W51" si="66">ROUND(1-(1-Q43)*(1-R43)*(1-S43)*(1-T43),3)</f>
        <v>3.1E-2</v>
      </c>
      <c r="X43" s="6">
        <f t="shared" ref="X43:X51" si="67">IF(L43="N/A",L43,ROUND(1-(1-U43)*(1-V43),3))</f>
        <v>2.5999999999999999E-2</v>
      </c>
      <c r="Y43" s="27">
        <f t="shared" ref="Y43:Y51" si="68">ROUND(AVERAGE(W43:X43),3)</f>
        <v>2.9000000000000001E-2</v>
      </c>
      <c r="Z43" s="28">
        <f t="shared" ref="Z43:Z51" si="69">ROUND(W43/0.15,2)</f>
        <v>0.21</v>
      </c>
      <c r="AA43" s="137">
        <f t="shared" ref="AA43:AA51" si="70">IF(L43="N/A", L43, ROUND(X43/0.15,2))</f>
        <v>0.17</v>
      </c>
      <c r="AB43" s="29">
        <f t="shared" ref="AB43:AB51" si="71">ROUND(Y43/0.15,2)</f>
        <v>0.19</v>
      </c>
      <c r="AC43" s="24">
        <f t="shared" ref="AC43:AC51" si="72">IF(Z43&lt;0.67,5,IF(Z43&lt;1,4,IF(Z43&lt;1.33,3,IF(Z43&lt;2.67,2,1))))</f>
        <v>5</v>
      </c>
      <c r="AD43" s="138">
        <f t="shared" ref="AD43:AD51" si="73">IF(L43="N/A",L43,IF(AA43&lt;0.67,5,IF(AA43&lt;1,4,IF(AA43&lt;1.33,3,IF(AA43&lt;2.67,2,1)))))</f>
        <v>5</v>
      </c>
      <c r="AE43" s="25">
        <f t="shared" ref="AE43:AE51" si="74">IF(AB43&lt;0.67,5,IF(AB43&lt;1,4,IF(AB43&lt;1.33,3,IF(AB43&lt;2.67,2,1))))</f>
        <v>5</v>
      </c>
      <c r="AF43" s="14"/>
      <c r="AG43" s="14"/>
      <c r="AH43" s="16"/>
      <c r="AI43" s="16"/>
      <c r="AJ43" s="16"/>
      <c r="AK43" s="16"/>
      <c r="AL43" s="15"/>
      <c r="AM43" s="15"/>
      <c r="AN43" s="15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</row>
    <row r="44" spans="1:51">
      <c r="A44" s="52">
        <v>10658</v>
      </c>
      <c r="B44" s="136" t="s">
        <v>234</v>
      </c>
      <c r="C44" s="140" t="str">
        <f>Rollover!A44</f>
        <v xml:space="preserve">Lexus </v>
      </c>
      <c r="D44" s="10" t="str">
        <f>Rollover!B44</f>
        <v>ES 300h 4DR FWD</v>
      </c>
      <c r="E44" s="10" t="s">
        <v>88</v>
      </c>
      <c r="F44" s="74">
        <f>Rollover!C44</f>
        <v>2019</v>
      </c>
      <c r="G44" s="11">
        <v>84.983000000000004</v>
      </c>
      <c r="H44" s="12">
        <v>15.792</v>
      </c>
      <c r="I44" s="12">
        <v>26.056000000000001</v>
      </c>
      <c r="J44" s="12">
        <v>709.92399999999998</v>
      </c>
      <c r="K44" s="13">
        <v>1173.0709999999999</v>
      </c>
      <c r="L44" s="11">
        <v>299.81599999999997</v>
      </c>
      <c r="M44" s="12">
        <v>18.614000000000001</v>
      </c>
      <c r="N44" s="12">
        <v>42.792999999999999</v>
      </c>
      <c r="O44" s="12">
        <v>21.085999999999999</v>
      </c>
      <c r="P44" s="13">
        <v>2404.9050000000002</v>
      </c>
      <c r="Q44" s="26">
        <f t="shared" si="60"/>
        <v>2.3761466166823871E-5</v>
      </c>
      <c r="R44" s="6">
        <f t="shared" si="61"/>
        <v>1.9110625422058561E-2</v>
      </c>
      <c r="S44" s="6">
        <f t="shared" si="62"/>
        <v>1.0706160115815008E-2</v>
      </c>
      <c r="T44" s="27">
        <f t="shared" si="63"/>
        <v>1.8210452939757395E-3</v>
      </c>
      <c r="U44" s="26">
        <f t="shared" si="64"/>
        <v>9.045068491137849E-3</v>
      </c>
      <c r="V44" s="27">
        <f t="shared" si="65"/>
        <v>1.7210263102498836E-2</v>
      </c>
      <c r="W44" s="26">
        <f t="shared" si="66"/>
        <v>3.1E-2</v>
      </c>
      <c r="X44" s="6">
        <f t="shared" si="67"/>
        <v>2.5999999999999999E-2</v>
      </c>
      <c r="Y44" s="27">
        <f t="shared" si="68"/>
        <v>2.9000000000000001E-2</v>
      </c>
      <c r="Z44" s="28">
        <f t="shared" si="69"/>
        <v>0.21</v>
      </c>
      <c r="AA44" s="137">
        <f t="shared" si="70"/>
        <v>0.17</v>
      </c>
      <c r="AB44" s="29">
        <f t="shared" si="71"/>
        <v>0.19</v>
      </c>
      <c r="AC44" s="24">
        <f t="shared" si="72"/>
        <v>5</v>
      </c>
      <c r="AD44" s="138">
        <f t="shared" si="73"/>
        <v>5</v>
      </c>
      <c r="AE44" s="25">
        <f t="shared" si="74"/>
        <v>5</v>
      </c>
      <c r="AF44" s="14"/>
      <c r="AG44" s="14"/>
      <c r="AH44" s="16"/>
      <c r="AI44" s="16"/>
      <c r="AJ44" s="16"/>
      <c r="AK44" s="16"/>
      <c r="AL44" s="15"/>
      <c r="AM44" s="15"/>
      <c r="AN44" s="15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</row>
    <row r="45" spans="1:51">
      <c r="A45" s="52">
        <v>10181</v>
      </c>
      <c r="B45" s="52" t="s">
        <v>161</v>
      </c>
      <c r="C45" s="30" t="str">
        <f>Rollover!A45</f>
        <v>Nissan</v>
      </c>
      <c r="D45" s="51" t="str">
        <f>Rollover!B45</f>
        <v>Armada SUV RWD</v>
      </c>
      <c r="E45" s="10" t="s">
        <v>162</v>
      </c>
      <c r="F45" s="74">
        <f>Rollover!C45</f>
        <v>2019</v>
      </c>
      <c r="G45" s="11">
        <v>26.613</v>
      </c>
      <c r="H45" s="12">
        <v>25.172999999999998</v>
      </c>
      <c r="I45" s="12">
        <v>25.172999999999998</v>
      </c>
      <c r="J45" s="12">
        <v>360.30099999999999</v>
      </c>
      <c r="K45" s="13">
        <v>640.83100000000002</v>
      </c>
      <c r="L45" s="11">
        <v>31.244</v>
      </c>
      <c r="M45" s="12">
        <v>1.149</v>
      </c>
      <c r="N45" s="12">
        <v>20.628</v>
      </c>
      <c r="O45" s="12">
        <v>1.4470000000000001</v>
      </c>
      <c r="P45" s="13">
        <v>672.68399999999997</v>
      </c>
      <c r="Q45" s="26">
        <f t="shared" si="60"/>
        <v>8.6761730595354262E-9</v>
      </c>
      <c r="R45" s="6">
        <f t="shared" si="61"/>
        <v>4.4103887825396509E-2</v>
      </c>
      <c r="S45" s="6">
        <f t="shared" si="62"/>
        <v>5.1075339257176423E-3</v>
      </c>
      <c r="T45" s="27">
        <f t="shared" si="63"/>
        <v>1.0148633778005994E-3</v>
      </c>
      <c r="U45" s="26">
        <f t="shared" si="64"/>
        <v>2.984662376587312E-8</v>
      </c>
      <c r="V45" s="27">
        <f t="shared" si="65"/>
        <v>3.4251566334781466E-3</v>
      </c>
      <c r="W45" s="26">
        <f t="shared" si="66"/>
        <v>0.05</v>
      </c>
      <c r="X45" s="6">
        <f t="shared" si="67"/>
        <v>3.0000000000000001E-3</v>
      </c>
      <c r="Y45" s="27">
        <f t="shared" si="68"/>
        <v>2.7E-2</v>
      </c>
      <c r="Z45" s="28">
        <f t="shared" si="69"/>
        <v>0.33</v>
      </c>
      <c r="AA45" s="137">
        <f t="shared" si="70"/>
        <v>0.02</v>
      </c>
      <c r="AB45" s="29">
        <f t="shared" si="71"/>
        <v>0.18</v>
      </c>
      <c r="AC45" s="24">
        <f t="shared" si="72"/>
        <v>5</v>
      </c>
      <c r="AD45" s="138">
        <f t="shared" si="73"/>
        <v>5</v>
      </c>
      <c r="AE45" s="25">
        <f t="shared" si="74"/>
        <v>5</v>
      </c>
      <c r="AF45" s="14"/>
      <c r="AG45" s="14"/>
      <c r="AH45" s="16"/>
      <c r="AI45" s="16"/>
      <c r="AJ45" s="16"/>
      <c r="AK45" s="16"/>
      <c r="AL45" s="15"/>
      <c r="AM45" s="15"/>
      <c r="AN45" s="15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</row>
    <row r="46" spans="1:51">
      <c r="A46" s="52">
        <v>10181</v>
      </c>
      <c r="B46" s="52" t="s">
        <v>161</v>
      </c>
      <c r="C46" s="30" t="str">
        <f>Rollover!A46</f>
        <v>Nissan</v>
      </c>
      <c r="D46" s="51" t="str">
        <f>Rollover!B46</f>
        <v>Armada SUV AWD</v>
      </c>
      <c r="E46" s="10" t="s">
        <v>162</v>
      </c>
      <c r="F46" s="74">
        <f>Rollover!C46</f>
        <v>2019</v>
      </c>
      <c r="G46" s="11">
        <v>26.613</v>
      </c>
      <c r="H46" s="12">
        <v>25.172999999999998</v>
      </c>
      <c r="I46" s="12">
        <v>25.172999999999998</v>
      </c>
      <c r="J46" s="12">
        <v>360.30099999999999</v>
      </c>
      <c r="K46" s="13">
        <v>640.83100000000002</v>
      </c>
      <c r="L46" s="11">
        <v>31.244</v>
      </c>
      <c r="M46" s="12">
        <v>1.149</v>
      </c>
      <c r="N46" s="12">
        <v>20.628</v>
      </c>
      <c r="O46" s="12">
        <v>1.4470000000000001</v>
      </c>
      <c r="P46" s="13">
        <v>672.68399999999997</v>
      </c>
      <c r="Q46" s="26">
        <f t="shared" si="60"/>
        <v>8.6761730595354262E-9</v>
      </c>
      <c r="R46" s="6">
        <f t="shared" si="61"/>
        <v>4.4103887825396509E-2</v>
      </c>
      <c r="S46" s="6">
        <f t="shared" si="62"/>
        <v>5.1075339257176423E-3</v>
      </c>
      <c r="T46" s="27">
        <f t="shared" si="63"/>
        <v>1.0148633778005994E-3</v>
      </c>
      <c r="U46" s="26">
        <f t="shared" si="64"/>
        <v>2.984662376587312E-8</v>
      </c>
      <c r="V46" s="27">
        <f t="shared" si="65"/>
        <v>3.4251566334781466E-3</v>
      </c>
      <c r="W46" s="26">
        <f t="shared" si="66"/>
        <v>0.05</v>
      </c>
      <c r="X46" s="6">
        <f t="shared" si="67"/>
        <v>3.0000000000000001E-3</v>
      </c>
      <c r="Y46" s="27">
        <f t="shared" si="68"/>
        <v>2.7E-2</v>
      </c>
      <c r="Z46" s="28">
        <f t="shared" si="69"/>
        <v>0.33</v>
      </c>
      <c r="AA46" s="137">
        <f t="shared" si="70"/>
        <v>0.02</v>
      </c>
      <c r="AB46" s="29">
        <f t="shared" si="71"/>
        <v>0.18</v>
      </c>
      <c r="AC46" s="24">
        <f t="shared" si="72"/>
        <v>5</v>
      </c>
      <c r="AD46" s="138">
        <f t="shared" si="73"/>
        <v>5</v>
      </c>
      <c r="AE46" s="25">
        <f t="shared" si="74"/>
        <v>5</v>
      </c>
      <c r="AF46" s="14"/>
      <c r="AG46" s="14"/>
      <c r="AH46" s="16"/>
      <c r="AI46" s="16"/>
      <c r="AJ46" s="16"/>
      <c r="AK46" s="16"/>
      <c r="AL46" s="15"/>
      <c r="AM46" s="15"/>
      <c r="AN46" s="15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</row>
    <row r="47" spans="1:51">
      <c r="A47" s="52">
        <v>10181</v>
      </c>
      <c r="B47" s="52" t="s">
        <v>161</v>
      </c>
      <c r="C47" s="140" t="str">
        <f>Rollover!A47</f>
        <v>Infiniti</v>
      </c>
      <c r="D47" s="10" t="str">
        <f>Rollover!B47</f>
        <v>QX80 SUV RWD</v>
      </c>
      <c r="E47" s="10" t="s">
        <v>162</v>
      </c>
      <c r="F47" s="74">
        <f>Rollover!C47</f>
        <v>2019</v>
      </c>
      <c r="G47" s="11">
        <v>26.613</v>
      </c>
      <c r="H47" s="12">
        <v>25.172999999999998</v>
      </c>
      <c r="I47" s="12">
        <v>25.172999999999998</v>
      </c>
      <c r="J47" s="12">
        <v>360.30099999999999</v>
      </c>
      <c r="K47" s="13">
        <v>640.83100000000002</v>
      </c>
      <c r="L47" s="11">
        <v>31.244</v>
      </c>
      <c r="M47" s="12">
        <v>1.149</v>
      </c>
      <c r="N47" s="12">
        <v>20.628</v>
      </c>
      <c r="O47" s="12">
        <v>1.4470000000000001</v>
      </c>
      <c r="P47" s="13">
        <v>672.68399999999997</v>
      </c>
      <c r="Q47" s="26">
        <f t="shared" si="60"/>
        <v>8.6761730595354262E-9</v>
      </c>
      <c r="R47" s="6">
        <f t="shared" si="61"/>
        <v>4.4103887825396509E-2</v>
      </c>
      <c r="S47" s="6">
        <f t="shared" si="62"/>
        <v>5.1075339257176423E-3</v>
      </c>
      <c r="T47" s="27">
        <f t="shared" si="63"/>
        <v>1.0148633778005994E-3</v>
      </c>
      <c r="U47" s="26">
        <f t="shared" si="64"/>
        <v>2.984662376587312E-8</v>
      </c>
      <c r="V47" s="27">
        <f t="shared" si="65"/>
        <v>3.4251566334781466E-3</v>
      </c>
      <c r="W47" s="26">
        <f t="shared" si="66"/>
        <v>0.05</v>
      </c>
      <c r="X47" s="6">
        <f t="shared" si="67"/>
        <v>3.0000000000000001E-3</v>
      </c>
      <c r="Y47" s="27">
        <f t="shared" si="68"/>
        <v>2.7E-2</v>
      </c>
      <c r="Z47" s="28">
        <f t="shared" si="69"/>
        <v>0.33</v>
      </c>
      <c r="AA47" s="137">
        <f t="shared" si="70"/>
        <v>0.02</v>
      </c>
      <c r="AB47" s="29">
        <f t="shared" si="71"/>
        <v>0.18</v>
      </c>
      <c r="AC47" s="24">
        <f t="shared" si="72"/>
        <v>5</v>
      </c>
      <c r="AD47" s="138">
        <f t="shared" si="73"/>
        <v>5</v>
      </c>
      <c r="AE47" s="25">
        <f t="shared" si="74"/>
        <v>5</v>
      </c>
      <c r="AF47" s="14"/>
      <c r="AG47" s="14"/>
      <c r="AH47" s="16"/>
      <c r="AI47" s="16"/>
      <c r="AJ47" s="16"/>
      <c r="AK47" s="16"/>
      <c r="AL47" s="15"/>
      <c r="AM47" s="15"/>
      <c r="AN47" s="15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</row>
    <row r="48" spans="1:51">
      <c r="A48" s="52">
        <v>10181</v>
      </c>
      <c r="B48" s="52" t="s">
        <v>161</v>
      </c>
      <c r="C48" s="140" t="str">
        <f>Rollover!A48</f>
        <v>Infiniti</v>
      </c>
      <c r="D48" s="10" t="str">
        <f>Rollover!B48</f>
        <v>QX80 SUV AWD</v>
      </c>
      <c r="E48" s="10" t="s">
        <v>162</v>
      </c>
      <c r="F48" s="74">
        <f>Rollover!C48</f>
        <v>2019</v>
      </c>
      <c r="G48" s="11">
        <v>26.613</v>
      </c>
      <c r="H48" s="12">
        <v>25.172999999999998</v>
      </c>
      <c r="I48" s="12">
        <v>25.172999999999998</v>
      </c>
      <c r="J48" s="12">
        <v>360.30099999999999</v>
      </c>
      <c r="K48" s="13">
        <v>640.83100000000002</v>
      </c>
      <c r="L48" s="11">
        <v>31.244</v>
      </c>
      <c r="M48" s="12">
        <v>1.149</v>
      </c>
      <c r="N48" s="12">
        <v>20.628</v>
      </c>
      <c r="O48" s="12">
        <v>1.4470000000000001</v>
      </c>
      <c r="P48" s="13">
        <v>672.68399999999997</v>
      </c>
      <c r="Q48" s="26">
        <f t="shared" si="60"/>
        <v>8.6761730595354262E-9</v>
      </c>
      <c r="R48" s="6">
        <f t="shared" si="61"/>
        <v>4.4103887825396509E-2</v>
      </c>
      <c r="S48" s="6">
        <f t="shared" si="62"/>
        <v>5.1075339257176423E-3</v>
      </c>
      <c r="T48" s="27">
        <f t="shared" si="63"/>
        <v>1.0148633778005994E-3</v>
      </c>
      <c r="U48" s="26">
        <f t="shared" si="64"/>
        <v>2.984662376587312E-8</v>
      </c>
      <c r="V48" s="27">
        <f t="shared" si="65"/>
        <v>3.4251566334781466E-3</v>
      </c>
      <c r="W48" s="26">
        <f t="shared" si="66"/>
        <v>0.05</v>
      </c>
      <c r="X48" s="6">
        <f t="shared" si="67"/>
        <v>3.0000000000000001E-3</v>
      </c>
      <c r="Y48" s="27">
        <f t="shared" si="68"/>
        <v>2.7E-2</v>
      </c>
      <c r="Z48" s="28">
        <f t="shared" si="69"/>
        <v>0.33</v>
      </c>
      <c r="AA48" s="137">
        <f t="shared" si="70"/>
        <v>0.02</v>
      </c>
      <c r="AB48" s="29">
        <f t="shared" si="71"/>
        <v>0.18</v>
      </c>
      <c r="AC48" s="24">
        <f t="shared" si="72"/>
        <v>5</v>
      </c>
      <c r="AD48" s="138">
        <f t="shared" si="73"/>
        <v>5</v>
      </c>
      <c r="AE48" s="25">
        <f t="shared" si="74"/>
        <v>5</v>
      </c>
      <c r="AF48" s="14"/>
      <c r="AG48" s="14"/>
      <c r="AH48" s="16"/>
      <c r="AI48" s="16"/>
      <c r="AJ48" s="16"/>
      <c r="AK48" s="16"/>
      <c r="AL48" s="15"/>
      <c r="AM48" s="15"/>
      <c r="AN48" s="15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</row>
    <row r="49" spans="1:51">
      <c r="A49" s="52">
        <v>10566</v>
      </c>
      <c r="B49" s="136" t="s">
        <v>191</v>
      </c>
      <c r="C49" s="30" t="str">
        <f>Rollover!A49</f>
        <v>Nissan</v>
      </c>
      <c r="D49" s="51" t="str">
        <f>Rollover!B49</f>
        <v>Frontier Crew Cab PU/CC RWD</v>
      </c>
      <c r="E49" s="10" t="s">
        <v>163</v>
      </c>
      <c r="F49" s="74">
        <f>Rollover!C49</f>
        <v>2019</v>
      </c>
      <c r="G49" s="11">
        <v>28.457999999999998</v>
      </c>
      <c r="H49" s="12">
        <v>20.239000000000001</v>
      </c>
      <c r="I49" s="12">
        <v>21.808</v>
      </c>
      <c r="J49" s="12">
        <v>488.52100000000002</v>
      </c>
      <c r="K49" s="13">
        <v>1134.1579999999999</v>
      </c>
      <c r="L49" s="11">
        <v>47.805</v>
      </c>
      <c r="M49" s="12">
        <v>16.34</v>
      </c>
      <c r="N49" s="12">
        <v>32.637</v>
      </c>
      <c r="O49" s="12">
        <v>14.331</v>
      </c>
      <c r="P49" s="13">
        <v>411.13299999999998</v>
      </c>
      <c r="Q49" s="26">
        <f t="shared" si="60"/>
        <v>1.4619405542300354E-8</v>
      </c>
      <c r="R49" s="6">
        <f t="shared" si="61"/>
        <v>2.8483427511877213E-2</v>
      </c>
      <c r="S49" s="6">
        <f t="shared" si="62"/>
        <v>6.7033317039029905E-3</v>
      </c>
      <c r="T49" s="27">
        <f t="shared" si="63"/>
        <v>1.7448745820719486E-3</v>
      </c>
      <c r="U49" s="26">
        <f t="shared" si="64"/>
        <v>6.331589573342047E-7</v>
      </c>
      <c r="V49" s="27">
        <f t="shared" si="65"/>
        <v>2.6805878351317085E-3</v>
      </c>
      <c r="W49" s="26">
        <f t="shared" si="66"/>
        <v>3.6999999999999998E-2</v>
      </c>
      <c r="X49" s="6">
        <f t="shared" si="67"/>
        <v>3.0000000000000001E-3</v>
      </c>
      <c r="Y49" s="27">
        <f t="shared" si="68"/>
        <v>0.02</v>
      </c>
      <c r="Z49" s="28">
        <f t="shared" si="69"/>
        <v>0.25</v>
      </c>
      <c r="AA49" s="137">
        <f t="shared" si="70"/>
        <v>0.02</v>
      </c>
      <c r="AB49" s="29">
        <f t="shared" si="71"/>
        <v>0.13</v>
      </c>
      <c r="AC49" s="24">
        <f t="shared" si="72"/>
        <v>5</v>
      </c>
      <c r="AD49" s="138">
        <f t="shared" si="73"/>
        <v>5</v>
      </c>
      <c r="AE49" s="25">
        <f t="shared" si="74"/>
        <v>5</v>
      </c>
      <c r="AF49" s="14"/>
      <c r="AG49" s="14"/>
      <c r="AH49" s="16"/>
      <c r="AI49" s="16"/>
      <c r="AJ49" s="16"/>
      <c r="AK49" s="16"/>
      <c r="AL49" s="15"/>
      <c r="AM49" s="15"/>
      <c r="AN49" s="15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</row>
    <row r="50" spans="1:51">
      <c r="A50" s="18">
        <v>10566</v>
      </c>
      <c r="B50" s="139" t="s">
        <v>191</v>
      </c>
      <c r="C50" s="30" t="str">
        <f>Rollover!A50</f>
        <v>Nissan</v>
      </c>
      <c r="D50" s="51" t="str">
        <f>Rollover!B50</f>
        <v>Frontier Crew Cab PU/CC AWD</v>
      </c>
      <c r="E50" s="10" t="s">
        <v>163</v>
      </c>
      <c r="F50" s="74">
        <f>Rollover!C50</f>
        <v>2019</v>
      </c>
      <c r="G50" s="11">
        <v>28.457999999999998</v>
      </c>
      <c r="H50" s="12">
        <v>20.239000000000001</v>
      </c>
      <c r="I50" s="12">
        <v>21.808</v>
      </c>
      <c r="J50" s="12">
        <v>488.52100000000002</v>
      </c>
      <c r="K50" s="13">
        <v>1134.1579999999999</v>
      </c>
      <c r="L50" s="11">
        <v>47.805</v>
      </c>
      <c r="M50" s="12">
        <v>16.34</v>
      </c>
      <c r="N50" s="12">
        <v>32.637</v>
      </c>
      <c r="O50" s="12">
        <v>14.331</v>
      </c>
      <c r="P50" s="13">
        <v>411.13299999999998</v>
      </c>
      <c r="Q50" s="26">
        <f t="shared" si="60"/>
        <v>1.4619405542300354E-8</v>
      </c>
      <c r="R50" s="6">
        <f t="shared" si="61"/>
        <v>2.8483427511877213E-2</v>
      </c>
      <c r="S50" s="6">
        <f t="shared" si="62"/>
        <v>6.7033317039029905E-3</v>
      </c>
      <c r="T50" s="27">
        <f t="shared" si="63"/>
        <v>1.7448745820719486E-3</v>
      </c>
      <c r="U50" s="26">
        <f t="shared" si="64"/>
        <v>6.331589573342047E-7</v>
      </c>
      <c r="V50" s="27">
        <f t="shared" si="65"/>
        <v>2.6805878351317085E-3</v>
      </c>
      <c r="W50" s="26">
        <f t="shared" si="66"/>
        <v>3.6999999999999998E-2</v>
      </c>
      <c r="X50" s="6">
        <f t="shared" si="67"/>
        <v>3.0000000000000001E-3</v>
      </c>
      <c r="Y50" s="27">
        <f t="shared" si="68"/>
        <v>0.02</v>
      </c>
      <c r="Z50" s="28">
        <f t="shared" si="69"/>
        <v>0.25</v>
      </c>
      <c r="AA50" s="137">
        <f t="shared" si="70"/>
        <v>0.02</v>
      </c>
      <c r="AB50" s="29">
        <f t="shared" si="71"/>
        <v>0.13</v>
      </c>
      <c r="AC50" s="24">
        <f t="shared" si="72"/>
        <v>5</v>
      </c>
      <c r="AD50" s="138">
        <f t="shared" si="73"/>
        <v>5</v>
      </c>
      <c r="AE50" s="25">
        <f t="shared" si="74"/>
        <v>5</v>
      </c>
      <c r="AF50" s="14"/>
      <c r="AG50" s="14"/>
      <c r="AH50" s="16"/>
      <c r="AI50" s="16"/>
      <c r="AJ50" s="16"/>
      <c r="AK50" s="16"/>
      <c r="AL50" s="15"/>
      <c r="AM50" s="15"/>
      <c r="AN50" s="15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</row>
    <row r="51" spans="1:51">
      <c r="A51" s="52">
        <v>10710</v>
      </c>
      <c r="B51" s="136" t="s">
        <v>256</v>
      </c>
      <c r="C51" s="30" t="str">
        <f>Rollover!A51</f>
        <v>Nissan</v>
      </c>
      <c r="D51" s="51" t="str">
        <f>Rollover!B51</f>
        <v>Kicks SUV FWD</v>
      </c>
      <c r="E51" s="10" t="s">
        <v>163</v>
      </c>
      <c r="F51" s="74">
        <f>Rollover!C51</f>
        <v>2019</v>
      </c>
      <c r="G51" s="11">
        <v>158.27799999999999</v>
      </c>
      <c r="H51" s="12">
        <v>23.324999999999999</v>
      </c>
      <c r="I51" s="12">
        <v>33.002000000000002</v>
      </c>
      <c r="J51" s="12">
        <v>795.50599999999997</v>
      </c>
      <c r="K51" s="13">
        <v>1796.3879999999999</v>
      </c>
      <c r="L51" s="11">
        <v>646.82500000000005</v>
      </c>
      <c r="M51" s="12">
        <v>24.785</v>
      </c>
      <c r="N51" s="12">
        <v>64.385000000000005</v>
      </c>
      <c r="O51" s="12">
        <v>32.478000000000002</v>
      </c>
      <c r="P51" s="13">
        <v>2127.5659999999998</v>
      </c>
      <c r="Q51" s="26">
        <f t="shared" si="60"/>
        <v>6.2535454251557267E-4</v>
      </c>
      <c r="R51" s="6">
        <f t="shared" si="61"/>
        <v>3.7473322602783868E-2</v>
      </c>
      <c r="S51" s="6">
        <f t="shared" si="62"/>
        <v>1.2822787580611032E-2</v>
      </c>
      <c r="T51" s="27">
        <f t="shared" si="63"/>
        <v>3.6084096795038646E-3</v>
      </c>
      <c r="U51" s="26">
        <f t="shared" si="64"/>
        <v>9.2639211878575212E-2</v>
      </c>
      <c r="V51" s="27">
        <f t="shared" si="65"/>
        <v>1.3313314015353262E-2</v>
      </c>
      <c r="W51" s="26">
        <f t="shared" si="66"/>
        <v>5.3999999999999999E-2</v>
      </c>
      <c r="X51" s="6">
        <f t="shared" si="67"/>
        <v>0.105</v>
      </c>
      <c r="Y51" s="27">
        <f t="shared" si="68"/>
        <v>0.08</v>
      </c>
      <c r="Z51" s="28">
        <f t="shared" si="69"/>
        <v>0.36</v>
      </c>
      <c r="AA51" s="137">
        <f t="shared" si="70"/>
        <v>0.7</v>
      </c>
      <c r="AB51" s="29">
        <f t="shared" si="71"/>
        <v>0.53</v>
      </c>
      <c r="AC51" s="24">
        <f t="shared" si="72"/>
        <v>5</v>
      </c>
      <c r="AD51" s="138">
        <f t="shared" si="73"/>
        <v>4</v>
      </c>
      <c r="AE51" s="25">
        <f t="shared" si="74"/>
        <v>5</v>
      </c>
      <c r="AF51" s="14"/>
      <c r="AG51" s="14"/>
      <c r="AH51" s="16"/>
      <c r="AI51" s="16"/>
      <c r="AJ51" s="16"/>
      <c r="AK51" s="16"/>
      <c r="AL51" s="15"/>
      <c r="AM51" s="15"/>
      <c r="AN51" s="15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</row>
    <row r="52" spans="1:51">
      <c r="A52" s="52">
        <v>10674</v>
      </c>
      <c r="B52" s="136" t="s">
        <v>245</v>
      </c>
      <c r="C52" s="30" t="str">
        <f>Rollover!A52</f>
        <v>Nissan</v>
      </c>
      <c r="D52" s="51" t="str">
        <f>Rollover!B52</f>
        <v>Murano SUV FWD</v>
      </c>
      <c r="E52" s="10" t="s">
        <v>88</v>
      </c>
      <c r="F52" s="74">
        <f>Rollover!C52</f>
        <v>2019</v>
      </c>
      <c r="G52" s="11">
        <v>100.718</v>
      </c>
      <c r="H52" s="12">
        <v>21.562999999999999</v>
      </c>
      <c r="I52" s="12">
        <v>25.91</v>
      </c>
      <c r="J52" s="12">
        <v>585.73400000000004</v>
      </c>
      <c r="K52" s="13">
        <v>1742.5419999999999</v>
      </c>
      <c r="L52" s="11">
        <v>147.81299999999999</v>
      </c>
      <c r="M52" s="12">
        <v>13.087999999999999</v>
      </c>
      <c r="N52" s="12">
        <v>30.541</v>
      </c>
      <c r="O52" s="12">
        <v>13.606999999999999</v>
      </c>
      <c r="P52" s="13">
        <v>1331.08</v>
      </c>
      <c r="Q52" s="26">
        <f t="shared" ref="Q52:Q56" si="75">NORMDIST(LN(G52),7.45231,0.73998,1)</f>
        <v>6.2039958283738054E-5</v>
      </c>
      <c r="R52" s="6">
        <f t="shared" ref="R52:R56" si="76">1/(1+EXP(5.3895-0.0919*H52))</f>
        <v>3.2050711971023098E-2</v>
      </c>
      <c r="S52" s="6">
        <f t="shared" ref="S52:S56" si="77">1/(1+EXP(6.04044-0.002133*J52))</f>
        <v>8.2351914608636487E-3</v>
      </c>
      <c r="T52" s="27">
        <f t="shared" ref="T52:T56" si="78">1/(1+EXP(7.5969-0.0011*K52))</f>
        <v>3.4015938003948425E-3</v>
      </c>
      <c r="U52" s="26">
        <f t="shared" ref="U52:U56" si="79">NORMDIST(LN(L52),7.45231,0.73998,1)</f>
        <v>4.5089745299690628E-4</v>
      </c>
      <c r="V52" s="27">
        <f t="shared" ref="V52:V56" si="80">1/(1+EXP(6.3055-0.00094*P52))</f>
        <v>6.341458743931056E-3</v>
      </c>
      <c r="W52" s="26">
        <f t="shared" ref="W52:W56" si="81">ROUND(1-(1-Q52)*(1-R52)*(1-S52)*(1-T52),3)</f>
        <v>4.2999999999999997E-2</v>
      </c>
      <c r="X52" s="6">
        <f t="shared" ref="X52:X56" si="82">IF(L52="N/A",L52,ROUND(1-(1-U52)*(1-V52),3))</f>
        <v>7.0000000000000001E-3</v>
      </c>
      <c r="Y52" s="27">
        <f t="shared" ref="Y52:Y56" si="83">ROUND(AVERAGE(W52:X52),3)</f>
        <v>2.5000000000000001E-2</v>
      </c>
      <c r="Z52" s="28">
        <f t="shared" ref="Z52:Z56" si="84">ROUND(W52/0.15,2)</f>
        <v>0.28999999999999998</v>
      </c>
      <c r="AA52" s="137">
        <f t="shared" ref="AA52:AA56" si="85">IF(L52="N/A", L52, ROUND(X52/0.15,2))</f>
        <v>0.05</v>
      </c>
      <c r="AB52" s="29">
        <f t="shared" ref="AB52:AB56" si="86">ROUND(Y52/0.15,2)</f>
        <v>0.17</v>
      </c>
      <c r="AC52" s="24">
        <f t="shared" ref="AC52:AC56" si="87">IF(Z52&lt;0.67,5,IF(Z52&lt;1,4,IF(Z52&lt;1.33,3,IF(Z52&lt;2.67,2,1))))</f>
        <v>5</v>
      </c>
      <c r="AD52" s="138">
        <f t="shared" ref="AD52:AD56" si="88">IF(L52="N/A",L52,IF(AA52&lt;0.67,5,IF(AA52&lt;1,4,IF(AA52&lt;1.33,3,IF(AA52&lt;2.67,2,1)))))</f>
        <v>5</v>
      </c>
      <c r="AE52" s="25">
        <f t="shared" ref="AE52:AE56" si="89">IF(AB52&lt;0.67,5,IF(AB52&lt;1,4,IF(AB52&lt;1.33,3,IF(AB52&lt;2.67,2,1))))</f>
        <v>5</v>
      </c>
      <c r="AF52" s="14"/>
      <c r="AG52" s="14"/>
      <c r="AH52" s="16"/>
      <c r="AI52" s="16"/>
      <c r="AJ52" s="16"/>
      <c r="AK52" s="16"/>
      <c r="AL52" s="15"/>
      <c r="AM52" s="15"/>
      <c r="AN52" s="15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</row>
    <row r="53" spans="1:51">
      <c r="A53" s="52">
        <v>10674</v>
      </c>
      <c r="B53" s="136" t="s">
        <v>245</v>
      </c>
      <c r="C53" s="30" t="str">
        <f>Rollover!A53</f>
        <v>Nissan</v>
      </c>
      <c r="D53" s="51" t="str">
        <f>Rollover!B53</f>
        <v>Murano SUV AWD</v>
      </c>
      <c r="E53" s="10" t="s">
        <v>88</v>
      </c>
      <c r="F53" s="74">
        <f>Rollover!C53</f>
        <v>2019</v>
      </c>
      <c r="G53" s="11">
        <v>100.718</v>
      </c>
      <c r="H53" s="12">
        <v>21.562999999999999</v>
      </c>
      <c r="I53" s="12">
        <v>25.91</v>
      </c>
      <c r="J53" s="12">
        <v>585.73400000000004</v>
      </c>
      <c r="K53" s="13">
        <v>1742.5419999999999</v>
      </c>
      <c r="L53" s="11">
        <v>147.81299999999999</v>
      </c>
      <c r="M53" s="12">
        <v>13.087999999999999</v>
      </c>
      <c r="N53" s="12">
        <v>30.541</v>
      </c>
      <c r="O53" s="12">
        <v>13.606999999999999</v>
      </c>
      <c r="P53" s="13">
        <v>1331.08</v>
      </c>
      <c r="Q53" s="26">
        <f t="shared" si="75"/>
        <v>6.2039958283738054E-5</v>
      </c>
      <c r="R53" s="6">
        <f t="shared" si="76"/>
        <v>3.2050711971023098E-2</v>
      </c>
      <c r="S53" s="6">
        <f t="shared" si="77"/>
        <v>8.2351914608636487E-3</v>
      </c>
      <c r="T53" s="27">
        <f t="shared" si="78"/>
        <v>3.4015938003948425E-3</v>
      </c>
      <c r="U53" s="26">
        <f t="shared" si="79"/>
        <v>4.5089745299690628E-4</v>
      </c>
      <c r="V53" s="27">
        <f t="shared" si="80"/>
        <v>6.341458743931056E-3</v>
      </c>
      <c r="W53" s="26">
        <f t="shared" si="81"/>
        <v>4.2999999999999997E-2</v>
      </c>
      <c r="X53" s="6">
        <f t="shared" si="82"/>
        <v>7.0000000000000001E-3</v>
      </c>
      <c r="Y53" s="27">
        <f t="shared" si="83"/>
        <v>2.5000000000000001E-2</v>
      </c>
      <c r="Z53" s="28">
        <f t="shared" si="84"/>
        <v>0.28999999999999998</v>
      </c>
      <c r="AA53" s="137">
        <f t="shared" si="85"/>
        <v>0.05</v>
      </c>
      <c r="AB53" s="29">
        <f t="shared" si="86"/>
        <v>0.17</v>
      </c>
      <c r="AC53" s="24">
        <f t="shared" si="87"/>
        <v>5</v>
      </c>
      <c r="AD53" s="138">
        <f t="shared" si="88"/>
        <v>5</v>
      </c>
      <c r="AE53" s="25">
        <f t="shared" si="89"/>
        <v>5</v>
      </c>
      <c r="AF53" s="14"/>
      <c r="AG53" s="14"/>
      <c r="AH53" s="16"/>
      <c r="AI53" s="16"/>
      <c r="AJ53" s="16"/>
      <c r="AK53" s="16"/>
      <c r="AL53" s="15"/>
      <c r="AM53" s="15"/>
      <c r="AN53" s="15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</row>
    <row r="54" spans="1:51">
      <c r="A54" s="52">
        <v>10178</v>
      </c>
      <c r="B54" s="52" t="s">
        <v>167</v>
      </c>
      <c r="C54" s="30" t="str">
        <f>Rollover!A54</f>
        <v>Nissan</v>
      </c>
      <c r="D54" s="51" t="str">
        <f>Rollover!B54</f>
        <v>Versa 4DR FWD</v>
      </c>
      <c r="E54" s="10" t="s">
        <v>160</v>
      </c>
      <c r="F54" s="74">
        <f>Rollover!C54</f>
        <v>2019</v>
      </c>
      <c r="G54" s="11">
        <v>173.36</v>
      </c>
      <c r="H54" s="12">
        <v>34.976999999999997</v>
      </c>
      <c r="I54" s="12">
        <v>51.737000000000002</v>
      </c>
      <c r="J54" s="12">
        <v>1102.8869999999999</v>
      </c>
      <c r="K54" s="13">
        <v>1920.768</v>
      </c>
      <c r="L54" s="11">
        <v>621.02599999999995</v>
      </c>
      <c r="M54" s="12">
        <v>29.65</v>
      </c>
      <c r="N54" s="12">
        <v>57.902000000000001</v>
      </c>
      <c r="O54" s="12">
        <v>31.231000000000002</v>
      </c>
      <c r="P54" s="13">
        <v>3376.982</v>
      </c>
      <c r="Q54" s="26">
        <f t="shared" si="75"/>
        <v>9.5443474691036146E-4</v>
      </c>
      <c r="R54" s="6">
        <f t="shared" si="76"/>
        <v>0.10200765355993605</v>
      </c>
      <c r="S54" s="6">
        <f t="shared" si="77"/>
        <v>2.4411607573109294E-2</v>
      </c>
      <c r="T54" s="27">
        <f t="shared" si="78"/>
        <v>4.1352848769663064E-3</v>
      </c>
      <c r="U54" s="26">
        <f t="shared" si="79"/>
        <v>8.3842296074925715E-2</v>
      </c>
      <c r="V54" s="27">
        <f t="shared" si="80"/>
        <v>4.1841003805655426E-2</v>
      </c>
      <c r="W54" s="26">
        <f t="shared" si="81"/>
        <v>0.128</v>
      </c>
      <c r="X54" s="6">
        <f t="shared" si="82"/>
        <v>0.122</v>
      </c>
      <c r="Y54" s="27">
        <f t="shared" si="83"/>
        <v>0.125</v>
      </c>
      <c r="Z54" s="28">
        <f t="shared" si="84"/>
        <v>0.85</v>
      </c>
      <c r="AA54" s="137">
        <f t="shared" si="85"/>
        <v>0.81</v>
      </c>
      <c r="AB54" s="29">
        <f t="shared" si="86"/>
        <v>0.83</v>
      </c>
      <c r="AC54" s="24">
        <f t="shared" si="87"/>
        <v>4</v>
      </c>
      <c r="AD54" s="138">
        <f t="shared" si="88"/>
        <v>4</v>
      </c>
      <c r="AE54" s="25">
        <f t="shared" si="89"/>
        <v>4</v>
      </c>
      <c r="AF54" s="14"/>
      <c r="AG54" s="14"/>
      <c r="AH54" s="16"/>
      <c r="AI54" s="16"/>
      <c r="AJ54" s="16"/>
      <c r="AK54" s="16"/>
      <c r="AL54" s="15"/>
      <c r="AM54" s="15"/>
      <c r="AN54" s="15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</row>
    <row r="55" spans="1:51" ht="13.15" customHeight="1">
      <c r="A55" s="52">
        <v>10559</v>
      </c>
      <c r="B55" s="136" t="s">
        <v>182</v>
      </c>
      <c r="C55" s="30" t="str">
        <f>Rollover!A55</f>
        <v>Ram</v>
      </c>
      <c r="D55" s="51" t="str">
        <f>Rollover!B55</f>
        <v>1500 Classic Quad Cab PU/EC 2WD</v>
      </c>
      <c r="E55" s="10" t="s">
        <v>163</v>
      </c>
      <c r="F55" s="74">
        <f>Rollover!C55</f>
        <v>2019</v>
      </c>
      <c r="G55" s="11">
        <v>19.745999999999999</v>
      </c>
      <c r="H55" s="12">
        <v>17.260000000000002</v>
      </c>
      <c r="I55" s="12">
        <v>19.05</v>
      </c>
      <c r="J55" s="12">
        <v>541.31100000000004</v>
      </c>
      <c r="K55" s="13">
        <v>916.76900000000001</v>
      </c>
      <c r="L55" s="11">
        <v>46.515999999999998</v>
      </c>
      <c r="M55" s="12">
        <v>8.1549999999999994</v>
      </c>
      <c r="N55" s="12">
        <v>23.285</v>
      </c>
      <c r="O55" s="12">
        <v>0.88900000000000001</v>
      </c>
      <c r="P55" s="13">
        <v>733.303</v>
      </c>
      <c r="Q55" s="26">
        <f t="shared" si="75"/>
        <v>7.7134686542990895E-10</v>
      </c>
      <c r="R55" s="6">
        <f t="shared" si="76"/>
        <v>2.1810626064117964E-2</v>
      </c>
      <c r="S55" s="6">
        <f t="shared" si="77"/>
        <v>7.4962816827361233E-3</v>
      </c>
      <c r="T55" s="27">
        <f t="shared" si="78"/>
        <v>1.3742745052082459E-3</v>
      </c>
      <c r="U55" s="26">
        <f t="shared" si="79"/>
        <v>5.2532360794285414E-7</v>
      </c>
      <c r="V55" s="27">
        <f t="shared" si="80"/>
        <v>3.6252680981221606E-3</v>
      </c>
      <c r="W55" s="26">
        <f t="shared" si="81"/>
        <v>0.03</v>
      </c>
      <c r="X55" s="6">
        <f t="shared" si="82"/>
        <v>4.0000000000000001E-3</v>
      </c>
      <c r="Y55" s="27">
        <f t="shared" si="83"/>
        <v>1.7000000000000001E-2</v>
      </c>
      <c r="Z55" s="28">
        <f t="shared" si="84"/>
        <v>0.2</v>
      </c>
      <c r="AA55" s="137">
        <f t="shared" si="85"/>
        <v>0.03</v>
      </c>
      <c r="AB55" s="29">
        <f t="shared" si="86"/>
        <v>0.11</v>
      </c>
      <c r="AC55" s="24">
        <f t="shared" si="87"/>
        <v>5</v>
      </c>
      <c r="AD55" s="138">
        <f t="shared" si="88"/>
        <v>5</v>
      </c>
      <c r="AE55" s="25">
        <f t="shared" si="89"/>
        <v>5</v>
      </c>
      <c r="AF55" s="14"/>
      <c r="AG55" s="14"/>
      <c r="AH55" s="16"/>
      <c r="AI55" s="16"/>
      <c r="AJ55" s="16"/>
      <c r="AK55" s="16"/>
      <c r="AL55" s="15"/>
      <c r="AM55" s="15"/>
      <c r="AN55" s="15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</row>
    <row r="56" spans="1:51" ht="13.15" customHeight="1">
      <c r="A56" s="52">
        <v>10559</v>
      </c>
      <c r="B56" s="136" t="s">
        <v>182</v>
      </c>
      <c r="C56" s="30" t="str">
        <f>Rollover!A56</f>
        <v>Ram</v>
      </c>
      <c r="D56" s="51" t="str">
        <f>Rollover!B56</f>
        <v>1500 Classic Quad Cab PU/EC 4WD</v>
      </c>
      <c r="E56" s="10" t="s">
        <v>163</v>
      </c>
      <c r="F56" s="74">
        <f>Rollover!C56</f>
        <v>2019</v>
      </c>
      <c r="G56" s="11">
        <v>19.745999999999999</v>
      </c>
      <c r="H56" s="12">
        <v>17.260000000000002</v>
      </c>
      <c r="I56" s="12">
        <v>19.05</v>
      </c>
      <c r="J56" s="12">
        <v>541.31100000000004</v>
      </c>
      <c r="K56" s="13">
        <v>916.76900000000001</v>
      </c>
      <c r="L56" s="11">
        <v>46.515999999999998</v>
      </c>
      <c r="M56" s="12">
        <v>8.1549999999999994</v>
      </c>
      <c r="N56" s="12">
        <v>23.285</v>
      </c>
      <c r="O56" s="12">
        <v>0.88900000000000001</v>
      </c>
      <c r="P56" s="13">
        <v>733.303</v>
      </c>
      <c r="Q56" s="26">
        <f t="shared" si="75"/>
        <v>7.7134686542990895E-10</v>
      </c>
      <c r="R56" s="6">
        <f t="shared" si="76"/>
        <v>2.1810626064117964E-2</v>
      </c>
      <c r="S56" s="6">
        <f t="shared" si="77"/>
        <v>7.4962816827361233E-3</v>
      </c>
      <c r="T56" s="27">
        <f t="shared" si="78"/>
        <v>1.3742745052082459E-3</v>
      </c>
      <c r="U56" s="26">
        <f t="shared" si="79"/>
        <v>5.2532360794285414E-7</v>
      </c>
      <c r="V56" s="27">
        <f t="shared" si="80"/>
        <v>3.6252680981221606E-3</v>
      </c>
      <c r="W56" s="26">
        <f t="shared" si="81"/>
        <v>0.03</v>
      </c>
      <c r="X56" s="6">
        <f t="shared" si="82"/>
        <v>4.0000000000000001E-3</v>
      </c>
      <c r="Y56" s="27">
        <f t="shared" si="83"/>
        <v>1.7000000000000001E-2</v>
      </c>
      <c r="Z56" s="28">
        <f t="shared" si="84"/>
        <v>0.2</v>
      </c>
      <c r="AA56" s="137">
        <f t="shared" si="85"/>
        <v>0.03</v>
      </c>
      <c r="AB56" s="29">
        <f t="shared" si="86"/>
        <v>0.11</v>
      </c>
      <c r="AC56" s="24">
        <f t="shared" si="87"/>
        <v>5</v>
      </c>
      <c r="AD56" s="138">
        <f t="shared" si="88"/>
        <v>5</v>
      </c>
      <c r="AE56" s="25">
        <f t="shared" si="89"/>
        <v>5</v>
      </c>
      <c r="AF56" s="14"/>
      <c r="AG56" s="14"/>
      <c r="AH56" s="16"/>
      <c r="AI56" s="16"/>
      <c r="AJ56" s="16"/>
      <c r="AK56" s="16"/>
      <c r="AL56" s="15"/>
      <c r="AM56" s="15"/>
      <c r="AN56" s="15"/>
      <c r="AO56" s="17"/>
      <c r="AP56" s="17"/>
      <c r="AQ56" s="17"/>
      <c r="AR56" s="17"/>
      <c r="AS56" s="17"/>
      <c r="AT56" s="17"/>
      <c r="AU56" s="17"/>
      <c r="AV56" s="17"/>
      <c r="AW56" s="17"/>
      <c r="AX56" s="17"/>
      <c r="AY56" s="17"/>
    </row>
    <row r="57" spans="1:51" ht="13.15" customHeight="1">
      <c r="A57" s="52">
        <v>10559</v>
      </c>
      <c r="B57" s="136" t="s">
        <v>182</v>
      </c>
      <c r="C57" s="140" t="str">
        <f>Rollover!A57</f>
        <v>Ram</v>
      </c>
      <c r="D57" s="10" t="str">
        <f>Rollover!B57</f>
        <v>1500 Classic Regular Cab PU/RC 2WD</v>
      </c>
      <c r="E57" s="10" t="s">
        <v>163</v>
      </c>
      <c r="F57" s="74">
        <f>Rollover!C57</f>
        <v>2019</v>
      </c>
      <c r="G57" s="11">
        <v>19.745999999999999</v>
      </c>
      <c r="H57" s="12">
        <v>17.260000000000002</v>
      </c>
      <c r="I57" s="12">
        <v>19.05</v>
      </c>
      <c r="J57" s="12">
        <v>541.31100000000004</v>
      </c>
      <c r="K57" s="13">
        <v>916.76900000000001</v>
      </c>
      <c r="L57" s="11" t="s">
        <v>183</v>
      </c>
      <c r="M57" s="12"/>
      <c r="N57" s="12"/>
      <c r="O57" s="12"/>
      <c r="P57" s="13"/>
      <c r="Q57" s="26">
        <f t="shared" si="45"/>
        <v>7.7134686542990895E-10</v>
      </c>
      <c r="R57" s="6">
        <f t="shared" si="46"/>
        <v>2.1810626064117964E-2</v>
      </c>
      <c r="S57" s="6">
        <f t="shared" si="47"/>
        <v>7.4962816827361233E-3</v>
      </c>
      <c r="T57" s="27">
        <f t="shared" si="48"/>
        <v>1.3742745052082459E-3</v>
      </c>
      <c r="U57" s="26" t="e">
        <f t="shared" si="49"/>
        <v>#VALUE!</v>
      </c>
      <c r="V57" s="27">
        <f t="shared" si="50"/>
        <v>1.8229037773026034E-3</v>
      </c>
      <c r="W57" s="26">
        <f t="shared" si="51"/>
        <v>0.03</v>
      </c>
      <c r="X57" s="6" t="str">
        <f t="shared" si="52"/>
        <v>N/A</v>
      </c>
      <c r="Y57" s="27">
        <f t="shared" si="53"/>
        <v>0.03</v>
      </c>
      <c r="Z57" s="28">
        <f t="shared" si="54"/>
        <v>0.2</v>
      </c>
      <c r="AA57" s="137" t="str">
        <f t="shared" si="55"/>
        <v>N/A</v>
      </c>
      <c r="AB57" s="29">
        <f t="shared" si="56"/>
        <v>0.2</v>
      </c>
      <c r="AC57" s="24">
        <f t="shared" si="57"/>
        <v>5</v>
      </c>
      <c r="AD57" s="138" t="str">
        <f t="shared" si="58"/>
        <v>N/A</v>
      </c>
      <c r="AE57" s="25">
        <f t="shared" si="59"/>
        <v>5</v>
      </c>
      <c r="AF57" s="14"/>
      <c r="AG57" s="14"/>
      <c r="AH57" s="16"/>
      <c r="AI57" s="16"/>
      <c r="AJ57" s="16"/>
      <c r="AK57" s="16"/>
      <c r="AL57" s="15"/>
      <c r="AM57" s="15"/>
      <c r="AN57" s="15"/>
      <c r="AO57" s="17"/>
      <c r="AP57" s="17"/>
      <c r="AQ57" s="17"/>
      <c r="AR57" s="17"/>
      <c r="AS57" s="17"/>
      <c r="AT57" s="17"/>
      <c r="AU57" s="17"/>
      <c r="AV57" s="17"/>
      <c r="AW57" s="17"/>
      <c r="AX57" s="17"/>
      <c r="AY57" s="17"/>
    </row>
    <row r="58" spans="1:51" ht="13.15" customHeight="1">
      <c r="A58" s="52">
        <v>10559</v>
      </c>
      <c r="B58" s="136" t="s">
        <v>182</v>
      </c>
      <c r="C58" s="140" t="str">
        <f>Rollover!A58</f>
        <v>Ram</v>
      </c>
      <c r="D58" s="10" t="str">
        <f>Rollover!B58</f>
        <v>1500 Classic Regular Cab PU/RC 4WD</v>
      </c>
      <c r="E58" s="10" t="s">
        <v>163</v>
      </c>
      <c r="F58" s="74">
        <f>Rollover!C58</f>
        <v>2019</v>
      </c>
      <c r="G58" s="11">
        <v>19.745999999999999</v>
      </c>
      <c r="H58" s="12">
        <v>17.260000000000002</v>
      </c>
      <c r="I58" s="12">
        <v>19.05</v>
      </c>
      <c r="J58" s="12">
        <v>541.31100000000004</v>
      </c>
      <c r="K58" s="13">
        <v>916.76900000000001</v>
      </c>
      <c r="L58" s="11" t="s">
        <v>183</v>
      </c>
      <c r="M58" s="12"/>
      <c r="N58" s="12"/>
      <c r="O58" s="12"/>
      <c r="P58" s="13"/>
      <c r="Q58" s="26">
        <f t="shared" si="45"/>
        <v>7.7134686542990895E-10</v>
      </c>
      <c r="R58" s="6">
        <f t="shared" si="46"/>
        <v>2.1810626064117964E-2</v>
      </c>
      <c r="S58" s="6">
        <f t="shared" si="47"/>
        <v>7.4962816827361233E-3</v>
      </c>
      <c r="T58" s="27">
        <f t="shared" si="48"/>
        <v>1.3742745052082459E-3</v>
      </c>
      <c r="U58" s="26" t="e">
        <f t="shared" si="49"/>
        <v>#VALUE!</v>
      </c>
      <c r="V58" s="27">
        <f t="shared" si="50"/>
        <v>1.8229037773026034E-3</v>
      </c>
      <c r="W58" s="26">
        <f t="shared" si="51"/>
        <v>0.03</v>
      </c>
      <c r="X58" s="6" t="str">
        <f t="shared" si="52"/>
        <v>N/A</v>
      </c>
      <c r="Y58" s="27">
        <f t="shared" si="53"/>
        <v>0.03</v>
      </c>
      <c r="Z58" s="28">
        <f t="shared" si="54"/>
        <v>0.2</v>
      </c>
      <c r="AA58" s="137" t="str">
        <f t="shared" si="55"/>
        <v>N/A</v>
      </c>
      <c r="AB58" s="29">
        <f t="shared" si="56"/>
        <v>0.2</v>
      </c>
      <c r="AC58" s="24">
        <f t="shared" si="57"/>
        <v>5</v>
      </c>
      <c r="AD58" s="138" t="str">
        <f t="shared" si="58"/>
        <v>N/A</v>
      </c>
      <c r="AE58" s="25">
        <f t="shared" si="59"/>
        <v>5</v>
      </c>
      <c r="AF58" s="14"/>
      <c r="AG58" s="14"/>
      <c r="AH58" s="16"/>
      <c r="AI58" s="16"/>
      <c r="AJ58" s="16"/>
      <c r="AK58" s="16"/>
      <c r="AL58" s="15"/>
      <c r="AM58" s="15"/>
      <c r="AN58" s="15"/>
      <c r="AO58" s="17"/>
      <c r="AP58" s="17"/>
      <c r="AQ58" s="17"/>
      <c r="AR58" s="17"/>
      <c r="AS58" s="17"/>
      <c r="AT58" s="17"/>
      <c r="AU58" s="17"/>
      <c r="AV58" s="17"/>
      <c r="AW58" s="17"/>
      <c r="AX58" s="17"/>
      <c r="AY58" s="17"/>
    </row>
    <row r="59" spans="1:51" ht="13.15" customHeight="1">
      <c r="A59" s="52">
        <v>10390</v>
      </c>
      <c r="B59" s="136" t="s">
        <v>177</v>
      </c>
      <c r="C59" s="30" t="str">
        <f>Rollover!A59</f>
        <v>Subaru</v>
      </c>
      <c r="D59" s="51" t="str">
        <f>Rollover!B59</f>
        <v>Ascent SUV AWD</v>
      </c>
      <c r="E59" s="10" t="s">
        <v>163</v>
      </c>
      <c r="F59" s="74">
        <f>Rollover!C59</f>
        <v>2019</v>
      </c>
      <c r="G59" s="11">
        <v>37.298000000000002</v>
      </c>
      <c r="H59" s="12">
        <v>13.01</v>
      </c>
      <c r="I59" s="12">
        <v>17.02</v>
      </c>
      <c r="J59" s="12">
        <v>324.10199999999998</v>
      </c>
      <c r="K59" s="13">
        <v>1218.2639999999999</v>
      </c>
      <c r="L59" s="11">
        <v>80.986999999999995</v>
      </c>
      <c r="M59" s="12">
        <v>4.9690000000000003</v>
      </c>
      <c r="N59" s="12">
        <v>26.84</v>
      </c>
      <c r="O59" s="12">
        <v>6.9409999999999998</v>
      </c>
      <c r="P59" s="13">
        <v>1537.85</v>
      </c>
      <c r="Q59" s="26">
        <f t="shared" si="45"/>
        <v>1.1072302500704643E-7</v>
      </c>
      <c r="R59" s="6">
        <f t="shared" si="46"/>
        <v>1.4863363342423244E-2</v>
      </c>
      <c r="S59" s="6">
        <f t="shared" si="47"/>
        <v>4.7298042638527632E-3</v>
      </c>
      <c r="T59" s="27">
        <f t="shared" si="48"/>
        <v>1.9136839645072757E-3</v>
      </c>
      <c r="U59" s="26">
        <f t="shared" si="49"/>
        <v>1.7936240765937429E-5</v>
      </c>
      <c r="V59" s="27">
        <f t="shared" si="50"/>
        <v>7.6914788113358846E-3</v>
      </c>
      <c r="W59" s="26">
        <f t="shared" si="51"/>
        <v>2.1000000000000001E-2</v>
      </c>
      <c r="X59" s="6">
        <f t="shared" si="52"/>
        <v>8.0000000000000002E-3</v>
      </c>
      <c r="Y59" s="27">
        <f t="shared" si="53"/>
        <v>1.4999999999999999E-2</v>
      </c>
      <c r="Z59" s="28">
        <f t="shared" si="54"/>
        <v>0.14000000000000001</v>
      </c>
      <c r="AA59" s="137">
        <f t="shared" si="55"/>
        <v>0.05</v>
      </c>
      <c r="AB59" s="29">
        <f t="shared" si="56"/>
        <v>0.1</v>
      </c>
      <c r="AC59" s="24">
        <f t="shared" si="57"/>
        <v>5</v>
      </c>
      <c r="AD59" s="138">
        <f t="shared" si="58"/>
        <v>5</v>
      </c>
      <c r="AE59" s="25">
        <f t="shared" si="59"/>
        <v>5</v>
      </c>
      <c r="AF59" s="14"/>
      <c r="AG59" s="14"/>
      <c r="AH59" s="16"/>
      <c r="AI59" s="16"/>
      <c r="AJ59" s="16"/>
      <c r="AK59" s="16"/>
      <c r="AL59" s="15"/>
      <c r="AM59" s="15"/>
      <c r="AN59" s="15"/>
      <c r="AO59" s="17"/>
      <c r="AP59" s="17"/>
      <c r="AQ59" s="17"/>
      <c r="AR59" s="17"/>
      <c r="AS59" s="17"/>
      <c r="AT59" s="17"/>
      <c r="AU59" s="17"/>
      <c r="AV59" s="17"/>
      <c r="AW59" s="17"/>
      <c r="AX59" s="17"/>
      <c r="AY59" s="17"/>
    </row>
    <row r="60" spans="1:51" ht="13.15" customHeight="1">
      <c r="A60" s="52">
        <v>10634</v>
      </c>
      <c r="B60" s="136" t="s">
        <v>212</v>
      </c>
      <c r="C60" s="30" t="str">
        <f>Rollover!A60</f>
        <v>Subaru</v>
      </c>
      <c r="D60" s="51" t="str">
        <f>Rollover!B60</f>
        <v>Forester SUV AWD</v>
      </c>
      <c r="E60" s="10" t="s">
        <v>163</v>
      </c>
      <c r="F60" s="74">
        <f>Rollover!C60</f>
        <v>2019</v>
      </c>
      <c r="G60" s="11">
        <v>66.221999999999994</v>
      </c>
      <c r="H60" s="12">
        <v>15.871</v>
      </c>
      <c r="I60" s="12">
        <v>21.369</v>
      </c>
      <c r="J60" s="12">
        <v>544.47400000000005</v>
      </c>
      <c r="K60" s="13">
        <v>1731.7539999999999</v>
      </c>
      <c r="L60" s="11">
        <v>245.74600000000001</v>
      </c>
      <c r="M60" s="12">
        <v>18.963000000000001</v>
      </c>
      <c r="N60" s="12">
        <v>55.99</v>
      </c>
      <c r="O60" s="12">
        <v>15.266</v>
      </c>
      <c r="P60" s="13">
        <v>2978.5160000000001</v>
      </c>
      <c r="Q60" s="26">
        <f t="shared" si="45"/>
        <v>5.2995780690379496E-6</v>
      </c>
      <c r="R60" s="6">
        <f t="shared" si="46"/>
        <v>1.9247195175760016E-2</v>
      </c>
      <c r="S60" s="6">
        <f t="shared" si="47"/>
        <v>7.5466447179217159E-3</v>
      </c>
      <c r="T60" s="27">
        <f t="shared" si="48"/>
        <v>3.3616012228657034E-3</v>
      </c>
      <c r="U60" s="26">
        <f t="shared" si="49"/>
        <v>4.2377122927568425E-3</v>
      </c>
      <c r="V60" s="27">
        <f t="shared" si="50"/>
        <v>2.9150625545768197E-2</v>
      </c>
      <c r="W60" s="26">
        <f t="shared" si="51"/>
        <v>0.03</v>
      </c>
      <c r="X60" s="6">
        <f t="shared" si="52"/>
        <v>3.3000000000000002E-2</v>
      </c>
      <c r="Y60" s="27">
        <f t="shared" si="53"/>
        <v>3.2000000000000001E-2</v>
      </c>
      <c r="Z60" s="28">
        <f t="shared" si="54"/>
        <v>0.2</v>
      </c>
      <c r="AA60" s="137">
        <f t="shared" si="55"/>
        <v>0.22</v>
      </c>
      <c r="AB60" s="29">
        <f t="shared" si="56"/>
        <v>0.21</v>
      </c>
      <c r="AC60" s="24">
        <f t="shared" si="57"/>
        <v>5</v>
      </c>
      <c r="AD60" s="138">
        <f t="shared" si="58"/>
        <v>5</v>
      </c>
      <c r="AE60" s="25">
        <f t="shared" si="59"/>
        <v>5</v>
      </c>
      <c r="AF60" s="14"/>
      <c r="AG60" s="14"/>
      <c r="AH60" s="16"/>
      <c r="AI60" s="16"/>
      <c r="AJ60" s="16"/>
      <c r="AK60" s="16"/>
      <c r="AL60" s="15"/>
      <c r="AM60" s="15"/>
      <c r="AN60" s="15"/>
      <c r="AO60" s="17"/>
      <c r="AP60" s="17"/>
      <c r="AQ60" s="17"/>
      <c r="AR60" s="17"/>
      <c r="AS60" s="17"/>
      <c r="AT60" s="17"/>
      <c r="AU60" s="17"/>
      <c r="AV60" s="17"/>
      <c r="AW60" s="17"/>
      <c r="AX60" s="17"/>
      <c r="AY60" s="17"/>
    </row>
    <row r="61" spans="1:51" ht="13.15" customHeight="1">
      <c r="A61" s="52">
        <v>10654</v>
      </c>
      <c r="B61" s="136" t="s">
        <v>225</v>
      </c>
      <c r="C61" s="30" t="str">
        <f>Rollover!A61</f>
        <v>Toyota</v>
      </c>
      <c r="D61" s="51" t="str">
        <f>Rollover!B61</f>
        <v>Avalon 4DR FWD</v>
      </c>
      <c r="E61" s="10" t="s">
        <v>88</v>
      </c>
      <c r="F61" s="74">
        <f>Rollover!C61</f>
        <v>2019</v>
      </c>
      <c r="G61" s="11">
        <v>162.529</v>
      </c>
      <c r="H61" s="12">
        <v>21.029</v>
      </c>
      <c r="I61" s="12">
        <v>25.114000000000001</v>
      </c>
      <c r="J61" s="12">
        <v>692.37099999999998</v>
      </c>
      <c r="K61" s="13">
        <v>1413.2919999999999</v>
      </c>
      <c r="L61" s="11">
        <v>266.11799999999999</v>
      </c>
      <c r="M61" s="12">
        <v>16.617999999999999</v>
      </c>
      <c r="N61" s="12">
        <v>41.353000000000002</v>
      </c>
      <c r="O61" s="12">
        <v>22.709</v>
      </c>
      <c r="P61" s="13">
        <v>3049.5920000000001</v>
      </c>
      <c r="Q61" s="26">
        <f t="shared" si="45"/>
        <v>7.0831848844211151E-4</v>
      </c>
      <c r="R61" s="6">
        <f t="shared" si="46"/>
        <v>3.0562717448263978E-2</v>
      </c>
      <c r="S61" s="6">
        <f t="shared" si="47"/>
        <v>1.031678571027555E-2</v>
      </c>
      <c r="T61" s="27">
        <f t="shared" si="48"/>
        <v>2.3705053482757999E-3</v>
      </c>
      <c r="U61" s="26">
        <f t="shared" si="49"/>
        <v>5.7866791982520037E-3</v>
      </c>
      <c r="V61" s="27">
        <f t="shared" si="50"/>
        <v>3.1102111419899926E-2</v>
      </c>
      <c r="W61" s="26">
        <f t="shared" si="51"/>
        <v>4.3999999999999997E-2</v>
      </c>
      <c r="X61" s="6">
        <f t="shared" si="52"/>
        <v>3.6999999999999998E-2</v>
      </c>
      <c r="Y61" s="27">
        <f t="shared" si="53"/>
        <v>4.1000000000000002E-2</v>
      </c>
      <c r="Z61" s="28">
        <f t="shared" si="54"/>
        <v>0.28999999999999998</v>
      </c>
      <c r="AA61" s="137">
        <f t="shared" si="55"/>
        <v>0.25</v>
      </c>
      <c r="AB61" s="29">
        <f t="shared" si="56"/>
        <v>0.27</v>
      </c>
      <c r="AC61" s="24">
        <f t="shared" si="57"/>
        <v>5</v>
      </c>
      <c r="AD61" s="138">
        <f t="shared" si="58"/>
        <v>5</v>
      </c>
      <c r="AE61" s="25">
        <f t="shared" si="59"/>
        <v>5</v>
      </c>
      <c r="AF61" s="14"/>
      <c r="AG61" s="14"/>
      <c r="AH61" s="16"/>
      <c r="AI61" s="16"/>
      <c r="AJ61" s="16"/>
      <c r="AK61" s="16"/>
      <c r="AL61" s="15"/>
      <c r="AM61" s="15"/>
      <c r="AN61" s="15"/>
      <c r="AO61" s="17"/>
      <c r="AP61" s="17"/>
      <c r="AQ61" s="17"/>
      <c r="AR61" s="17"/>
      <c r="AS61" s="17"/>
      <c r="AT61" s="17"/>
      <c r="AU61" s="17"/>
      <c r="AV61" s="17"/>
      <c r="AW61" s="17"/>
      <c r="AX61" s="17"/>
      <c r="AY61" s="17"/>
    </row>
    <row r="62" spans="1:51" ht="13.15" customHeight="1">
      <c r="A62" s="52">
        <v>10654</v>
      </c>
      <c r="B62" s="136" t="s">
        <v>225</v>
      </c>
      <c r="C62" s="140" t="str">
        <f>Rollover!A62</f>
        <v>Toyota</v>
      </c>
      <c r="D62" s="10" t="str">
        <f>Rollover!B62</f>
        <v>Avalon Hybrid 4DR FWD</v>
      </c>
      <c r="E62" s="10" t="s">
        <v>88</v>
      </c>
      <c r="F62" s="74">
        <f>Rollover!C62</f>
        <v>2019</v>
      </c>
      <c r="G62" s="11">
        <v>162.529</v>
      </c>
      <c r="H62" s="12">
        <v>21.029</v>
      </c>
      <c r="I62" s="12">
        <v>25.114000000000001</v>
      </c>
      <c r="J62" s="12">
        <v>692.37099999999998</v>
      </c>
      <c r="K62" s="13">
        <v>1413.2919999999999</v>
      </c>
      <c r="L62" s="11">
        <v>266.11799999999999</v>
      </c>
      <c r="M62" s="12">
        <v>16.617999999999999</v>
      </c>
      <c r="N62" s="12">
        <v>41.353000000000002</v>
      </c>
      <c r="O62" s="12">
        <v>22.709</v>
      </c>
      <c r="P62" s="13">
        <v>3049.5920000000001</v>
      </c>
      <c r="Q62" s="26">
        <f t="shared" ref="Q62" si="90">NORMDIST(LN(G62),7.45231,0.73998,1)</f>
        <v>7.0831848844211151E-4</v>
      </c>
      <c r="R62" s="6">
        <f t="shared" ref="R62" si="91">1/(1+EXP(5.3895-0.0919*H62))</f>
        <v>3.0562717448263978E-2</v>
      </c>
      <c r="S62" s="6">
        <f t="shared" ref="S62" si="92">1/(1+EXP(6.04044-0.002133*J62))</f>
        <v>1.031678571027555E-2</v>
      </c>
      <c r="T62" s="27">
        <f t="shared" ref="T62" si="93">1/(1+EXP(7.5969-0.0011*K62))</f>
        <v>2.3705053482757999E-3</v>
      </c>
      <c r="U62" s="26">
        <f t="shared" ref="U62" si="94">NORMDIST(LN(L62),7.45231,0.73998,1)</f>
        <v>5.7866791982520037E-3</v>
      </c>
      <c r="V62" s="27">
        <f t="shared" ref="V62" si="95">1/(1+EXP(6.3055-0.00094*P62))</f>
        <v>3.1102111419899926E-2</v>
      </c>
      <c r="W62" s="26">
        <f t="shared" ref="W62" si="96">ROUND(1-(1-Q62)*(1-R62)*(1-S62)*(1-T62),3)</f>
        <v>4.3999999999999997E-2</v>
      </c>
      <c r="X62" s="6">
        <f t="shared" ref="X62" si="97">IF(L62="N/A",L62,ROUND(1-(1-U62)*(1-V62),3))</f>
        <v>3.6999999999999998E-2</v>
      </c>
      <c r="Y62" s="27">
        <f t="shared" ref="Y62" si="98">ROUND(AVERAGE(W62:X62),3)</f>
        <v>4.1000000000000002E-2</v>
      </c>
      <c r="Z62" s="28">
        <f t="shared" ref="Z62" si="99">ROUND(W62/0.15,2)</f>
        <v>0.28999999999999998</v>
      </c>
      <c r="AA62" s="137">
        <f t="shared" ref="AA62" si="100">IF(L62="N/A", L62, ROUND(X62/0.15,2))</f>
        <v>0.25</v>
      </c>
      <c r="AB62" s="29">
        <f t="shared" ref="AB62" si="101">ROUND(Y62/0.15,2)</f>
        <v>0.27</v>
      </c>
      <c r="AC62" s="24">
        <f t="shared" ref="AC62" si="102">IF(Z62&lt;0.67,5,IF(Z62&lt;1,4,IF(Z62&lt;1.33,3,IF(Z62&lt;2.67,2,1))))</f>
        <v>5</v>
      </c>
      <c r="AD62" s="138">
        <f t="shared" ref="AD62" si="103">IF(L62="N/A",L62,IF(AA62&lt;0.67,5,IF(AA62&lt;1,4,IF(AA62&lt;1.33,3,IF(AA62&lt;2.67,2,1)))))</f>
        <v>5</v>
      </c>
      <c r="AE62" s="25">
        <f t="shared" ref="AE62" si="104">IF(AB62&lt;0.67,5,IF(AB62&lt;1,4,IF(AB62&lt;1.33,3,IF(AB62&lt;2.67,2,1))))</f>
        <v>5</v>
      </c>
      <c r="AF62" s="14"/>
      <c r="AG62" s="14"/>
      <c r="AH62" s="16"/>
      <c r="AI62" s="16"/>
      <c r="AJ62" s="16"/>
      <c r="AK62" s="16"/>
      <c r="AL62" s="15"/>
      <c r="AM62" s="15"/>
      <c r="AN62" s="15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</row>
    <row r="63" spans="1:51" ht="13.15" customHeight="1">
      <c r="A63" s="52">
        <v>10153</v>
      </c>
      <c r="B63" s="52" t="s">
        <v>169</v>
      </c>
      <c r="C63" s="30" t="str">
        <f>Rollover!A63</f>
        <v>Toyota</v>
      </c>
      <c r="D63" s="51" t="str">
        <f>Rollover!B63</f>
        <v>C-HR 5HB FWD</v>
      </c>
      <c r="E63" s="10" t="s">
        <v>88</v>
      </c>
      <c r="F63" s="74">
        <f>Rollover!C63</f>
        <v>2019</v>
      </c>
      <c r="G63" s="11">
        <v>79.957999999999998</v>
      </c>
      <c r="H63" s="12">
        <v>16.582999999999998</v>
      </c>
      <c r="I63" s="12">
        <v>22.974</v>
      </c>
      <c r="J63" s="12">
        <v>558.68499999999995</v>
      </c>
      <c r="K63" s="13">
        <v>1863.1489999999999</v>
      </c>
      <c r="L63" s="11">
        <v>332.97</v>
      </c>
      <c r="M63" s="12">
        <v>27.452999999999999</v>
      </c>
      <c r="N63" s="12">
        <v>58.325000000000003</v>
      </c>
      <c r="O63" s="12">
        <v>19.445</v>
      </c>
      <c r="P63" s="13">
        <v>2260.2579999999998</v>
      </c>
      <c r="Q63" s="26">
        <f t="shared" ref="Q63:Q64" si="105">NORMDIST(LN(G63),7.45231,0.73998,1)</f>
        <v>1.663441547666447E-5</v>
      </c>
      <c r="R63" s="6">
        <f t="shared" ref="R63:R64" si="106">1/(1+EXP(5.3895-0.0919*H63))</f>
        <v>2.0521999904588088E-2</v>
      </c>
      <c r="S63" s="6">
        <f t="shared" ref="S63:S64" si="107">1/(1+EXP(6.04044-0.002133*J63))</f>
        <v>7.7770951120338201E-3</v>
      </c>
      <c r="T63" s="27">
        <f t="shared" ref="T63:T64" si="108">1/(1+EXP(7.5969-0.0011*K63))</f>
        <v>3.8823060397633292E-3</v>
      </c>
      <c r="U63" s="26">
        <f t="shared" ref="U63:U64" si="109">NORMDIST(LN(L63),7.45231,0.73998,1)</f>
        <v>1.3140646212025178E-2</v>
      </c>
      <c r="V63" s="27">
        <f t="shared" ref="V63:V64" si="110">1/(1+EXP(6.3055-0.00094*P63))</f>
        <v>1.5055269286872145E-2</v>
      </c>
      <c r="W63" s="26">
        <f t="shared" ref="W63:W64" si="111">ROUND(1-(1-Q63)*(1-R63)*(1-S63)*(1-T63),3)</f>
        <v>3.2000000000000001E-2</v>
      </c>
      <c r="X63" s="6">
        <f t="shared" ref="X63:X64" si="112">IF(L63="N/A",L63,ROUND(1-(1-U63)*(1-V63),3))</f>
        <v>2.8000000000000001E-2</v>
      </c>
      <c r="Y63" s="27">
        <f t="shared" ref="Y63:Y64" si="113">ROUND(AVERAGE(W63:X63),3)</f>
        <v>0.03</v>
      </c>
      <c r="Z63" s="28">
        <f t="shared" ref="Z63:Z64" si="114">ROUND(W63/0.15,2)</f>
        <v>0.21</v>
      </c>
      <c r="AA63" s="137">
        <f t="shared" ref="AA63:AA64" si="115">IF(L63="N/A", L63, ROUND(X63/0.15,2))</f>
        <v>0.19</v>
      </c>
      <c r="AB63" s="29">
        <f t="shared" ref="AB63:AB64" si="116">ROUND(Y63/0.15,2)</f>
        <v>0.2</v>
      </c>
      <c r="AC63" s="24">
        <f t="shared" ref="AC63:AC64" si="117">IF(Z63&lt;0.67,5,IF(Z63&lt;1,4,IF(Z63&lt;1.33,3,IF(Z63&lt;2.67,2,1))))</f>
        <v>5</v>
      </c>
      <c r="AD63" s="138">
        <f t="shared" ref="AD63:AD64" si="118">IF(L63="N/A",L63,IF(AA63&lt;0.67,5,IF(AA63&lt;1,4,IF(AA63&lt;1.33,3,IF(AA63&lt;2.67,2,1)))))</f>
        <v>5</v>
      </c>
      <c r="AE63" s="25">
        <f t="shared" ref="AE63:AE64" si="119">IF(AB63&lt;0.67,5,IF(AB63&lt;1,4,IF(AB63&lt;1.33,3,IF(AB63&lt;2.67,2,1))))</f>
        <v>5</v>
      </c>
      <c r="AF63" s="14"/>
      <c r="AG63" s="14"/>
      <c r="AH63" s="16"/>
      <c r="AI63" s="16"/>
      <c r="AJ63" s="16"/>
      <c r="AK63" s="16"/>
      <c r="AL63" s="15"/>
      <c r="AM63" s="15"/>
      <c r="AN63" s="15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</row>
    <row r="64" spans="1:51" ht="13.15" customHeight="1">
      <c r="A64" s="53">
        <v>10646</v>
      </c>
      <c r="B64" s="53" t="s">
        <v>223</v>
      </c>
      <c r="C64" s="30" t="str">
        <f>Rollover!A64</f>
        <v>Toyota</v>
      </c>
      <c r="D64" s="51" t="str">
        <f>Rollover!B64</f>
        <v>Corolla 5HB FWD</v>
      </c>
      <c r="E64" s="10" t="s">
        <v>88</v>
      </c>
      <c r="F64" s="74">
        <f>Rollover!C64</f>
        <v>2019</v>
      </c>
      <c r="G64" s="11">
        <v>83.117999999999995</v>
      </c>
      <c r="H64" s="12">
        <v>21.913</v>
      </c>
      <c r="I64" s="12">
        <v>26.388000000000002</v>
      </c>
      <c r="J64" s="12">
        <v>729.15200000000004</v>
      </c>
      <c r="K64" s="13">
        <v>1641.8710000000001</v>
      </c>
      <c r="L64" s="11">
        <v>225.48400000000001</v>
      </c>
      <c r="M64" s="12">
        <v>36.921999999999997</v>
      </c>
      <c r="N64" s="12">
        <v>64.144000000000005</v>
      </c>
      <c r="O64" s="12">
        <v>36.741999999999997</v>
      </c>
      <c r="P64" s="13">
        <v>2836.748</v>
      </c>
      <c r="Q64" s="26">
        <f t="shared" si="105"/>
        <v>2.0884164865500509E-5</v>
      </c>
      <c r="R64" s="6">
        <f t="shared" si="106"/>
        <v>3.306374206011721E-2</v>
      </c>
      <c r="S64" s="6">
        <f t="shared" si="107"/>
        <v>1.1149386656717995E-2</v>
      </c>
      <c r="T64" s="27">
        <f t="shared" si="108"/>
        <v>3.0461016590209618E-3</v>
      </c>
      <c r="U64" s="26">
        <f t="shared" si="109"/>
        <v>2.9906470133317133E-3</v>
      </c>
      <c r="V64" s="27">
        <f t="shared" si="110"/>
        <v>2.5606802421860586E-2</v>
      </c>
      <c r="W64" s="26">
        <f t="shared" si="111"/>
        <v>4.7E-2</v>
      </c>
      <c r="X64" s="6">
        <f t="shared" si="112"/>
        <v>2.9000000000000001E-2</v>
      </c>
      <c r="Y64" s="27">
        <f t="shared" si="113"/>
        <v>3.7999999999999999E-2</v>
      </c>
      <c r="Z64" s="28">
        <f t="shared" si="114"/>
        <v>0.31</v>
      </c>
      <c r="AA64" s="137">
        <f t="shared" si="115"/>
        <v>0.19</v>
      </c>
      <c r="AB64" s="29">
        <f t="shared" si="116"/>
        <v>0.25</v>
      </c>
      <c r="AC64" s="24">
        <f t="shared" si="117"/>
        <v>5</v>
      </c>
      <c r="AD64" s="138">
        <f t="shared" si="118"/>
        <v>5</v>
      </c>
      <c r="AE64" s="25">
        <f t="shared" si="119"/>
        <v>5</v>
      </c>
      <c r="AF64" s="14"/>
      <c r="AG64" s="14"/>
      <c r="AH64" s="16"/>
      <c r="AI64" s="16"/>
      <c r="AJ64" s="16"/>
      <c r="AK64" s="16"/>
      <c r="AL64" s="15"/>
      <c r="AM64" s="15"/>
      <c r="AN64" s="15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</row>
    <row r="65" spans="1:51" ht="13.15" customHeight="1">
      <c r="A65" s="52">
        <v>10670</v>
      </c>
      <c r="B65" s="136" t="s">
        <v>243</v>
      </c>
      <c r="C65" s="30" t="str">
        <f>Rollover!A65</f>
        <v xml:space="preserve">Volkswagen </v>
      </c>
      <c r="D65" s="51" t="str">
        <f>Rollover!B65</f>
        <v>Jetta 4DR FWD</v>
      </c>
      <c r="E65" s="10" t="s">
        <v>162</v>
      </c>
      <c r="F65" s="74">
        <f>Rollover!C65</f>
        <v>2019</v>
      </c>
      <c r="G65" s="11">
        <v>100.57299999999999</v>
      </c>
      <c r="H65" s="12">
        <v>23.73</v>
      </c>
      <c r="I65" s="12">
        <v>32.225999999999999</v>
      </c>
      <c r="J65" s="12">
        <v>838.15200000000004</v>
      </c>
      <c r="K65" s="13">
        <v>1410.2249999999999</v>
      </c>
      <c r="L65" s="11">
        <v>306.17200000000003</v>
      </c>
      <c r="M65" s="12">
        <v>31.501000000000001</v>
      </c>
      <c r="N65" s="12">
        <v>55.665999999999997</v>
      </c>
      <c r="O65" s="12">
        <v>31.452999999999999</v>
      </c>
      <c r="P65" s="13">
        <v>2462.3580000000002</v>
      </c>
      <c r="Q65" s="26">
        <f t="shared" si="45"/>
        <v>6.155002126778791E-5</v>
      </c>
      <c r="R65" s="6">
        <f t="shared" si="46"/>
        <v>3.8839150528866447E-2</v>
      </c>
      <c r="S65" s="6">
        <f t="shared" si="47"/>
        <v>1.402676686720053E-2</v>
      </c>
      <c r="T65" s="27">
        <f t="shared" si="48"/>
        <v>2.3625403118769203E-3</v>
      </c>
      <c r="U65" s="26">
        <f t="shared" si="49"/>
        <v>9.7607850615767273E-3</v>
      </c>
      <c r="V65" s="27">
        <f t="shared" si="50"/>
        <v>1.8147941953405661E-2</v>
      </c>
      <c r="W65" s="26">
        <f t="shared" si="51"/>
        <v>5.5E-2</v>
      </c>
      <c r="X65" s="6">
        <f t="shared" si="52"/>
        <v>2.8000000000000001E-2</v>
      </c>
      <c r="Y65" s="27">
        <f t="shared" si="53"/>
        <v>4.2000000000000003E-2</v>
      </c>
      <c r="Z65" s="28">
        <f t="shared" si="54"/>
        <v>0.37</v>
      </c>
      <c r="AA65" s="137">
        <f t="shared" si="55"/>
        <v>0.19</v>
      </c>
      <c r="AB65" s="29">
        <f t="shared" si="56"/>
        <v>0.28000000000000003</v>
      </c>
      <c r="AC65" s="24">
        <f t="shared" si="57"/>
        <v>5</v>
      </c>
      <c r="AD65" s="138">
        <f t="shared" si="58"/>
        <v>5</v>
      </c>
      <c r="AE65" s="25">
        <f t="shared" si="59"/>
        <v>5</v>
      </c>
      <c r="AF65" s="14"/>
      <c r="AG65" s="14"/>
      <c r="AH65" s="16"/>
      <c r="AI65" s="16"/>
      <c r="AJ65" s="16"/>
      <c r="AK65" s="16"/>
      <c r="AL65" s="15"/>
      <c r="AM65" s="15"/>
      <c r="AN65" s="15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</row>
    <row r="66" spans="1:51">
      <c r="AE66" s="2"/>
    </row>
    <row r="67" spans="1:51">
      <c r="AE67" s="2"/>
    </row>
    <row r="68" spans="1:51">
      <c r="AE68" s="2"/>
    </row>
    <row r="69" spans="1:51">
      <c r="AE69" s="2"/>
    </row>
    <row r="70" spans="1:51">
      <c r="AE70" s="2"/>
    </row>
    <row r="71" spans="1:51">
      <c r="AE71" s="2"/>
    </row>
    <row r="72" spans="1:51">
      <c r="AE72" s="2"/>
    </row>
    <row r="73" spans="1:51">
      <c r="AE73" s="2"/>
    </row>
    <row r="74" spans="1:51">
      <c r="AE74" s="2"/>
    </row>
    <row r="75" spans="1:51">
      <c r="AE75" s="2"/>
    </row>
    <row r="76" spans="1:51">
      <c r="AE76" s="2"/>
    </row>
    <row r="77" spans="1:51">
      <c r="AE77" s="2"/>
    </row>
    <row r="78" spans="1:51">
      <c r="AE78" s="2"/>
    </row>
    <row r="79" spans="1:51">
      <c r="AE79" s="2"/>
    </row>
    <row r="80" spans="1:51">
      <c r="AE80" s="2"/>
    </row>
    <row r="81" spans="31:31">
      <c r="AE81" s="2"/>
    </row>
    <row r="82" spans="31:31">
      <c r="AE82" s="2"/>
    </row>
    <row r="83" spans="31:31">
      <c r="AE83" s="2"/>
    </row>
    <row r="84" spans="31:31">
      <c r="AE84" s="2"/>
    </row>
    <row r="85" spans="31:31">
      <c r="AE85" s="2"/>
    </row>
    <row r="86" spans="31:31">
      <c r="AE86" s="2"/>
    </row>
    <row r="87" spans="31:31">
      <c r="AE87" s="2"/>
    </row>
    <row r="88" spans="31:31">
      <c r="AE88" s="2"/>
    </row>
    <row r="89" spans="31:31">
      <c r="AE89" s="2"/>
    </row>
    <row r="90" spans="31:31">
      <c r="AE90" s="2"/>
    </row>
    <row r="91" spans="31:31">
      <c r="AE91" s="2"/>
    </row>
    <row r="92" spans="31:31">
      <c r="AE92" s="2"/>
    </row>
    <row r="93" spans="31:31">
      <c r="AE93" s="2"/>
    </row>
    <row r="94" spans="31:31">
      <c r="AE94" s="2"/>
    </row>
    <row r="95" spans="31:31">
      <c r="AE95" s="2"/>
    </row>
    <row r="96" spans="31:31">
      <c r="AE96" s="2"/>
    </row>
    <row r="97" spans="31:31">
      <c r="AE97" s="2"/>
    </row>
    <row r="98" spans="31:31">
      <c r="AE98" s="2"/>
    </row>
    <row r="99" spans="31:31">
      <c r="AE99" s="2"/>
    </row>
    <row r="100" spans="31:31">
      <c r="AE100" s="2"/>
    </row>
    <row r="101" spans="31:31">
      <c r="AE101" s="2"/>
    </row>
    <row r="102" spans="31:31">
      <c r="AE102" s="2"/>
    </row>
    <row r="103" spans="31:31">
      <c r="AE103" s="2"/>
    </row>
    <row r="104" spans="31:31">
      <c r="AE104" s="2"/>
    </row>
    <row r="105" spans="31:31">
      <c r="AE105" s="2"/>
    </row>
    <row r="106" spans="31:31">
      <c r="AE106" s="2"/>
    </row>
    <row r="107" spans="31:31">
      <c r="AE107" s="2"/>
    </row>
    <row r="108" spans="31:31">
      <c r="AE108" s="2"/>
    </row>
    <row r="109" spans="31:31">
      <c r="AE109" s="2"/>
    </row>
    <row r="110" spans="31:31">
      <c r="AE110" s="2"/>
    </row>
    <row r="111" spans="31:31">
      <c r="AE111" s="2"/>
    </row>
    <row r="112" spans="31:31">
      <c r="AE112" s="2"/>
    </row>
    <row r="113" spans="31:31">
      <c r="AE113" s="2"/>
    </row>
    <row r="114" spans="31:31">
      <c r="AE114" s="2"/>
    </row>
    <row r="115" spans="31:31">
      <c r="AE115" s="2"/>
    </row>
    <row r="116" spans="31:31">
      <c r="AE116" s="2"/>
    </row>
    <row r="117" spans="31:31">
      <c r="AE117" s="2"/>
    </row>
    <row r="118" spans="31:31">
      <c r="AE118" s="2"/>
    </row>
    <row r="119" spans="31:31">
      <c r="AE119" s="2"/>
    </row>
    <row r="120" spans="31:31">
      <c r="AE120" s="2"/>
    </row>
    <row r="121" spans="31:31">
      <c r="AE121" s="2"/>
    </row>
    <row r="122" spans="31:31">
      <c r="AE122" s="2"/>
    </row>
    <row r="123" spans="31:31">
      <c r="AE123" s="2"/>
    </row>
    <row r="124" spans="31:31">
      <c r="AE124" s="2"/>
    </row>
    <row r="125" spans="31:31">
      <c r="AE125" s="2"/>
    </row>
    <row r="126" spans="31:31">
      <c r="AE126" s="2"/>
    </row>
    <row r="127" spans="31:31">
      <c r="AE127" s="2"/>
    </row>
    <row r="128" spans="31:31">
      <c r="AE128" s="2"/>
    </row>
    <row r="129" spans="31:31">
      <c r="AE129" s="2"/>
    </row>
    <row r="130" spans="31:31">
      <c r="AE130" s="2"/>
    </row>
    <row r="131" spans="31:31">
      <c r="AE131" s="2"/>
    </row>
    <row r="132" spans="31:31">
      <c r="AE132" s="2"/>
    </row>
    <row r="133" spans="31:31">
      <c r="AE133" s="2"/>
    </row>
    <row r="134" spans="31:31">
      <c r="AE134" s="2"/>
    </row>
    <row r="135" spans="31:31">
      <c r="AE135" s="2"/>
    </row>
    <row r="136" spans="31:31">
      <c r="AE136" s="2"/>
    </row>
    <row r="137" spans="31:31">
      <c r="AE137" s="2"/>
    </row>
    <row r="138" spans="31:31">
      <c r="AE138" s="2"/>
    </row>
    <row r="139" spans="31:31">
      <c r="AE139" s="2"/>
    </row>
    <row r="140" spans="31:31">
      <c r="AE140" s="2"/>
    </row>
    <row r="141" spans="31:31">
      <c r="AE141" s="2"/>
    </row>
    <row r="142" spans="31:31">
      <c r="AE142" s="2"/>
    </row>
    <row r="143" spans="31:31">
      <c r="AE143" s="2"/>
    </row>
    <row r="144" spans="31:31">
      <c r="AE144" s="2"/>
    </row>
    <row r="145" spans="31:31">
      <c r="AE145" s="2"/>
    </row>
    <row r="146" spans="31:31">
      <c r="AE146" s="2"/>
    </row>
    <row r="147" spans="31:31">
      <c r="AE147" s="2"/>
    </row>
    <row r="148" spans="31:31">
      <c r="AE148" s="2"/>
    </row>
    <row r="149" spans="31:31">
      <c r="AE149" s="2"/>
    </row>
    <row r="150" spans="31:31">
      <c r="AE150" s="2"/>
    </row>
    <row r="151" spans="31:31">
      <c r="AE151" s="2"/>
    </row>
    <row r="152" spans="31:31">
      <c r="AE152" s="2"/>
    </row>
    <row r="153" spans="31:31">
      <c r="AE153" s="2"/>
    </row>
    <row r="154" spans="31:31">
      <c r="AE154" s="2"/>
    </row>
    <row r="155" spans="31:31">
      <c r="AE155" s="2"/>
    </row>
    <row r="156" spans="31:31">
      <c r="AE156" s="2"/>
    </row>
    <row r="157" spans="31:31">
      <c r="AE157" s="2"/>
    </row>
    <row r="158" spans="31:31">
      <c r="AE158" s="2"/>
    </row>
    <row r="159" spans="31:31">
      <c r="AE159" s="2"/>
    </row>
    <row r="160" spans="31:31">
      <c r="AE160" s="2"/>
    </row>
    <row r="161" spans="31:31">
      <c r="AE161" s="2"/>
    </row>
    <row r="162" spans="31:31">
      <c r="AE162" s="2"/>
    </row>
    <row r="163" spans="31:31">
      <c r="AE163" s="2"/>
    </row>
    <row r="164" spans="31:31">
      <c r="AE164" s="2"/>
    </row>
    <row r="165" spans="31:31">
      <c r="AE165" s="2"/>
    </row>
    <row r="166" spans="31:31">
      <c r="AE166" s="2"/>
    </row>
    <row r="167" spans="31:31">
      <c r="AE167" s="2"/>
    </row>
    <row r="168" spans="31:31">
      <c r="AE168" s="2"/>
    </row>
    <row r="169" spans="31:31">
      <c r="AE169" s="2"/>
    </row>
    <row r="170" spans="31:31">
      <c r="AE170" s="2"/>
    </row>
    <row r="171" spans="31:31">
      <c r="AE171" s="2"/>
    </row>
    <row r="172" spans="31:31">
      <c r="AE172" s="2"/>
    </row>
    <row r="173" spans="31:31">
      <c r="AE173" s="2"/>
    </row>
    <row r="174" spans="31:31">
      <c r="AE174" s="2"/>
    </row>
    <row r="175" spans="31:31">
      <c r="AE175" s="2"/>
    </row>
    <row r="176" spans="31:31">
      <c r="AE176" s="2"/>
    </row>
    <row r="177" spans="31:31">
      <c r="AE177" s="2"/>
    </row>
    <row r="178" spans="31:31">
      <c r="AE178" s="2"/>
    </row>
    <row r="179" spans="31:31">
      <c r="AE179" s="2"/>
    </row>
    <row r="180" spans="31:31">
      <c r="AE180" s="2"/>
    </row>
    <row r="181" spans="31:31">
      <c r="AE181" s="2"/>
    </row>
    <row r="182" spans="31:31">
      <c r="AE182" s="2"/>
    </row>
    <row r="183" spans="31:31">
      <c r="AE183" s="2"/>
    </row>
    <row r="184" spans="31:31">
      <c r="AE184" s="2"/>
    </row>
    <row r="185" spans="31:31">
      <c r="AE185" s="2"/>
    </row>
    <row r="186" spans="31:31">
      <c r="AE186" s="2"/>
    </row>
    <row r="187" spans="31:31">
      <c r="AE187" s="2"/>
    </row>
    <row r="188" spans="31:31">
      <c r="AE188" s="2"/>
    </row>
    <row r="189" spans="31:31">
      <c r="AE189" s="2"/>
    </row>
    <row r="190" spans="31:31">
      <c r="AE190" s="2"/>
    </row>
    <row r="191" spans="31:31">
      <c r="AE191" s="2"/>
    </row>
    <row r="192" spans="31:31">
      <c r="AE192" s="2"/>
    </row>
    <row r="193" spans="31:31">
      <c r="AE193" s="2"/>
    </row>
    <row r="194" spans="31:31">
      <c r="AE194" s="2"/>
    </row>
    <row r="195" spans="31:31">
      <c r="AE195" s="2"/>
    </row>
    <row r="196" spans="31:31">
      <c r="AE196" s="2"/>
    </row>
    <row r="197" spans="31:31">
      <c r="AE197" s="2"/>
    </row>
    <row r="198" spans="31:31">
      <c r="AE198" s="2"/>
    </row>
    <row r="199" spans="31:31">
      <c r="AE199" s="2"/>
    </row>
    <row r="200" spans="31:31">
      <c r="AE200" s="2"/>
    </row>
    <row r="201" spans="31:31">
      <c r="AE201" s="2"/>
    </row>
    <row r="202" spans="31:31">
      <c r="AE202" s="2"/>
    </row>
    <row r="203" spans="31:31">
      <c r="AE203" s="2"/>
    </row>
    <row r="204" spans="31:31">
      <c r="AE204" s="2"/>
    </row>
    <row r="205" spans="31:31">
      <c r="AE205" s="2"/>
    </row>
    <row r="206" spans="31:31">
      <c r="AE206" s="2"/>
    </row>
    <row r="207" spans="31:31">
      <c r="AE207" s="2"/>
    </row>
    <row r="208" spans="31:31">
      <c r="AE208" s="2"/>
    </row>
    <row r="209" spans="31:31">
      <c r="AE209" s="2"/>
    </row>
    <row r="210" spans="31:31">
      <c r="AE210" s="2"/>
    </row>
    <row r="211" spans="31:31">
      <c r="AE211" s="2"/>
    </row>
    <row r="212" spans="31:31">
      <c r="AE212" s="2"/>
    </row>
    <row r="213" spans="31:31">
      <c r="AE213" s="2"/>
    </row>
    <row r="214" spans="31:31">
      <c r="AE214" s="2"/>
    </row>
    <row r="215" spans="31:31">
      <c r="AE215" s="2"/>
    </row>
    <row r="216" spans="31:31">
      <c r="AE216" s="2"/>
    </row>
    <row r="217" spans="31:31">
      <c r="AE217" s="2"/>
    </row>
    <row r="218" spans="31:31">
      <c r="AE218" s="2"/>
    </row>
    <row r="219" spans="31:31">
      <c r="AE219" s="2"/>
    </row>
    <row r="220" spans="31:31">
      <c r="AE220" s="2"/>
    </row>
    <row r="221" spans="31:31">
      <c r="AE221" s="2"/>
    </row>
    <row r="222" spans="31:31">
      <c r="AE222" s="2"/>
    </row>
  </sheetData>
  <mergeCells count="4">
    <mergeCell ref="G1:K1"/>
    <mergeCell ref="L1:P1"/>
    <mergeCell ref="Q1:T1"/>
    <mergeCell ref="U1:V1"/>
  </mergeCells>
  <phoneticPr fontId="2" type="noConversion"/>
  <pageMargins left="0.25" right="0.2" top="0.25" bottom="0.25" header="0.3" footer="0.3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192"/>
  <sheetViews>
    <sheetView zoomScaleNormal="100" workbookViewId="0">
      <pane xSplit="6" ySplit="2" topLeftCell="G3" activePane="bottomRight" state="frozen"/>
      <selection activeCell="A66" sqref="A66"/>
      <selection pane="topRight" activeCell="A66" sqref="A66"/>
      <selection pane="bottomLeft" activeCell="A66" sqref="A66"/>
      <selection pane="bottomRight" activeCell="A2" sqref="A2"/>
    </sheetView>
  </sheetViews>
  <sheetFormatPr defaultColWidth="9.140625" defaultRowHeight="13.9" customHeight="1"/>
  <cols>
    <col min="1" max="1" width="8.5703125" style="203" bestFit="1" customWidth="1"/>
    <col min="2" max="2" width="9" style="203" bestFit="1" customWidth="1"/>
    <col min="3" max="3" width="12" style="204" bestFit="1" customWidth="1"/>
    <col min="4" max="4" width="27.28515625" style="204" customWidth="1"/>
    <col min="5" max="5" width="6.5703125" style="205" customWidth="1"/>
    <col min="6" max="6" width="7.42578125" style="206" bestFit="1" customWidth="1"/>
    <col min="7" max="10" width="8.7109375" style="197" customWidth="1"/>
    <col min="11" max="11" width="9.85546875" style="197" customWidth="1"/>
    <col min="12" max="12" width="7" style="197" customWidth="1"/>
    <col min="13" max="13" width="7.42578125" style="197" customWidth="1"/>
    <col min="14" max="14" width="7.85546875" style="207" customWidth="1"/>
    <col min="15" max="15" width="8.5703125" style="207" bestFit="1" customWidth="1"/>
    <col min="16" max="16" width="8.28515625" style="208" customWidth="1"/>
    <col min="17" max="17" width="9.28515625" style="207" customWidth="1"/>
    <col min="18" max="18" width="10.140625" style="197" customWidth="1"/>
    <col min="19" max="19" width="6" style="203" customWidth="1"/>
    <col min="20" max="20" width="10.28515625" style="203" bestFit="1" customWidth="1"/>
    <col min="21" max="21" width="10.140625" style="203" customWidth="1"/>
    <col min="22" max="22" width="10.28515625" style="203" bestFit="1" customWidth="1"/>
    <col min="23" max="16384" width="9.140625" style="197"/>
  </cols>
  <sheetData>
    <row r="1" spans="1:38" s="117" customFormat="1" ht="13.9" customHeight="1" thickBot="1">
      <c r="A1" s="163"/>
      <c r="B1" s="164"/>
      <c r="C1" s="165"/>
      <c r="D1" s="165"/>
      <c r="E1" s="166"/>
      <c r="F1" s="167"/>
      <c r="G1" s="168" t="s">
        <v>47</v>
      </c>
      <c r="H1" s="169"/>
      <c r="I1" s="169"/>
      <c r="J1" s="169"/>
      <c r="K1" s="170"/>
      <c r="L1" s="171" t="s">
        <v>47</v>
      </c>
      <c r="M1" s="116"/>
      <c r="N1" s="172" t="s">
        <v>13</v>
      </c>
      <c r="O1" s="173" t="s">
        <v>13</v>
      </c>
      <c r="P1" s="43" t="s">
        <v>46</v>
      </c>
      <c r="Q1" s="174" t="s">
        <v>13</v>
      </c>
      <c r="R1" s="175" t="s">
        <v>13</v>
      </c>
      <c r="S1" s="42" t="s">
        <v>13</v>
      </c>
      <c r="T1" s="42" t="s">
        <v>60</v>
      </c>
      <c r="U1" s="42" t="s">
        <v>77</v>
      </c>
      <c r="V1" s="43" t="s">
        <v>60</v>
      </c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</row>
    <row r="2" spans="1:38" s="118" customFormat="1" ht="45.75" thickBot="1">
      <c r="A2" s="41" t="s">
        <v>27</v>
      </c>
      <c r="B2" s="42" t="s">
        <v>84</v>
      </c>
      <c r="C2" s="176" t="s">
        <v>19</v>
      </c>
      <c r="D2" s="176" t="s">
        <v>20</v>
      </c>
      <c r="E2" s="177" t="s">
        <v>76</v>
      </c>
      <c r="F2" s="178" t="s">
        <v>21</v>
      </c>
      <c r="G2" s="179" t="s">
        <v>59</v>
      </c>
      <c r="H2" s="180" t="s">
        <v>73</v>
      </c>
      <c r="I2" s="180" t="s">
        <v>74</v>
      </c>
      <c r="J2" s="180" t="s">
        <v>72</v>
      </c>
      <c r="K2" s="181" t="s">
        <v>40</v>
      </c>
      <c r="L2" s="182" t="s">
        <v>1</v>
      </c>
      <c r="M2" s="183" t="s">
        <v>15</v>
      </c>
      <c r="N2" s="182" t="s">
        <v>17</v>
      </c>
      <c r="O2" s="184" t="s">
        <v>67</v>
      </c>
      <c r="P2" s="33" t="s">
        <v>45</v>
      </c>
      <c r="Q2" s="185" t="s">
        <v>80</v>
      </c>
      <c r="R2" s="180" t="s">
        <v>81</v>
      </c>
      <c r="S2" s="186" t="s">
        <v>82</v>
      </c>
      <c r="T2" s="180" t="s">
        <v>79</v>
      </c>
      <c r="U2" s="180" t="s">
        <v>78</v>
      </c>
      <c r="V2" s="46" t="s">
        <v>83</v>
      </c>
      <c r="W2" s="5"/>
      <c r="X2" s="5"/>
      <c r="Y2" s="47"/>
      <c r="Z2" s="47"/>
      <c r="AA2" s="47"/>
      <c r="AB2" s="48"/>
      <c r="AC2" s="48"/>
      <c r="AD2" s="48"/>
      <c r="AE2" s="48"/>
      <c r="AF2" s="48"/>
      <c r="AG2" s="48"/>
      <c r="AH2" s="48"/>
      <c r="AI2" s="48"/>
      <c r="AJ2" s="48"/>
      <c r="AK2" s="48"/>
      <c r="AL2" s="48"/>
    </row>
    <row r="3" spans="1:38" ht="13.9" customHeight="1">
      <c r="A3" s="187">
        <v>10365</v>
      </c>
      <c r="B3" s="188" t="s">
        <v>90</v>
      </c>
      <c r="C3" s="189" t="str">
        <f>Rollover!A3</f>
        <v>Acura</v>
      </c>
      <c r="D3" s="189" t="str">
        <f>Rollover!B3</f>
        <v>RDX SUV FWD</v>
      </c>
      <c r="E3" s="70" t="s">
        <v>88</v>
      </c>
      <c r="F3" s="190">
        <f>Rollover!C3</f>
        <v>2019</v>
      </c>
      <c r="G3" s="191">
        <v>485.97300000000001</v>
      </c>
      <c r="H3" s="12">
        <v>27.663</v>
      </c>
      <c r="I3" s="12">
        <v>38.923999999999999</v>
      </c>
      <c r="J3" s="192">
        <v>22.199000000000002</v>
      </c>
      <c r="K3" s="13">
        <v>3130.9520000000002</v>
      </c>
      <c r="L3" s="26">
        <f>NORMDIST(LN(G3),7.45231,0.73998,1)</f>
        <v>4.3534176216593799E-2</v>
      </c>
      <c r="M3" s="27">
        <f t="shared" ref="M3:M10" si="0">1/(1+EXP(6.3055-0.00094*K3))</f>
        <v>3.349128305610858E-2</v>
      </c>
      <c r="N3" s="26">
        <f t="shared" ref="N3:N10" si="1">ROUND(1-(1-L3)*(1-M3),3)</f>
        <v>7.5999999999999998E-2</v>
      </c>
      <c r="O3" s="6">
        <f t="shared" ref="O3:O10" si="2">ROUND(N3/0.15,2)</f>
        <v>0.51</v>
      </c>
      <c r="P3" s="25">
        <f t="shared" ref="P3:P10" si="3">IF(O3&lt;0.67,5,IF(O3&lt;1,4,IF(O3&lt;1.33,3,IF(O3&lt;2.67,2,1))))</f>
        <v>5</v>
      </c>
      <c r="Q3" s="193">
        <f>ROUND((0.8*'Side MDB'!W3+0.2*'Side Pole'!N3),3)</f>
        <v>3.7999999999999999E-2</v>
      </c>
      <c r="R3" s="194">
        <f t="shared" ref="R3:R10" si="4">ROUND((Q3)/0.15,2)</f>
        <v>0.25</v>
      </c>
      <c r="S3" s="138">
        <f t="shared" ref="S3:S10" si="5">IF(R3&lt;0.67,5,IF(R3&lt;1,4,IF(R3&lt;1.33,3,IF(R3&lt;2.67,2,1))))</f>
        <v>5</v>
      </c>
      <c r="T3" s="194">
        <f>ROUND(((0.8*'Side MDB'!W3+0.2*'Side Pole'!N3)+(IF('Side MDB'!X3="N/A",(0.8*'Side MDB'!W3+0.2*'Side Pole'!N3),'Side MDB'!X3)))/2,3)</f>
        <v>2.5000000000000001E-2</v>
      </c>
      <c r="U3" s="194">
        <f t="shared" ref="U3:U10" si="6">ROUND((T3)/0.15,2)</f>
        <v>0.17</v>
      </c>
      <c r="V3" s="25">
        <f t="shared" ref="V3:V10" si="7">IF(U3&lt;0.67,5,IF(U3&lt;1,4,IF(U3&lt;1.33,3,IF(U3&lt;2.67,2,1))))</f>
        <v>5</v>
      </c>
      <c r="W3" s="16"/>
      <c r="X3" s="16"/>
      <c r="Y3" s="195"/>
      <c r="Z3" s="195"/>
      <c r="AA3" s="195"/>
      <c r="AB3" s="196"/>
      <c r="AC3" s="196"/>
      <c r="AD3" s="196"/>
      <c r="AE3" s="196"/>
      <c r="AF3" s="196"/>
      <c r="AG3" s="196"/>
      <c r="AH3" s="196"/>
      <c r="AI3" s="196"/>
      <c r="AJ3" s="196"/>
      <c r="AK3" s="196"/>
      <c r="AL3" s="196"/>
    </row>
    <row r="4" spans="1:38" ht="13.9" customHeight="1">
      <c r="A4" s="187">
        <v>10365</v>
      </c>
      <c r="B4" s="188" t="s">
        <v>90</v>
      </c>
      <c r="C4" s="189" t="str">
        <f>Rollover!A4</f>
        <v>Acura</v>
      </c>
      <c r="D4" s="189" t="str">
        <f>Rollover!B4</f>
        <v>RDX SUV AWD</v>
      </c>
      <c r="E4" s="70" t="s">
        <v>88</v>
      </c>
      <c r="F4" s="190">
        <f>Rollover!C4</f>
        <v>2019</v>
      </c>
      <c r="G4" s="191">
        <v>485.97300000000001</v>
      </c>
      <c r="H4" s="12">
        <v>27.663</v>
      </c>
      <c r="I4" s="12">
        <v>38.923999999999999</v>
      </c>
      <c r="J4" s="192">
        <v>22.199000000000002</v>
      </c>
      <c r="K4" s="13">
        <v>3130.9520000000002</v>
      </c>
      <c r="L4" s="26">
        <f t="shared" ref="L4" si="8">NORMDIST(LN(G4),7.45231,0.73998,1)</f>
        <v>4.3534176216593799E-2</v>
      </c>
      <c r="M4" s="27">
        <f t="shared" si="0"/>
        <v>3.349128305610858E-2</v>
      </c>
      <c r="N4" s="26">
        <f t="shared" si="1"/>
        <v>7.5999999999999998E-2</v>
      </c>
      <c r="O4" s="6">
        <f t="shared" si="2"/>
        <v>0.51</v>
      </c>
      <c r="P4" s="25">
        <f t="shared" si="3"/>
        <v>5</v>
      </c>
      <c r="Q4" s="193">
        <f>ROUND((0.8*'Side MDB'!W4+0.2*'Side Pole'!N4),3)</f>
        <v>3.7999999999999999E-2</v>
      </c>
      <c r="R4" s="194">
        <f t="shared" si="4"/>
        <v>0.25</v>
      </c>
      <c r="S4" s="138">
        <f t="shared" si="5"/>
        <v>5</v>
      </c>
      <c r="T4" s="194">
        <f>ROUND(((0.8*'Side MDB'!W4+0.2*'Side Pole'!N4)+(IF('Side MDB'!X4="N/A",(0.8*'Side MDB'!W4+0.2*'Side Pole'!N4),'Side MDB'!X4)))/2,3)</f>
        <v>2.5000000000000001E-2</v>
      </c>
      <c r="U4" s="194">
        <f t="shared" si="6"/>
        <v>0.17</v>
      </c>
      <c r="V4" s="25">
        <f t="shared" si="7"/>
        <v>5</v>
      </c>
      <c r="W4" s="16"/>
      <c r="X4" s="16"/>
      <c r="Y4" s="195"/>
      <c r="Z4" s="195"/>
      <c r="AA4" s="195"/>
      <c r="AB4" s="196"/>
      <c r="AC4" s="196"/>
      <c r="AD4" s="196"/>
      <c r="AE4" s="196"/>
      <c r="AF4" s="196"/>
      <c r="AG4" s="196"/>
      <c r="AH4" s="196"/>
      <c r="AI4" s="196"/>
      <c r="AJ4" s="196"/>
      <c r="AK4" s="196"/>
      <c r="AL4" s="196"/>
    </row>
    <row r="5" spans="1:38" ht="13.9" customHeight="1">
      <c r="A5" s="187">
        <v>10659</v>
      </c>
      <c r="B5" s="188" t="s">
        <v>239</v>
      </c>
      <c r="C5" s="189" t="str">
        <f>Rollover!A5</f>
        <v>Audi</v>
      </c>
      <c r="D5" s="189" t="str">
        <f>Rollover!B5</f>
        <v>Q8 SUV AWD</v>
      </c>
      <c r="E5" s="70" t="s">
        <v>88</v>
      </c>
      <c r="F5" s="190">
        <f>Rollover!C5</f>
        <v>2019</v>
      </c>
      <c r="G5" s="191">
        <v>282.40699999999998</v>
      </c>
      <c r="H5" s="12">
        <v>23.873000000000001</v>
      </c>
      <c r="I5" s="12">
        <v>49.451000000000001</v>
      </c>
      <c r="J5" s="192">
        <v>19.324000000000002</v>
      </c>
      <c r="K5" s="13">
        <v>2639.1370000000002</v>
      </c>
      <c r="L5" s="26">
        <f t="shared" ref="L5" si="9">NORMDIST(LN(G5),7.45231,0.73998,1)</f>
        <v>7.2504915713740578E-3</v>
      </c>
      <c r="M5" s="27">
        <f t="shared" si="0"/>
        <v>2.1358591522434224E-2</v>
      </c>
      <c r="N5" s="26">
        <f t="shared" si="1"/>
        <v>2.8000000000000001E-2</v>
      </c>
      <c r="O5" s="6">
        <f t="shared" si="2"/>
        <v>0.19</v>
      </c>
      <c r="P5" s="25">
        <f t="shared" si="3"/>
        <v>5</v>
      </c>
      <c r="Q5" s="193">
        <f>ROUND((0.8*'Side MDB'!W5+0.2*'Side Pole'!N5),3)</f>
        <v>3.4000000000000002E-2</v>
      </c>
      <c r="R5" s="194">
        <f t="shared" si="4"/>
        <v>0.23</v>
      </c>
      <c r="S5" s="138">
        <f t="shared" si="5"/>
        <v>5</v>
      </c>
      <c r="T5" s="194">
        <f>ROUND(((0.8*'Side MDB'!W5+0.2*'Side Pole'!N5)+(IF('Side MDB'!X5="N/A",(0.8*'Side MDB'!W5+0.2*'Side Pole'!N5),'Side MDB'!X5)))/2,3)</f>
        <v>3.2000000000000001E-2</v>
      </c>
      <c r="U5" s="194">
        <f t="shared" si="6"/>
        <v>0.21</v>
      </c>
      <c r="V5" s="25">
        <f t="shared" si="7"/>
        <v>5</v>
      </c>
      <c r="W5" s="16"/>
      <c r="X5" s="16"/>
      <c r="Y5" s="195"/>
      <c r="Z5" s="195"/>
      <c r="AA5" s="195"/>
      <c r="AB5" s="196"/>
      <c r="AC5" s="196"/>
      <c r="AD5" s="196"/>
      <c r="AE5" s="196"/>
      <c r="AF5" s="196"/>
      <c r="AG5" s="196"/>
      <c r="AH5" s="196"/>
      <c r="AI5" s="196"/>
      <c r="AJ5" s="196"/>
      <c r="AK5" s="196"/>
      <c r="AL5" s="196"/>
    </row>
    <row r="6" spans="1:38" ht="13.9" customHeight="1">
      <c r="A6" s="187">
        <v>10684</v>
      </c>
      <c r="B6" s="188" t="s">
        <v>251</v>
      </c>
      <c r="C6" s="189" t="str">
        <f>Rollover!A6</f>
        <v>BMW</v>
      </c>
      <c r="D6" s="189" t="str">
        <f>Rollover!B6</f>
        <v>X3 SUV RWD</v>
      </c>
      <c r="E6" s="70" t="s">
        <v>163</v>
      </c>
      <c r="F6" s="190">
        <f>Rollover!C6</f>
        <v>2019</v>
      </c>
      <c r="G6" s="191">
        <v>281.44900000000001</v>
      </c>
      <c r="H6" s="12">
        <v>24.573</v>
      </c>
      <c r="I6" s="12">
        <v>43.466999999999999</v>
      </c>
      <c r="J6" s="192">
        <v>31.495000000000001</v>
      </c>
      <c r="K6" s="13">
        <v>2775.75</v>
      </c>
      <c r="L6" s="26">
        <f t="shared" ref="L6:L10" si="10">NORMDIST(LN(G6),7.45231,0.73998,1)</f>
        <v>7.1587035630312178E-3</v>
      </c>
      <c r="M6" s="27">
        <f t="shared" si="0"/>
        <v>2.4214409277145278E-2</v>
      </c>
      <c r="N6" s="26">
        <f t="shared" si="1"/>
        <v>3.1E-2</v>
      </c>
      <c r="O6" s="6">
        <f t="shared" si="2"/>
        <v>0.21</v>
      </c>
      <c r="P6" s="25">
        <f t="shared" si="3"/>
        <v>5</v>
      </c>
      <c r="Q6" s="193">
        <f>ROUND((0.8*'Side MDB'!W6+0.2*'Side Pole'!N6),3)</f>
        <v>2.7E-2</v>
      </c>
      <c r="R6" s="194">
        <f t="shared" si="4"/>
        <v>0.18</v>
      </c>
      <c r="S6" s="138">
        <f t="shared" si="5"/>
        <v>5</v>
      </c>
      <c r="T6" s="194">
        <f>ROUND(((0.8*'Side MDB'!W6+0.2*'Side Pole'!N6)+(IF('Side MDB'!X6="N/A",(0.8*'Side MDB'!W6+0.2*'Side Pole'!N6),'Side MDB'!X6)))/2,3)</f>
        <v>3.7999999999999999E-2</v>
      </c>
      <c r="U6" s="194">
        <f t="shared" si="6"/>
        <v>0.25</v>
      </c>
      <c r="V6" s="25">
        <f t="shared" si="7"/>
        <v>5</v>
      </c>
      <c r="W6" s="16"/>
      <c r="X6" s="16"/>
      <c r="Y6" s="195"/>
      <c r="Z6" s="195"/>
      <c r="AA6" s="195"/>
      <c r="AB6" s="196"/>
      <c r="AC6" s="196"/>
      <c r="AD6" s="196"/>
      <c r="AE6" s="196"/>
      <c r="AF6" s="196"/>
      <c r="AG6" s="196"/>
      <c r="AH6" s="196"/>
      <c r="AI6" s="196"/>
      <c r="AJ6" s="196"/>
      <c r="AK6" s="196"/>
      <c r="AL6" s="196"/>
    </row>
    <row r="7" spans="1:38" ht="13.9" customHeight="1">
      <c r="A7" s="187">
        <v>10684</v>
      </c>
      <c r="B7" s="188" t="s">
        <v>251</v>
      </c>
      <c r="C7" s="189" t="str">
        <f>Rollover!A7</f>
        <v>BMW</v>
      </c>
      <c r="D7" s="189" t="str">
        <f>Rollover!B7</f>
        <v>X3 SUV AWD</v>
      </c>
      <c r="E7" s="70" t="s">
        <v>163</v>
      </c>
      <c r="F7" s="190">
        <f>Rollover!C7</f>
        <v>2019</v>
      </c>
      <c r="G7" s="191">
        <v>281.44900000000001</v>
      </c>
      <c r="H7" s="12">
        <v>24.573</v>
      </c>
      <c r="I7" s="12">
        <v>43.466999999999999</v>
      </c>
      <c r="J7" s="192">
        <v>31.495000000000001</v>
      </c>
      <c r="K7" s="13">
        <v>2775.75</v>
      </c>
      <c r="L7" s="26">
        <f t="shared" si="10"/>
        <v>7.1587035630312178E-3</v>
      </c>
      <c r="M7" s="27">
        <f t="shared" si="0"/>
        <v>2.4214409277145278E-2</v>
      </c>
      <c r="N7" s="26">
        <f t="shared" si="1"/>
        <v>3.1E-2</v>
      </c>
      <c r="O7" s="6">
        <f t="shared" si="2"/>
        <v>0.21</v>
      </c>
      <c r="P7" s="25">
        <f t="shared" si="3"/>
        <v>5</v>
      </c>
      <c r="Q7" s="193">
        <f>ROUND((0.8*'Side MDB'!W7+0.2*'Side Pole'!N7),3)</f>
        <v>2.7E-2</v>
      </c>
      <c r="R7" s="194">
        <f t="shared" si="4"/>
        <v>0.18</v>
      </c>
      <c r="S7" s="138">
        <f t="shared" si="5"/>
        <v>5</v>
      </c>
      <c r="T7" s="194">
        <f>ROUND(((0.8*'Side MDB'!W7+0.2*'Side Pole'!N7)+(IF('Side MDB'!X7="N/A",(0.8*'Side MDB'!W7+0.2*'Side Pole'!N7),'Side MDB'!X7)))/2,3)</f>
        <v>3.7999999999999999E-2</v>
      </c>
      <c r="U7" s="194">
        <f t="shared" si="6"/>
        <v>0.25</v>
      </c>
      <c r="V7" s="25">
        <f t="shared" si="7"/>
        <v>5</v>
      </c>
      <c r="W7" s="16"/>
      <c r="X7" s="16"/>
      <c r="Y7" s="195"/>
      <c r="Z7" s="195"/>
      <c r="AA7" s="195"/>
      <c r="AB7" s="196"/>
      <c r="AC7" s="196"/>
      <c r="AD7" s="196"/>
      <c r="AE7" s="196"/>
      <c r="AF7" s="196"/>
      <c r="AG7" s="196"/>
      <c r="AH7" s="196"/>
      <c r="AI7" s="196"/>
      <c r="AJ7" s="196"/>
      <c r="AK7" s="196"/>
      <c r="AL7" s="196"/>
    </row>
    <row r="8" spans="1:38" ht="13.9" customHeight="1">
      <c r="A8" s="198">
        <v>10640</v>
      </c>
      <c r="B8" s="199" t="s">
        <v>219</v>
      </c>
      <c r="C8" s="189" t="str">
        <f>Rollover!A8</f>
        <v>BMW</v>
      </c>
      <c r="D8" s="189" t="str">
        <f>Rollover!B8</f>
        <v>X5 SUV AWD</v>
      </c>
      <c r="E8" s="70" t="s">
        <v>160</v>
      </c>
      <c r="F8" s="190">
        <f>Rollover!C8</f>
        <v>2019</v>
      </c>
      <c r="G8" s="191">
        <v>308.43099999999998</v>
      </c>
      <c r="H8" s="12">
        <v>20.597999999999999</v>
      </c>
      <c r="I8" s="12">
        <v>43.478999999999999</v>
      </c>
      <c r="J8" s="192">
        <v>25.617999999999999</v>
      </c>
      <c r="K8" s="192">
        <v>3541.8960000000002</v>
      </c>
      <c r="L8" s="26">
        <f t="shared" si="10"/>
        <v>1.0023040231921064E-2</v>
      </c>
      <c r="M8" s="27">
        <f t="shared" si="0"/>
        <v>4.8516529510561415E-2</v>
      </c>
      <c r="N8" s="26">
        <f t="shared" si="1"/>
        <v>5.8000000000000003E-2</v>
      </c>
      <c r="O8" s="6">
        <f t="shared" si="2"/>
        <v>0.39</v>
      </c>
      <c r="P8" s="25">
        <f t="shared" si="3"/>
        <v>5</v>
      </c>
      <c r="Q8" s="193">
        <f>ROUND((0.8*'Side MDB'!W8+0.2*'Side Pole'!N8),3)</f>
        <v>3.5000000000000003E-2</v>
      </c>
      <c r="R8" s="194">
        <f t="shared" si="4"/>
        <v>0.23</v>
      </c>
      <c r="S8" s="138">
        <f t="shared" si="5"/>
        <v>5</v>
      </c>
      <c r="T8" s="194">
        <f>ROUND(((0.8*'Side MDB'!W8+0.2*'Side Pole'!N8)+(IF('Side MDB'!X8="N/A",(0.8*'Side MDB'!W8+0.2*'Side Pole'!N8),'Side MDB'!X8)))/2,3)</f>
        <v>2.8000000000000001E-2</v>
      </c>
      <c r="U8" s="194">
        <f t="shared" si="6"/>
        <v>0.19</v>
      </c>
      <c r="V8" s="25">
        <f t="shared" si="7"/>
        <v>5</v>
      </c>
      <c r="W8" s="16"/>
      <c r="X8" s="16"/>
      <c r="Y8" s="195"/>
      <c r="Z8" s="195"/>
      <c r="AA8" s="195"/>
      <c r="AB8" s="196"/>
      <c r="AC8" s="196"/>
      <c r="AD8" s="196"/>
      <c r="AE8" s="196"/>
      <c r="AF8" s="196"/>
      <c r="AG8" s="196"/>
      <c r="AH8" s="196"/>
      <c r="AI8" s="196"/>
      <c r="AJ8" s="196"/>
      <c r="AK8" s="196"/>
      <c r="AL8" s="196"/>
    </row>
    <row r="9" spans="1:38" ht="13.9" customHeight="1">
      <c r="A9" s="187">
        <v>10685</v>
      </c>
      <c r="B9" s="188" t="s">
        <v>259</v>
      </c>
      <c r="C9" s="189" t="str">
        <f>Rollover!A9</f>
        <v>Cadillac</v>
      </c>
      <c r="D9" s="189" t="str">
        <f>Rollover!B9</f>
        <v>XT4 SUV FWD</v>
      </c>
      <c r="E9" s="70" t="s">
        <v>160</v>
      </c>
      <c r="F9" s="190">
        <f>Rollover!C9</f>
        <v>2019</v>
      </c>
      <c r="G9" s="191">
        <v>203.63399999999999</v>
      </c>
      <c r="H9" s="12">
        <v>19.675999999999998</v>
      </c>
      <c r="I9" s="12">
        <v>34.786000000000001</v>
      </c>
      <c r="J9" s="192">
        <v>16.748000000000001</v>
      </c>
      <c r="K9" s="13">
        <v>2322.6759999999999</v>
      </c>
      <c r="L9" s="26">
        <f t="shared" si="10"/>
        <v>1.9474838318733433E-3</v>
      </c>
      <c r="M9" s="27">
        <f t="shared" si="0"/>
        <v>1.5950522978501341E-2</v>
      </c>
      <c r="N9" s="26">
        <f t="shared" si="1"/>
        <v>1.7999999999999999E-2</v>
      </c>
      <c r="O9" s="6">
        <f t="shared" si="2"/>
        <v>0.12</v>
      </c>
      <c r="P9" s="25">
        <f t="shared" si="3"/>
        <v>5</v>
      </c>
      <c r="Q9" s="193">
        <f>ROUND((0.8*'Side MDB'!W9+0.2*'Side Pole'!N9),3)</f>
        <v>3.6999999999999998E-2</v>
      </c>
      <c r="R9" s="194">
        <f t="shared" si="4"/>
        <v>0.25</v>
      </c>
      <c r="S9" s="138">
        <f t="shared" si="5"/>
        <v>5</v>
      </c>
      <c r="T9" s="194">
        <f>ROUND(((0.8*'Side MDB'!W9+0.2*'Side Pole'!N9)+(IF('Side MDB'!X9="N/A",(0.8*'Side MDB'!W9+0.2*'Side Pole'!N9),'Side MDB'!X9)))/2,3)</f>
        <v>0.03</v>
      </c>
      <c r="U9" s="194">
        <f t="shared" si="6"/>
        <v>0.2</v>
      </c>
      <c r="V9" s="25">
        <f t="shared" si="7"/>
        <v>5</v>
      </c>
      <c r="W9" s="16"/>
      <c r="X9" s="16"/>
      <c r="Y9" s="195"/>
      <c r="Z9" s="195"/>
      <c r="AA9" s="195"/>
      <c r="AB9" s="196"/>
      <c r="AC9" s="196"/>
      <c r="AD9" s="196"/>
      <c r="AE9" s="196"/>
      <c r="AF9" s="196"/>
      <c r="AG9" s="196"/>
      <c r="AH9" s="196"/>
      <c r="AI9" s="196"/>
      <c r="AJ9" s="196"/>
      <c r="AK9" s="196"/>
      <c r="AL9" s="196"/>
    </row>
    <row r="10" spans="1:38" ht="13.9" customHeight="1">
      <c r="A10" s="187">
        <v>10685</v>
      </c>
      <c r="B10" s="188" t="s">
        <v>259</v>
      </c>
      <c r="C10" s="189" t="str">
        <f>Rollover!A10</f>
        <v>Cadillac</v>
      </c>
      <c r="D10" s="189" t="str">
        <f>Rollover!B10</f>
        <v>XT4 SUV AWD</v>
      </c>
      <c r="E10" s="70" t="s">
        <v>160</v>
      </c>
      <c r="F10" s="190">
        <f>Rollover!C10</f>
        <v>2019</v>
      </c>
      <c r="G10" s="191">
        <v>203.63399999999999</v>
      </c>
      <c r="H10" s="12">
        <v>19.675999999999998</v>
      </c>
      <c r="I10" s="12">
        <v>34.786000000000001</v>
      </c>
      <c r="J10" s="192">
        <v>16.748000000000001</v>
      </c>
      <c r="K10" s="13">
        <v>2322.6759999999999</v>
      </c>
      <c r="L10" s="26">
        <f t="shared" si="10"/>
        <v>1.9474838318733433E-3</v>
      </c>
      <c r="M10" s="27">
        <f t="shared" si="0"/>
        <v>1.5950522978501341E-2</v>
      </c>
      <c r="N10" s="26">
        <f t="shared" si="1"/>
        <v>1.7999999999999999E-2</v>
      </c>
      <c r="O10" s="6">
        <f t="shared" si="2"/>
        <v>0.12</v>
      </c>
      <c r="P10" s="25">
        <f t="shared" si="3"/>
        <v>5</v>
      </c>
      <c r="Q10" s="193">
        <f>ROUND((0.8*'Side MDB'!W10+0.2*'Side Pole'!N10),3)</f>
        <v>3.6999999999999998E-2</v>
      </c>
      <c r="R10" s="194">
        <f t="shared" si="4"/>
        <v>0.25</v>
      </c>
      <c r="S10" s="138">
        <f t="shared" si="5"/>
        <v>5</v>
      </c>
      <c r="T10" s="194">
        <f>ROUND(((0.8*'Side MDB'!W10+0.2*'Side Pole'!N10)+(IF('Side MDB'!X10="N/A",(0.8*'Side MDB'!W10+0.2*'Side Pole'!N10),'Side MDB'!X10)))/2,3)</f>
        <v>0.03</v>
      </c>
      <c r="U10" s="194">
        <f t="shared" si="6"/>
        <v>0.2</v>
      </c>
      <c r="V10" s="25">
        <f t="shared" si="7"/>
        <v>5</v>
      </c>
      <c r="W10" s="16"/>
      <c r="X10" s="16"/>
      <c r="Y10" s="195"/>
      <c r="Z10" s="195"/>
      <c r="AA10" s="195"/>
      <c r="AB10" s="196"/>
      <c r="AC10" s="196"/>
      <c r="AD10" s="196"/>
      <c r="AE10" s="196"/>
      <c r="AF10" s="196"/>
      <c r="AG10" s="196"/>
      <c r="AH10" s="196"/>
      <c r="AI10" s="196"/>
      <c r="AJ10" s="196"/>
      <c r="AK10" s="196"/>
      <c r="AL10" s="196"/>
    </row>
    <row r="11" spans="1:38" ht="13.9" customHeight="1">
      <c r="A11" s="188">
        <v>8663</v>
      </c>
      <c r="B11" s="188" t="s">
        <v>158</v>
      </c>
      <c r="C11" s="189" t="str">
        <f>Rollover!A11</f>
        <v>Chevrolet</v>
      </c>
      <c r="D11" s="189" t="str">
        <f>Rollover!B11</f>
        <v>Silverado 2500 PU/EC RWD</v>
      </c>
      <c r="E11" s="70" t="s">
        <v>88</v>
      </c>
      <c r="F11" s="190">
        <f>Rollover!C11</f>
        <v>2019</v>
      </c>
      <c r="G11" s="191">
        <v>265.22399999999999</v>
      </c>
      <c r="H11" s="12">
        <v>17.922000000000001</v>
      </c>
      <c r="I11" s="12">
        <v>47.838999999999999</v>
      </c>
      <c r="J11" s="192">
        <v>21.513000000000002</v>
      </c>
      <c r="K11" s="192">
        <v>4227.8950000000004</v>
      </c>
      <c r="L11" s="26">
        <f t="shared" ref="L11:L41" si="11">NORMDIST(LN(G11),7.45231,0.73998,1)</f>
        <v>5.7122300660487485E-3</v>
      </c>
      <c r="M11" s="27">
        <f t="shared" ref="M11:M41" si="12">1/(1+EXP(6.3055-0.00094*K11))</f>
        <v>8.8565390275514064E-2</v>
      </c>
      <c r="N11" s="26">
        <f t="shared" ref="N11:N41" si="13">ROUND(1-(1-L11)*(1-M11),3)</f>
        <v>9.4E-2</v>
      </c>
      <c r="O11" s="6">
        <f t="shared" ref="O11:O41" si="14">ROUND(N11/0.15,2)</f>
        <v>0.63</v>
      </c>
      <c r="P11" s="25">
        <f t="shared" ref="P11:P41" si="15">IF(O11&lt;0.67,5,IF(O11&lt;1,4,IF(O11&lt;1.33,3,IF(O11&lt;2.67,2,1))))</f>
        <v>5</v>
      </c>
      <c r="Q11" s="193">
        <f>ROUND((0.8*'Side MDB'!W11+0.2*'Side Pole'!N11),3)</f>
        <v>4.3999999999999997E-2</v>
      </c>
      <c r="R11" s="194">
        <f t="shared" ref="R11:R41" si="16">ROUND((Q11)/0.15,2)</f>
        <v>0.28999999999999998</v>
      </c>
      <c r="S11" s="138">
        <f t="shared" ref="S11:S41" si="17">IF(R11&lt;0.67,5,IF(R11&lt;1,4,IF(R11&lt;1.33,3,IF(R11&lt;2.67,2,1))))</f>
        <v>5</v>
      </c>
      <c r="T11" s="194">
        <f>ROUND(((0.8*'Side MDB'!W11+0.2*'Side Pole'!N11)+(IF('Side MDB'!X11="N/A",(0.8*'Side MDB'!W11+0.2*'Side Pole'!N11),'Side MDB'!X11)))/2,3)</f>
        <v>2.5000000000000001E-2</v>
      </c>
      <c r="U11" s="194">
        <f t="shared" ref="U11:U41" si="18">ROUND((T11)/0.15,2)</f>
        <v>0.17</v>
      </c>
      <c r="V11" s="25">
        <f t="shared" ref="V11:V41" si="19">IF(U11&lt;0.67,5,IF(U11&lt;1,4,IF(U11&lt;1.33,3,IF(U11&lt;2.67,2,1))))</f>
        <v>5</v>
      </c>
      <c r="W11" s="16"/>
      <c r="X11" s="16"/>
      <c r="Y11" s="195"/>
      <c r="Z11" s="195"/>
      <c r="AA11" s="195"/>
      <c r="AB11" s="196"/>
      <c r="AC11" s="196"/>
      <c r="AD11" s="196"/>
      <c r="AE11" s="196"/>
      <c r="AF11" s="196"/>
      <c r="AG11" s="196"/>
      <c r="AH11" s="196"/>
      <c r="AI11" s="196"/>
      <c r="AJ11" s="196"/>
      <c r="AK11" s="196"/>
      <c r="AL11" s="196"/>
    </row>
    <row r="12" spans="1:38" ht="13.9" customHeight="1">
      <c r="A12" s="188">
        <v>8663</v>
      </c>
      <c r="B12" s="188" t="s">
        <v>158</v>
      </c>
      <c r="C12" s="189" t="str">
        <f>Rollover!A12</f>
        <v>Chevrolet</v>
      </c>
      <c r="D12" s="189" t="str">
        <f>Rollover!B12</f>
        <v>Silverado 2500 PU/EC 4WD</v>
      </c>
      <c r="E12" s="70" t="s">
        <v>88</v>
      </c>
      <c r="F12" s="190">
        <f>Rollover!C12</f>
        <v>2019</v>
      </c>
      <c r="G12" s="191">
        <v>265.22399999999999</v>
      </c>
      <c r="H12" s="12">
        <v>17.922000000000001</v>
      </c>
      <c r="I12" s="12">
        <v>47.838999999999999</v>
      </c>
      <c r="J12" s="192">
        <v>21.513000000000002</v>
      </c>
      <c r="K12" s="192">
        <v>4227.8950000000004</v>
      </c>
      <c r="L12" s="26">
        <f t="shared" ref="L12:L28" si="20">NORMDIST(LN(G12),7.45231,0.73998,1)</f>
        <v>5.7122300660487485E-3</v>
      </c>
      <c r="M12" s="27">
        <f t="shared" ref="M12:M28" si="21">1/(1+EXP(6.3055-0.00094*K12))</f>
        <v>8.8565390275514064E-2</v>
      </c>
      <c r="N12" s="26">
        <f t="shared" ref="N12:N28" si="22">ROUND(1-(1-L12)*(1-M12),3)</f>
        <v>9.4E-2</v>
      </c>
      <c r="O12" s="6">
        <f t="shared" ref="O12:O28" si="23">ROUND(N12/0.15,2)</f>
        <v>0.63</v>
      </c>
      <c r="P12" s="25">
        <f t="shared" ref="P12:P28" si="24">IF(O12&lt;0.67,5,IF(O12&lt;1,4,IF(O12&lt;1.33,3,IF(O12&lt;2.67,2,1))))</f>
        <v>5</v>
      </c>
      <c r="Q12" s="193">
        <f>ROUND((0.8*'Side MDB'!W12+0.2*'Side Pole'!N12),3)</f>
        <v>4.3999999999999997E-2</v>
      </c>
      <c r="R12" s="194">
        <f t="shared" ref="R12:R28" si="25">ROUND((Q12)/0.15,2)</f>
        <v>0.28999999999999998</v>
      </c>
      <c r="S12" s="138">
        <f t="shared" ref="S12:S28" si="26">IF(R12&lt;0.67,5,IF(R12&lt;1,4,IF(R12&lt;1.33,3,IF(R12&lt;2.67,2,1))))</f>
        <v>5</v>
      </c>
      <c r="T12" s="194">
        <f>ROUND(((0.8*'Side MDB'!W12+0.2*'Side Pole'!N12)+(IF('Side MDB'!X12="N/A",(0.8*'Side MDB'!W12+0.2*'Side Pole'!N12),'Side MDB'!X12)))/2,3)</f>
        <v>2.5000000000000001E-2</v>
      </c>
      <c r="U12" s="194">
        <f t="shared" ref="U12:U28" si="27">ROUND((T12)/0.15,2)</f>
        <v>0.17</v>
      </c>
      <c r="V12" s="25">
        <f t="shared" ref="V12:V28" si="28">IF(U12&lt;0.67,5,IF(U12&lt;1,4,IF(U12&lt;1.33,3,IF(U12&lt;2.67,2,1))))</f>
        <v>5</v>
      </c>
      <c r="W12" s="16"/>
      <c r="X12" s="16"/>
      <c r="Y12" s="195"/>
      <c r="Z12" s="195"/>
      <c r="AA12" s="195"/>
      <c r="AB12" s="196"/>
      <c r="AC12" s="196"/>
      <c r="AD12" s="196"/>
      <c r="AE12" s="196"/>
      <c r="AF12" s="196"/>
      <c r="AG12" s="196"/>
      <c r="AH12" s="196"/>
      <c r="AI12" s="196"/>
      <c r="AJ12" s="196"/>
      <c r="AK12" s="196"/>
      <c r="AL12" s="196"/>
    </row>
    <row r="13" spans="1:38" ht="13.9" customHeight="1">
      <c r="A13" s="188">
        <v>8663</v>
      </c>
      <c r="B13" s="188" t="s">
        <v>158</v>
      </c>
      <c r="C13" s="200" t="str">
        <f>Rollover!A13</f>
        <v>GMC</v>
      </c>
      <c r="D13" s="200" t="str">
        <f>Rollover!B13</f>
        <v>Sierra 2500 PU/EC RWD</v>
      </c>
      <c r="E13" s="70" t="s">
        <v>88</v>
      </c>
      <c r="F13" s="190">
        <f>Rollover!C13</f>
        <v>2019</v>
      </c>
      <c r="G13" s="191">
        <v>265.22399999999999</v>
      </c>
      <c r="H13" s="12">
        <v>17.922000000000001</v>
      </c>
      <c r="I13" s="12">
        <v>47.838999999999999</v>
      </c>
      <c r="J13" s="192">
        <v>21.513000000000002</v>
      </c>
      <c r="K13" s="192">
        <v>4227.8950000000004</v>
      </c>
      <c r="L13" s="26">
        <f t="shared" si="20"/>
        <v>5.7122300660487485E-3</v>
      </c>
      <c r="M13" s="27">
        <f t="shared" si="21"/>
        <v>8.8565390275514064E-2</v>
      </c>
      <c r="N13" s="26">
        <f t="shared" si="22"/>
        <v>9.4E-2</v>
      </c>
      <c r="O13" s="6">
        <f t="shared" si="23"/>
        <v>0.63</v>
      </c>
      <c r="P13" s="25">
        <f t="shared" si="24"/>
        <v>5</v>
      </c>
      <c r="Q13" s="193">
        <f>ROUND((0.8*'Side MDB'!W13+0.2*'Side Pole'!N13),3)</f>
        <v>4.3999999999999997E-2</v>
      </c>
      <c r="R13" s="194">
        <f t="shared" si="25"/>
        <v>0.28999999999999998</v>
      </c>
      <c r="S13" s="138">
        <f t="shared" si="26"/>
        <v>5</v>
      </c>
      <c r="T13" s="194">
        <f>ROUND(((0.8*'Side MDB'!W13+0.2*'Side Pole'!N13)+(IF('Side MDB'!X13="N/A",(0.8*'Side MDB'!W13+0.2*'Side Pole'!N13),'Side MDB'!X13)))/2,3)</f>
        <v>2.5000000000000001E-2</v>
      </c>
      <c r="U13" s="194">
        <f t="shared" si="27"/>
        <v>0.17</v>
      </c>
      <c r="V13" s="25">
        <f t="shared" si="28"/>
        <v>5</v>
      </c>
      <c r="W13" s="16"/>
      <c r="X13" s="16"/>
      <c r="Y13" s="195"/>
      <c r="Z13" s="195"/>
      <c r="AA13" s="195"/>
      <c r="AB13" s="196"/>
      <c r="AC13" s="196"/>
      <c r="AD13" s="196"/>
      <c r="AE13" s="196"/>
      <c r="AF13" s="196"/>
      <c r="AG13" s="196"/>
      <c r="AH13" s="196"/>
      <c r="AI13" s="196"/>
      <c r="AJ13" s="196"/>
      <c r="AK13" s="196"/>
      <c r="AL13" s="196"/>
    </row>
    <row r="14" spans="1:38" ht="13.9" customHeight="1">
      <c r="A14" s="188">
        <v>8663</v>
      </c>
      <c r="B14" s="188" t="s">
        <v>158</v>
      </c>
      <c r="C14" s="200" t="str">
        <f>Rollover!A14</f>
        <v>GMC</v>
      </c>
      <c r="D14" s="200" t="str">
        <f>Rollover!B14</f>
        <v>Sierra 2500 PU/EC 4WD</v>
      </c>
      <c r="E14" s="70" t="s">
        <v>88</v>
      </c>
      <c r="F14" s="190">
        <f>Rollover!C14</f>
        <v>2019</v>
      </c>
      <c r="G14" s="191">
        <v>265.22399999999999</v>
      </c>
      <c r="H14" s="12">
        <v>17.922000000000001</v>
      </c>
      <c r="I14" s="12">
        <v>47.838999999999999</v>
      </c>
      <c r="J14" s="192">
        <v>21.513000000000002</v>
      </c>
      <c r="K14" s="192">
        <v>4227.8950000000004</v>
      </c>
      <c r="L14" s="26">
        <f t="shared" si="20"/>
        <v>5.7122300660487485E-3</v>
      </c>
      <c r="M14" s="27">
        <f t="shared" si="21"/>
        <v>8.8565390275514064E-2</v>
      </c>
      <c r="N14" s="26">
        <f t="shared" si="22"/>
        <v>9.4E-2</v>
      </c>
      <c r="O14" s="6">
        <f t="shared" si="23"/>
        <v>0.63</v>
      </c>
      <c r="P14" s="25">
        <f t="shared" si="24"/>
        <v>5</v>
      </c>
      <c r="Q14" s="193">
        <f>ROUND((0.8*'Side MDB'!W14+0.2*'Side Pole'!N14),3)</f>
        <v>4.3999999999999997E-2</v>
      </c>
      <c r="R14" s="194">
        <f t="shared" si="25"/>
        <v>0.28999999999999998</v>
      </c>
      <c r="S14" s="138">
        <f t="shared" si="26"/>
        <v>5</v>
      </c>
      <c r="T14" s="194">
        <f>ROUND(((0.8*'Side MDB'!W14+0.2*'Side Pole'!N14)+(IF('Side MDB'!X14="N/A",(0.8*'Side MDB'!W14+0.2*'Side Pole'!N14),'Side MDB'!X14)))/2,3)</f>
        <v>2.5000000000000001E-2</v>
      </c>
      <c r="U14" s="194">
        <f t="shared" si="27"/>
        <v>0.17</v>
      </c>
      <c r="V14" s="25">
        <f t="shared" si="28"/>
        <v>5</v>
      </c>
      <c r="W14" s="16"/>
      <c r="X14" s="16"/>
      <c r="Y14" s="195"/>
      <c r="Z14" s="195"/>
      <c r="AA14" s="195"/>
      <c r="AB14" s="196"/>
      <c r="AC14" s="196"/>
      <c r="AD14" s="196"/>
      <c r="AE14" s="196"/>
      <c r="AF14" s="196"/>
      <c r="AG14" s="196"/>
      <c r="AH14" s="196"/>
      <c r="AI14" s="196"/>
      <c r="AJ14" s="196"/>
      <c r="AK14" s="196"/>
      <c r="AL14" s="196"/>
    </row>
    <row r="15" spans="1:38" ht="13.9" customHeight="1">
      <c r="A15" s="188">
        <v>8663</v>
      </c>
      <c r="B15" s="188" t="s">
        <v>158</v>
      </c>
      <c r="C15" s="200" t="str">
        <f>Rollover!A15</f>
        <v>Chevrolet</v>
      </c>
      <c r="D15" s="200" t="str">
        <f>Rollover!B15</f>
        <v>Silverado 2500 PU/RC RWD</v>
      </c>
      <c r="E15" s="70" t="s">
        <v>88</v>
      </c>
      <c r="F15" s="190">
        <f>Rollover!C15</f>
        <v>2019</v>
      </c>
      <c r="G15" s="191">
        <v>265.22399999999999</v>
      </c>
      <c r="H15" s="12">
        <v>17.922000000000001</v>
      </c>
      <c r="I15" s="12">
        <v>47.838999999999999</v>
      </c>
      <c r="J15" s="192">
        <v>21.513000000000002</v>
      </c>
      <c r="K15" s="192">
        <v>4227.8950000000004</v>
      </c>
      <c r="L15" s="26">
        <f t="shared" si="20"/>
        <v>5.7122300660487485E-3</v>
      </c>
      <c r="M15" s="27">
        <f t="shared" si="21"/>
        <v>8.8565390275514064E-2</v>
      </c>
      <c r="N15" s="26">
        <f t="shared" si="22"/>
        <v>9.4E-2</v>
      </c>
      <c r="O15" s="6">
        <f t="shared" si="23"/>
        <v>0.63</v>
      </c>
      <c r="P15" s="25">
        <f t="shared" si="24"/>
        <v>5</v>
      </c>
      <c r="Q15" s="193">
        <f>ROUND((0.8*'Side MDB'!W15+0.2*'Side Pole'!N15),3)</f>
        <v>4.3999999999999997E-2</v>
      </c>
      <c r="R15" s="194">
        <f t="shared" si="25"/>
        <v>0.28999999999999998</v>
      </c>
      <c r="S15" s="138">
        <f t="shared" si="26"/>
        <v>5</v>
      </c>
      <c r="T15" s="194">
        <f>ROUND(((0.8*'Side MDB'!W15+0.2*'Side Pole'!N15)+(IF('Side MDB'!X15="N/A",(0.8*'Side MDB'!W15+0.2*'Side Pole'!N15),'Side MDB'!X15)))/2,3)</f>
        <v>4.3999999999999997E-2</v>
      </c>
      <c r="U15" s="194">
        <f t="shared" si="27"/>
        <v>0.28999999999999998</v>
      </c>
      <c r="V15" s="25">
        <f t="shared" si="28"/>
        <v>5</v>
      </c>
      <c r="W15" s="16"/>
      <c r="X15" s="16"/>
      <c r="Y15" s="195"/>
      <c r="Z15" s="195"/>
      <c r="AA15" s="195"/>
      <c r="AB15" s="196"/>
      <c r="AC15" s="196"/>
      <c r="AD15" s="196"/>
      <c r="AE15" s="196"/>
      <c r="AF15" s="196"/>
      <c r="AG15" s="196"/>
      <c r="AH15" s="196"/>
      <c r="AI15" s="196"/>
      <c r="AJ15" s="196"/>
      <c r="AK15" s="196"/>
      <c r="AL15" s="196"/>
    </row>
    <row r="16" spans="1:38" ht="13.9" customHeight="1">
      <c r="A16" s="188">
        <v>8663</v>
      </c>
      <c r="B16" s="188" t="s">
        <v>158</v>
      </c>
      <c r="C16" s="200" t="str">
        <f>Rollover!A16</f>
        <v>Chevrolet</v>
      </c>
      <c r="D16" s="200" t="str">
        <f>Rollover!B16</f>
        <v>Silverado 2500 PU/RC 4WD</v>
      </c>
      <c r="E16" s="70" t="s">
        <v>88</v>
      </c>
      <c r="F16" s="190">
        <f>Rollover!C16</f>
        <v>2019</v>
      </c>
      <c r="G16" s="191">
        <v>265.22399999999999</v>
      </c>
      <c r="H16" s="12">
        <v>17.922000000000001</v>
      </c>
      <c r="I16" s="12">
        <v>47.838999999999999</v>
      </c>
      <c r="J16" s="192">
        <v>21.513000000000002</v>
      </c>
      <c r="K16" s="192">
        <v>4227.8950000000004</v>
      </c>
      <c r="L16" s="26">
        <f t="shared" si="20"/>
        <v>5.7122300660487485E-3</v>
      </c>
      <c r="M16" s="27">
        <f t="shared" si="21"/>
        <v>8.8565390275514064E-2</v>
      </c>
      <c r="N16" s="26">
        <f t="shared" si="22"/>
        <v>9.4E-2</v>
      </c>
      <c r="O16" s="6">
        <f t="shared" si="23"/>
        <v>0.63</v>
      </c>
      <c r="P16" s="25">
        <f t="shared" si="24"/>
        <v>5</v>
      </c>
      <c r="Q16" s="193">
        <f>ROUND((0.8*'Side MDB'!W16+0.2*'Side Pole'!N16),3)</f>
        <v>4.3999999999999997E-2</v>
      </c>
      <c r="R16" s="194">
        <f t="shared" si="25"/>
        <v>0.28999999999999998</v>
      </c>
      <c r="S16" s="138">
        <f t="shared" si="26"/>
        <v>5</v>
      </c>
      <c r="T16" s="194">
        <f>ROUND(((0.8*'Side MDB'!W16+0.2*'Side Pole'!N16)+(IF('Side MDB'!X16="N/A",(0.8*'Side MDB'!W16+0.2*'Side Pole'!N16),'Side MDB'!X16)))/2,3)</f>
        <v>4.3999999999999997E-2</v>
      </c>
      <c r="U16" s="194">
        <f t="shared" si="27"/>
        <v>0.28999999999999998</v>
      </c>
      <c r="V16" s="25">
        <f t="shared" si="28"/>
        <v>5</v>
      </c>
      <c r="W16" s="16"/>
      <c r="X16" s="16"/>
      <c r="Y16" s="195"/>
      <c r="Z16" s="195"/>
      <c r="AA16" s="195"/>
      <c r="AB16" s="196"/>
      <c r="AC16" s="196"/>
      <c r="AD16" s="196"/>
      <c r="AE16" s="196"/>
      <c r="AF16" s="196"/>
      <c r="AG16" s="196"/>
      <c r="AH16" s="196"/>
      <c r="AI16" s="196"/>
      <c r="AJ16" s="196"/>
      <c r="AK16" s="196"/>
      <c r="AL16" s="196"/>
    </row>
    <row r="17" spans="1:38" ht="13.9" customHeight="1">
      <c r="A17" s="188">
        <v>8663</v>
      </c>
      <c r="B17" s="188" t="s">
        <v>158</v>
      </c>
      <c r="C17" s="200" t="str">
        <f>Rollover!A17</f>
        <v>GMC</v>
      </c>
      <c r="D17" s="200" t="str">
        <f>Rollover!B17</f>
        <v>Sierra 2500 PU/RC RWD</v>
      </c>
      <c r="E17" s="70" t="s">
        <v>88</v>
      </c>
      <c r="F17" s="190">
        <f>Rollover!C17</f>
        <v>2019</v>
      </c>
      <c r="G17" s="191">
        <v>265.22399999999999</v>
      </c>
      <c r="H17" s="12">
        <v>17.922000000000001</v>
      </c>
      <c r="I17" s="12">
        <v>47.838999999999999</v>
      </c>
      <c r="J17" s="192">
        <v>21.513000000000002</v>
      </c>
      <c r="K17" s="192">
        <v>4227.8950000000004</v>
      </c>
      <c r="L17" s="26">
        <f t="shared" si="20"/>
        <v>5.7122300660487485E-3</v>
      </c>
      <c r="M17" s="27">
        <f t="shared" si="21"/>
        <v>8.8565390275514064E-2</v>
      </c>
      <c r="N17" s="26">
        <f t="shared" si="22"/>
        <v>9.4E-2</v>
      </c>
      <c r="O17" s="6">
        <f t="shared" si="23"/>
        <v>0.63</v>
      </c>
      <c r="P17" s="25">
        <f t="shared" si="24"/>
        <v>5</v>
      </c>
      <c r="Q17" s="193">
        <f>ROUND((0.8*'Side MDB'!W17+0.2*'Side Pole'!N17),3)</f>
        <v>4.3999999999999997E-2</v>
      </c>
      <c r="R17" s="194">
        <f t="shared" si="25"/>
        <v>0.28999999999999998</v>
      </c>
      <c r="S17" s="138">
        <f t="shared" si="26"/>
        <v>5</v>
      </c>
      <c r="T17" s="194">
        <f>ROUND(((0.8*'Side MDB'!W17+0.2*'Side Pole'!N17)+(IF('Side MDB'!X17="N/A",(0.8*'Side MDB'!W17+0.2*'Side Pole'!N17),'Side MDB'!X17)))/2,3)</f>
        <v>4.3999999999999997E-2</v>
      </c>
      <c r="U17" s="194">
        <f t="shared" si="27"/>
        <v>0.28999999999999998</v>
      </c>
      <c r="V17" s="25">
        <f t="shared" si="28"/>
        <v>5</v>
      </c>
      <c r="W17" s="16"/>
      <c r="X17" s="16"/>
      <c r="Y17" s="195"/>
      <c r="Z17" s="195"/>
      <c r="AA17" s="195"/>
      <c r="AB17" s="196"/>
      <c r="AC17" s="196"/>
      <c r="AD17" s="196"/>
      <c r="AE17" s="196"/>
      <c r="AF17" s="196"/>
      <c r="AG17" s="196"/>
      <c r="AH17" s="196"/>
      <c r="AI17" s="196"/>
      <c r="AJ17" s="196"/>
      <c r="AK17" s="196"/>
      <c r="AL17" s="196"/>
    </row>
    <row r="18" spans="1:38" ht="13.9" customHeight="1">
      <c r="A18" s="188">
        <v>8663</v>
      </c>
      <c r="B18" s="188" t="s">
        <v>158</v>
      </c>
      <c r="C18" s="200" t="str">
        <f>Rollover!A18</f>
        <v>GMC</v>
      </c>
      <c r="D18" s="200" t="str">
        <f>Rollover!B18</f>
        <v>Sierra 2500 PU/RC 4WD</v>
      </c>
      <c r="E18" s="70" t="s">
        <v>88</v>
      </c>
      <c r="F18" s="190">
        <f>Rollover!C18</f>
        <v>2019</v>
      </c>
      <c r="G18" s="191">
        <v>265.22399999999999</v>
      </c>
      <c r="H18" s="12">
        <v>17.922000000000001</v>
      </c>
      <c r="I18" s="12">
        <v>47.838999999999999</v>
      </c>
      <c r="J18" s="192">
        <v>21.513000000000002</v>
      </c>
      <c r="K18" s="192">
        <v>4227.8950000000004</v>
      </c>
      <c r="L18" s="26">
        <f t="shared" si="20"/>
        <v>5.7122300660487485E-3</v>
      </c>
      <c r="M18" s="27">
        <f t="shared" si="21"/>
        <v>8.8565390275514064E-2</v>
      </c>
      <c r="N18" s="26">
        <f t="shared" si="22"/>
        <v>9.4E-2</v>
      </c>
      <c r="O18" s="6">
        <f t="shared" si="23"/>
        <v>0.63</v>
      </c>
      <c r="P18" s="25">
        <f t="shared" si="24"/>
        <v>5</v>
      </c>
      <c r="Q18" s="193">
        <f>ROUND((0.8*'Side MDB'!W18+0.2*'Side Pole'!N18),3)</f>
        <v>4.3999999999999997E-2</v>
      </c>
      <c r="R18" s="194">
        <f t="shared" si="25"/>
        <v>0.28999999999999998</v>
      </c>
      <c r="S18" s="138">
        <f t="shared" si="26"/>
        <v>5</v>
      </c>
      <c r="T18" s="194">
        <f>ROUND(((0.8*'Side MDB'!W18+0.2*'Side Pole'!N18)+(IF('Side MDB'!X18="N/A",(0.8*'Side MDB'!W18+0.2*'Side Pole'!N18),'Side MDB'!X18)))/2,3)</f>
        <v>4.3999999999999997E-2</v>
      </c>
      <c r="U18" s="194">
        <f t="shared" si="27"/>
        <v>0.28999999999999998</v>
      </c>
      <c r="V18" s="25">
        <f t="shared" si="28"/>
        <v>5</v>
      </c>
      <c r="W18" s="16"/>
      <c r="X18" s="16"/>
      <c r="Y18" s="195"/>
      <c r="Z18" s="195"/>
      <c r="AA18" s="195"/>
      <c r="AB18" s="196"/>
      <c r="AC18" s="196"/>
      <c r="AD18" s="196"/>
      <c r="AE18" s="196"/>
      <c r="AF18" s="196"/>
      <c r="AG18" s="196"/>
      <c r="AH18" s="196"/>
      <c r="AI18" s="196"/>
      <c r="AJ18" s="196"/>
      <c r="AK18" s="196"/>
      <c r="AL18" s="196"/>
    </row>
    <row r="19" spans="1:38" ht="13.9" customHeight="1">
      <c r="A19" s="188">
        <v>8749</v>
      </c>
      <c r="B19" s="188" t="s">
        <v>197</v>
      </c>
      <c r="C19" s="189" t="str">
        <f>Rollover!A19</f>
        <v>Chevrolet</v>
      </c>
      <c r="D19" s="189" t="str">
        <f>Rollover!B19</f>
        <v>Suburban 1500 SUV RWD</v>
      </c>
      <c r="E19" s="70" t="s">
        <v>88</v>
      </c>
      <c r="F19" s="190">
        <f>Rollover!C19</f>
        <v>2019</v>
      </c>
      <c r="G19" s="191">
        <v>301.28500000000003</v>
      </c>
      <c r="H19" s="12">
        <v>23.574000000000002</v>
      </c>
      <c r="I19" s="12">
        <v>53.284999999999997</v>
      </c>
      <c r="J19" s="192">
        <v>25.065999999999999</v>
      </c>
      <c r="K19" s="192">
        <v>4520.5420000000004</v>
      </c>
      <c r="L19" s="26">
        <f t="shared" si="20"/>
        <v>9.2075854043889137E-3</v>
      </c>
      <c r="M19" s="27">
        <f t="shared" si="21"/>
        <v>0.11342835660316805</v>
      </c>
      <c r="N19" s="26">
        <f t="shared" si="22"/>
        <v>0.122</v>
      </c>
      <c r="O19" s="6">
        <f t="shared" si="23"/>
        <v>0.81</v>
      </c>
      <c r="P19" s="25">
        <f t="shared" si="24"/>
        <v>4</v>
      </c>
      <c r="Q19" s="193">
        <f>ROUND((0.8*'Side MDB'!W19+0.2*'Side Pole'!N19),3)</f>
        <v>0.06</v>
      </c>
      <c r="R19" s="194">
        <f t="shared" si="25"/>
        <v>0.4</v>
      </c>
      <c r="S19" s="138">
        <f t="shared" si="26"/>
        <v>5</v>
      </c>
      <c r="T19" s="194">
        <f>ROUND(((0.8*'Side MDB'!W19+0.2*'Side Pole'!N19)+(IF('Side MDB'!X19="N/A",(0.8*'Side MDB'!W19+0.2*'Side Pole'!N19),'Side MDB'!X19)))/2,3)</f>
        <v>3.5000000000000003E-2</v>
      </c>
      <c r="U19" s="194">
        <f t="shared" si="27"/>
        <v>0.23</v>
      </c>
      <c r="V19" s="25">
        <f t="shared" si="28"/>
        <v>5</v>
      </c>
      <c r="W19" s="16"/>
      <c r="X19" s="16"/>
      <c r="Y19" s="195"/>
      <c r="Z19" s="195"/>
      <c r="AA19" s="195"/>
      <c r="AB19" s="196"/>
      <c r="AC19" s="196"/>
      <c r="AD19" s="196"/>
      <c r="AE19" s="196"/>
      <c r="AF19" s="196"/>
      <c r="AG19" s="196"/>
      <c r="AH19" s="196"/>
      <c r="AI19" s="196"/>
      <c r="AJ19" s="196"/>
      <c r="AK19" s="196"/>
      <c r="AL19" s="196"/>
    </row>
    <row r="20" spans="1:38" ht="13.9" customHeight="1">
      <c r="A20" s="188">
        <v>8749</v>
      </c>
      <c r="B20" s="188" t="s">
        <v>197</v>
      </c>
      <c r="C20" s="189" t="str">
        <f>Rollover!A20</f>
        <v>Chevrolet</v>
      </c>
      <c r="D20" s="189" t="str">
        <f>Rollover!B20</f>
        <v>Suburban 1500 SUV 4WD</v>
      </c>
      <c r="E20" s="70" t="s">
        <v>88</v>
      </c>
      <c r="F20" s="190">
        <f>Rollover!C20</f>
        <v>2019</v>
      </c>
      <c r="G20" s="191">
        <v>301.28500000000003</v>
      </c>
      <c r="H20" s="12">
        <v>23.574000000000002</v>
      </c>
      <c r="I20" s="12">
        <v>53.284999999999997</v>
      </c>
      <c r="J20" s="192">
        <v>25.065999999999999</v>
      </c>
      <c r="K20" s="192">
        <v>4520.5420000000004</v>
      </c>
      <c r="L20" s="26">
        <f t="shared" si="20"/>
        <v>9.2075854043889137E-3</v>
      </c>
      <c r="M20" s="27">
        <f t="shared" si="21"/>
        <v>0.11342835660316805</v>
      </c>
      <c r="N20" s="26">
        <f t="shared" si="22"/>
        <v>0.122</v>
      </c>
      <c r="O20" s="6">
        <f t="shared" si="23"/>
        <v>0.81</v>
      </c>
      <c r="P20" s="25">
        <f t="shared" si="24"/>
        <v>4</v>
      </c>
      <c r="Q20" s="193">
        <f>ROUND((0.8*'Side MDB'!W20+0.2*'Side Pole'!N20),3)</f>
        <v>0.06</v>
      </c>
      <c r="R20" s="194">
        <f t="shared" si="25"/>
        <v>0.4</v>
      </c>
      <c r="S20" s="138">
        <f t="shared" si="26"/>
        <v>5</v>
      </c>
      <c r="T20" s="194">
        <f>ROUND(((0.8*'Side MDB'!W20+0.2*'Side Pole'!N20)+(IF('Side MDB'!X20="N/A",(0.8*'Side MDB'!W20+0.2*'Side Pole'!N20),'Side MDB'!X20)))/2,3)</f>
        <v>3.5000000000000003E-2</v>
      </c>
      <c r="U20" s="194">
        <f t="shared" si="27"/>
        <v>0.23</v>
      </c>
      <c r="V20" s="25">
        <f t="shared" si="28"/>
        <v>5</v>
      </c>
      <c r="W20" s="16"/>
      <c r="X20" s="16"/>
      <c r="Y20" s="195"/>
      <c r="Z20" s="195"/>
      <c r="AA20" s="195"/>
      <c r="AB20" s="196"/>
      <c r="AC20" s="196"/>
      <c r="AD20" s="196"/>
      <c r="AE20" s="196"/>
      <c r="AF20" s="196"/>
      <c r="AG20" s="196"/>
      <c r="AH20" s="196"/>
      <c r="AI20" s="196"/>
      <c r="AJ20" s="196"/>
      <c r="AK20" s="196"/>
      <c r="AL20" s="196"/>
    </row>
    <row r="21" spans="1:38" ht="13.9" customHeight="1">
      <c r="A21" s="188">
        <v>8749</v>
      </c>
      <c r="B21" s="188" t="s">
        <v>197</v>
      </c>
      <c r="C21" s="200" t="str">
        <f>Rollover!A21</f>
        <v>GMC</v>
      </c>
      <c r="D21" s="200" t="str">
        <f>Rollover!B21</f>
        <v>Yukon XL 1500 SUV RWD</v>
      </c>
      <c r="E21" s="70" t="s">
        <v>88</v>
      </c>
      <c r="F21" s="190">
        <f>Rollover!C21</f>
        <v>2019</v>
      </c>
      <c r="G21" s="191">
        <v>301.28500000000003</v>
      </c>
      <c r="H21" s="12">
        <v>23.574000000000002</v>
      </c>
      <c r="I21" s="12">
        <v>53.284999999999997</v>
      </c>
      <c r="J21" s="192">
        <v>25.065999999999999</v>
      </c>
      <c r="K21" s="192">
        <v>4520.5420000000004</v>
      </c>
      <c r="L21" s="26">
        <f t="shared" si="20"/>
        <v>9.2075854043889137E-3</v>
      </c>
      <c r="M21" s="27">
        <f t="shared" si="21"/>
        <v>0.11342835660316805</v>
      </c>
      <c r="N21" s="26">
        <f t="shared" si="22"/>
        <v>0.122</v>
      </c>
      <c r="O21" s="6">
        <f t="shared" si="23"/>
        <v>0.81</v>
      </c>
      <c r="P21" s="25">
        <f t="shared" si="24"/>
        <v>4</v>
      </c>
      <c r="Q21" s="193">
        <f>ROUND((0.8*'Side MDB'!W21+0.2*'Side Pole'!N21),3)</f>
        <v>0.06</v>
      </c>
      <c r="R21" s="194">
        <f t="shared" si="25"/>
        <v>0.4</v>
      </c>
      <c r="S21" s="138">
        <f t="shared" si="26"/>
        <v>5</v>
      </c>
      <c r="T21" s="194">
        <f>ROUND(((0.8*'Side MDB'!W21+0.2*'Side Pole'!N21)+(IF('Side MDB'!X21="N/A",(0.8*'Side MDB'!W21+0.2*'Side Pole'!N21),'Side MDB'!X21)))/2,3)</f>
        <v>3.5000000000000003E-2</v>
      </c>
      <c r="U21" s="194">
        <f t="shared" si="27"/>
        <v>0.23</v>
      </c>
      <c r="V21" s="25">
        <f t="shared" si="28"/>
        <v>5</v>
      </c>
      <c r="W21" s="16"/>
      <c r="X21" s="16"/>
      <c r="Y21" s="195"/>
      <c r="Z21" s="195"/>
      <c r="AA21" s="195"/>
      <c r="AB21" s="196"/>
      <c r="AC21" s="196"/>
      <c r="AD21" s="196"/>
      <c r="AE21" s="196"/>
      <c r="AF21" s="196"/>
      <c r="AG21" s="196"/>
      <c r="AH21" s="196"/>
      <c r="AI21" s="196"/>
      <c r="AJ21" s="196"/>
      <c r="AK21" s="196"/>
      <c r="AL21" s="196"/>
    </row>
    <row r="22" spans="1:38" ht="13.9" customHeight="1">
      <c r="A22" s="188">
        <v>8749</v>
      </c>
      <c r="B22" s="188" t="s">
        <v>197</v>
      </c>
      <c r="C22" s="200" t="str">
        <f>Rollover!A22</f>
        <v>GMC</v>
      </c>
      <c r="D22" s="200" t="str">
        <f>Rollover!B22</f>
        <v>Yukon XL 1500 SUV 4WD</v>
      </c>
      <c r="E22" s="70" t="s">
        <v>88</v>
      </c>
      <c r="F22" s="190">
        <f>Rollover!C22</f>
        <v>2019</v>
      </c>
      <c r="G22" s="191">
        <v>301.28500000000003</v>
      </c>
      <c r="H22" s="12">
        <v>23.574000000000002</v>
      </c>
      <c r="I22" s="12">
        <v>53.284999999999997</v>
      </c>
      <c r="J22" s="192">
        <v>25.065999999999999</v>
      </c>
      <c r="K22" s="192">
        <v>4520.5420000000004</v>
      </c>
      <c r="L22" s="26">
        <f t="shared" si="20"/>
        <v>9.2075854043889137E-3</v>
      </c>
      <c r="M22" s="27">
        <f t="shared" si="21"/>
        <v>0.11342835660316805</v>
      </c>
      <c r="N22" s="26">
        <f t="shared" si="22"/>
        <v>0.122</v>
      </c>
      <c r="O22" s="6">
        <f t="shared" si="23"/>
        <v>0.81</v>
      </c>
      <c r="P22" s="25">
        <f t="shared" si="24"/>
        <v>4</v>
      </c>
      <c r="Q22" s="193">
        <f>ROUND((0.8*'Side MDB'!W22+0.2*'Side Pole'!N22),3)</f>
        <v>0.06</v>
      </c>
      <c r="R22" s="194">
        <f t="shared" si="25"/>
        <v>0.4</v>
      </c>
      <c r="S22" s="138">
        <f t="shared" si="26"/>
        <v>5</v>
      </c>
      <c r="T22" s="194">
        <f>ROUND(((0.8*'Side MDB'!W22+0.2*'Side Pole'!N22)+(IF('Side MDB'!X22="N/A",(0.8*'Side MDB'!W22+0.2*'Side Pole'!N22),'Side MDB'!X22)))/2,3)</f>
        <v>3.5000000000000003E-2</v>
      </c>
      <c r="U22" s="194">
        <f t="shared" si="27"/>
        <v>0.23</v>
      </c>
      <c r="V22" s="25">
        <f t="shared" si="28"/>
        <v>5</v>
      </c>
      <c r="W22" s="16"/>
      <c r="X22" s="16"/>
      <c r="Y22" s="195"/>
      <c r="Z22" s="195"/>
      <c r="AA22" s="195"/>
      <c r="AB22" s="196"/>
      <c r="AC22" s="196"/>
      <c r="AD22" s="196"/>
      <c r="AE22" s="196"/>
      <c r="AF22" s="196"/>
      <c r="AG22" s="196"/>
      <c r="AH22" s="196"/>
      <c r="AI22" s="196"/>
      <c r="AJ22" s="196"/>
      <c r="AK22" s="196"/>
      <c r="AL22" s="196"/>
    </row>
    <row r="23" spans="1:38" ht="13.9" customHeight="1">
      <c r="A23" s="188">
        <v>8640</v>
      </c>
      <c r="B23" s="188" t="s">
        <v>209</v>
      </c>
      <c r="C23" s="189" t="str">
        <f>Rollover!A23</f>
        <v>Chevrolet</v>
      </c>
      <c r="D23" s="189" t="str">
        <f>Rollover!B23</f>
        <v>Tahoe SUV RWD</v>
      </c>
      <c r="E23" s="70" t="s">
        <v>160</v>
      </c>
      <c r="F23" s="190">
        <f>Rollover!C23</f>
        <v>2019</v>
      </c>
      <c r="G23" s="191">
        <v>354.99599999999998</v>
      </c>
      <c r="H23" s="12">
        <v>22.597000000000001</v>
      </c>
      <c r="I23" s="12">
        <v>50.014000000000003</v>
      </c>
      <c r="J23" s="192">
        <v>23.731000000000002</v>
      </c>
      <c r="K23" s="192">
        <v>3971.6680000000001</v>
      </c>
      <c r="L23" s="26">
        <f t="shared" si="20"/>
        <v>1.6361407982655961E-2</v>
      </c>
      <c r="M23" s="27">
        <f t="shared" si="21"/>
        <v>7.0953630419648445E-2</v>
      </c>
      <c r="N23" s="26">
        <f t="shared" si="22"/>
        <v>8.5999999999999993E-2</v>
      </c>
      <c r="O23" s="6">
        <f t="shared" si="23"/>
        <v>0.56999999999999995</v>
      </c>
      <c r="P23" s="25">
        <f t="shared" si="24"/>
        <v>5</v>
      </c>
      <c r="Q23" s="193">
        <f>ROUND((0.8*'Side MDB'!W23+0.2*'Side Pole'!N23),3)</f>
        <v>4.1000000000000002E-2</v>
      </c>
      <c r="R23" s="194">
        <f t="shared" si="25"/>
        <v>0.27</v>
      </c>
      <c r="S23" s="138">
        <f t="shared" si="26"/>
        <v>5</v>
      </c>
      <c r="T23" s="194">
        <f>ROUND(((0.8*'Side MDB'!W23+0.2*'Side Pole'!N23)+(IF('Side MDB'!X23="N/A",(0.8*'Side MDB'!W23+0.2*'Side Pole'!N23),'Side MDB'!X23)))/2,3)</f>
        <v>2.3E-2</v>
      </c>
      <c r="U23" s="194">
        <f t="shared" si="27"/>
        <v>0.15</v>
      </c>
      <c r="V23" s="25">
        <f t="shared" si="28"/>
        <v>5</v>
      </c>
      <c r="W23" s="16"/>
      <c r="X23" s="16"/>
      <c r="Y23" s="195"/>
      <c r="Z23" s="195"/>
      <c r="AA23" s="195"/>
      <c r="AB23" s="196"/>
      <c r="AC23" s="196"/>
      <c r="AD23" s="196"/>
      <c r="AE23" s="196"/>
      <c r="AF23" s="196"/>
      <c r="AG23" s="196"/>
      <c r="AH23" s="196"/>
      <c r="AI23" s="196"/>
      <c r="AJ23" s="196"/>
      <c r="AK23" s="196"/>
      <c r="AL23" s="196"/>
    </row>
    <row r="24" spans="1:38" ht="13.9" customHeight="1">
      <c r="A24" s="188">
        <v>8640</v>
      </c>
      <c r="B24" s="188" t="s">
        <v>209</v>
      </c>
      <c r="C24" s="189" t="str">
        <f>Rollover!A24</f>
        <v>Chevrolet</v>
      </c>
      <c r="D24" s="189" t="str">
        <f>Rollover!B24</f>
        <v>Tahoe SUV 4WD</v>
      </c>
      <c r="E24" s="70" t="s">
        <v>160</v>
      </c>
      <c r="F24" s="190">
        <f>Rollover!C24</f>
        <v>2019</v>
      </c>
      <c r="G24" s="191">
        <v>354.99599999999998</v>
      </c>
      <c r="H24" s="12">
        <v>22.597000000000001</v>
      </c>
      <c r="I24" s="12">
        <v>50.014000000000003</v>
      </c>
      <c r="J24" s="192">
        <v>23.731000000000002</v>
      </c>
      <c r="K24" s="192">
        <v>3971.6680000000001</v>
      </c>
      <c r="L24" s="26">
        <f t="shared" si="20"/>
        <v>1.6361407982655961E-2</v>
      </c>
      <c r="M24" s="27">
        <f t="shared" si="21"/>
        <v>7.0953630419648445E-2</v>
      </c>
      <c r="N24" s="26">
        <f t="shared" si="22"/>
        <v>8.5999999999999993E-2</v>
      </c>
      <c r="O24" s="6">
        <f t="shared" si="23"/>
        <v>0.56999999999999995</v>
      </c>
      <c r="P24" s="25">
        <f t="shared" si="24"/>
        <v>5</v>
      </c>
      <c r="Q24" s="193">
        <f>ROUND((0.8*'Side MDB'!W24+0.2*'Side Pole'!N24),3)</f>
        <v>4.1000000000000002E-2</v>
      </c>
      <c r="R24" s="194">
        <f t="shared" si="25"/>
        <v>0.27</v>
      </c>
      <c r="S24" s="138">
        <f t="shared" si="26"/>
        <v>5</v>
      </c>
      <c r="T24" s="194">
        <f>ROUND(((0.8*'Side MDB'!W24+0.2*'Side Pole'!N24)+(IF('Side MDB'!X24="N/A",(0.8*'Side MDB'!W24+0.2*'Side Pole'!N24),'Side MDB'!X24)))/2,3)</f>
        <v>2.3E-2</v>
      </c>
      <c r="U24" s="194">
        <f t="shared" si="27"/>
        <v>0.15</v>
      </c>
      <c r="V24" s="25">
        <f t="shared" si="28"/>
        <v>5</v>
      </c>
      <c r="W24" s="16"/>
      <c r="X24" s="16"/>
      <c r="Y24" s="195"/>
      <c r="Z24" s="195"/>
      <c r="AA24" s="195"/>
      <c r="AB24" s="196"/>
      <c r="AC24" s="196"/>
      <c r="AD24" s="196"/>
      <c r="AE24" s="196"/>
      <c r="AF24" s="196"/>
      <c r="AG24" s="196"/>
      <c r="AH24" s="196"/>
      <c r="AI24" s="196"/>
      <c r="AJ24" s="196"/>
      <c r="AK24" s="196"/>
      <c r="AL24" s="196"/>
    </row>
    <row r="25" spans="1:38" ht="12" customHeight="1">
      <c r="A25" s="188">
        <v>8640</v>
      </c>
      <c r="B25" s="188" t="s">
        <v>209</v>
      </c>
      <c r="C25" s="200" t="str">
        <f>Rollover!A25</f>
        <v>GMC</v>
      </c>
      <c r="D25" s="200" t="str">
        <f>Rollover!B25</f>
        <v>Yukon SUV RWD</v>
      </c>
      <c r="E25" s="70" t="s">
        <v>160</v>
      </c>
      <c r="F25" s="190">
        <f>Rollover!C25</f>
        <v>2019</v>
      </c>
      <c r="G25" s="191">
        <v>354.99599999999998</v>
      </c>
      <c r="H25" s="12">
        <v>22.597000000000001</v>
      </c>
      <c r="I25" s="12">
        <v>50.014000000000003</v>
      </c>
      <c r="J25" s="192">
        <v>23.731000000000002</v>
      </c>
      <c r="K25" s="192">
        <v>3971.6680000000001</v>
      </c>
      <c r="L25" s="26">
        <f t="shared" si="20"/>
        <v>1.6361407982655961E-2</v>
      </c>
      <c r="M25" s="27">
        <f t="shared" si="21"/>
        <v>7.0953630419648445E-2</v>
      </c>
      <c r="N25" s="26">
        <f t="shared" si="22"/>
        <v>8.5999999999999993E-2</v>
      </c>
      <c r="O25" s="6">
        <f t="shared" si="23"/>
        <v>0.56999999999999995</v>
      </c>
      <c r="P25" s="25">
        <f t="shared" si="24"/>
        <v>5</v>
      </c>
      <c r="Q25" s="193">
        <f>ROUND((0.8*'Side MDB'!W25+0.2*'Side Pole'!N25),3)</f>
        <v>4.1000000000000002E-2</v>
      </c>
      <c r="R25" s="194">
        <f t="shared" si="25"/>
        <v>0.27</v>
      </c>
      <c r="S25" s="138">
        <f t="shared" si="26"/>
        <v>5</v>
      </c>
      <c r="T25" s="194">
        <f>ROUND(((0.8*'Side MDB'!W25+0.2*'Side Pole'!N25)+(IF('Side MDB'!X25="N/A",(0.8*'Side MDB'!W25+0.2*'Side Pole'!N25),'Side MDB'!X25)))/2,3)</f>
        <v>2.3E-2</v>
      </c>
      <c r="U25" s="194">
        <f t="shared" si="27"/>
        <v>0.15</v>
      </c>
      <c r="V25" s="25">
        <f t="shared" si="28"/>
        <v>5</v>
      </c>
      <c r="W25" s="16"/>
      <c r="X25" s="16"/>
      <c r="Y25" s="195"/>
      <c r="Z25" s="195"/>
      <c r="AA25" s="195"/>
      <c r="AB25" s="196"/>
      <c r="AC25" s="196"/>
      <c r="AD25" s="196"/>
      <c r="AE25" s="196"/>
      <c r="AF25" s="196"/>
      <c r="AG25" s="196"/>
      <c r="AH25" s="196"/>
      <c r="AI25" s="196"/>
      <c r="AJ25" s="196"/>
      <c r="AK25" s="196"/>
      <c r="AL25" s="196"/>
    </row>
    <row r="26" spans="1:38" ht="13.9" customHeight="1">
      <c r="A26" s="188">
        <v>8640</v>
      </c>
      <c r="B26" s="188" t="s">
        <v>209</v>
      </c>
      <c r="C26" s="200" t="str">
        <f>Rollover!A26</f>
        <v xml:space="preserve">GMC </v>
      </c>
      <c r="D26" s="200" t="str">
        <f>Rollover!B26</f>
        <v>Yukon SUV 4WD</v>
      </c>
      <c r="E26" s="70" t="s">
        <v>160</v>
      </c>
      <c r="F26" s="190">
        <f>Rollover!C26</f>
        <v>2019</v>
      </c>
      <c r="G26" s="191">
        <v>354.99599999999998</v>
      </c>
      <c r="H26" s="12">
        <v>22.597000000000001</v>
      </c>
      <c r="I26" s="12">
        <v>50.014000000000003</v>
      </c>
      <c r="J26" s="192">
        <v>23.731000000000002</v>
      </c>
      <c r="K26" s="192">
        <v>3971.6680000000001</v>
      </c>
      <c r="L26" s="26">
        <f t="shared" si="20"/>
        <v>1.6361407982655961E-2</v>
      </c>
      <c r="M26" s="27">
        <f t="shared" si="21"/>
        <v>7.0953630419648445E-2</v>
      </c>
      <c r="N26" s="26">
        <f t="shared" si="22"/>
        <v>8.5999999999999993E-2</v>
      </c>
      <c r="O26" s="6">
        <f t="shared" si="23"/>
        <v>0.56999999999999995</v>
      </c>
      <c r="P26" s="25">
        <f t="shared" si="24"/>
        <v>5</v>
      </c>
      <c r="Q26" s="193">
        <f>ROUND((0.8*'Side MDB'!W26+0.2*'Side Pole'!N26),3)</f>
        <v>4.1000000000000002E-2</v>
      </c>
      <c r="R26" s="194">
        <f t="shared" si="25"/>
        <v>0.27</v>
      </c>
      <c r="S26" s="138">
        <f t="shared" si="26"/>
        <v>5</v>
      </c>
      <c r="T26" s="194">
        <f>ROUND(((0.8*'Side MDB'!W26+0.2*'Side Pole'!N26)+(IF('Side MDB'!X26="N/A",(0.8*'Side MDB'!W26+0.2*'Side Pole'!N26),'Side MDB'!X26)))/2,3)</f>
        <v>2.3E-2</v>
      </c>
      <c r="U26" s="194">
        <f t="shared" si="27"/>
        <v>0.15</v>
      </c>
      <c r="V26" s="25">
        <f t="shared" si="28"/>
        <v>5</v>
      </c>
      <c r="W26" s="16"/>
      <c r="X26" s="16"/>
      <c r="Y26" s="195"/>
      <c r="Z26" s="195"/>
      <c r="AA26" s="195"/>
      <c r="AB26" s="196"/>
      <c r="AC26" s="196"/>
      <c r="AD26" s="196"/>
      <c r="AE26" s="196"/>
      <c r="AF26" s="196"/>
      <c r="AG26" s="196"/>
      <c r="AH26" s="196"/>
      <c r="AI26" s="196"/>
      <c r="AJ26" s="196"/>
      <c r="AK26" s="196"/>
      <c r="AL26" s="196"/>
    </row>
    <row r="27" spans="1:38" ht="13.9" customHeight="1">
      <c r="A27" s="198">
        <v>10639</v>
      </c>
      <c r="B27" s="188" t="s">
        <v>213</v>
      </c>
      <c r="C27" s="189" t="str">
        <f>Rollover!A27</f>
        <v>Dodge</v>
      </c>
      <c r="D27" s="189" t="str">
        <f>Rollover!B27</f>
        <v>Grand Caravan Minivan FWD</v>
      </c>
      <c r="E27" s="70" t="s">
        <v>163</v>
      </c>
      <c r="F27" s="190">
        <f>Rollover!C27</f>
        <v>2019</v>
      </c>
      <c r="G27" s="191">
        <v>311.89499999999998</v>
      </c>
      <c r="H27" s="12">
        <v>23.786000000000001</v>
      </c>
      <c r="I27" s="12">
        <v>35.215000000000003</v>
      </c>
      <c r="J27" s="192">
        <v>27.26</v>
      </c>
      <c r="K27" s="13">
        <v>2715.4639999999999</v>
      </c>
      <c r="L27" s="26">
        <f t="shared" si="20"/>
        <v>1.0433248173635128E-2</v>
      </c>
      <c r="M27" s="27">
        <f t="shared" si="21"/>
        <v>2.2910927435812665E-2</v>
      </c>
      <c r="N27" s="26">
        <f t="shared" si="22"/>
        <v>3.3000000000000002E-2</v>
      </c>
      <c r="O27" s="6">
        <f t="shared" si="23"/>
        <v>0.22</v>
      </c>
      <c r="P27" s="25">
        <f t="shared" si="24"/>
        <v>5</v>
      </c>
      <c r="Q27" s="193">
        <f>ROUND((0.8*'Side MDB'!W27+0.2*'Side Pole'!N27),3)</f>
        <v>5.3999999999999999E-2</v>
      </c>
      <c r="R27" s="194">
        <f t="shared" si="25"/>
        <v>0.36</v>
      </c>
      <c r="S27" s="138">
        <f t="shared" si="26"/>
        <v>5</v>
      </c>
      <c r="T27" s="194">
        <f>ROUND(((0.8*'Side MDB'!W27+0.2*'Side Pole'!N27)+(IF('Side MDB'!X27="N/A",(0.8*'Side MDB'!W27+0.2*'Side Pole'!N27),'Side MDB'!X27)))/2,3)</f>
        <v>5.6000000000000001E-2</v>
      </c>
      <c r="U27" s="194">
        <f t="shared" si="27"/>
        <v>0.37</v>
      </c>
      <c r="V27" s="25">
        <f t="shared" si="28"/>
        <v>5</v>
      </c>
      <c r="W27" s="16"/>
      <c r="X27" s="16"/>
      <c r="Y27" s="195"/>
      <c r="Z27" s="195"/>
      <c r="AA27" s="195"/>
      <c r="AB27" s="196"/>
      <c r="AC27" s="196"/>
      <c r="AD27" s="196"/>
      <c r="AE27" s="196"/>
      <c r="AF27" s="196"/>
      <c r="AG27" s="196"/>
      <c r="AH27" s="196"/>
      <c r="AI27" s="196"/>
      <c r="AJ27" s="196"/>
      <c r="AK27" s="196"/>
      <c r="AL27" s="196"/>
    </row>
    <row r="28" spans="1:38" ht="13.9" customHeight="1">
      <c r="A28" s="187">
        <v>10649</v>
      </c>
      <c r="B28" s="188" t="s">
        <v>231</v>
      </c>
      <c r="C28" s="189" t="str">
        <f>Rollover!A28</f>
        <v>Ford</v>
      </c>
      <c r="D28" s="189" t="str">
        <f>Rollover!B28</f>
        <v>Edge SUV FWD</v>
      </c>
      <c r="E28" s="70" t="s">
        <v>165</v>
      </c>
      <c r="F28" s="190">
        <f>Rollover!C28</f>
        <v>2019</v>
      </c>
      <c r="G28" s="191">
        <v>256.90800000000002</v>
      </c>
      <c r="H28" s="12">
        <v>18.774999999999999</v>
      </c>
      <c r="I28" s="12">
        <v>37.728000000000002</v>
      </c>
      <c r="J28" s="192">
        <v>17.215</v>
      </c>
      <c r="K28" s="13">
        <v>1892.5509999999999</v>
      </c>
      <c r="L28" s="26">
        <f t="shared" si="20"/>
        <v>5.0484777619147431E-3</v>
      </c>
      <c r="M28" s="27">
        <f t="shared" si="21"/>
        <v>1.0702665980722923E-2</v>
      </c>
      <c r="N28" s="26">
        <f t="shared" si="22"/>
        <v>1.6E-2</v>
      </c>
      <c r="O28" s="6">
        <f t="shared" si="23"/>
        <v>0.11</v>
      </c>
      <c r="P28" s="25">
        <f t="shared" si="24"/>
        <v>5</v>
      </c>
      <c r="Q28" s="193">
        <f>ROUND((0.8*'Side MDB'!W28+0.2*'Side Pole'!N28),3)</f>
        <v>5.8999999999999997E-2</v>
      </c>
      <c r="R28" s="194">
        <f t="shared" si="25"/>
        <v>0.39</v>
      </c>
      <c r="S28" s="138">
        <f t="shared" si="26"/>
        <v>5</v>
      </c>
      <c r="T28" s="194">
        <f>ROUND(((0.8*'Side MDB'!W28+0.2*'Side Pole'!N28)+(IF('Side MDB'!X28="N/A",(0.8*'Side MDB'!W28+0.2*'Side Pole'!N28),'Side MDB'!X28)))/2,3)</f>
        <v>4.2000000000000003E-2</v>
      </c>
      <c r="U28" s="194">
        <f t="shared" si="27"/>
        <v>0.28000000000000003</v>
      </c>
      <c r="V28" s="25">
        <f t="shared" si="28"/>
        <v>5</v>
      </c>
      <c r="W28" s="16"/>
      <c r="X28" s="16"/>
      <c r="Y28" s="195"/>
      <c r="Z28" s="195"/>
      <c r="AA28" s="195"/>
      <c r="AB28" s="196"/>
      <c r="AC28" s="196"/>
      <c r="AD28" s="196"/>
      <c r="AE28" s="196"/>
      <c r="AF28" s="196"/>
      <c r="AG28" s="196"/>
      <c r="AH28" s="196"/>
      <c r="AI28" s="196"/>
      <c r="AJ28" s="196"/>
      <c r="AK28" s="196"/>
      <c r="AL28" s="196"/>
    </row>
    <row r="29" spans="1:38" ht="13.9" customHeight="1">
      <c r="A29" s="187">
        <v>10649</v>
      </c>
      <c r="B29" s="188" t="s">
        <v>231</v>
      </c>
      <c r="C29" s="189" t="str">
        <f>Rollover!A29</f>
        <v>Ford</v>
      </c>
      <c r="D29" s="189" t="str">
        <f>Rollover!B29</f>
        <v>Edge SUV AWD</v>
      </c>
      <c r="E29" s="70" t="s">
        <v>165</v>
      </c>
      <c r="F29" s="190">
        <f>Rollover!C29</f>
        <v>2019</v>
      </c>
      <c r="G29" s="191">
        <v>256.90800000000002</v>
      </c>
      <c r="H29" s="12">
        <v>18.774999999999999</v>
      </c>
      <c r="I29" s="12">
        <v>37.728000000000002</v>
      </c>
      <c r="J29" s="192">
        <v>17.215</v>
      </c>
      <c r="K29" s="13">
        <v>1892.5509999999999</v>
      </c>
      <c r="L29" s="26">
        <f t="shared" si="11"/>
        <v>5.0484777619147431E-3</v>
      </c>
      <c r="M29" s="27">
        <f t="shared" si="12"/>
        <v>1.0702665980722923E-2</v>
      </c>
      <c r="N29" s="26">
        <f t="shared" si="13"/>
        <v>1.6E-2</v>
      </c>
      <c r="O29" s="6">
        <f t="shared" si="14"/>
        <v>0.11</v>
      </c>
      <c r="P29" s="25">
        <f t="shared" si="15"/>
        <v>5</v>
      </c>
      <c r="Q29" s="193">
        <f>ROUND((0.8*'Side MDB'!W29+0.2*'Side Pole'!N29),3)</f>
        <v>5.8999999999999997E-2</v>
      </c>
      <c r="R29" s="194">
        <f t="shared" si="16"/>
        <v>0.39</v>
      </c>
      <c r="S29" s="138">
        <f t="shared" si="17"/>
        <v>5</v>
      </c>
      <c r="T29" s="194">
        <f>ROUND(((0.8*'Side MDB'!W29+0.2*'Side Pole'!N29)+(IF('Side MDB'!X29="N/A",(0.8*'Side MDB'!W29+0.2*'Side Pole'!N29),'Side MDB'!X29)))/2,3)</f>
        <v>4.2000000000000003E-2</v>
      </c>
      <c r="U29" s="194">
        <f t="shared" si="18"/>
        <v>0.28000000000000003</v>
      </c>
      <c r="V29" s="25">
        <f t="shared" si="19"/>
        <v>5</v>
      </c>
      <c r="W29" s="16"/>
      <c r="X29" s="16"/>
      <c r="Y29" s="195"/>
      <c r="Z29" s="195"/>
      <c r="AA29" s="195"/>
      <c r="AB29" s="196"/>
      <c r="AC29" s="196"/>
      <c r="AD29" s="196"/>
      <c r="AE29" s="196"/>
      <c r="AF29" s="196"/>
      <c r="AG29" s="196"/>
      <c r="AH29" s="196"/>
      <c r="AI29" s="196"/>
      <c r="AJ29" s="196"/>
      <c r="AK29" s="196"/>
      <c r="AL29" s="196"/>
    </row>
    <row r="30" spans="1:38" ht="13.9" customHeight="1">
      <c r="A30" s="187">
        <v>10649</v>
      </c>
      <c r="B30" s="188" t="s">
        <v>231</v>
      </c>
      <c r="C30" s="200" t="str">
        <f>Rollover!A30</f>
        <v>Lincoln</v>
      </c>
      <c r="D30" s="200" t="str">
        <f>Rollover!B30</f>
        <v>Nautilus SUV FWD</v>
      </c>
      <c r="E30" s="70" t="s">
        <v>165</v>
      </c>
      <c r="F30" s="190">
        <f>Rollover!C30</f>
        <v>2019</v>
      </c>
      <c r="G30" s="191">
        <v>256.90800000000002</v>
      </c>
      <c r="H30" s="12">
        <v>18.774999999999999</v>
      </c>
      <c r="I30" s="12">
        <v>37.728000000000002</v>
      </c>
      <c r="J30" s="192">
        <v>17.215</v>
      </c>
      <c r="K30" s="13">
        <v>1892.5509999999999</v>
      </c>
      <c r="L30" s="26">
        <f t="shared" si="11"/>
        <v>5.0484777619147431E-3</v>
      </c>
      <c r="M30" s="27">
        <f t="shared" si="12"/>
        <v>1.0702665980722923E-2</v>
      </c>
      <c r="N30" s="26">
        <f t="shared" si="13"/>
        <v>1.6E-2</v>
      </c>
      <c r="O30" s="6">
        <f t="shared" si="14"/>
        <v>0.11</v>
      </c>
      <c r="P30" s="25">
        <f t="shared" si="15"/>
        <v>5</v>
      </c>
      <c r="Q30" s="193">
        <f>ROUND((0.8*'Side MDB'!W30+0.2*'Side Pole'!N30),3)</f>
        <v>5.8999999999999997E-2</v>
      </c>
      <c r="R30" s="194">
        <f t="shared" si="16"/>
        <v>0.39</v>
      </c>
      <c r="S30" s="138">
        <f t="shared" si="17"/>
        <v>5</v>
      </c>
      <c r="T30" s="194">
        <f>ROUND(((0.8*'Side MDB'!W30+0.2*'Side Pole'!N30)+(IF('Side MDB'!X30="N/A",(0.8*'Side MDB'!W30+0.2*'Side Pole'!N30),'Side MDB'!X30)))/2,3)</f>
        <v>4.2000000000000003E-2</v>
      </c>
      <c r="U30" s="194">
        <f t="shared" si="18"/>
        <v>0.28000000000000003</v>
      </c>
      <c r="V30" s="25">
        <f t="shared" si="19"/>
        <v>5</v>
      </c>
      <c r="W30" s="16"/>
      <c r="X30" s="16"/>
      <c r="Y30" s="195"/>
      <c r="Z30" s="195"/>
      <c r="AA30" s="195"/>
      <c r="AB30" s="196"/>
      <c r="AC30" s="196"/>
      <c r="AD30" s="196"/>
      <c r="AE30" s="196"/>
      <c r="AF30" s="196"/>
      <c r="AG30" s="196"/>
      <c r="AH30" s="196"/>
      <c r="AI30" s="196"/>
      <c r="AJ30" s="196"/>
      <c r="AK30" s="196"/>
      <c r="AL30" s="196"/>
    </row>
    <row r="31" spans="1:38" ht="13.9" customHeight="1">
      <c r="A31" s="187">
        <v>10649</v>
      </c>
      <c r="B31" s="188" t="s">
        <v>231</v>
      </c>
      <c r="C31" s="200" t="str">
        <f>Rollover!A31</f>
        <v>Lincoln</v>
      </c>
      <c r="D31" s="200" t="str">
        <f>Rollover!B31</f>
        <v>Nautilus SUV AWD</v>
      </c>
      <c r="E31" s="70" t="s">
        <v>165</v>
      </c>
      <c r="F31" s="190">
        <f>Rollover!C31</f>
        <v>2019</v>
      </c>
      <c r="G31" s="191">
        <v>256.90800000000002</v>
      </c>
      <c r="H31" s="12">
        <v>18.774999999999999</v>
      </c>
      <c r="I31" s="12">
        <v>37.728000000000002</v>
      </c>
      <c r="J31" s="192">
        <v>17.215</v>
      </c>
      <c r="K31" s="13">
        <v>1892.5509999999999</v>
      </c>
      <c r="L31" s="26">
        <f t="shared" si="11"/>
        <v>5.0484777619147431E-3</v>
      </c>
      <c r="M31" s="27">
        <f t="shared" si="12"/>
        <v>1.0702665980722923E-2</v>
      </c>
      <c r="N31" s="26">
        <f t="shared" si="13"/>
        <v>1.6E-2</v>
      </c>
      <c r="O31" s="6">
        <f t="shared" si="14"/>
        <v>0.11</v>
      </c>
      <c r="P31" s="25">
        <f t="shared" si="15"/>
        <v>5</v>
      </c>
      <c r="Q31" s="193">
        <f>ROUND((0.8*'Side MDB'!W31+0.2*'Side Pole'!N31),3)</f>
        <v>5.8999999999999997E-2</v>
      </c>
      <c r="R31" s="194">
        <f t="shared" si="16"/>
        <v>0.39</v>
      </c>
      <c r="S31" s="138">
        <f t="shared" si="17"/>
        <v>5</v>
      </c>
      <c r="T31" s="194">
        <f>ROUND(((0.8*'Side MDB'!W31+0.2*'Side Pole'!N31)+(IF('Side MDB'!X31="N/A",(0.8*'Side MDB'!W31+0.2*'Side Pole'!N31),'Side MDB'!X31)))/2,3)</f>
        <v>4.2000000000000003E-2</v>
      </c>
      <c r="U31" s="194">
        <f t="shared" si="18"/>
        <v>0.28000000000000003</v>
      </c>
      <c r="V31" s="25">
        <f t="shared" si="19"/>
        <v>5</v>
      </c>
      <c r="W31" s="16"/>
      <c r="X31" s="16"/>
      <c r="Y31" s="195"/>
      <c r="Z31" s="195"/>
      <c r="AA31" s="195"/>
      <c r="AB31" s="196"/>
      <c r="AC31" s="196"/>
      <c r="AD31" s="196"/>
      <c r="AE31" s="196"/>
      <c r="AF31" s="196"/>
      <c r="AG31" s="196"/>
      <c r="AH31" s="196"/>
      <c r="AI31" s="196"/>
      <c r="AJ31" s="196"/>
      <c r="AK31" s="196"/>
      <c r="AL31" s="196"/>
    </row>
    <row r="32" spans="1:38" ht="13.9" customHeight="1">
      <c r="A32" s="187">
        <v>10715</v>
      </c>
      <c r="B32" s="188" t="s">
        <v>262</v>
      </c>
      <c r="C32" s="189" t="str">
        <f>Rollover!A32</f>
        <v>Ford</v>
      </c>
      <c r="D32" s="189" t="str">
        <f>Rollover!B32</f>
        <v>F-250 Crew Cab PU/CC 2WD</v>
      </c>
      <c r="E32" s="70" t="s">
        <v>165</v>
      </c>
      <c r="F32" s="190">
        <f>Rollover!C32</f>
        <v>2019</v>
      </c>
      <c r="G32" s="191">
        <v>220.35300000000001</v>
      </c>
      <c r="H32" s="12">
        <v>20.59</v>
      </c>
      <c r="I32" s="12">
        <v>32.679000000000002</v>
      </c>
      <c r="J32" s="192">
        <v>20.861999999999998</v>
      </c>
      <c r="K32" s="13">
        <v>1887.6869999999999</v>
      </c>
      <c r="L32" s="26">
        <f t="shared" si="11"/>
        <v>2.7186825371752531E-3</v>
      </c>
      <c r="M32" s="27">
        <f t="shared" si="12"/>
        <v>1.0654363550633329E-2</v>
      </c>
      <c r="N32" s="26">
        <f t="shared" si="13"/>
        <v>1.2999999999999999E-2</v>
      </c>
      <c r="O32" s="6">
        <f t="shared" si="14"/>
        <v>0.09</v>
      </c>
      <c r="P32" s="25">
        <f t="shared" si="15"/>
        <v>5</v>
      </c>
      <c r="Q32" s="193">
        <f>ROUND((0.8*'Side MDB'!W32+0.2*'Side Pole'!N32),3)</f>
        <v>2.7E-2</v>
      </c>
      <c r="R32" s="194">
        <f t="shared" si="16"/>
        <v>0.18</v>
      </c>
      <c r="S32" s="138">
        <f t="shared" si="17"/>
        <v>5</v>
      </c>
      <c r="T32" s="194">
        <f>ROUND(((0.8*'Side MDB'!W32+0.2*'Side Pole'!N32)+(IF('Side MDB'!X32="N/A",(0.8*'Side MDB'!W32+0.2*'Side Pole'!N32),'Side MDB'!X32)))/2,3)</f>
        <v>1.4999999999999999E-2</v>
      </c>
      <c r="U32" s="194">
        <f t="shared" si="18"/>
        <v>0.1</v>
      </c>
      <c r="V32" s="25">
        <f t="shared" si="19"/>
        <v>5</v>
      </c>
      <c r="W32" s="16"/>
      <c r="X32" s="16"/>
      <c r="Y32" s="195"/>
      <c r="Z32" s="195"/>
      <c r="AA32" s="195"/>
      <c r="AB32" s="196"/>
      <c r="AC32" s="196"/>
      <c r="AD32" s="196"/>
      <c r="AE32" s="196"/>
      <c r="AF32" s="196"/>
      <c r="AG32" s="196"/>
      <c r="AH32" s="196"/>
      <c r="AI32" s="196"/>
      <c r="AJ32" s="196"/>
      <c r="AK32" s="196"/>
      <c r="AL32" s="196"/>
    </row>
    <row r="33" spans="1:38" ht="13.9" customHeight="1">
      <c r="A33" s="198">
        <v>10715</v>
      </c>
      <c r="B33" s="199" t="s">
        <v>262</v>
      </c>
      <c r="C33" s="189" t="str">
        <f>Rollover!A33</f>
        <v>Ford</v>
      </c>
      <c r="D33" s="189" t="str">
        <f>Rollover!B33</f>
        <v>F-250 Crew Cab PU/CC 4WD</v>
      </c>
      <c r="E33" s="70" t="s">
        <v>165</v>
      </c>
      <c r="F33" s="190">
        <f>Rollover!C33</f>
        <v>2019</v>
      </c>
      <c r="G33" s="191">
        <v>220.35300000000001</v>
      </c>
      <c r="H33" s="12">
        <v>20.59</v>
      </c>
      <c r="I33" s="12">
        <v>32.679000000000002</v>
      </c>
      <c r="J33" s="192">
        <v>20.861999999999998</v>
      </c>
      <c r="K33" s="13">
        <v>1887.6869999999999</v>
      </c>
      <c r="L33" s="26">
        <f>NORMDIST(LN(G33),7.45231,0.73998,1)</f>
        <v>2.7186825371752531E-3</v>
      </c>
      <c r="M33" s="27">
        <f>1/(1+EXP(6.3055-0.00094*K33))</f>
        <v>1.0654363550633329E-2</v>
      </c>
      <c r="N33" s="26">
        <f>ROUND(1-(1-L33)*(1-M33),3)</f>
        <v>1.2999999999999999E-2</v>
      </c>
      <c r="O33" s="6">
        <f>ROUND(N33/0.15,2)</f>
        <v>0.09</v>
      </c>
      <c r="P33" s="25">
        <f>IF(O33&lt;0.67,5,IF(O33&lt;1,4,IF(O33&lt;1.33,3,IF(O33&lt;2.67,2,1))))</f>
        <v>5</v>
      </c>
      <c r="Q33" s="193">
        <f>ROUND((0.8*'Side MDB'!W33+0.2*'Side Pole'!N33),3)</f>
        <v>2.7E-2</v>
      </c>
      <c r="R33" s="194">
        <f>ROUND((Q33)/0.15,2)</f>
        <v>0.18</v>
      </c>
      <c r="S33" s="138">
        <f>IF(R33&lt;0.67,5,IF(R33&lt;1,4,IF(R33&lt;1.33,3,IF(R33&lt;2.67,2,1))))</f>
        <v>5</v>
      </c>
      <c r="T33" s="194">
        <f>ROUND(((0.8*'Side MDB'!W33+0.2*'Side Pole'!N33)+(IF('Side MDB'!X33="N/A",(0.8*'Side MDB'!W33+0.2*'Side Pole'!N33),'Side MDB'!X33)))/2,3)</f>
        <v>1.4999999999999999E-2</v>
      </c>
      <c r="U33" s="194">
        <f>ROUND((T33)/0.15,2)</f>
        <v>0.1</v>
      </c>
      <c r="V33" s="25">
        <f>IF(U33&lt;0.67,5,IF(U33&lt;1,4,IF(U33&lt;1.33,3,IF(U33&lt;2.67,2,1))))</f>
        <v>5</v>
      </c>
      <c r="W33" s="16"/>
      <c r="X33" s="16"/>
      <c r="Y33" s="195"/>
      <c r="Z33" s="195"/>
      <c r="AA33" s="195"/>
      <c r="AB33" s="196"/>
      <c r="AC33" s="196"/>
      <c r="AD33" s="196"/>
      <c r="AE33" s="196"/>
      <c r="AF33" s="196"/>
      <c r="AG33" s="196"/>
      <c r="AH33" s="196"/>
      <c r="AI33" s="196"/>
      <c r="AJ33" s="196"/>
      <c r="AK33" s="196"/>
      <c r="AL33" s="196"/>
    </row>
    <row r="34" spans="1:38" ht="13.9" customHeight="1">
      <c r="A34" s="187">
        <v>10386</v>
      </c>
      <c r="B34" s="188" t="s">
        <v>172</v>
      </c>
      <c r="C34" s="189" t="str">
        <f>Rollover!A34</f>
        <v>Honda</v>
      </c>
      <c r="D34" s="189" t="str">
        <f>Rollover!B34</f>
        <v>Insight 4DR FWD</v>
      </c>
      <c r="E34" s="70" t="s">
        <v>88</v>
      </c>
      <c r="F34" s="190">
        <f>Rollover!C34</f>
        <v>2019</v>
      </c>
      <c r="G34" s="191">
        <v>279.09800000000001</v>
      </c>
      <c r="H34" s="12">
        <v>18.391999999999999</v>
      </c>
      <c r="I34" s="12">
        <v>38.293999999999997</v>
      </c>
      <c r="J34" s="192">
        <v>18.600000000000001</v>
      </c>
      <c r="K34" s="13">
        <v>2745.317</v>
      </c>
      <c r="L34" s="26">
        <f t="shared" si="11"/>
        <v>6.9364932131911576E-3</v>
      </c>
      <c r="M34" s="27">
        <f t="shared" si="12"/>
        <v>2.3547601820313548E-2</v>
      </c>
      <c r="N34" s="26">
        <f t="shared" si="13"/>
        <v>0.03</v>
      </c>
      <c r="O34" s="6">
        <f t="shared" si="14"/>
        <v>0.2</v>
      </c>
      <c r="P34" s="25">
        <f t="shared" si="15"/>
        <v>5</v>
      </c>
      <c r="Q34" s="193">
        <f>ROUND((0.8*'Side MDB'!W34+0.2*'Side Pole'!N34),3)</f>
        <v>4.9000000000000002E-2</v>
      </c>
      <c r="R34" s="194">
        <f t="shared" si="16"/>
        <v>0.33</v>
      </c>
      <c r="S34" s="138">
        <f t="shared" si="17"/>
        <v>5</v>
      </c>
      <c r="T34" s="194">
        <f>ROUND(((0.8*'Side MDB'!W34+0.2*'Side Pole'!N34)+(IF('Side MDB'!X34="N/A",(0.8*'Side MDB'!W34+0.2*'Side Pole'!N34),'Side MDB'!X34)))/2,3)</f>
        <v>3.4000000000000002E-2</v>
      </c>
      <c r="U34" s="194">
        <f t="shared" si="18"/>
        <v>0.23</v>
      </c>
      <c r="V34" s="25">
        <f t="shared" si="19"/>
        <v>5</v>
      </c>
      <c r="W34" s="16"/>
      <c r="X34" s="16"/>
      <c r="Y34" s="195"/>
      <c r="Z34" s="195"/>
      <c r="AA34" s="195"/>
      <c r="AB34" s="196"/>
      <c r="AC34" s="196"/>
      <c r="AD34" s="196"/>
      <c r="AE34" s="196"/>
      <c r="AF34" s="196"/>
      <c r="AG34" s="196"/>
      <c r="AH34" s="196"/>
      <c r="AI34" s="196"/>
      <c r="AJ34" s="196"/>
      <c r="AK34" s="196"/>
      <c r="AL34" s="196"/>
    </row>
    <row r="35" spans="1:38" ht="13.9" customHeight="1">
      <c r="A35" s="187">
        <v>10661</v>
      </c>
      <c r="B35" s="188" t="s">
        <v>237</v>
      </c>
      <c r="C35" s="189" t="str">
        <f>Rollover!A35</f>
        <v>Hyundai</v>
      </c>
      <c r="D35" s="189" t="str">
        <f>Rollover!B35</f>
        <v>Kona SUV FWD</v>
      </c>
      <c r="E35" s="70" t="s">
        <v>163</v>
      </c>
      <c r="F35" s="190">
        <f>Rollover!C35</f>
        <v>2019</v>
      </c>
      <c r="G35" s="191">
        <v>195.715</v>
      </c>
      <c r="H35" s="12">
        <v>25.849</v>
      </c>
      <c r="I35" s="12">
        <v>33.926000000000002</v>
      </c>
      <c r="J35" s="192">
        <v>16.210999999999999</v>
      </c>
      <c r="K35" s="13">
        <v>3310.5390000000002</v>
      </c>
      <c r="L35" s="26">
        <f t="shared" si="11"/>
        <v>1.6402792373090606E-3</v>
      </c>
      <c r="M35" s="27">
        <f t="shared" si="12"/>
        <v>3.9407529831721425E-2</v>
      </c>
      <c r="N35" s="26">
        <f t="shared" si="13"/>
        <v>4.1000000000000002E-2</v>
      </c>
      <c r="O35" s="6">
        <f t="shared" si="14"/>
        <v>0.27</v>
      </c>
      <c r="P35" s="25">
        <f t="shared" si="15"/>
        <v>5</v>
      </c>
      <c r="Q35" s="193">
        <f>ROUND((0.8*'Side MDB'!W35+0.2*'Side Pole'!N35),3)</f>
        <v>5.8999999999999997E-2</v>
      </c>
      <c r="R35" s="194">
        <f t="shared" si="16"/>
        <v>0.39</v>
      </c>
      <c r="S35" s="138">
        <f t="shared" si="17"/>
        <v>5</v>
      </c>
      <c r="T35" s="194">
        <f>ROUND(((0.8*'Side MDB'!W35+0.2*'Side Pole'!N35)+(IF('Side MDB'!X35="N/A",(0.8*'Side MDB'!W35+0.2*'Side Pole'!N35),'Side MDB'!X35)))/2,3)</f>
        <v>4.8000000000000001E-2</v>
      </c>
      <c r="U35" s="194">
        <f t="shared" si="18"/>
        <v>0.32</v>
      </c>
      <c r="V35" s="25">
        <f t="shared" si="19"/>
        <v>5</v>
      </c>
      <c r="W35" s="16"/>
      <c r="X35" s="16"/>
      <c r="Y35" s="195"/>
      <c r="Z35" s="195"/>
      <c r="AA35" s="195"/>
      <c r="AB35" s="196"/>
      <c r="AC35" s="196"/>
      <c r="AD35" s="196"/>
      <c r="AE35" s="196"/>
      <c r="AF35" s="196"/>
      <c r="AG35" s="196"/>
      <c r="AH35" s="196"/>
      <c r="AI35" s="196"/>
      <c r="AJ35" s="196"/>
      <c r="AK35" s="196"/>
      <c r="AL35" s="196"/>
    </row>
    <row r="36" spans="1:38" ht="13.9" customHeight="1">
      <c r="A36" s="187">
        <v>10661</v>
      </c>
      <c r="B36" s="188" t="s">
        <v>237</v>
      </c>
      <c r="C36" s="189" t="str">
        <f>Rollover!A36</f>
        <v>Hyundai</v>
      </c>
      <c r="D36" s="189" t="str">
        <f>Rollover!B36</f>
        <v>Kona SUV AWD</v>
      </c>
      <c r="E36" s="70" t="s">
        <v>163</v>
      </c>
      <c r="F36" s="190">
        <f>Rollover!C36</f>
        <v>2019</v>
      </c>
      <c r="G36" s="191">
        <v>195.715</v>
      </c>
      <c r="H36" s="12">
        <v>25.849</v>
      </c>
      <c r="I36" s="12">
        <v>33.926000000000002</v>
      </c>
      <c r="J36" s="192">
        <v>16.210999999999999</v>
      </c>
      <c r="K36" s="13">
        <v>3310.5390000000002</v>
      </c>
      <c r="L36" s="26">
        <f t="shared" si="11"/>
        <v>1.6402792373090606E-3</v>
      </c>
      <c r="M36" s="27">
        <f t="shared" si="12"/>
        <v>3.9407529831721425E-2</v>
      </c>
      <c r="N36" s="26">
        <f t="shared" si="13"/>
        <v>4.1000000000000002E-2</v>
      </c>
      <c r="O36" s="6">
        <f t="shared" si="14"/>
        <v>0.27</v>
      </c>
      <c r="P36" s="25">
        <f t="shared" si="15"/>
        <v>5</v>
      </c>
      <c r="Q36" s="193">
        <f>ROUND((0.8*'Side MDB'!W36+0.2*'Side Pole'!N36),3)</f>
        <v>5.8999999999999997E-2</v>
      </c>
      <c r="R36" s="194">
        <f t="shared" si="16"/>
        <v>0.39</v>
      </c>
      <c r="S36" s="138">
        <f t="shared" si="17"/>
        <v>5</v>
      </c>
      <c r="T36" s="194">
        <f>ROUND(((0.8*'Side MDB'!W36+0.2*'Side Pole'!N36)+(IF('Side MDB'!X36="N/A",(0.8*'Side MDB'!W36+0.2*'Side Pole'!N36),'Side MDB'!X36)))/2,3)</f>
        <v>4.8000000000000001E-2</v>
      </c>
      <c r="U36" s="194">
        <f t="shared" si="18"/>
        <v>0.32</v>
      </c>
      <c r="V36" s="25">
        <f t="shared" si="19"/>
        <v>5</v>
      </c>
      <c r="W36" s="16"/>
      <c r="X36" s="16"/>
      <c r="Y36" s="195"/>
      <c r="Z36" s="195"/>
      <c r="AA36" s="195"/>
      <c r="AB36" s="196"/>
      <c r="AC36" s="196"/>
      <c r="AD36" s="196"/>
      <c r="AE36" s="196"/>
      <c r="AF36" s="196"/>
      <c r="AG36" s="196"/>
      <c r="AH36" s="196"/>
      <c r="AI36" s="196"/>
      <c r="AJ36" s="196"/>
      <c r="AK36" s="196"/>
      <c r="AL36" s="196"/>
    </row>
    <row r="37" spans="1:38" ht="13.9" customHeight="1">
      <c r="A37" s="187">
        <v>10644</v>
      </c>
      <c r="B37" s="188" t="s">
        <v>216</v>
      </c>
      <c r="C37" s="189" t="str">
        <f>Rollover!A37</f>
        <v>Hyundai</v>
      </c>
      <c r="D37" s="189" t="str">
        <f>Rollover!B37</f>
        <v>Santa Fe SUV FWD</v>
      </c>
      <c r="E37" s="70" t="s">
        <v>88</v>
      </c>
      <c r="F37" s="190">
        <f>Rollover!C37</f>
        <v>2019</v>
      </c>
      <c r="G37" s="191">
        <v>347.75900000000001</v>
      </c>
      <c r="H37" s="12">
        <v>18.484999999999999</v>
      </c>
      <c r="I37" s="12">
        <v>51.808999999999997</v>
      </c>
      <c r="J37" s="192">
        <v>20.838000000000001</v>
      </c>
      <c r="K37" s="13">
        <v>2735.7310000000002</v>
      </c>
      <c r="L37" s="26">
        <f t="shared" si="11"/>
        <v>1.5258975794787464E-2</v>
      </c>
      <c r="M37" s="27">
        <f t="shared" si="12"/>
        <v>2.3341301655798501E-2</v>
      </c>
      <c r="N37" s="26">
        <f t="shared" si="13"/>
        <v>3.7999999999999999E-2</v>
      </c>
      <c r="O37" s="6">
        <f t="shared" si="14"/>
        <v>0.25</v>
      </c>
      <c r="P37" s="25">
        <f t="shared" si="15"/>
        <v>5</v>
      </c>
      <c r="Q37" s="193">
        <f>ROUND((0.8*'Side MDB'!W37+0.2*'Side Pole'!N37),3)</f>
        <v>3.3000000000000002E-2</v>
      </c>
      <c r="R37" s="194">
        <f t="shared" si="16"/>
        <v>0.22</v>
      </c>
      <c r="S37" s="138">
        <f t="shared" si="17"/>
        <v>5</v>
      </c>
      <c r="T37" s="194">
        <f>ROUND(((0.8*'Side MDB'!W37+0.2*'Side Pole'!N37)+(IF('Side MDB'!X37="N/A",(0.8*'Side MDB'!W37+0.2*'Side Pole'!N37),'Side MDB'!X37)))/2,3)</f>
        <v>3.1E-2</v>
      </c>
      <c r="U37" s="194">
        <f t="shared" si="18"/>
        <v>0.21</v>
      </c>
      <c r="V37" s="25">
        <f t="shared" si="19"/>
        <v>5</v>
      </c>
      <c r="W37" s="16"/>
      <c r="X37" s="16"/>
      <c r="Y37" s="195"/>
      <c r="Z37" s="195"/>
      <c r="AA37" s="195"/>
      <c r="AB37" s="196"/>
      <c r="AC37" s="196"/>
      <c r="AD37" s="196"/>
      <c r="AE37" s="196"/>
      <c r="AF37" s="196"/>
      <c r="AG37" s="196"/>
      <c r="AH37" s="196"/>
      <c r="AI37" s="196"/>
      <c r="AJ37" s="196"/>
      <c r="AK37" s="196"/>
      <c r="AL37" s="196"/>
    </row>
    <row r="38" spans="1:38" ht="13.9" customHeight="1">
      <c r="A38" s="187">
        <v>10644</v>
      </c>
      <c r="B38" s="188" t="s">
        <v>216</v>
      </c>
      <c r="C38" s="189" t="str">
        <f>Rollover!A38</f>
        <v>Hyundai</v>
      </c>
      <c r="D38" s="189" t="str">
        <f>Rollover!B38</f>
        <v>Santa Fe SUV AWD</v>
      </c>
      <c r="E38" s="70" t="s">
        <v>88</v>
      </c>
      <c r="F38" s="190">
        <f>Rollover!C38</f>
        <v>2019</v>
      </c>
      <c r="G38" s="191">
        <v>347.75900000000001</v>
      </c>
      <c r="H38" s="12">
        <v>18.484999999999999</v>
      </c>
      <c r="I38" s="12">
        <v>51.808999999999997</v>
      </c>
      <c r="J38" s="192">
        <v>20.838000000000001</v>
      </c>
      <c r="K38" s="13">
        <v>2735.7310000000002</v>
      </c>
      <c r="L38" s="26">
        <f t="shared" si="11"/>
        <v>1.5258975794787464E-2</v>
      </c>
      <c r="M38" s="27">
        <f t="shared" si="12"/>
        <v>2.3341301655798501E-2</v>
      </c>
      <c r="N38" s="26">
        <f t="shared" si="13"/>
        <v>3.7999999999999999E-2</v>
      </c>
      <c r="O38" s="6">
        <f t="shared" si="14"/>
        <v>0.25</v>
      </c>
      <c r="P38" s="25">
        <f t="shared" si="15"/>
        <v>5</v>
      </c>
      <c r="Q38" s="193">
        <f>ROUND((0.8*'Side MDB'!W38+0.2*'Side Pole'!N38),3)</f>
        <v>3.3000000000000002E-2</v>
      </c>
      <c r="R38" s="194">
        <f t="shared" si="16"/>
        <v>0.22</v>
      </c>
      <c r="S38" s="138">
        <f t="shared" si="17"/>
        <v>5</v>
      </c>
      <c r="T38" s="194">
        <f>ROUND(((0.8*'Side MDB'!W38+0.2*'Side Pole'!N38)+(IF('Side MDB'!X38="N/A",(0.8*'Side MDB'!W38+0.2*'Side Pole'!N38),'Side MDB'!X38)))/2,3)</f>
        <v>3.1E-2</v>
      </c>
      <c r="U38" s="194">
        <f t="shared" si="18"/>
        <v>0.21</v>
      </c>
      <c r="V38" s="25">
        <f t="shared" si="19"/>
        <v>5</v>
      </c>
      <c r="W38" s="16"/>
      <c r="X38" s="16"/>
      <c r="Y38" s="195"/>
      <c r="Z38" s="195"/>
      <c r="AA38" s="195"/>
      <c r="AB38" s="196"/>
      <c r="AC38" s="196"/>
      <c r="AD38" s="196"/>
      <c r="AE38" s="196"/>
      <c r="AF38" s="196"/>
      <c r="AG38" s="196"/>
      <c r="AH38" s="196"/>
      <c r="AI38" s="196"/>
      <c r="AJ38" s="196"/>
      <c r="AK38" s="196"/>
      <c r="AL38" s="196"/>
    </row>
    <row r="39" spans="1:38" ht="13.9" customHeight="1">
      <c r="A39" s="188">
        <v>8499</v>
      </c>
      <c r="B39" s="188" t="s">
        <v>176</v>
      </c>
      <c r="C39" s="189" t="str">
        <f>Rollover!A39</f>
        <v>Jeep</v>
      </c>
      <c r="D39" s="189" t="str">
        <f>Rollover!B39</f>
        <v>Cherokee SUV FWD</v>
      </c>
      <c r="E39" s="70" t="s">
        <v>160</v>
      </c>
      <c r="F39" s="190">
        <f>Rollover!C39</f>
        <v>2019</v>
      </c>
      <c r="G39" s="191">
        <v>203.20599999999999</v>
      </c>
      <c r="H39" s="12">
        <v>18.010000000000002</v>
      </c>
      <c r="I39" s="12">
        <v>42.969000000000001</v>
      </c>
      <c r="J39" s="192">
        <v>16.571000000000002</v>
      </c>
      <c r="K39" s="192">
        <v>2181.6529999999998</v>
      </c>
      <c r="L39" s="26">
        <f>NORMDIST(LN(G39),7.45231,0.73998,1)</f>
        <v>1.929958879941153E-3</v>
      </c>
      <c r="M39" s="27">
        <f>1/(1+EXP(6.3055-0.00094*K39))</f>
        <v>1.3997968817474169E-2</v>
      </c>
      <c r="N39" s="26">
        <f>ROUND(1-(1-L39)*(1-M39),3)</f>
        <v>1.6E-2</v>
      </c>
      <c r="O39" s="6">
        <f t="shared" si="14"/>
        <v>0.11</v>
      </c>
      <c r="P39" s="25">
        <f t="shared" si="15"/>
        <v>5</v>
      </c>
      <c r="Q39" s="193">
        <f>ROUND((0.8*'Side MDB'!W39+0.2*'Side Pole'!N39),3)</f>
        <v>2.9000000000000001E-2</v>
      </c>
      <c r="R39" s="194">
        <f t="shared" si="16"/>
        <v>0.19</v>
      </c>
      <c r="S39" s="138">
        <f t="shared" si="17"/>
        <v>5</v>
      </c>
      <c r="T39" s="194">
        <f>ROUND(((0.8*'Side MDB'!W39+0.2*'Side Pole'!N39)+(IF('Side MDB'!X39="N/A",(0.8*'Side MDB'!W39+0.2*'Side Pole'!N39),'Side MDB'!X39)))/2,3)</f>
        <v>5.8999999999999997E-2</v>
      </c>
      <c r="U39" s="194">
        <f t="shared" si="18"/>
        <v>0.39</v>
      </c>
      <c r="V39" s="25">
        <f t="shared" si="19"/>
        <v>5</v>
      </c>
      <c r="W39" s="16"/>
      <c r="X39" s="16"/>
      <c r="Y39" s="195"/>
      <c r="Z39" s="195"/>
      <c r="AA39" s="195"/>
      <c r="AB39" s="196"/>
      <c r="AC39" s="196"/>
      <c r="AD39" s="196"/>
      <c r="AE39" s="196"/>
      <c r="AF39" s="196"/>
      <c r="AG39" s="196"/>
      <c r="AH39" s="196"/>
      <c r="AI39" s="196"/>
      <c r="AJ39" s="196"/>
      <c r="AK39" s="196"/>
      <c r="AL39" s="196"/>
    </row>
    <row r="40" spans="1:38" ht="13.9" customHeight="1">
      <c r="A40" s="188">
        <v>8499</v>
      </c>
      <c r="B40" s="188" t="s">
        <v>176</v>
      </c>
      <c r="C40" s="189" t="str">
        <f>Rollover!A40</f>
        <v>Jeep</v>
      </c>
      <c r="D40" s="189" t="str">
        <f>Rollover!B40</f>
        <v>Cherokee SUV 4WD</v>
      </c>
      <c r="E40" s="70" t="s">
        <v>160</v>
      </c>
      <c r="F40" s="190">
        <f>Rollover!C40</f>
        <v>2019</v>
      </c>
      <c r="G40" s="191">
        <v>203.20599999999999</v>
      </c>
      <c r="H40" s="12">
        <v>18.010000000000002</v>
      </c>
      <c r="I40" s="12">
        <v>42.969000000000001</v>
      </c>
      <c r="J40" s="192">
        <v>16.571000000000002</v>
      </c>
      <c r="K40" s="192">
        <v>2181.6529999999998</v>
      </c>
      <c r="L40" s="26">
        <f t="shared" si="11"/>
        <v>1.929958879941153E-3</v>
      </c>
      <c r="M40" s="27">
        <f t="shared" si="12"/>
        <v>1.3997968817474169E-2</v>
      </c>
      <c r="N40" s="26">
        <f t="shared" si="13"/>
        <v>1.6E-2</v>
      </c>
      <c r="O40" s="6">
        <f t="shared" si="14"/>
        <v>0.11</v>
      </c>
      <c r="P40" s="25">
        <f t="shared" si="15"/>
        <v>5</v>
      </c>
      <c r="Q40" s="193">
        <f>ROUND((0.8*'Side MDB'!W40+0.2*'Side Pole'!N40),3)</f>
        <v>2.9000000000000001E-2</v>
      </c>
      <c r="R40" s="194">
        <f t="shared" si="16"/>
        <v>0.19</v>
      </c>
      <c r="S40" s="138">
        <f t="shared" si="17"/>
        <v>5</v>
      </c>
      <c r="T40" s="194">
        <f>ROUND(((0.8*'Side MDB'!W40+0.2*'Side Pole'!N40)+(IF('Side MDB'!X40="N/A",(0.8*'Side MDB'!W40+0.2*'Side Pole'!N40),'Side MDB'!X40)))/2,3)</f>
        <v>5.8999999999999997E-2</v>
      </c>
      <c r="U40" s="194">
        <f t="shared" si="18"/>
        <v>0.39</v>
      </c>
      <c r="V40" s="25">
        <f t="shared" si="19"/>
        <v>5</v>
      </c>
      <c r="W40" s="16"/>
      <c r="X40" s="16"/>
      <c r="Y40" s="195"/>
      <c r="Z40" s="195"/>
      <c r="AA40" s="195"/>
      <c r="AB40" s="196"/>
      <c r="AC40" s="196"/>
      <c r="AD40" s="196"/>
      <c r="AE40" s="196"/>
      <c r="AF40" s="196"/>
      <c r="AG40" s="196"/>
      <c r="AH40" s="196"/>
      <c r="AI40" s="196"/>
      <c r="AJ40" s="196"/>
      <c r="AK40" s="196"/>
      <c r="AL40" s="196"/>
    </row>
    <row r="41" spans="1:38" ht="13.9" customHeight="1">
      <c r="A41" s="198"/>
      <c r="B41" s="199"/>
      <c r="C41" s="189" t="str">
        <f>Rollover!A41</f>
        <v>Jeep</v>
      </c>
      <c r="D41" s="189" t="str">
        <f>Rollover!B41</f>
        <v>Wrangler Unlimited SUV 4WD</v>
      </c>
      <c r="E41" s="70"/>
      <c r="F41" s="190">
        <f>Rollover!C41</f>
        <v>2019</v>
      </c>
      <c r="G41" s="191"/>
      <c r="H41" s="12"/>
      <c r="I41" s="12"/>
      <c r="J41" s="192"/>
      <c r="K41" s="13"/>
      <c r="L41" s="26" t="e">
        <f t="shared" si="11"/>
        <v>#NUM!</v>
      </c>
      <c r="M41" s="27">
        <f t="shared" si="12"/>
        <v>1.8229037773026034E-3</v>
      </c>
      <c r="N41" s="26" t="e">
        <f t="shared" si="13"/>
        <v>#NUM!</v>
      </c>
      <c r="O41" s="6" t="e">
        <f t="shared" si="14"/>
        <v>#NUM!</v>
      </c>
      <c r="P41" s="25" t="e">
        <f t="shared" si="15"/>
        <v>#NUM!</v>
      </c>
      <c r="Q41" s="193" t="e">
        <f>ROUND((0.8*'Side MDB'!W41+0.2*'Side Pole'!N41),3)</f>
        <v>#NUM!</v>
      </c>
      <c r="R41" s="194" t="e">
        <f t="shared" si="16"/>
        <v>#NUM!</v>
      </c>
      <c r="S41" s="138" t="e">
        <f t="shared" si="17"/>
        <v>#NUM!</v>
      </c>
      <c r="T41" s="194" t="e">
        <f>ROUND(((0.8*'Side MDB'!W41+0.2*'Side Pole'!N41)+(IF('Side MDB'!X41="N/A",(0.8*'Side MDB'!W41+0.2*'Side Pole'!N41),'Side MDB'!X41)))/2,3)</f>
        <v>#NUM!</v>
      </c>
      <c r="U41" s="194" t="e">
        <f t="shared" si="18"/>
        <v>#NUM!</v>
      </c>
      <c r="V41" s="25" t="e">
        <f t="shared" si="19"/>
        <v>#NUM!</v>
      </c>
      <c r="W41" s="16"/>
      <c r="X41" s="16"/>
      <c r="Y41" s="195"/>
      <c r="Z41" s="195"/>
      <c r="AA41" s="195"/>
      <c r="AB41" s="196"/>
      <c r="AC41" s="196"/>
      <c r="AD41" s="196"/>
      <c r="AE41" s="196"/>
      <c r="AF41" s="196"/>
      <c r="AG41" s="196"/>
      <c r="AH41" s="196"/>
      <c r="AI41" s="196"/>
      <c r="AJ41" s="196"/>
      <c r="AK41" s="196"/>
      <c r="AL41" s="196"/>
    </row>
    <row r="42" spans="1:38" ht="13.9" customHeight="1">
      <c r="A42" s="187">
        <v>10687</v>
      </c>
      <c r="B42" s="188" t="s">
        <v>252</v>
      </c>
      <c r="C42" s="189" t="str">
        <f>Rollover!A42</f>
        <v>Kia</v>
      </c>
      <c r="D42" s="189" t="str">
        <f>Rollover!B42</f>
        <v>Forte 4DR FWD</v>
      </c>
      <c r="E42" s="70" t="s">
        <v>165</v>
      </c>
      <c r="F42" s="190">
        <f>Rollover!C42</f>
        <v>2019</v>
      </c>
      <c r="G42" s="191">
        <v>367.48899999999998</v>
      </c>
      <c r="H42" s="12">
        <v>26.381</v>
      </c>
      <c r="I42" s="12">
        <v>37.813000000000002</v>
      </c>
      <c r="J42" s="192">
        <v>25.794</v>
      </c>
      <c r="K42" s="13">
        <v>3337.3679999999999</v>
      </c>
      <c r="L42" s="26">
        <f t="shared" ref="L42" si="29">NORMDIST(LN(G42),7.45231,0.73998,1)</f>
        <v>1.8366127620742582E-2</v>
      </c>
      <c r="M42" s="27">
        <f t="shared" ref="M42" si="30">1/(1+EXP(6.3055-0.00094*K42))</f>
        <v>4.037336196137143E-2</v>
      </c>
      <c r="N42" s="26">
        <f t="shared" ref="N42" si="31">ROUND(1-(1-L42)*(1-M42),3)</f>
        <v>5.8000000000000003E-2</v>
      </c>
      <c r="O42" s="6">
        <f t="shared" ref="O42" si="32">ROUND(N42/0.15,2)</f>
        <v>0.39</v>
      </c>
      <c r="P42" s="25">
        <f t="shared" ref="P42" si="33">IF(O42&lt;0.67,5,IF(O42&lt;1,4,IF(O42&lt;1.33,3,IF(O42&lt;2.67,2,1))))</f>
        <v>5</v>
      </c>
      <c r="Q42" s="193">
        <f>ROUND((0.8*'Side MDB'!W42+0.2*'Side Pole'!N42),3)</f>
        <v>8.2000000000000003E-2</v>
      </c>
      <c r="R42" s="194">
        <f t="shared" ref="R42" si="34">ROUND((Q42)/0.15,2)</f>
        <v>0.55000000000000004</v>
      </c>
      <c r="S42" s="138">
        <f t="shared" ref="S42" si="35">IF(R42&lt;0.67,5,IF(R42&lt;1,4,IF(R42&lt;1.33,3,IF(R42&lt;2.67,2,1))))</f>
        <v>5</v>
      </c>
      <c r="T42" s="194">
        <f>ROUND(((0.8*'Side MDB'!W42+0.2*'Side Pole'!N42)+(IF('Side MDB'!X42="N/A",(0.8*'Side MDB'!W42+0.2*'Side Pole'!N42),'Side MDB'!X42)))/2,3)</f>
        <v>6.4000000000000001E-2</v>
      </c>
      <c r="U42" s="194">
        <f t="shared" ref="U42" si="36">ROUND((T42)/0.15,2)</f>
        <v>0.43</v>
      </c>
      <c r="V42" s="25">
        <f t="shared" ref="V42" si="37">IF(U42&lt;0.67,5,IF(U42&lt;1,4,IF(U42&lt;1.33,3,IF(U42&lt;2.67,2,1))))</f>
        <v>5</v>
      </c>
      <c r="W42" s="16"/>
      <c r="X42" s="16"/>
      <c r="Y42" s="195"/>
      <c r="Z42" s="195"/>
      <c r="AA42" s="195"/>
      <c r="AB42" s="196"/>
      <c r="AC42" s="196"/>
      <c r="AD42" s="196"/>
      <c r="AE42" s="196"/>
      <c r="AF42" s="196"/>
      <c r="AG42" s="196"/>
      <c r="AH42" s="196"/>
      <c r="AI42" s="196"/>
      <c r="AJ42" s="196"/>
      <c r="AK42" s="196"/>
      <c r="AL42" s="196"/>
    </row>
    <row r="43" spans="1:38" ht="13.9" customHeight="1">
      <c r="A43" s="198">
        <v>10657</v>
      </c>
      <c r="B43" s="199" t="s">
        <v>232</v>
      </c>
      <c r="C43" s="189" t="str">
        <f>Rollover!A43</f>
        <v xml:space="preserve">Lexus </v>
      </c>
      <c r="D43" s="189" t="str">
        <f>Rollover!B43</f>
        <v>ES 350 4DR FWD</v>
      </c>
      <c r="E43" s="70" t="s">
        <v>88</v>
      </c>
      <c r="F43" s="190">
        <f>Rollover!C43</f>
        <v>2019</v>
      </c>
      <c r="G43" s="191">
        <v>325.60000000000002</v>
      </c>
      <c r="H43" s="12">
        <v>22.048999999999999</v>
      </c>
      <c r="I43" s="12">
        <v>35.6</v>
      </c>
      <c r="J43" s="192">
        <v>21.114000000000001</v>
      </c>
      <c r="K43" s="13">
        <v>2533.7809999999999</v>
      </c>
      <c r="L43" s="26">
        <f t="shared" ref="L43:L51" si="38">NORMDIST(LN(G43),7.45231,0.73998,1)</f>
        <v>1.2152367936214666E-2</v>
      </c>
      <c r="M43" s="27">
        <f t="shared" ref="M43:M51" si="39">1/(1+EXP(6.3055-0.00094*K43))</f>
        <v>1.9383754835079252E-2</v>
      </c>
      <c r="N43" s="26">
        <f t="shared" ref="N43:N51" si="40">ROUND(1-(1-L43)*(1-M43),3)</f>
        <v>3.1E-2</v>
      </c>
      <c r="O43" s="6">
        <f t="shared" ref="O43:O51" si="41">ROUND(N43/0.15,2)</f>
        <v>0.21</v>
      </c>
      <c r="P43" s="25">
        <f t="shared" ref="P43:P51" si="42">IF(O43&lt;0.67,5,IF(O43&lt;1,4,IF(O43&lt;1.33,3,IF(O43&lt;2.67,2,1))))</f>
        <v>5</v>
      </c>
      <c r="Q43" s="193">
        <f>ROUND((0.8*'Side MDB'!W43+0.2*'Side Pole'!N43),3)</f>
        <v>3.1E-2</v>
      </c>
      <c r="R43" s="194">
        <f t="shared" ref="R43:R51" si="43">ROUND((Q43)/0.15,2)</f>
        <v>0.21</v>
      </c>
      <c r="S43" s="138">
        <f t="shared" ref="S43:S51" si="44">IF(R43&lt;0.67,5,IF(R43&lt;1,4,IF(R43&lt;1.33,3,IF(R43&lt;2.67,2,1))))</f>
        <v>5</v>
      </c>
      <c r="T43" s="194">
        <f>ROUND(((0.8*'Side MDB'!W43+0.2*'Side Pole'!N43)+(IF('Side MDB'!X43="N/A",(0.8*'Side MDB'!W43+0.2*'Side Pole'!N43),'Side MDB'!X43)))/2,3)</f>
        <v>2.9000000000000001E-2</v>
      </c>
      <c r="U43" s="194">
        <f t="shared" ref="U43:U51" si="45">ROUND((T43)/0.15,2)</f>
        <v>0.19</v>
      </c>
      <c r="V43" s="25">
        <f t="shared" ref="V43:V51" si="46">IF(U43&lt;0.67,5,IF(U43&lt;1,4,IF(U43&lt;1.33,3,IF(U43&lt;2.67,2,1))))</f>
        <v>5</v>
      </c>
      <c r="W43" s="16"/>
      <c r="X43" s="16"/>
      <c r="Y43" s="195"/>
      <c r="Z43" s="195"/>
      <c r="AA43" s="195"/>
      <c r="AB43" s="196"/>
      <c r="AC43" s="196"/>
      <c r="AD43" s="196"/>
      <c r="AE43" s="196"/>
      <c r="AF43" s="196"/>
      <c r="AG43" s="196"/>
      <c r="AH43" s="196"/>
      <c r="AI43" s="196"/>
      <c r="AJ43" s="196"/>
      <c r="AK43" s="196"/>
      <c r="AL43" s="196"/>
    </row>
    <row r="44" spans="1:38" ht="13.9" customHeight="1">
      <c r="A44" s="198">
        <v>10657</v>
      </c>
      <c r="B44" s="199" t="s">
        <v>232</v>
      </c>
      <c r="C44" s="200" t="str">
        <f>Rollover!A44</f>
        <v xml:space="preserve">Lexus </v>
      </c>
      <c r="D44" s="200" t="str">
        <f>Rollover!B44</f>
        <v>ES 300h 4DR FWD</v>
      </c>
      <c r="E44" s="70" t="s">
        <v>88</v>
      </c>
      <c r="F44" s="190">
        <f>Rollover!C44</f>
        <v>2019</v>
      </c>
      <c r="G44" s="191">
        <v>325.60000000000002</v>
      </c>
      <c r="H44" s="12">
        <v>22.048999999999999</v>
      </c>
      <c r="I44" s="12">
        <v>35.6</v>
      </c>
      <c r="J44" s="192">
        <v>21.114000000000001</v>
      </c>
      <c r="K44" s="13">
        <v>2533.7809999999999</v>
      </c>
      <c r="L44" s="26">
        <f t="shared" si="38"/>
        <v>1.2152367936214666E-2</v>
      </c>
      <c r="M44" s="27">
        <f t="shared" si="39"/>
        <v>1.9383754835079252E-2</v>
      </c>
      <c r="N44" s="26">
        <f t="shared" si="40"/>
        <v>3.1E-2</v>
      </c>
      <c r="O44" s="6">
        <f t="shared" si="41"/>
        <v>0.21</v>
      </c>
      <c r="P44" s="25">
        <f t="shared" si="42"/>
        <v>5</v>
      </c>
      <c r="Q44" s="193">
        <f>ROUND((0.8*'Side MDB'!W44+0.2*'Side Pole'!N44),3)</f>
        <v>3.1E-2</v>
      </c>
      <c r="R44" s="194">
        <f t="shared" si="43"/>
        <v>0.21</v>
      </c>
      <c r="S44" s="138">
        <f t="shared" si="44"/>
        <v>5</v>
      </c>
      <c r="T44" s="194">
        <f>ROUND(((0.8*'Side MDB'!W44+0.2*'Side Pole'!N44)+(IF('Side MDB'!X44="N/A",(0.8*'Side MDB'!W44+0.2*'Side Pole'!N44),'Side MDB'!X44)))/2,3)</f>
        <v>2.9000000000000001E-2</v>
      </c>
      <c r="U44" s="194">
        <f t="shared" si="45"/>
        <v>0.19</v>
      </c>
      <c r="V44" s="25">
        <f t="shared" si="46"/>
        <v>5</v>
      </c>
      <c r="W44" s="16"/>
      <c r="X44" s="16"/>
      <c r="Y44" s="195"/>
      <c r="Z44" s="195"/>
      <c r="AA44" s="195"/>
      <c r="AB44" s="196"/>
      <c r="AC44" s="196"/>
      <c r="AD44" s="196"/>
      <c r="AE44" s="196"/>
      <c r="AF44" s="196"/>
      <c r="AG44" s="196"/>
      <c r="AH44" s="196"/>
      <c r="AI44" s="196"/>
      <c r="AJ44" s="196"/>
      <c r="AK44" s="196"/>
      <c r="AL44" s="196"/>
    </row>
    <row r="45" spans="1:38" ht="13.9" customHeight="1">
      <c r="A45" s="188">
        <v>10182</v>
      </c>
      <c r="B45" s="188" t="s">
        <v>164</v>
      </c>
      <c r="C45" s="189" t="str">
        <f>Rollover!A45</f>
        <v>Nissan</v>
      </c>
      <c r="D45" s="189" t="str">
        <f>Rollover!B45</f>
        <v>Armada SUV RWD</v>
      </c>
      <c r="E45" s="70" t="s">
        <v>165</v>
      </c>
      <c r="F45" s="190">
        <f>Rollover!C45</f>
        <v>2019</v>
      </c>
      <c r="G45" s="191">
        <v>437.29199999999997</v>
      </c>
      <c r="H45" s="12">
        <v>19.914999999999999</v>
      </c>
      <c r="I45" s="12">
        <v>39.277000000000001</v>
      </c>
      <c r="J45" s="192">
        <v>17.390999999999998</v>
      </c>
      <c r="K45" s="192">
        <v>3040.42</v>
      </c>
      <c r="L45" s="26">
        <f t="shared" si="38"/>
        <v>3.189028081144045E-2</v>
      </c>
      <c r="M45" s="27">
        <f t="shared" si="39"/>
        <v>3.0843346782830461E-2</v>
      </c>
      <c r="N45" s="26">
        <f t="shared" si="40"/>
        <v>6.2E-2</v>
      </c>
      <c r="O45" s="6">
        <f t="shared" si="41"/>
        <v>0.41</v>
      </c>
      <c r="P45" s="25">
        <f t="shared" si="42"/>
        <v>5</v>
      </c>
      <c r="Q45" s="193">
        <f>ROUND((0.8*'Side MDB'!W45+0.2*'Side Pole'!N45),3)</f>
        <v>5.1999999999999998E-2</v>
      </c>
      <c r="R45" s="194">
        <f t="shared" si="43"/>
        <v>0.35</v>
      </c>
      <c r="S45" s="138">
        <f t="shared" si="44"/>
        <v>5</v>
      </c>
      <c r="T45" s="194">
        <f>ROUND(((0.8*'Side MDB'!W45+0.2*'Side Pole'!N45)+(IF('Side MDB'!X45="N/A",(0.8*'Side MDB'!W45+0.2*'Side Pole'!N45),'Side MDB'!X45)))/2,3)</f>
        <v>2.8000000000000001E-2</v>
      </c>
      <c r="U45" s="194">
        <f t="shared" si="45"/>
        <v>0.19</v>
      </c>
      <c r="V45" s="25">
        <f t="shared" si="46"/>
        <v>5</v>
      </c>
      <c r="W45" s="16"/>
      <c r="X45" s="16"/>
      <c r="Y45" s="195"/>
      <c r="Z45" s="195"/>
      <c r="AA45" s="195"/>
      <c r="AB45" s="196"/>
      <c r="AC45" s="196"/>
      <c r="AD45" s="196"/>
      <c r="AE45" s="196"/>
      <c r="AF45" s="196"/>
      <c r="AG45" s="196"/>
      <c r="AH45" s="196"/>
      <c r="AI45" s="196"/>
      <c r="AJ45" s="196"/>
      <c r="AK45" s="196"/>
      <c r="AL45" s="196"/>
    </row>
    <row r="46" spans="1:38" ht="13.9" customHeight="1">
      <c r="A46" s="188">
        <v>10182</v>
      </c>
      <c r="B46" s="188" t="s">
        <v>164</v>
      </c>
      <c r="C46" s="189" t="str">
        <f>Rollover!A46</f>
        <v>Nissan</v>
      </c>
      <c r="D46" s="189" t="str">
        <f>Rollover!B46</f>
        <v>Armada SUV AWD</v>
      </c>
      <c r="E46" s="70" t="s">
        <v>165</v>
      </c>
      <c r="F46" s="190">
        <f>Rollover!C46</f>
        <v>2019</v>
      </c>
      <c r="G46" s="191">
        <v>437.29199999999997</v>
      </c>
      <c r="H46" s="12">
        <v>19.914999999999999</v>
      </c>
      <c r="I46" s="12">
        <v>39.277000000000001</v>
      </c>
      <c r="J46" s="192">
        <v>17.390999999999998</v>
      </c>
      <c r="K46" s="192">
        <v>3040.42</v>
      </c>
      <c r="L46" s="26">
        <f t="shared" si="38"/>
        <v>3.189028081144045E-2</v>
      </c>
      <c r="M46" s="27">
        <f t="shared" si="39"/>
        <v>3.0843346782830461E-2</v>
      </c>
      <c r="N46" s="26">
        <f t="shared" si="40"/>
        <v>6.2E-2</v>
      </c>
      <c r="O46" s="6">
        <f t="shared" si="41"/>
        <v>0.41</v>
      </c>
      <c r="P46" s="25">
        <f t="shared" si="42"/>
        <v>5</v>
      </c>
      <c r="Q46" s="193">
        <f>ROUND((0.8*'Side MDB'!W46+0.2*'Side Pole'!N46),3)</f>
        <v>5.1999999999999998E-2</v>
      </c>
      <c r="R46" s="194">
        <f t="shared" si="43"/>
        <v>0.35</v>
      </c>
      <c r="S46" s="138">
        <f t="shared" si="44"/>
        <v>5</v>
      </c>
      <c r="T46" s="194">
        <f>ROUND(((0.8*'Side MDB'!W46+0.2*'Side Pole'!N46)+(IF('Side MDB'!X46="N/A",(0.8*'Side MDB'!W46+0.2*'Side Pole'!N46),'Side MDB'!X46)))/2,3)</f>
        <v>2.8000000000000001E-2</v>
      </c>
      <c r="U46" s="194">
        <f t="shared" si="45"/>
        <v>0.19</v>
      </c>
      <c r="V46" s="25">
        <f t="shared" si="46"/>
        <v>5</v>
      </c>
      <c r="W46" s="16"/>
      <c r="X46" s="16"/>
      <c r="Y46" s="195"/>
      <c r="Z46" s="195"/>
      <c r="AA46" s="195"/>
      <c r="AB46" s="196"/>
      <c r="AC46" s="196"/>
      <c r="AD46" s="196"/>
      <c r="AE46" s="196"/>
      <c r="AF46" s="196"/>
      <c r="AG46" s="196"/>
      <c r="AH46" s="196"/>
      <c r="AI46" s="196"/>
      <c r="AJ46" s="196"/>
      <c r="AK46" s="196"/>
      <c r="AL46" s="196"/>
    </row>
    <row r="47" spans="1:38" ht="13.9" customHeight="1">
      <c r="A47" s="199">
        <v>10182</v>
      </c>
      <c r="B47" s="199" t="s">
        <v>164</v>
      </c>
      <c r="C47" s="200" t="str">
        <f>Rollover!A47</f>
        <v>Infiniti</v>
      </c>
      <c r="D47" s="200" t="str">
        <f>Rollover!B47</f>
        <v>QX80 SUV RWD</v>
      </c>
      <c r="E47" s="70" t="s">
        <v>165</v>
      </c>
      <c r="F47" s="190">
        <f>Rollover!C47</f>
        <v>2019</v>
      </c>
      <c r="G47" s="191">
        <v>437.29199999999997</v>
      </c>
      <c r="H47" s="12">
        <v>19.914999999999999</v>
      </c>
      <c r="I47" s="12">
        <v>39.277000000000001</v>
      </c>
      <c r="J47" s="192">
        <v>17.390999999999998</v>
      </c>
      <c r="K47" s="192">
        <v>3040.42</v>
      </c>
      <c r="L47" s="26">
        <f t="shared" si="38"/>
        <v>3.189028081144045E-2</v>
      </c>
      <c r="M47" s="27">
        <f t="shared" si="39"/>
        <v>3.0843346782830461E-2</v>
      </c>
      <c r="N47" s="26">
        <f t="shared" si="40"/>
        <v>6.2E-2</v>
      </c>
      <c r="O47" s="6">
        <f t="shared" si="41"/>
        <v>0.41</v>
      </c>
      <c r="P47" s="25">
        <f t="shared" si="42"/>
        <v>5</v>
      </c>
      <c r="Q47" s="193">
        <f>ROUND((0.8*'Side MDB'!W47+0.2*'Side Pole'!N47),3)</f>
        <v>5.1999999999999998E-2</v>
      </c>
      <c r="R47" s="194">
        <f t="shared" si="43"/>
        <v>0.35</v>
      </c>
      <c r="S47" s="138">
        <f t="shared" si="44"/>
        <v>5</v>
      </c>
      <c r="T47" s="194">
        <f>ROUND(((0.8*'Side MDB'!W47+0.2*'Side Pole'!N47)+(IF('Side MDB'!X47="N/A",(0.8*'Side MDB'!W47+0.2*'Side Pole'!N47),'Side MDB'!X47)))/2,3)</f>
        <v>2.8000000000000001E-2</v>
      </c>
      <c r="U47" s="194">
        <f t="shared" si="45"/>
        <v>0.19</v>
      </c>
      <c r="V47" s="25">
        <f t="shared" si="46"/>
        <v>5</v>
      </c>
      <c r="W47" s="16"/>
      <c r="X47" s="16"/>
      <c r="Y47" s="195"/>
      <c r="Z47" s="195"/>
      <c r="AA47" s="195"/>
      <c r="AB47" s="196"/>
      <c r="AC47" s="196"/>
      <c r="AD47" s="196"/>
      <c r="AE47" s="196"/>
      <c r="AF47" s="196"/>
      <c r="AG47" s="196"/>
      <c r="AH47" s="196"/>
      <c r="AI47" s="196"/>
      <c r="AJ47" s="196"/>
      <c r="AK47" s="196"/>
      <c r="AL47" s="196"/>
    </row>
    <row r="48" spans="1:38" ht="13.9" customHeight="1">
      <c r="A48" s="199">
        <v>10182</v>
      </c>
      <c r="B48" s="199" t="s">
        <v>164</v>
      </c>
      <c r="C48" s="200" t="str">
        <f>Rollover!A48</f>
        <v>Infiniti</v>
      </c>
      <c r="D48" s="200" t="str">
        <f>Rollover!B48</f>
        <v>QX80 SUV AWD</v>
      </c>
      <c r="E48" s="70" t="s">
        <v>165</v>
      </c>
      <c r="F48" s="190">
        <f>Rollover!C48</f>
        <v>2019</v>
      </c>
      <c r="G48" s="191">
        <v>437.29199999999997</v>
      </c>
      <c r="H48" s="12">
        <v>19.914999999999999</v>
      </c>
      <c r="I48" s="12">
        <v>39.277000000000001</v>
      </c>
      <c r="J48" s="192">
        <v>17.390999999999998</v>
      </c>
      <c r="K48" s="192">
        <v>3040.42</v>
      </c>
      <c r="L48" s="26">
        <f t="shared" si="38"/>
        <v>3.189028081144045E-2</v>
      </c>
      <c r="M48" s="27">
        <f t="shared" si="39"/>
        <v>3.0843346782830461E-2</v>
      </c>
      <c r="N48" s="26">
        <f t="shared" si="40"/>
        <v>6.2E-2</v>
      </c>
      <c r="O48" s="6">
        <f t="shared" si="41"/>
        <v>0.41</v>
      </c>
      <c r="P48" s="25">
        <f t="shared" si="42"/>
        <v>5</v>
      </c>
      <c r="Q48" s="193">
        <f>ROUND((0.8*'Side MDB'!W48+0.2*'Side Pole'!N48),3)</f>
        <v>5.1999999999999998E-2</v>
      </c>
      <c r="R48" s="194">
        <f t="shared" si="43"/>
        <v>0.35</v>
      </c>
      <c r="S48" s="138">
        <f t="shared" si="44"/>
        <v>5</v>
      </c>
      <c r="T48" s="194">
        <f>ROUND(((0.8*'Side MDB'!W48+0.2*'Side Pole'!N48)+(IF('Side MDB'!X48="N/A",(0.8*'Side MDB'!W48+0.2*'Side Pole'!N48),'Side MDB'!X48)))/2,3)</f>
        <v>2.8000000000000001E-2</v>
      </c>
      <c r="U48" s="194">
        <f t="shared" si="45"/>
        <v>0.19</v>
      </c>
      <c r="V48" s="25">
        <f t="shared" si="46"/>
        <v>5</v>
      </c>
      <c r="W48" s="16"/>
      <c r="X48" s="16"/>
      <c r="Y48" s="195"/>
      <c r="Z48" s="195"/>
      <c r="AA48" s="195"/>
      <c r="AB48" s="196"/>
      <c r="AC48" s="196"/>
      <c r="AD48" s="196"/>
      <c r="AE48" s="196"/>
      <c r="AF48" s="196"/>
      <c r="AG48" s="196"/>
      <c r="AH48" s="196"/>
      <c r="AI48" s="196"/>
      <c r="AJ48" s="196"/>
      <c r="AK48" s="196"/>
      <c r="AL48" s="196"/>
    </row>
    <row r="49" spans="1:38" ht="13.9" customHeight="1">
      <c r="A49" s="187">
        <v>10569</v>
      </c>
      <c r="B49" s="188" t="s">
        <v>193</v>
      </c>
      <c r="C49" s="189" t="str">
        <f>Rollover!A49</f>
        <v>Nissan</v>
      </c>
      <c r="D49" s="189" t="str">
        <f>Rollover!B49</f>
        <v>Frontier Crew Cab PU/CC RWD</v>
      </c>
      <c r="E49" s="70" t="s">
        <v>163</v>
      </c>
      <c r="F49" s="190">
        <f>Rollover!C49</f>
        <v>2019</v>
      </c>
      <c r="G49" s="191">
        <v>321.40300000000002</v>
      </c>
      <c r="H49" s="12">
        <v>23.582999999999998</v>
      </c>
      <c r="I49" s="12">
        <v>42.597000000000001</v>
      </c>
      <c r="J49" s="192">
        <v>22.628</v>
      </c>
      <c r="K49" s="13">
        <v>2527.0079999999998</v>
      </c>
      <c r="L49" s="26">
        <f t="shared" si="38"/>
        <v>1.1609548224388143E-2</v>
      </c>
      <c r="M49" s="27">
        <f t="shared" si="39"/>
        <v>1.9263107539998391E-2</v>
      </c>
      <c r="N49" s="26">
        <f t="shared" si="40"/>
        <v>3.1E-2</v>
      </c>
      <c r="O49" s="6">
        <f t="shared" si="41"/>
        <v>0.21</v>
      </c>
      <c r="P49" s="25">
        <f t="shared" si="42"/>
        <v>5</v>
      </c>
      <c r="Q49" s="193">
        <f>ROUND((0.8*'Side MDB'!W49+0.2*'Side Pole'!N49),3)</f>
        <v>3.5999999999999997E-2</v>
      </c>
      <c r="R49" s="194">
        <f t="shared" si="43"/>
        <v>0.24</v>
      </c>
      <c r="S49" s="138">
        <f t="shared" si="44"/>
        <v>5</v>
      </c>
      <c r="T49" s="194">
        <f>ROUND(((0.8*'Side MDB'!W49+0.2*'Side Pole'!N49)+(IF('Side MDB'!X49="N/A",(0.8*'Side MDB'!W49+0.2*'Side Pole'!N49),'Side MDB'!X49)))/2,3)</f>
        <v>1.9E-2</v>
      </c>
      <c r="U49" s="194">
        <f t="shared" si="45"/>
        <v>0.13</v>
      </c>
      <c r="V49" s="25">
        <f t="shared" si="46"/>
        <v>5</v>
      </c>
      <c r="W49" s="16"/>
      <c r="X49" s="16"/>
      <c r="Y49" s="195"/>
      <c r="Z49" s="195"/>
      <c r="AA49" s="195"/>
      <c r="AB49" s="196"/>
      <c r="AC49" s="196"/>
      <c r="AD49" s="196"/>
      <c r="AE49" s="196"/>
      <c r="AF49" s="196"/>
      <c r="AG49" s="196"/>
      <c r="AH49" s="196"/>
      <c r="AI49" s="196"/>
      <c r="AJ49" s="196"/>
      <c r="AK49" s="196"/>
      <c r="AL49" s="196"/>
    </row>
    <row r="50" spans="1:38" ht="13.9" customHeight="1">
      <c r="A50" s="187">
        <v>10569</v>
      </c>
      <c r="B50" s="188" t="s">
        <v>193</v>
      </c>
      <c r="C50" s="189" t="str">
        <f>Rollover!A50</f>
        <v>Nissan</v>
      </c>
      <c r="D50" s="189" t="str">
        <f>Rollover!B50</f>
        <v>Frontier Crew Cab PU/CC AWD</v>
      </c>
      <c r="E50" s="70" t="s">
        <v>163</v>
      </c>
      <c r="F50" s="190">
        <f>Rollover!C50</f>
        <v>2019</v>
      </c>
      <c r="G50" s="201">
        <v>321.40300000000002</v>
      </c>
      <c r="H50" s="20">
        <v>23.582999999999998</v>
      </c>
      <c r="I50" s="20">
        <v>42.597000000000001</v>
      </c>
      <c r="J50" s="202">
        <v>22.628</v>
      </c>
      <c r="K50" s="21">
        <v>2527.0079999999998</v>
      </c>
      <c r="L50" s="26">
        <f t="shared" si="38"/>
        <v>1.1609548224388143E-2</v>
      </c>
      <c r="M50" s="27">
        <f t="shared" si="39"/>
        <v>1.9263107539998391E-2</v>
      </c>
      <c r="N50" s="26">
        <f t="shared" si="40"/>
        <v>3.1E-2</v>
      </c>
      <c r="O50" s="6">
        <f t="shared" si="41"/>
        <v>0.21</v>
      </c>
      <c r="P50" s="25">
        <f t="shared" si="42"/>
        <v>5</v>
      </c>
      <c r="Q50" s="193">
        <f>ROUND((0.8*'Side MDB'!W50+0.2*'Side Pole'!N50),3)</f>
        <v>3.5999999999999997E-2</v>
      </c>
      <c r="R50" s="194">
        <f t="shared" si="43"/>
        <v>0.24</v>
      </c>
      <c r="S50" s="138">
        <f t="shared" si="44"/>
        <v>5</v>
      </c>
      <c r="T50" s="194">
        <f>ROUND(((0.8*'Side MDB'!W50+0.2*'Side Pole'!N50)+(IF('Side MDB'!X50="N/A",(0.8*'Side MDB'!W50+0.2*'Side Pole'!N50),'Side MDB'!X50)))/2,3)</f>
        <v>1.9E-2</v>
      </c>
      <c r="U50" s="194">
        <f t="shared" si="45"/>
        <v>0.13</v>
      </c>
      <c r="V50" s="25">
        <f t="shared" si="46"/>
        <v>5</v>
      </c>
      <c r="W50" s="16"/>
      <c r="X50" s="16"/>
      <c r="Y50" s="195"/>
      <c r="Z50" s="195"/>
      <c r="AA50" s="195"/>
      <c r="AB50" s="196"/>
      <c r="AC50" s="196"/>
      <c r="AD50" s="196"/>
      <c r="AE50" s="196"/>
      <c r="AF50" s="196"/>
      <c r="AG50" s="196"/>
      <c r="AH50" s="196"/>
      <c r="AI50" s="196"/>
      <c r="AJ50" s="196"/>
      <c r="AK50" s="196"/>
      <c r="AL50" s="196"/>
    </row>
    <row r="51" spans="1:38" ht="13.9" customHeight="1">
      <c r="A51" s="187">
        <v>10711</v>
      </c>
      <c r="B51" s="188" t="s">
        <v>261</v>
      </c>
      <c r="C51" s="189" t="str">
        <f>Rollover!A51</f>
        <v>Nissan</v>
      </c>
      <c r="D51" s="189" t="str">
        <f>Rollover!B51</f>
        <v>Kicks SUV FWD</v>
      </c>
      <c r="E51" s="70" t="s">
        <v>163</v>
      </c>
      <c r="F51" s="190">
        <f>Rollover!C51</f>
        <v>2019</v>
      </c>
      <c r="G51" s="191">
        <v>205.654</v>
      </c>
      <c r="H51" s="12">
        <v>24.134</v>
      </c>
      <c r="I51" s="12">
        <v>30.548999999999999</v>
      </c>
      <c r="J51" s="192">
        <v>16.536999999999999</v>
      </c>
      <c r="K51" s="13">
        <v>2512.279</v>
      </c>
      <c r="L51" s="26">
        <f t="shared" si="38"/>
        <v>2.0316464141344882E-3</v>
      </c>
      <c r="M51" s="27">
        <f t="shared" si="39"/>
        <v>1.9003275902202799E-2</v>
      </c>
      <c r="N51" s="26">
        <f t="shared" si="40"/>
        <v>2.1000000000000001E-2</v>
      </c>
      <c r="O51" s="6">
        <f t="shared" si="41"/>
        <v>0.14000000000000001</v>
      </c>
      <c r="P51" s="25">
        <f t="shared" si="42"/>
        <v>5</v>
      </c>
      <c r="Q51" s="193">
        <f>ROUND((0.8*'Side MDB'!W51+0.2*'Side Pole'!N51),3)</f>
        <v>4.7E-2</v>
      </c>
      <c r="R51" s="194">
        <f t="shared" si="43"/>
        <v>0.31</v>
      </c>
      <c r="S51" s="138">
        <f t="shared" si="44"/>
        <v>5</v>
      </c>
      <c r="T51" s="194">
        <f>ROUND(((0.8*'Side MDB'!W51+0.2*'Side Pole'!N51)+(IF('Side MDB'!X51="N/A",(0.8*'Side MDB'!W51+0.2*'Side Pole'!N51),'Side MDB'!X51)))/2,3)</f>
        <v>7.5999999999999998E-2</v>
      </c>
      <c r="U51" s="194">
        <f t="shared" si="45"/>
        <v>0.51</v>
      </c>
      <c r="V51" s="25">
        <f t="shared" si="46"/>
        <v>5</v>
      </c>
      <c r="W51" s="16"/>
      <c r="X51" s="16"/>
      <c r="Y51" s="195"/>
      <c r="Z51" s="195"/>
      <c r="AA51" s="195"/>
      <c r="AB51" s="196"/>
      <c r="AC51" s="196"/>
      <c r="AD51" s="196"/>
      <c r="AE51" s="196"/>
      <c r="AF51" s="196"/>
      <c r="AG51" s="196"/>
      <c r="AH51" s="196"/>
      <c r="AI51" s="196"/>
      <c r="AJ51" s="196"/>
      <c r="AK51" s="196"/>
      <c r="AL51" s="196"/>
    </row>
    <row r="52" spans="1:38" ht="13.9" customHeight="1">
      <c r="A52" s="187">
        <v>10677</v>
      </c>
      <c r="B52" s="188" t="s">
        <v>246</v>
      </c>
      <c r="C52" s="189" t="str">
        <f>Rollover!A52</f>
        <v>Nissan</v>
      </c>
      <c r="D52" s="189" t="str">
        <f>Rollover!B52</f>
        <v>Murano SUV FWD</v>
      </c>
      <c r="E52" s="70" t="s">
        <v>88</v>
      </c>
      <c r="F52" s="190">
        <f>Rollover!C52</f>
        <v>2019</v>
      </c>
      <c r="G52" s="191">
        <v>439.19400000000002</v>
      </c>
      <c r="H52" s="12">
        <v>23.222000000000001</v>
      </c>
      <c r="I52" s="12">
        <v>40.771000000000001</v>
      </c>
      <c r="J52" s="192">
        <v>16.989999999999998</v>
      </c>
      <c r="K52" s="13">
        <v>2631.069</v>
      </c>
      <c r="L52" s="26">
        <f t="shared" ref="L52:L56" si="47">NORMDIST(LN(G52),7.45231,0.73998,1)</f>
        <v>3.2312342613500182E-2</v>
      </c>
      <c r="M52" s="27">
        <f t="shared" ref="M52:M56" si="48">1/(1+EXP(6.3055-0.00094*K52))</f>
        <v>2.1200643482148514E-2</v>
      </c>
      <c r="N52" s="26">
        <f t="shared" ref="N52:N56" si="49">ROUND(1-(1-L52)*(1-M52),3)</f>
        <v>5.2999999999999999E-2</v>
      </c>
      <c r="O52" s="6">
        <f t="shared" ref="O52:O56" si="50">ROUND(N52/0.15,2)</f>
        <v>0.35</v>
      </c>
      <c r="P52" s="25">
        <f t="shared" ref="P52:P56" si="51">IF(O52&lt;0.67,5,IF(O52&lt;1,4,IF(O52&lt;1.33,3,IF(O52&lt;2.67,2,1))))</f>
        <v>5</v>
      </c>
      <c r="Q52" s="193">
        <f>ROUND((0.8*'Side MDB'!W52+0.2*'Side Pole'!N52),3)</f>
        <v>4.4999999999999998E-2</v>
      </c>
      <c r="R52" s="194">
        <f t="shared" ref="R52:R56" si="52">ROUND((Q52)/0.15,2)</f>
        <v>0.3</v>
      </c>
      <c r="S52" s="138">
        <f t="shared" ref="S52:S56" si="53">IF(R52&lt;0.67,5,IF(R52&lt;1,4,IF(R52&lt;1.33,3,IF(R52&lt;2.67,2,1))))</f>
        <v>5</v>
      </c>
      <c r="T52" s="194">
        <f>ROUND(((0.8*'Side MDB'!W52+0.2*'Side Pole'!N52)+(IF('Side MDB'!X52="N/A",(0.8*'Side MDB'!W52+0.2*'Side Pole'!N52),'Side MDB'!X52)))/2,3)</f>
        <v>2.5999999999999999E-2</v>
      </c>
      <c r="U52" s="194">
        <f t="shared" ref="U52:U56" si="54">ROUND((T52)/0.15,2)</f>
        <v>0.17</v>
      </c>
      <c r="V52" s="25">
        <f t="shared" ref="V52:V56" si="55">IF(U52&lt;0.67,5,IF(U52&lt;1,4,IF(U52&lt;1.33,3,IF(U52&lt;2.67,2,1))))</f>
        <v>5</v>
      </c>
      <c r="W52" s="16"/>
      <c r="X52" s="16"/>
      <c r="Y52" s="195"/>
      <c r="Z52" s="195"/>
      <c r="AA52" s="195"/>
      <c r="AB52" s="196"/>
      <c r="AC52" s="196"/>
      <c r="AD52" s="196"/>
      <c r="AE52" s="196"/>
      <c r="AF52" s="196"/>
      <c r="AG52" s="196"/>
      <c r="AH52" s="196"/>
      <c r="AI52" s="196"/>
      <c r="AJ52" s="196"/>
      <c r="AK52" s="196"/>
      <c r="AL52" s="196"/>
    </row>
    <row r="53" spans="1:38" ht="13.9" customHeight="1">
      <c r="A53" s="187">
        <v>10677</v>
      </c>
      <c r="B53" s="188" t="s">
        <v>246</v>
      </c>
      <c r="C53" s="189" t="str">
        <f>Rollover!A53</f>
        <v>Nissan</v>
      </c>
      <c r="D53" s="189" t="str">
        <f>Rollover!B53</f>
        <v>Murano SUV AWD</v>
      </c>
      <c r="E53" s="70" t="s">
        <v>88</v>
      </c>
      <c r="F53" s="190">
        <f>Rollover!C53</f>
        <v>2019</v>
      </c>
      <c r="G53" s="191">
        <v>439.19400000000002</v>
      </c>
      <c r="H53" s="12">
        <v>23.222000000000001</v>
      </c>
      <c r="I53" s="12">
        <v>40.771000000000001</v>
      </c>
      <c r="J53" s="192">
        <v>16.989999999999998</v>
      </c>
      <c r="K53" s="13">
        <v>2631.069</v>
      </c>
      <c r="L53" s="26">
        <f t="shared" si="47"/>
        <v>3.2312342613500182E-2</v>
      </c>
      <c r="M53" s="27">
        <f t="shared" si="48"/>
        <v>2.1200643482148514E-2</v>
      </c>
      <c r="N53" s="26">
        <f t="shared" si="49"/>
        <v>5.2999999999999999E-2</v>
      </c>
      <c r="O53" s="6">
        <f t="shared" si="50"/>
        <v>0.35</v>
      </c>
      <c r="P53" s="25">
        <f t="shared" si="51"/>
        <v>5</v>
      </c>
      <c r="Q53" s="193">
        <f>ROUND((0.8*'Side MDB'!W53+0.2*'Side Pole'!N53),3)</f>
        <v>4.4999999999999998E-2</v>
      </c>
      <c r="R53" s="194">
        <f t="shared" si="52"/>
        <v>0.3</v>
      </c>
      <c r="S53" s="138">
        <f t="shared" si="53"/>
        <v>5</v>
      </c>
      <c r="T53" s="194">
        <f>ROUND(((0.8*'Side MDB'!W53+0.2*'Side Pole'!N53)+(IF('Side MDB'!X53="N/A",(0.8*'Side MDB'!W53+0.2*'Side Pole'!N53),'Side MDB'!X53)))/2,3)</f>
        <v>2.5999999999999999E-2</v>
      </c>
      <c r="U53" s="194">
        <f t="shared" si="54"/>
        <v>0.17</v>
      </c>
      <c r="V53" s="25">
        <f t="shared" si="55"/>
        <v>5</v>
      </c>
      <c r="W53" s="16"/>
      <c r="X53" s="16"/>
      <c r="Y53" s="195"/>
      <c r="Z53" s="195"/>
      <c r="AA53" s="195"/>
      <c r="AB53" s="196"/>
      <c r="AC53" s="196"/>
      <c r="AD53" s="196"/>
      <c r="AE53" s="196"/>
      <c r="AF53" s="196"/>
      <c r="AG53" s="196"/>
      <c r="AH53" s="196"/>
      <c r="AI53" s="196"/>
      <c r="AJ53" s="196"/>
      <c r="AK53" s="196"/>
      <c r="AL53" s="196"/>
    </row>
    <row r="54" spans="1:38" ht="13.9" customHeight="1">
      <c r="A54" s="188">
        <v>10179</v>
      </c>
      <c r="B54" s="188" t="s">
        <v>171</v>
      </c>
      <c r="C54" s="189" t="str">
        <f>Rollover!A54</f>
        <v>Nissan</v>
      </c>
      <c r="D54" s="189" t="str">
        <f>Rollover!B54</f>
        <v>Versa 4DR FWD</v>
      </c>
      <c r="E54" s="70" t="s">
        <v>165</v>
      </c>
      <c r="F54" s="190">
        <f>Rollover!C54</f>
        <v>2019</v>
      </c>
      <c r="G54" s="191">
        <v>279.46100000000001</v>
      </c>
      <c r="H54" s="12">
        <v>21.748000000000001</v>
      </c>
      <c r="I54" s="12">
        <v>31.719000000000001</v>
      </c>
      <c r="J54" s="192">
        <v>20.789000000000001</v>
      </c>
      <c r="K54" s="192">
        <v>2599.739</v>
      </c>
      <c r="L54" s="26">
        <f t="shared" si="47"/>
        <v>6.9705211764091307E-3</v>
      </c>
      <c r="M54" s="27">
        <f t="shared" si="48"/>
        <v>2.0598057649095006E-2</v>
      </c>
      <c r="N54" s="26">
        <f t="shared" si="49"/>
        <v>2.7E-2</v>
      </c>
      <c r="O54" s="6">
        <f t="shared" si="50"/>
        <v>0.18</v>
      </c>
      <c r="P54" s="25">
        <f t="shared" si="51"/>
        <v>5</v>
      </c>
      <c r="Q54" s="193">
        <f>ROUND((0.8*'Side MDB'!W54+0.2*'Side Pole'!N54),3)</f>
        <v>0.108</v>
      </c>
      <c r="R54" s="194">
        <f t="shared" si="52"/>
        <v>0.72</v>
      </c>
      <c r="S54" s="138">
        <f t="shared" si="53"/>
        <v>4</v>
      </c>
      <c r="T54" s="194">
        <f>ROUND(((0.8*'Side MDB'!W54+0.2*'Side Pole'!N54)+(IF('Side MDB'!X54="N/A",(0.8*'Side MDB'!W54+0.2*'Side Pole'!N54),'Side MDB'!X54)))/2,3)</f>
        <v>0.115</v>
      </c>
      <c r="U54" s="194">
        <f t="shared" si="54"/>
        <v>0.77</v>
      </c>
      <c r="V54" s="25">
        <f t="shared" si="55"/>
        <v>4</v>
      </c>
      <c r="W54" s="16"/>
      <c r="X54" s="16"/>
      <c r="Y54" s="195"/>
      <c r="Z54" s="195"/>
      <c r="AA54" s="195"/>
      <c r="AB54" s="196"/>
      <c r="AC54" s="196"/>
      <c r="AD54" s="196"/>
      <c r="AE54" s="196"/>
      <c r="AF54" s="196"/>
      <c r="AG54" s="196"/>
      <c r="AH54" s="196"/>
      <c r="AI54" s="196"/>
      <c r="AJ54" s="196"/>
      <c r="AK54" s="196"/>
      <c r="AL54" s="196"/>
    </row>
    <row r="55" spans="1:38" ht="13.9" customHeight="1">
      <c r="A55" s="187">
        <v>10558</v>
      </c>
      <c r="B55" s="188" t="s">
        <v>185</v>
      </c>
      <c r="C55" s="189" t="str">
        <f>Rollover!A55</f>
        <v>Ram</v>
      </c>
      <c r="D55" s="189" t="str">
        <f>Rollover!B55</f>
        <v>1500 Classic Quad Cab PU/EC 2WD</v>
      </c>
      <c r="E55" s="70" t="s">
        <v>163</v>
      </c>
      <c r="F55" s="190">
        <f>Rollover!C55</f>
        <v>2019</v>
      </c>
      <c r="G55" s="191">
        <v>217.352</v>
      </c>
      <c r="H55" s="12">
        <v>18.393000000000001</v>
      </c>
      <c r="I55" s="12">
        <v>40.335000000000001</v>
      </c>
      <c r="J55" s="192">
        <v>22.256</v>
      </c>
      <c r="K55" s="13">
        <v>2817.49</v>
      </c>
      <c r="L55" s="26">
        <f t="shared" si="47"/>
        <v>2.5674816977173122E-3</v>
      </c>
      <c r="M55" s="27">
        <f t="shared" si="48"/>
        <v>2.5158982718034375E-2</v>
      </c>
      <c r="N55" s="26">
        <f t="shared" si="49"/>
        <v>2.8000000000000001E-2</v>
      </c>
      <c r="O55" s="6">
        <f t="shared" si="50"/>
        <v>0.19</v>
      </c>
      <c r="P55" s="25">
        <f t="shared" si="51"/>
        <v>5</v>
      </c>
      <c r="Q55" s="193">
        <f>ROUND((0.8*'Side MDB'!W55+0.2*'Side Pole'!N55),3)</f>
        <v>0.03</v>
      </c>
      <c r="R55" s="194">
        <f t="shared" si="52"/>
        <v>0.2</v>
      </c>
      <c r="S55" s="138">
        <f t="shared" si="53"/>
        <v>5</v>
      </c>
      <c r="T55" s="194">
        <f>ROUND(((0.8*'Side MDB'!W55+0.2*'Side Pole'!N55)+(IF('Side MDB'!X55="N/A",(0.8*'Side MDB'!W55+0.2*'Side Pole'!N55),'Side MDB'!X55)))/2,3)</f>
        <v>1.7000000000000001E-2</v>
      </c>
      <c r="U55" s="194">
        <f t="shared" si="54"/>
        <v>0.11</v>
      </c>
      <c r="V55" s="25">
        <f t="shared" si="55"/>
        <v>5</v>
      </c>
      <c r="W55" s="16"/>
      <c r="X55" s="16"/>
      <c r="Y55" s="195"/>
      <c r="Z55" s="195"/>
      <c r="AA55" s="195"/>
      <c r="AB55" s="196"/>
      <c r="AC55" s="196"/>
      <c r="AD55" s="196"/>
      <c r="AE55" s="196"/>
      <c r="AF55" s="196"/>
      <c r="AG55" s="196"/>
      <c r="AH55" s="196"/>
      <c r="AI55" s="196"/>
      <c r="AJ55" s="196"/>
      <c r="AK55" s="196"/>
      <c r="AL55" s="196"/>
    </row>
    <row r="56" spans="1:38" ht="13.9" customHeight="1">
      <c r="A56" s="187">
        <v>10558</v>
      </c>
      <c r="B56" s="188" t="s">
        <v>185</v>
      </c>
      <c r="C56" s="189" t="str">
        <f>Rollover!A56</f>
        <v>Ram</v>
      </c>
      <c r="D56" s="189" t="str">
        <f>Rollover!B56</f>
        <v>1500 Classic Quad Cab PU/EC 4WD</v>
      </c>
      <c r="E56" s="70" t="s">
        <v>163</v>
      </c>
      <c r="F56" s="190">
        <f>Rollover!C56</f>
        <v>2019</v>
      </c>
      <c r="G56" s="191">
        <v>217.352</v>
      </c>
      <c r="H56" s="12">
        <v>18.393000000000001</v>
      </c>
      <c r="I56" s="12">
        <v>40.335000000000001</v>
      </c>
      <c r="J56" s="192">
        <v>22.256</v>
      </c>
      <c r="K56" s="13">
        <v>2817.49</v>
      </c>
      <c r="L56" s="26">
        <f t="shared" si="47"/>
        <v>2.5674816977173122E-3</v>
      </c>
      <c r="M56" s="27">
        <f t="shared" si="48"/>
        <v>2.5158982718034375E-2</v>
      </c>
      <c r="N56" s="26">
        <f t="shared" si="49"/>
        <v>2.8000000000000001E-2</v>
      </c>
      <c r="O56" s="6">
        <f t="shared" si="50"/>
        <v>0.19</v>
      </c>
      <c r="P56" s="25">
        <f t="shared" si="51"/>
        <v>5</v>
      </c>
      <c r="Q56" s="193">
        <f>ROUND((0.8*'Side MDB'!W56+0.2*'Side Pole'!N56),3)</f>
        <v>0.03</v>
      </c>
      <c r="R56" s="194">
        <f t="shared" si="52"/>
        <v>0.2</v>
      </c>
      <c r="S56" s="138">
        <f t="shared" si="53"/>
        <v>5</v>
      </c>
      <c r="T56" s="194">
        <f>ROUND(((0.8*'Side MDB'!W56+0.2*'Side Pole'!N56)+(IF('Side MDB'!X56="N/A",(0.8*'Side MDB'!W56+0.2*'Side Pole'!N56),'Side MDB'!X56)))/2,3)</f>
        <v>1.7000000000000001E-2</v>
      </c>
      <c r="U56" s="194">
        <f t="shared" si="54"/>
        <v>0.11</v>
      </c>
      <c r="V56" s="25">
        <f t="shared" si="55"/>
        <v>5</v>
      </c>
      <c r="W56" s="16"/>
      <c r="X56" s="16"/>
      <c r="Y56" s="195"/>
      <c r="Z56" s="195"/>
      <c r="AA56" s="195"/>
      <c r="AB56" s="196"/>
      <c r="AC56" s="196"/>
      <c r="AD56" s="196"/>
      <c r="AE56" s="196"/>
      <c r="AF56" s="196"/>
      <c r="AG56" s="196"/>
      <c r="AH56" s="196"/>
      <c r="AI56" s="196"/>
      <c r="AJ56" s="196"/>
      <c r="AK56" s="196"/>
      <c r="AL56" s="196"/>
    </row>
    <row r="57" spans="1:38" ht="13.9" customHeight="1">
      <c r="A57" s="187">
        <v>10558</v>
      </c>
      <c r="B57" s="188" t="s">
        <v>185</v>
      </c>
      <c r="C57" s="200" t="str">
        <f>Rollover!A57</f>
        <v>Ram</v>
      </c>
      <c r="D57" s="200" t="str">
        <f>Rollover!B57</f>
        <v>1500 Classic Regular Cab PU/RC 2WD</v>
      </c>
      <c r="E57" s="70" t="s">
        <v>163</v>
      </c>
      <c r="F57" s="190">
        <f>Rollover!C57</f>
        <v>2019</v>
      </c>
      <c r="G57" s="191">
        <v>217.352</v>
      </c>
      <c r="H57" s="12">
        <v>18.393000000000001</v>
      </c>
      <c r="I57" s="12">
        <v>40.335000000000001</v>
      </c>
      <c r="J57" s="192">
        <v>22.256</v>
      </c>
      <c r="K57" s="13">
        <v>2817.49</v>
      </c>
      <c r="L57" s="26">
        <f t="shared" ref="L57:L65" si="56">NORMDIST(LN(G57),7.45231,0.73998,1)</f>
        <v>2.5674816977173122E-3</v>
      </c>
      <c r="M57" s="27">
        <f t="shared" ref="M57:M65" si="57">1/(1+EXP(6.3055-0.00094*K57))</f>
        <v>2.5158982718034375E-2</v>
      </c>
      <c r="N57" s="26">
        <f t="shared" ref="N57:N65" si="58">ROUND(1-(1-L57)*(1-M57),3)</f>
        <v>2.8000000000000001E-2</v>
      </c>
      <c r="O57" s="6">
        <f t="shared" ref="O57:O65" si="59">ROUND(N57/0.15,2)</f>
        <v>0.19</v>
      </c>
      <c r="P57" s="25">
        <f t="shared" ref="P57:P65" si="60">IF(O57&lt;0.67,5,IF(O57&lt;1,4,IF(O57&lt;1.33,3,IF(O57&lt;2.67,2,1))))</f>
        <v>5</v>
      </c>
      <c r="Q57" s="193">
        <f>ROUND((0.8*'Side MDB'!W57+0.2*'Side Pole'!N57),3)</f>
        <v>0.03</v>
      </c>
      <c r="R57" s="194">
        <f t="shared" ref="R57:R65" si="61">ROUND((Q57)/0.15,2)</f>
        <v>0.2</v>
      </c>
      <c r="S57" s="138">
        <f t="shared" ref="S57:S65" si="62">IF(R57&lt;0.67,5,IF(R57&lt;1,4,IF(R57&lt;1.33,3,IF(R57&lt;2.67,2,1))))</f>
        <v>5</v>
      </c>
      <c r="T57" s="194">
        <f>ROUND(((0.8*'Side MDB'!W57+0.2*'Side Pole'!N57)+(IF('Side MDB'!X57="N/A",(0.8*'Side MDB'!W57+0.2*'Side Pole'!N57),'Side MDB'!X57)))/2,3)</f>
        <v>0.03</v>
      </c>
      <c r="U57" s="194">
        <f t="shared" ref="U57:U65" si="63">ROUND((T57)/0.15,2)</f>
        <v>0.2</v>
      </c>
      <c r="V57" s="25">
        <f t="shared" ref="V57:V65" si="64">IF(U57&lt;0.67,5,IF(U57&lt;1,4,IF(U57&lt;1.33,3,IF(U57&lt;2.67,2,1))))</f>
        <v>5</v>
      </c>
      <c r="W57" s="16"/>
      <c r="X57" s="16"/>
      <c r="Y57" s="195"/>
      <c r="Z57" s="195"/>
      <c r="AA57" s="195"/>
      <c r="AB57" s="196"/>
      <c r="AC57" s="196"/>
      <c r="AD57" s="196"/>
      <c r="AE57" s="196"/>
      <c r="AF57" s="196"/>
      <c r="AG57" s="196"/>
      <c r="AH57" s="196"/>
      <c r="AI57" s="196"/>
      <c r="AJ57" s="196"/>
      <c r="AK57" s="196"/>
      <c r="AL57" s="196"/>
    </row>
    <row r="58" spans="1:38" ht="13.9" customHeight="1">
      <c r="A58" s="187">
        <v>10558</v>
      </c>
      <c r="B58" s="188" t="s">
        <v>185</v>
      </c>
      <c r="C58" s="200" t="str">
        <f>Rollover!A58</f>
        <v>Ram</v>
      </c>
      <c r="D58" s="200" t="str">
        <f>Rollover!B58</f>
        <v>1500 Classic Regular Cab PU/RC 4WD</v>
      </c>
      <c r="E58" s="70" t="s">
        <v>163</v>
      </c>
      <c r="F58" s="190">
        <f>Rollover!C58</f>
        <v>2019</v>
      </c>
      <c r="G58" s="191">
        <v>217.352</v>
      </c>
      <c r="H58" s="12">
        <v>18.393000000000001</v>
      </c>
      <c r="I58" s="12">
        <v>40.335000000000001</v>
      </c>
      <c r="J58" s="192">
        <v>22.256</v>
      </c>
      <c r="K58" s="13">
        <v>2817.49</v>
      </c>
      <c r="L58" s="26">
        <f t="shared" si="56"/>
        <v>2.5674816977173122E-3</v>
      </c>
      <c r="M58" s="27">
        <f t="shared" si="57"/>
        <v>2.5158982718034375E-2</v>
      </c>
      <c r="N58" s="26">
        <f t="shared" si="58"/>
        <v>2.8000000000000001E-2</v>
      </c>
      <c r="O58" s="6">
        <f t="shared" si="59"/>
        <v>0.19</v>
      </c>
      <c r="P58" s="25">
        <f t="shared" si="60"/>
        <v>5</v>
      </c>
      <c r="Q58" s="193">
        <f>ROUND((0.8*'Side MDB'!W58+0.2*'Side Pole'!N58),3)</f>
        <v>0.03</v>
      </c>
      <c r="R58" s="194">
        <f t="shared" si="61"/>
        <v>0.2</v>
      </c>
      <c r="S58" s="138">
        <f t="shared" si="62"/>
        <v>5</v>
      </c>
      <c r="T58" s="194">
        <f>ROUND(((0.8*'Side MDB'!W58+0.2*'Side Pole'!N58)+(IF('Side MDB'!X58="N/A",(0.8*'Side MDB'!W58+0.2*'Side Pole'!N58),'Side MDB'!X58)))/2,3)</f>
        <v>0.03</v>
      </c>
      <c r="U58" s="194">
        <f t="shared" si="63"/>
        <v>0.2</v>
      </c>
      <c r="V58" s="25">
        <f t="shared" si="64"/>
        <v>5</v>
      </c>
      <c r="W58" s="16"/>
      <c r="X58" s="16"/>
      <c r="Y58" s="195"/>
      <c r="Z58" s="195"/>
      <c r="AA58" s="195"/>
      <c r="AB58" s="196"/>
      <c r="AC58" s="196"/>
      <c r="AD58" s="196"/>
      <c r="AE58" s="196"/>
      <c r="AF58" s="196"/>
      <c r="AG58" s="196"/>
      <c r="AH58" s="196"/>
      <c r="AI58" s="196"/>
      <c r="AJ58" s="196"/>
      <c r="AK58" s="196"/>
      <c r="AL58" s="196"/>
    </row>
    <row r="59" spans="1:38" ht="13.9" customHeight="1">
      <c r="A59" s="187">
        <v>10389</v>
      </c>
      <c r="B59" s="188" t="s">
        <v>175</v>
      </c>
      <c r="C59" s="189" t="str">
        <f>Rollover!A59</f>
        <v>Subaru</v>
      </c>
      <c r="D59" s="189" t="str">
        <f>Rollover!B59</f>
        <v>Ascent SUV AWD</v>
      </c>
      <c r="E59" s="70" t="s">
        <v>163</v>
      </c>
      <c r="F59" s="190">
        <f>Rollover!C59</f>
        <v>2019</v>
      </c>
      <c r="G59" s="191">
        <v>148.518</v>
      </c>
      <c r="H59" s="12">
        <v>18.256</v>
      </c>
      <c r="I59" s="12">
        <v>51.648000000000003</v>
      </c>
      <c r="J59" s="192">
        <v>15.585000000000001</v>
      </c>
      <c r="K59" s="13">
        <v>2834.547</v>
      </c>
      <c r="L59" s="26">
        <f>NORMDIST(LN(G59),7.45231,0.73998,1)</f>
        <v>4.6139319992490675E-4</v>
      </c>
      <c r="M59" s="27">
        <f t="shared" si="57"/>
        <v>2.5555230740790864E-2</v>
      </c>
      <c r="N59" s="26">
        <f t="shared" si="58"/>
        <v>2.5999999999999999E-2</v>
      </c>
      <c r="O59" s="6">
        <f t="shared" si="59"/>
        <v>0.17</v>
      </c>
      <c r="P59" s="25">
        <f t="shared" si="60"/>
        <v>5</v>
      </c>
      <c r="Q59" s="193">
        <f>ROUND((0.8*'Side MDB'!W59+0.2*'Side Pole'!N59),3)</f>
        <v>2.1999999999999999E-2</v>
      </c>
      <c r="R59" s="194">
        <f t="shared" si="61"/>
        <v>0.15</v>
      </c>
      <c r="S59" s="138">
        <f t="shared" si="62"/>
        <v>5</v>
      </c>
      <c r="T59" s="194">
        <f>ROUND(((0.8*'Side MDB'!W59+0.2*'Side Pole'!N59)+(IF('Side MDB'!X59="N/A",(0.8*'Side MDB'!W59+0.2*'Side Pole'!N59),'Side MDB'!X59)))/2,3)</f>
        <v>1.4999999999999999E-2</v>
      </c>
      <c r="U59" s="194">
        <f t="shared" si="63"/>
        <v>0.1</v>
      </c>
      <c r="V59" s="25">
        <f t="shared" si="64"/>
        <v>5</v>
      </c>
      <c r="W59" s="16"/>
      <c r="X59" s="16"/>
      <c r="Y59" s="195"/>
      <c r="Z59" s="195"/>
      <c r="AA59" s="195"/>
      <c r="AB59" s="196"/>
      <c r="AC59" s="196"/>
      <c r="AD59" s="196"/>
      <c r="AE59" s="196"/>
      <c r="AF59" s="196"/>
      <c r="AG59" s="196"/>
      <c r="AH59" s="196"/>
      <c r="AI59" s="196"/>
      <c r="AJ59" s="196"/>
      <c r="AK59" s="196"/>
      <c r="AL59" s="196"/>
    </row>
    <row r="60" spans="1:38" ht="13.9" customHeight="1">
      <c r="A60" s="187">
        <v>10627</v>
      </c>
      <c r="B60" s="188" t="s">
        <v>195</v>
      </c>
      <c r="C60" s="189" t="str">
        <f>Rollover!A60</f>
        <v>Subaru</v>
      </c>
      <c r="D60" s="189" t="str">
        <f>Rollover!B60</f>
        <v>Forester SUV AWD</v>
      </c>
      <c r="E60" s="70" t="s">
        <v>163</v>
      </c>
      <c r="F60" s="190">
        <f>Rollover!C60</f>
        <v>2019</v>
      </c>
      <c r="G60" s="191">
        <v>120.54</v>
      </c>
      <c r="H60" s="12">
        <v>25.306000000000001</v>
      </c>
      <c r="I60" s="12">
        <v>40.301000000000002</v>
      </c>
      <c r="J60" s="192">
        <v>15.105</v>
      </c>
      <c r="K60" s="13">
        <v>2994.5790000000002</v>
      </c>
      <c r="L60" s="26">
        <f t="shared" ref="L60:L64" si="65">NORMDIST(LN(G60),7.45231,0.73998,1)</f>
        <v>1.6211140430619442E-4</v>
      </c>
      <c r="M60" s="27">
        <f t="shared" ref="M60:M64" si="66">1/(1+EXP(6.3055-0.00094*K60))</f>
        <v>2.9580998095521928E-2</v>
      </c>
      <c r="N60" s="26">
        <f t="shared" ref="N60:N64" si="67">ROUND(1-(1-L60)*(1-M60),3)</f>
        <v>0.03</v>
      </c>
      <c r="O60" s="6">
        <f t="shared" ref="O60:O64" si="68">ROUND(N60/0.15,2)</f>
        <v>0.2</v>
      </c>
      <c r="P60" s="25">
        <f t="shared" ref="P60:P64" si="69">IF(O60&lt;0.67,5,IF(O60&lt;1,4,IF(O60&lt;1.33,3,IF(O60&lt;2.67,2,1))))</f>
        <v>5</v>
      </c>
      <c r="Q60" s="193">
        <f>ROUND((0.8*'Side MDB'!W60+0.2*'Side Pole'!N60),3)</f>
        <v>0.03</v>
      </c>
      <c r="R60" s="194">
        <f t="shared" ref="R60:R64" si="70">ROUND((Q60)/0.15,2)</f>
        <v>0.2</v>
      </c>
      <c r="S60" s="138">
        <f t="shared" ref="S60:S64" si="71">IF(R60&lt;0.67,5,IF(R60&lt;1,4,IF(R60&lt;1.33,3,IF(R60&lt;2.67,2,1))))</f>
        <v>5</v>
      </c>
      <c r="T60" s="194">
        <f>ROUND(((0.8*'Side MDB'!W60+0.2*'Side Pole'!N60)+(IF('Side MDB'!X60="N/A",(0.8*'Side MDB'!W60+0.2*'Side Pole'!N60),'Side MDB'!X60)))/2,3)</f>
        <v>3.2000000000000001E-2</v>
      </c>
      <c r="U60" s="194">
        <f t="shared" ref="U60:U64" si="72">ROUND((T60)/0.15,2)</f>
        <v>0.21</v>
      </c>
      <c r="V60" s="25">
        <f t="shared" ref="V60:V64" si="73">IF(U60&lt;0.67,5,IF(U60&lt;1,4,IF(U60&lt;1.33,3,IF(U60&lt;2.67,2,1))))</f>
        <v>5</v>
      </c>
      <c r="W60" s="16"/>
      <c r="X60" s="16"/>
      <c r="Y60" s="195"/>
      <c r="Z60" s="195"/>
      <c r="AA60" s="195"/>
      <c r="AB60" s="196"/>
      <c r="AC60" s="196"/>
      <c r="AD60" s="196"/>
      <c r="AE60" s="196"/>
      <c r="AF60" s="196"/>
      <c r="AG60" s="196"/>
      <c r="AH60" s="196"/>
      <c r="AI60" s="196"/>
      <c r="AJ60" s="196"/>
      <c r="AK60" s="196"/>
      <c r="AL60" s="196"/>
    </row>
    <row r="61" spans="1:38" ht="13.9" customHeight="1">
      <c r="A61" s="187">
        <v>10655</v>
      </c>
      <c r="B61" s="188" t="s">
        <v>226</v>
      </c>
      <c r="C61" s="189" t="str">
        <f>Rollover!A61</f>
        <v>Toyota</v>
      </c>
      <c r="D61" s="189" t="str">
        <f>Rollover!B61</f>
        <v>Avalon 4DR FWD</v>
      </c>
      <c r="E61" s="70" t="s">
        <v>88</v>
      </c>
      <c r="F61" s="190">
        <f>Rollover!C61</f>
        <v>2019</v>
      </c>
      <c r="G61" s="191">
        <v>267.27600000000001</v>
      </c>
      <c r="H61" s="12">
        <v>18.37</v>
      </c>
      <c r="I61" s="12">
        <v>37.709000000000003</v>
      </c>
      <c r="J61" s="192">
        <v>20.059000000000001</v>
      </c>
      <c r="K61" s="192">
        <v>3200.12</v>
      </c>
      <c r="L61" s="26">
        <f t="shared" si="65"/>
        <v>5.8840139574566439E-3</v>
      </c>
      <c r="M61" s="27">
        <f t="shared" si="66"/>
        <v>3.5660932524045015E-2</v>
      </c>
      <c r="N61" s="26">
        <f t="shared" si="67"/>
        <v>4.1000000000000002E-2</v>
      </c>
      <c r="O61" s="6">
        <f t="shared" si="68"/>
        <v>0.27</v>
      </c>
      <c r="P61" s="25">
        <f t="shared" si="69"/>
        <v>5</v>
      </c>
      <c r="Q61" s="193">
        <f>ROUND((0.8*'Side MDB'!W61+0.2*'Side Pole'!N61),3)</f>
        <v>4.2999999999999997E-2</v>
      </c>
      <c r="R61" s="194">
        <f t="shared" si="70"/>
        <v>0.28999999999999998</v>
      </c>
      <c r="S61" s="138">
        <f t="shared" si="71"/>
        <v>5</v>
      </c>
      <c r="T61" s="194">
        <f>ROUND(((0.8*'Side MDB'!W61+0.2*'Side Pole'!N61)+(IF('Side MDB'!X61="N/A",(0.8*'Side MDB'!W61+0.2*'Side Pole'!N61),'Side MDB'!X61)))/2,3)</f>
        <v>0.04</v>
      </c>
      <c r="U61" s="194">
        <f t="shared" si="72"/>
        <v>0.27</v>
      </c>
      <c r="V61" s="25">
        <f t="shared" si="73"/>
        <v>5</v>
      </c>
      <c r="W61" s="16"/>
      <c r="X61" s="16"/>
      <c r="Y61" s="195"/>
      <c r="Z61" s="195"/>
      <c r="AA61" s="195"/>
      <c r="AB61" s="196"/>
      <c r="AC61" s="196"/>
      <c r="AD61" s="196"/>
      <c r="AE61" s="196"/>
      <c r="AF61" s="196"/>
      <c r="AG61" s="196"/>
      <c r="AH61" s="196"/>
      <c r="AI61" s="196"/>
      <c r="AJ61" s="196"/>
      <c r="AK61" s="196"/>
      <c r="AL61" s="196"/>
    </row>
    <row r="62" spans="1:38" ht="13.9" customHeight="1">
      <c r="A62" s="187">
        <v>10655</v>
      </c>
      <c r="B62" s="188" t="s">
        <v>226</v>
      </c>
      <c r="C62" s="200" t="str">
        <f>Rollover!A62</f>
        <v>Toyota</v>
      </c>
      <c r="D62" s="200" t="str">
        <f>Rollover!B62</f>
        <v>Avalon Hybrid 4DR FWD</v>
      </c>
      <c r="E62" s="70" t="s">
        <v>88</v>
      </c>
      <c r="F62" s="190">
        <f>Rollover!C62</f>
        <v>2019</v>
      </c>
      <c r="G62" s="191">
        <v>267.27600000000001</v>
      </c>
      <c r="H62" s="12">
        <v>18.37</v>
      </c>
      <c r="I62" s="12">
        <v>37.709000000000003</v>
      </c>
      <c r="J62" s="192">
        <v>20.059000000000001</v>
      </c>
      <c r="K62" s="192">
        <v>3200.12</v>
      </c>
      <c r="L62" s="26">
        <f t="shared" si="65"/>
        <v>5.8840139574566439E-3</v>
      </c>
      <c r="M62" s="27">
        <f t="shared" si="66"/>
        <v>3.5660932524045015E-2</v>
      </c>
      <c r="N62" s="26">
        <f t="shared" si="67"/>
        <v>4.1000000000000002E-2</v>
      </c>
      <c r="O62" s="6">
        <f t="shared" si="68"/>
        <v>0.27</v>
      </c>
      <c r="P62" s="25">
        <f t="shared" si="69"/>
        <v>5</v>
      </c>
      <c r="Q62" s="193">
        <f>ROUND((0.8*'Side MDB'!W62+0.2*'Side Pole'!N62),3)</f>
        <v>4.2999999999999997E-2</v>
      </c>
      <c r="R62" s="194">
        <f t="shared" si="70"/>
        <v>0.28999999999999998</v>
      </c>
      <c r="S62" s="138">
        <f t="shared" si="71"/>
        <v>5</v>
      </c>
      <c r="T62" s="194">
        <f>ROUND(((0.8*'Side MDB'!W62+0.2*'Side Pole'!N62)+(IF('Side MDB'!X62="N/A",(0.8*'Side MDB'!W62+0.2*'Side Pole'!N62),'Side MDB'!X62)))/2,3)</f>
        <v>0.04</v>
      </c>
      <c r="U62" s="194">
        <f t="shared" si="72"/>
        <v>0.27</v>
      </c>
      <c r="V62" s="25">
        <f t="shared" si="73"/>
        <v>5</v>
      </c>
      <c r="W62" s="16"/>
      <c r="X62" s="16"/>
      <c r="Y62" s="195"/>
      <c r="Z62" s="195"/>
      <c r="AA62" s="195"/>
      <c r="AB62" s="196"/>
      <c r="AC62" s="196"/>
      <c r="AD62" s="196"/>
      <c r="AE62" s="196"/>
      <c r="AF62" s="196"/>
      <c r="AG62" s="196"/>
      <c r="AH62" s="196"/>
      <c r="AI62" s="196"/>
      <c r="AJ62" s="196"/>
      <c r="AK62" s="196"/>
      <c r="AL62" s="196"/>
    </row>
    <row r="63" spans="1:38" ht="13.9" customHeight="1">
      <c r="A63" s="188">
        <v>10152</v>
      </c>
      <c r="B63" s="188" t="s">
        <v>170</v>
      </c>
      <c r="C63" s="189" t="str">
        <f>Rollover!A63</f>
        <v>Toyota</v>
      </c>
      <c r="D63" s="189" t="str">
        <f>Rollover!B63</f>
        <v>C-HR 5HB FWD</v>
      </c>
      <c r="E63" s="70" t="s">
        <v>88</v>
      </c>
      <c r="F63" s="190">
        <f>Rollover!C63</f>
        <v>2019</v>
      </c>
      <c r="G63" s="191">
        <v>243.08</v>
      </c>
      <c r="H63" s="12">
        <v>15.573</v>
      </c>
      <c r="I63" s="12">
        <v>40.058</v>
      </c>
      <c r="J63" s="192">
        <v>17.567</v>
      </c>
      <c r="K63" s="192">
        <v>3176.886</v>
      </c>
      <c r="L63" s="26">
        <f t="shared" si="65"/>
        <v>4.0573478408207639E-3</v>
      </c>
      <c r="M63" s="27">
        <f t="shared" si="66"/>
        <v>3.4917442501193489E-2</v>
      </c>
      <c r="N63" s="26">
        <f t="shared" si="67"/>
        <v>3.9E-2</v>
      </c>
      <c r="O63" s="6">
        <f t="shared" si="68"/>
        <v>0.26</v>
      </c>
      <c r="P63" s="25">
        <f t="shared" si="69"/>
        <v>5</v>
      </c>
      <c r="Q63" s="193">
        <f>ROUND((0.8*'Side MDB'!W63+0.2*'Side Pole'!N63),3)</f>
        <v>3.3000000000000002E-2</v>
      </c>
      <c r="R63" s="194">
        <f t="shared" si="70"/>
        <v>0.22</v>
      </c>
      <c r="S63" s="138">
        <f t="shared" si="71"/>
        <v>5</v>
      </c>
      <c r="T63" s="194">
        <f>ROUND(((0.8*'Side MDB'!W63+0.2*'Side Pole'!N63)+(IF('Side MDB'!X63="N/A",(0.8*'Side MDB'!W63+0.2*'Side Pole'!N63),'Side MDB'!X63)))/2,3)</f>
        <v>3.1E-2</v>
      </c>
      <c r="U63" s="194">
        <f t="shared" si="72"/>
        <v>0.21</v>
      </c>
      <c r="V63" s="25">
        <f t="shared" si="73"/>
        <v>5</v>
      </c>
      <c r="W63" s="16"/>
      <c r="X63" s="16"/>
      <c r="Y63" s="195"/>
      <c r="Z63" s="195"/>
      <c r="AA63" s="195"/>
      <c r="AB63" s="196"/>
      <c r="AC63" s="196"/>
      <c r="AD63" s="196"/>
      <c r="AE63" s="196"/>
      <c r="AF63" s="196"/>
      <c r="AG63" s="196"/>
      <c r="AH63" s="196"/>
      <c r="AI63" s="196"/>
      <c r="AJ63" s="196"/>
      <c r="AK63" s="196"/>
      <c r="AL63" s="196"/>
    </row>
    <row r="64" spans="1:38" ht="13.9" customHeight="1">
      <c r="A64" s="188">
        <v>10650</v>
      </c>
      <c r="B64" s="188" t="s">
        <v>221</v>
      </c>
      <c r="C64" s="189" t="str">
        <f>Rollover!A64</f>
        <v>Toyota</v>
      </c>
      <c r="D64" s="189" t="str">
        <f>Rollover!B64</f>
        <v>Corolla 5HB FWD</v>
      </c>
      <c r="E64" s="70" t="s">
        <v>88</v>
      </c>
      <c r="F64" s="190">
        <f>Rollover!C64</f>
        <v>2019</v>
      </c>
      <c r="G64" s="191">
        <v>239.12200000000001</v>
      </c>
      <c r="H64" s="12">
        <v>14.971</v>
      </c>
      <c r="I64" s="12">
        <v>31.571999999999999</v>
      </c>
      <c r="J64" s="192">
        <v>21.445</v>
      </c>
      <c r="K64" s="13">
        <v>2769.5720000000001</v>
      </c>
      <c r="L64" s="26">
        <f t="shared" si="65"/>
        <v>3.7988325969970905E-3</v>
      </c>
      <c r="M64" s="27">
        <f t="shared" si="66"/>
        <v>2.4077571975424518E-2</v>
      </c>
      <c r="N64" s="26">
        <f t="shared" si="67"/>
        <v>2.8000000000000001E-2</v>
      </c>
      <c r="O64" s="6">
        <f t="shared" si="68"/>
        <v>0.19</v>
      </c>
      <c r="P64" s="25">
        <f t="shared" si="69"/>
        <v>5</v>
      </c>
      <c r="Q64" s="193">
        <f>ROUND((0.8*'Side MDB'!W64+0.2*'Side Pole'!N64),3)</f>
        <v>4.2999999999999997E-2</v>
      </c>
      <c r="R64" s="194">
        <f t="shared" si="70"/>
        <v>0.28999999999999998</v>
      </c>
      <c r="S64" s="138">
        <f t="shared" si="71"/>
        <v>5</v>
      </c>
      <c r="T64" s="194">
        <f>ROUND(((0.8*'Side MDB'!W64+0.2*'Side Pole'!N64)+(IF('Side MDB'!X64="N/A",(0.8*'Side MDB'!W64+0.2*'Side Pole'!N64),'Side MDB'!X64)))/2,3)</f>
        <v>3.5999999999999997E-2</v>
      </c>
      <c r="U64" s="194">
        <f t="shared" si="72"/>
        <v>0.24</v>
      </c>
      <c r="V64" s="25">
        <f t="shared" si="73"/>
        <v>5</v>
      </c>
      <c r="W64" s="16"/>
      <c r="X64" s="16"/>
      <c r="Y64" s="195"/>
      <c r="Z64" s="195"/>
      <c r="AA64" s="195"/>
      <c r="AB64" s="196"/>
      <c r="AC64" s="196"/>
      <c r="AD64" s="196"/>
      <c r="AE64" s="196"/>
      <c r="AF64" s="196"/>
      <c r="AG64" s="196"/>
      <c r="AH64" s="196"/>
      <c r="AI64" s="196"/>
      <c r="AJ64" s="196"/>
      <c r="AK64" s="196"/>
      <c r="AL64" s="196"/>
    </row>
    <row r="65" spans="1:38" ht="13.9" customHeight="1">
      <c r="A65" s="187">
        <v>10662</v>
      </c>
      <c r="B65" s="188" t="s">
        <v>241</v>
      </c>
      <c r="C65" s="189" t="str">
        <f>Rollover!A65</f>
        <v xml:space="preserve">Volkswagen </v>
      </c>
      <c r="D65" s="189" t="str">
        <f>Rollover!B65</f>
        <v>Jetta 4DR FWD</v>
      </c>
      <c r="E65" s="70" t="s">
        <v>165</v>
      </c>
      <c r="F65" s="190">
        <f>Rollover!C65</f>
        <v>2019</v>
      </c>
      <c r="G65" s="191">
        <v>239.20500000000001</v>
      </c>
      <c r="H65" s="12">
        <v>23.585999999999999</v>
      </c>
      <c r="I65" s="12">
        <v>37.648000000000003</v>
      </c>
      <c r="J65" s="192">
        <v>28.818999999999999</v>
      </c>
      <c r="K65" s="13">
        <v>2790.1849999999999</v>
      </c>
      <c r="L65" s="26">
        <f t="shared" si="56"/>
        <v>3.804141042345967E-3</v>
      </c>
      <c r="M65" s="27">
        <f t="shared" si="57"/>
        <v>2.4537094487065852E-2</v>
      </c>
      <c r="N65" s="26">
        <f t="shared" si="58"/>
        <v>2.8000000000000001E-2</v>
      </c>
      <c r="O65" s="6">
        <f t="shared" si="59"/>
        <v>0.19</v>
      </c>
      <c r="P65" s="25">
        <f t="shared" si="60"/>
        <v>5</v>
      </c>
      <c r="Q65" s="193">
        <f>ROUND((0.8*'Side MDB'!W65+0.2*'Side Pole'!N65),3)</f>
        <v>0.05</v>
      </c>
      <c r="R65" s="194">
        <f t="shared" si="61"/>
        <v>0.33</v>
      </c>
      <c r="S65" s="138">
        <f t="shared" si="62"/>
        <v>5</v>
      </c>
      <c r="T65" s="194">
        <f>ROUND(((0.8*'Side MDB'!W65+0.2*'Side Pole'!N65)+(IF('Side MDB'!X65="N/A",(0.8*'Side MDB'!W65+0.2*'Side Pole'!N65),'Side MDB'!X65)))/2,3)</f>
        <v>3.9E-2</v>
      </c>
      <c r="U65" s="194">
        <f t="shared" si="63"/>
        <v>0.26</v>
      </c>
      <c r="V65" s="25">
        <f t="shared" si="64"/>
        <v>5</v>
      </c>
      <c r="W65" s="16"/>
      <c r="X65" s="16"/>
      <c r="Y65" s="195"/>
      <c r="Z65" s="195"/>
      <c r="AA65" s="195"/>
      <c r="AB65" s="196"/>
      <c r="AC65" s="196"/>
      <c r="AD65" s="196"/>
      <c r="AE65" s="196"/>
      <c r="AF65" s="196"/>
      <c r="AG65" s="196"/>
      <c r="AH65" s="196"/>
      <c r="AI65" s="196"/>
      <c r="AJ65" s="196"/>
      <c r="AK65" s="196"/>
      <c r="AL65" s="196"/>
    </row>
    <row r="66" spans="1:38" ht="13.9" customHeight="1">
      <c r="N66" s="197"/>
      <c r="O66" s="197"/>
      <c r="P66" s="203"/>
      <c r="Q66" s="197"/>
    </row>
    <row r="67" spans="1:38" ht="13.9" customHeight="1">
      <c r="N67" s="197"/>
      <c r="O67" s="197"/>
      <c r="P67" s="203"/>
      <c r="Q67" s="197"/>
    </row>
    <row r="68" spans="1:38" ht="13.9" customHeight="1">
      <c r="N68" s="197"/>
      <c r="O68" s="197"/>
      <c r="P68" s="203"/>
      <c r="Q68" s="197"/>
    </row>
    <row r="69" spans="1:38" ht="13.9" customHeight="1">
      <c r="N69" s="197"/>
      <c r="O69" s="197"/>
      <c r="P69" s="203"/>
      <c r="Q69" s="197"/>
    </row>
    <row r="70" spans="1:38" ht="13.9" customHeight="1">
      <c r="N70" s="197"/>
      <c r="O70" s="197"/>
      <c r="P70" s="203"/>
      <c r="Q70" s="197"/>
    </row>
    <row r="71" spans="1:38" ht="13.9" customHeight="1">
      <c r="N71" s="197"/>
      <c r="O71" s="197"/>
      <c r="P71" s="203"/>
      <c r="Q71" s="197"/>
    </row>
    <row r="72" spans="1:38" ht="13.9" customHeight="1">
      <c r="N72" s="197"/>
      <c r="O72" s="197"/>
      <c r="P72" s="203"/>
      <c r="Q72" s="197"/>
    </row>
    <row r="73" spans="1:38" ht="13.9" customHeight="1">
      <c r="N73" s="197"/>
      <c r="O73" s="197"/>
      <c r="P73" s="203"/>
      <c r="Q73" s="197"/>
    </row>
    <row r="74" spans="1:38" ht="13.9" customHeight="1">
      <c r="N74" s="197"/>
      <c r="O74" s="197"/>
      <c r="P74" s="203"/>
      <c r="Q74" s="197"/>
    </row>
    <row r="75" spans="1:38" ht="13.9" customHeight="1">
      <c r="N75" s="197"/>
      <c r="O75" s="197"/>
      <c r="P75" s="203"/>
      <c r="Q75" s="197"/>
    </row>
    <row r="76" spans="1:38" ht="13.9" customHeight="1">
      <c r="N76" s="197"/>
      <c r="O76" s="197"/>
      <c r="P76" s="203"/>
      <c r="Q76" s="197"/>
    </row>
    <row r="77" spans="1:38" ht="13.9" customHeight="1">
      <c r="N77" s="197"/>
      <c r="O77" s="197"/>
      <c r="P77" s="203"/>
      <c r="Q77" s="197"/>
    </row>
    <row r="78" spans="1:38" ht="13.9" customHeight="1">
      <c r="N78" s="197"/>
      <c r="O78" s="197"/>
      <c r="P78" s="203"/>
      <c r="Q78" s="197"/>
    </row>
    <row r="79" spans="1:38" ht="13.9" customHeight="1">
      <c r="N79" s="197"/>
      <c r="O79" s="197"/>
      <c r="P79" s="203"/>
      <c r="Q79" s="197"/>
    </row>
    <row r="80" spans="1:38" ht="13.9" customHeight="1">
      <c r="N80" s="197"/>
      <c r="O80" s="197"/>
      <c r="P80" s="203"/>
      <c r="Q80" s="197"/>
    </row>
    <row r="81" spans="14:17" ht="13.9" customHeight="1">
      <c r="N81" s="197"/>
      <c r="O81" s="197"/>
      <c r="P81" s="203"/>
      <c r="Q81" s="197"/>
    </row>
    <row r="82" spans="14:17" ht="13.9" customHeight="1">
      <c r="N82" s="197"/>
      <c r="O82" s="197"/>
      <c r="P82" s="203"/>
      <c r="Q82" s="197"/>
    </row>
    <row r="83" spans="14:17" ht="13.9" customHeight="1">
      <c r="N83" s="197"/>
      <c r="O83" s="197"/>
      <c r="P83" s="203"/>
      <c r="Q83" s="197"/>
    </row>
    <row r="84" spans="14:17" ht="13.9" customHeight="1">
      <c r="N84" s="197"/>
      <c r="O84" s="197"/>
      <c r="P84" s="203"/>
      <c r="Q84" s="197"/>
    </row>
    <row r="85" spans="14:17" ht="13.9" customHeight="1">
      <c r="N85" s="197"/>
      <c r="O85" s="197"/>
      <c r="P85" s="203"/>
      <c r="Q85" s="197"/>
    </row>
    <row r="86" spans="14:17" ht="13.9" customHeight="1">
      <c r="N86" s="197"/>
      <c r="O86" s="197"/>
      <c r="P86" s="203"/>
      <c r="Q86" s="197"/>
    </row>
    <row r="87" spans="14:17" ht="13.9" customHeight="1">
      <c r="N87" s="197"/>
      <c r="O87" s="197"/>
      <c r="P87" s="203"/>
      <c r="Q87" s="197"/>
    </row>
    <row r="88" spans="14:17" ht="13.9" customHeight="1">
      <c r="N88" s="197"/>
      <c r="O88" s="197"/>
      <c r="P88" s="203"/>
      <c r="Q88" s="197"/>
    </row>
    <row r="89" spans="14:17" ht="13.9" customHeight="1">
      <c r="N89" s="197"/>
      <c r="O89" s="197"/>
      <c r="P89" s="203"/>
      <c r="Q89" s="197"/>
    </row>
    <row r="90" spans="14:17" ht="13.9" customHeight="1">
      <c r="N90" s="197"/>
      <c r="O90" s="197"/>
      <c r="P90" s="203"/>
      <c r="Q90" s="197"/>
    </row>
    <row r="91" spans="14:17" ht="13.9" customHeight="1">
      <c r="N91" s="197"/>
      <c r="O91" s="197"/>
      <c r="P91" s="203"/>
      <c r="Q91" s="197"/>
    </row>
    <row r="92" spans="14:17" ht="13.9" customHeight="1">
      <c r="N92" s="197"/>
      <c r="O92" s="197"/>
      <c r="P92" s="203"/>
      <c r="Q92" s="197"/>
    </row>
    <row r="93" spans="14:17" ht="13.9" customHeight="1">
      <c r="N93" s="197"/>
      <c r="O93" s="197"/>
      <c r="P93" s="203"/>
      <c r="Q93" s="197"/>
    </row>
    <row r="94" spans="14:17" ht="13.9" customHeight="1">
      <c r="N94" s="197"/>
      <c r="O94" s="197"/>
      <c r="P94" s="203"/>
      <c r="Q94" s="197"/>
    </row>
    <row r="95" spans="14:17" ht="13.9" customHeight="1">
      <c r="N95" s="197"/>
      <c r="O95" s="197"/>
      <c r="P95" s="203"/>
      <c r="Q95" s="197"/>
    </row>
    <row r="96" spans="14:17" ht="13.9" customHeight="1">
      <c r="N96" s="197"/>
      <c r="O96" s="197"/>
      <c r="P96" s="203"/>
      <c r="Q96" s="197"/>
    </row>
    <row r="97" spans="14:17" ht="13.9" customHeight="1">
      <c r="N97" s="197"/>
      <c r="O97" s="197"/>
      <c r="P97" s="203"/>
      <c r="Q97" s="197"/>
    </row>
    <row r="98" spans="14:17" ht="13.9" customHeight="1">
      <c r="N98" s="197"/>
      <c r="O98" s="197"/>
      <c r="P98" s="203"/>
      <c r="Q98" s="197"/>
    </row>
    <row r="99" spans="14:17" ht="13.9" customHeight="1">
      <c r="N99" s="197"/>
      <c r="O99" s="197"/>
      <c r="P99" s="203"/>
      <c r="Q99" s="197"/>
    </row>
    <row r="100" spans="14:17" ht="13.9" customHeight="1">
      <c r="N100" s="197"/>
      <c r="O100" s="197"/>
      <c r="P100" s="203"/>
      <c r="Q100" s="197"/>
    </row>
    <row r="101" spans="14:17" ht="13.9" customHeight="1">
      <c r="N101" s="197"/>
      <c r="O101" s="197"/>
      <c r="P101" s="203"/>
      <c r="Q101" s="197"/>
    </row>
    <row r="102" spans="14:17" ht="13.9" customHeight="1">
      <c r="N102" s="197"/>
      <c r="O102" s="197"/>
      <c r="P102" s="203"/>
      <c r="Q102" s="197"/>
    </row>
    <row r="103" spans="14:17" ht="13.9" customHeight="1">
      <c r="N103" s="197"/>
      <c r="O103" s="197"/>
      <c r="P103" s="203"/>
      <c r="Q103" s="197"/>
    </row>
    <row r="104" spans="14:17" ht="13.9" customHeight="1">
      <c r="N104" s="197"/>
      <c r="O104" s="197"/>
      <c r="P104" s="203"/>
      <c r="Q104" s="197"/>
    </row>
    <row r="105" spans="14:17" ht="13.9" customHeight="1">
      <c r="N105" s="197"/>
      <c r="O105" s="197"/>
      <c r="P105" s="203"/>
      <c r="Q105" s="197"/>
    </row>
    <row r="106" spans="14:17" ht="13.9" customHeight="1">
      <c r="N106" s="197"/>
      <c r="O106" s="197"/>
      <c r="P106" s="203"/>
      <c r="Q106" s="197"/>
    </row>
    <row r="107" spans="14:17" ht="13.9" customHeight="1">
      <c r="N107" s="197"/>
      <c r="O107" s="197"/>
      <c r="P107" s="203"/>
      <c r="Q107" s="197"/>
    </row>
    <row r="108" spans="14:17" ht="13.9" customHeight="1">
      <c r="N108" s="197"/>
      <c r="O108" s="197"/>
      <c r="P108" s="203"/>
      <c r="Q108" s="197"/>
    </row>
    <row r="109" spans="14:17" ht="13.9" customHeight="1">
      <c r="N109" s="197"/>
      <c r="O109" s="197"/>
      <c r="P109" s="203"/>
      <c r="Q109" s="197"/>
    </row>
    <row r="110" spans="14:17" ht="13.9" customHeight="1">
      <c r="N110" s="197"/>
      <c r="O110" s="197"/>
      <c r="P110" s="203"/>
      <c r="Q110" s="197"/>
    </row>
    <row r="111" spans="14:17" ht="13.9" customHeight="1">
      <c r="N111" s="197"/>
      <c r="O111" s="197"/>
      <c r="P111" s="203"/>
      <c r="Q111" s="197"/>
    </row>
    <row r="112" spans="14:17" ht="13.9" customHeight="1">
      <c r="N112" s="197"/>
      <c r="O112" s="197"/>
      <c r="P112" s="203"/>
      <c r="Q112" s="197"/>
    </row>
    <row r="113" spans="14:17" ht="13.9" customHeight="1">
      <c r="N113" s="197"/>
      <c r="O113" s="197"/>
      <c r="P113" s="203"/>
      <c r="Q113" s="197"/>
    </row>
    <row r="114" spans="14:17" ht="13.9" customHeight="1">
      <c r="N114" s="197"/>
      <c r="O114" s="197"/>
      <c r="P114" s="203"/>
      <c r="Q114" s="197"/>
    </row>
    <row r="115" spans="14:17" ht="13.9" customHeight="1">
      <c r="N115" s="197"/>
      <c r="O115" s="197"/>
      <c r="P115" s="203"/>
      <c r="Q115" s="197"/>
    </row>
    <row r="116" spans="14:17" ht="13.9" customHeight="1">
      <c r="N116" s="197"/>
      <c r="O116" s="197"/>
      <c r="P116" s="203"/>
      <c r="Q116" s="197"/>
    </row>
    <row r="117" spans="14:17" ht="13.9" customHeight="1">
      <c r="N117" s="197"/>
      <c r="O117" s="197"/>
      <c r="P117" s="203"/>
      <c r="Q117" s="197"/>
    </row>
    <row r="118" spans="14:17" ht="13.9" customHeight="1">
      <c r="N118" s="197"/>
      <c r="O118" s="197"/>
      <c r="P118" s="203"/>
      <c r="Q118" s="197"/>
    </row>
    <row r="119" spans="14:17" ht="13.9" customHeight="1">
      <c r="N119" s="197"/>
      <c r="O119" s="197"/>
      <c r="P119" s="203"/>
      <c r="Q119" s="197"/>
    </row>
    <row r="120" spans="14:17" ht="13.9" customHeight="1">
      <c r="N120" s="197"/>
      <c r="O120" s="197"/>
      <c r="P120" s="203"/>
      <c r="Q120" s="197"/>
    </row>
    <row r="121" spans="14:17" ht="13.9" customHeight="1">
      <c r="N121" s="197"/>
      <c r="O121" s="197"/>
      <c r="P121" s="203"/>
      <c r="Q121" s="197"/>
    </row>
    <row r="122" spans="14:17" ht="13.9" customHeight="1">
      <c r="N122" s="197"/>
      <c r="O122" s="197"/>
      <c r="P122" s="203"/>
      <c r="Q122" s="197"/>
    </row>
    <row r="123" spans="14:17" ht="13.9" customHeight="1">
      <c r="N123" s="197"/>
      <c r="O123" s="197"/>
      <c r="P123" s="203"/>
      <c r="Q123" s="197"/>
    </row>
    <row r="124" spans="14:17" ht="13.9" customHeight="1">
      <c r="N124" s="197"/>
      <c r="O124" s="197"/>
      <c r="P124" s="203"/>
      <c r="Q124" s="197"/>
    </row>
    <row r="125" spans="14:17" ht="13.9" customHeight="1">
      <c r="N125" s="197"/>
      <c r="O125" s="197"/>
      <c r="P125" s="203"/>
      <c r="Q125" s="197"/>
    </row>
    <row r="126" spans="14:17" ht="13.9" customHeight="1">
      <c r="N126" s="197"/>
      <c r="O126" s="197"/>
      <c r="P126" s="203"/>
      <c r="Q126" s="197"/>
    </row>
    <row r="127" spans="14:17" ht="13.9" customHeight="1">
      <c r="N127" s="197"/>
      <c r="O127" s="197"/>
      <c r="P127" s="203"/>
      <c r="Q127" s="197"/>
    </row>
    <row r="128" spans="14:17" ht="13.9" customHeight="1">
      <c r="N128" s="197"/>
      <c r="O128" s="197"/>
      <c r="P128" s="203"/>
      <c r="Q128" s="197"/>
    </row>
    <row r="129" spans="14:17" ht="13.9" customHeight="1">
      <c r="N129" s="197"/>
      <c r="O129" s="197"/>
      <c r="P129" s="203"/>
      <c r="Q129" s="197"/>
    </row>
    <row r="130" spans="14:17" ht="13.9" customHeight="1">
      <c r="N130" s="197"/>
      <c r="O130" s="197"/>
      <c r="P130" s="203"/>
      <c r="Q130" s="197"/>
    </row>
    <row r="131" spans="14:17" ht="13.9" customHeight="1">
      <c r="N131" s="197"/>
      <c r="O131" s="197"/>
      <c r="P131" s="203"/>
      <c r="Q131" s="197"/>
    </row>
    <row r="132" spans="14:17" ht="13.9" customHeight="1">
      <c r="N132" s="197"/>
      <c r="O132" s="197"/>
      <c r="P132" s="203"/>
      <c r="Q132" s="197"/>
    </row>
    <row r="133" spans="14:17" ht="13.9" customHeight="1">
      <c r="N133" s="197"/>
      <c r="O133" s="197"/>
      <c r="P133" s="203"/>
      <c r="Q133" s="197"/>
    </row>
    <row r="134" spans="14:17" ht="13.9" customHeight="1">
      <c r="N134" s="197"/>
      <c r="O134" s="197"/>
      <c r="P134" s="203"/>
      <c r="Q134" s="197"/>
    </row>
    <row r="135" spans="14:17" ht="13.9" customHeight="1">
      <c r="N135" s="197"/>
      <c r="O135" s="197"/>
      <c r="P135" s="203"/>
      <c r="Q135" s="197"/>
    </row>
    <row r="136" spans="14:17" ht="13.9" customHeight="1">
      <c r="N136" s="197"/>
      <c r="O136" s="197"/>
      <c r="P136" s="203"/>
      <c r="Q136" s="197"/>
    </row>
    <row r="137" spans="14:17" ht="13.9" customHeight="1">
      <c r="N137" s="197"/>
      <c r="O137" s="197"/>
      <c r="P137" s="203"/>
      <c r="Q137" s="197"/>
    </row>
    <row r="138" spans="14:17" ht="13.9" customHeight="1">
      <c r="N138" s="197"/>
      <c r="O138" s="197"/>
      <c r="P138" s="203"/>
      <c r="Q138" s="197"/>
    </row>
    <row r="139" spans="14:17" ht="13.9" customHeight="1">
      <c r="N139" s="197"/>
      <c r="O139" s="197"/>
      <c r="P139" s="203"/>
      <c r="Q139" s="197"/>
    </row>
    <row r="140" spans="14:17" ht="13.9" customHeight="1">
      <c r="N140" s="197"/>
      <c r="O140" s="197"/>
      <c r="P140" s="203"/>
      <c r="Q140" s="197"/>
    </row>
    <row r="141" spans="14:17" ht="13.9" customHeight="1">
      <c r="N141" s="197"/>
      <c r="O141" s="197"/>
      <c r="P141" s="203"/>
      <c r="Q141" s="197"/>
    </row>
    <row r="142" spans="14:17" ht="13.9" customHeight="1">
      <c r="N142" s="197"/>
      <c r="O142" s="197"/>
      <c r="P142" s="203"/>
      <c r="Q142" s="197"/>
    </row>
    <row r="143" spans="14:17" ht="13.9" customHeight="1">
      <c r="N143" s="197"/>
      <c r="O143" s="197"/>
      <c r="P143" s="203"/>
      <c r="Q143" s="197"/>
    </row>
    <row r="144" spans="14:17" ht="13.9" customHeight="1">
      <c r="N144" s="197"/>
      <c r="O144" s="197"/>
      <c r="P144" s="203"/>
      <c r="Q144" s="197"/>
    </row>
    <row r="145" spans="14:17" ht="13.9" customHeight="1">
      <c r="N145" s="197"/>
      <c r="O145" s="197"/>
      <c r="P145" s="203"/>
      <c r="Q145" s="197"/>
    </row>
    <row r="146" spans="14:17" ht="13.9" customHeight="1">
      <c r="N146" s="197"/>
      <c r="O146" s="197"/>
      <c r="P146" s="203"/>
      <c r="Q146" s="197"/>
    </row>
    <row r="147" spans="14:17" ht="13.9" customHeight="1">
      <c r="N147" s="197"/>
      <c r="O147" s="197"/>
      <c r="P147" s="203"/>
      <c r="Q147" s="197"/>
    </row>
    <row r="148" spans="14:17" ht="13.9" customHeight="1">
      <c r="N148" s="197"/>
      <c r="O148" s="197"/>
      <c r="P148" s="203"/>
      <c r="Q148" s="197"/>
    </row>
    <row r="149" spans="14:17" ht="13.9" customHeight="1">
      <c r="N149" s="197"/>
      <c r="O149" s="197"/>
      <c r="P149" s="203"/>
      <c r="Q149" s="197"/>
    </row>
    <row r="150" spans="14:17" ht="13.9" customHeight="1">
      <c r="N150" s="197"/>
      <c r="O150" s="197"/>
      <c r="P150" s="203"/>
      <c r="Q150" s="197"/>
    </row>
    <row r="151" spans="14:17" ht="13.9" customHeight="1">
      <c r="N151" s="197"/>
      <c r="O151" s="197"/>
      <c r="P151" s="203"/>
      <c r="Q151" s="197"/>
    </row>
    <row r="152" spans="14:17" ht="13.9" customHeight="1">
      <c r="N152" s="197"/>
      <c r="O152" s="197"/>
      <c r="P152" s="203"/>
      <c r="Q152" s="197"/>
    </row>
    <row r="153" spans="14:17" ht="13.9" customHeight="1">
      <c r="N153" s="197"/>
      <c r="O153" s="197"/>
      <c r="P153" s="203"/>
      <c r="Q153" s="197"/>
    </row>
    <row r="154" spans="14:17" ht="13.9" customHeight="1">
      <c r="N154" s="197"/>
      <c r="O154" s="197"/>
      <c r="P154" s="203"/>
      <c r="Q154" s="197"/>
    </row>
    <row r="155" spans="14:17" ht="13.9" customHeight="1">
      <c r="N155" s="197"/>
      <c r="O155" s="197"/>
      <c r="P155" s="203"/>
      <c r="Q155" s="197"/>
    </row>
    <row r="156" spans="14:17" ht="13.9" customHeight="1">
      <c r="N156" s="197"/>
      <c r="O156" s="197"/>
      <c r="P156" s="203"/>
      <c r="Q156" s="197"/>
    </row>
    <row r="157" spans="14:17" ht="13.9" customHeight="1">
      <c r="N157" s="197"/>
      <c r="O157" s="197"/>
      <c r="P157" s="203"/>
      <c r="Q157" s="197"/>
    </row>
    <row r="158" spans="14:17" ht="13.9" customHeight="1">
      <c r="N158" s="197"/>
      <c r="O158" s="197"/>
      <c r="P158" s="203"/>
      <c r="Q158" s="197"/>
    </row>
    <row r="159" spans="14:17" ht="13.9" customHeight="1">
      <c r="N159" s="197"/>
      <c r="O159" s="197"/>
      <c r="P159" s="203"/>
      <c r="Q159" s="197"/>
    </row>
    <row r="160" spans="14:17" ht="13.9" customHeight="1">
      <c r="N160" s="197"/>
      <c r="O160" s="197"/>
      <c r="P160" s="203"/>
      <c r="Q160" s="197"/>
    </row>
    <row r="161" spans="14:17" ht="13.9" customHeight="1">
      <c r="N161" s="197"/>
      <c r="O161" s="197"/>
      <c r="P161" s="203"/>
      <c r="Q161" s="197"/>
    </row>
    <row r="162" spans="14:17" ht="13.9" customHeight="1">
      <c r="N162" s="197"/>
      <c r="O162" s="197"/>
      <c r="P162" s="203"/>
      <c r="Q162" s="197"/>
    </row>
    <row r="163" spans="14:17" ht="13.9" customHeight="1">
      <c r="N163" s="197"/>
      <c r="O163" s="197"/>
      <c r="P163" s="203"/>
      <c r="Q163" s="197"/>
    </row>
    <row r="164" spans="14:17" ht="13.9" customHeight="1">
      <c r="N164" s="197"/>
      <c r="O164" s="197"/>
      <c r="P164" s="203"/>
      <c r="Q164" s="197"/>
    </row>
    <row r="165" spans="14:17" ht="13.9" customHeight="1">
      <c r="N165" s="197"/>
      <c r="O165" s="197"/>
      <c r="P165" s="203"/>
      <c r="Q165" s="197"/>
    </row>
    <row r="166" spans="14:17" ht="13.9" customHeight="1">
      <c r="N166" s="197"/>
      <c r="O166" s="197"/>
      <c r="P166" s="203"/>
      <c r="Q166" s="197"/>
    </row>
    <row r="167" spans="14:17" ht="13.9" customHeight="1">
      <c r="N167" s="197"/>
      <c r="O167" s="197"/>
      <c r="P167" s="203"/>
      <c r="Q167" s="197"/>
    </row>
    <row r="168" spans="14:17" ht="13.9" customHeight="1">
      <c r="N168" s="197"/>
      <c r="O168" s="197"/>
      <c r="P168" s="203"/>
      <c r="Q168" s="197"/>
    </row>
    <row r="169" spans="14:17" ht="13.9" customHeight="1">
      <c r="N169" s="197"/>
      <c r="O169" s="197"/>
      <c r="P169" s="203"/>
      <c r="Q169" s="197"/>
    </row>
    <row r="170" spans="14:17" ht="13.9" customHeight="1">
      <c r="N170" s="197"/>
      <c r="O170" s="197"/>
      <c r="P170" s="203"/>
      <c r="Q170" s="197"/>
    </row>
    <row r="171" spans="14:17" ht="13.9" customHeight="1">
      <c r="N171" s="197"/>
      <c r="O171" s="197"/>
      <c r="P171" s="203"/>
      <c r="Q171" s="197"/>
    </row>
    <row r="172" spans="14:17" ht="13.9" customHeight="1">
      <c r="N172" s="197"/>
      <c r="O172" s="197"/>
      <c r="P172" s="203"/>
      <c r="Q172" s="197"/>
    </row>
    <row r="173" spans="14:17" ht="13.9" customHeight="1">
      <c r="N173" s="197"/>
      <c r="O173" s="197"/>
      <c r="P173" s="203"/>
      <c r="Q173" s="197"/>
    </row>
    <row r="174" spans="14:17" ht="13.9" customHeight="1">
      <c r="N174" s="197"/>
      <c r="O174" s="197"/>
      <c r="P174" s="203"/>
      <c r="Q174" s="197"/>
    </row>
    <row r="175" spans="14:17" ht="13.9" customHeight="1">
      <c r="N175" s="197"/>
      <c r="O175" s="197"/>
      <c r="P175" s="203"/>
      <c r="Q175" s="197"/>
    </row>
    <row r="176" spans="14:17" ht="13.9" customHeight="1">
      <c r="N176" s="197"/>
      <c r="O176" s="197"/>
      <c r="P176" s="203"/>
      <c r="Q176" s="197"/>
    </row>
    <row r="177" spans="14:17" ht="13.9" customHeight="1">
      <c r="N177" s="197"/>
      <c r="O177" s="197"/>
      <c r="P177" s="203"/>
      <c r="Q177" s="197"/>
    </row>
    <row r="178" spans="14:17" ht="13.9" customHeight="1">
      <c r="N178" s="197"/>
      <c r="O178" s="197"/>
      <c r="P178" s="203"/>
      <c r="Q178" s="197"/>
    </row>
    <row r="179" spans="14:17" ht="13.9" customHeight="1">
      <c r="N179" s="197"/>
      <c r="O179" s="197"/>
      <c r="P179" s="203"/>
      <c r="Q179" s="197"/>
    </row>
    <row r="180" spans="14:17" ht="13.9" customHeight="1">
      <c r="N180" s="197"/>
      <c r="O180" s="197"/>
      <c r="P180" s="203"/>
      <c r="Q180" s="197"/>
    </row>
    <row r="181" spans="14:17" ht="13.9" customHeight="1">
      <c r="N181" s="197"/>
      <c r="O181" s="197"/>
      <c r="P181" s="203"/>
      <c r="Q181" s="197"/>
    </row>
    <row r="182" spans="14:17" ht="13.9" customHeight="1">
      <c r="N182" s="197"/>
      <c r="O182" s="197"/>
      <c r="P182" s="203"/>
      <c r="Q182" s="197"/>
    </row>
    <row r="183" spans="14:17" ht="13.9" customHeight="1">
      <c r="N183" s="197"/>
      <c r="O183" s="197"/>
      <c r="P183" s="203"/>
      <c r="Q183" s="197"/>
    </row>
    <row r="184" spans="14:17" ht="13.9" customHeight="1">
      <c r="N184" s="197"/>
      <c r="O184" s="197"/>
      <c r="P184" s="203"/>
      <c r="Q184" s="197"/>
    </row>
    <row r="185" spans="14:17" ht="13.9" customHeight="1">
      <c r="N185" s="197"/>
      <c r="O185" s="197"/>
      <c r="P185" s="203"/>
      <c r="Q185" s="197"/>
    </row>
    <row r="186" spans="14:17" ht="13.9" customHeight="1">
      <c r="N186" s="197"/>
      <c r="O186" s="197"/>
      <c r="P186" s="203"/>
      <c r="Q186" s="197"/>
    </row>
    <row r="187" spans="14:17" ht="13.9" customHeight="1">
      <c r="N187" s="197"/>
      <c r="O187" s="197"/>
      <c r="P187" s="203"/>
      <c r="Q187" s="197"/>
    </row>
    <row r="188" spans="14:17" ht="13.9" customHeight="1">
      <c r="N188" s="197"/>
      <c r="O188" s="197"/>
      <c r="P188" s="203"/>
      <c r="Q188" s="197"/>
    </row>
    <row r="189" spans="14:17" ht="13.9" customHeight="1">
      <c r="N189" s="197"/>
      <c r="O189" s="197"/>
      <c r="P189" s="203"/>
      <c r="Q189" s="197"/>
    </row>
    <row r="190" spans="14:17" ht="13.9" customHeight="1">
      <c r="N190" s="197"/>
      <c r="O190" s="197"/>
      <c r="P190" s="203"/>
      <c r="Q190" s="197"/>
    </row>
    <row r="191" spans="14:17" ht="13.9" customHeight="1">
      <c r="N191" s="197"/>
      <c r="O191" s="197"/>
      <c r="P191" s="203"/>
      <c r="Q191" s="197"/>
    </row>
    <row r="192" spans="14:17" ht="13.9" customHeight="1">
      <c r="N192" s="197"/>
      <c r="O192" s="197"/>
      <c r="P192" s="203"/>
      <c r="Q192" s="197"/>
    </row>
  </sheetData>
  <mergeCells count="2">
    <mergeCell ref="G1:K1"/>
    <mergeCell ref="L1:M1"/>
  </mergeCells>
  <phoneticPr fontId="2" type="noConversion"/>
  <conditionalFormatting sqref="H51:H52">
    <cfRule type="cellIs" dxfId="10" priority="11" operator="greaterThan">
      <formula>38*0.8</formula>
    </cfRule>
  </conditionalFormatting>
  <conditionalFormatting sqref="H32">
    <cfRule type="cellIs" dxfId="9" priority="10" operator="greaterThan">
      <formula>38*0.8</formula>
    </cfRule>
  </conditionalFormatting>
  <conditionalFormatting sqref="H11:H14">
    <cfRule type="cellIs" dxfId="7" priority="8" operator="greaterThan">
      <formula>38*0.8</formula>
    </cfRule>
  </conditionalFormatting>
  <conditionalFormatting sqref="H15:H18">
    <cfRule type="cellIs" dxfId="6" priority="7" operator="greaterThan">
      <formula>38*0.8</formula>
    </cfRule>
  </conditionalFormatting>
  <conditionalFormatting sqref="H19:H22">
    <cfRule type="cellIs" dxfId="5" priority="6" operator="greaterThan">
      <formula>38*0.8</formula>
    </cfRule>
  </conditionalFormatting>
  <conditionalFormatting sqref="H23:H26">
    <cfRule type="cellIs" dxfId="4" priority="5" operator="greaterThan">
      <formula>38*0.8</formula>
    </cfRule>
  </conditionalFormatting>
  <conditionalFormatting sqref="H53">
    <cfRule type="cellIs" dxfId="3" priority="4" operator="greaterThan">
      <formula>38*0.8</formula>
    </cfRule>
  </conditionalFormatting>
  <conditionalFormatting sqref="H33">
    <cfRule type="cellIs" dxfId="2" priority="3" operator="greaterThan">
      <formula>38*0.8</formula>
    </cfRule>
  </conditionalFormatting>
  <pageMargins left="0.25" right="0.2" top="0.25" bottom="0.25" header="0.3" footer="0.3"/>
  <pageSetup scale="5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3"/>
  <sheetViews>
    <sheetView tabSelected="1" zoomScaleNormal="100" workbookViewId="0">
      <pane xSplit="4" ySplit="2" topLeftCell="E3" activePane="bottomRight" state="frozen"/>
      <selection activeCell="A66" sqref="A66"/>
      <selection pane="topRight" activeCell="A66" sqref="A66"/>
      <selection pane="bottomLeft" activeCell="A66" sqref="A66"/>
      <selection pane="bottomRight" sqref="A1:A2"/>
    </sheetView>
  </sheetViews>
  <sheetFormatPr defaultColWidth="9.140625" defaultRowHeight="14.45" customHeight="1"/>
  <cols>
    <col min="1" max="1" width="9.28515625" style="104" customWidth="1"/>
    <col min="2" max="2" width="12.85546875" style="106" customWidth="1"/>
    <col min="3" max="3" width="29.5703125" style="106" customWidth="1"/>
    <col min="4" max="4" width="5.85546875" style="106" customWidth="1"/>
    <col min="5" max="5" width="6.140625" style="107" customWidth="1"/>
    <col min="6" max="6" width="5.42578125" style="108" customWidth="1"/>
    <col min="7" max="7" width="6.28515625" style="108" customWidth="1"/>
    <col min="8" max="8" width="6.42578125" style="108" customWidth="1"/>
    <col min="9" max="9" width="5.7109375" style="108" bestFit="1" customWidth="1"/>
    <col min="10" max="10" width="7.140625" style="108" customWidth="1"/>
    <col min="11" max="11" width="9.28515625" style="109" customWidth="1"/>
    <col min="12" max="12" width="10.28515625" style="109" customWidth="1"/>
    <col min="13" max="13" width="10" style="109" customWidth="1"/>
    <col min="14" max="14" width="7.42578125" style="107" customWidth="1"/>
    <col min="15" max="15" width="9" style="110" customWidth="1"/>
    <col min="16" max="16" width="9.7109375" style="104" customWidth="1"/>
    <col min="17" max="16384" width="9.140625" style="104"/>
  </cols>
  <sheetData>
    <row r="1" spans="1:16" s="90" customFormat="1" ht="24" customHeight="1">
      <c r="A1" s="78" t="s">
        <v>75</v>
      </c>
      <c r="B1" s="79"/>
      <c r="C1" s="79"/>
      <c r="D1" s="80"/>
      <c r="E1" s="81" t="s">
        <v>50</v>
      </c>
      <c r="F1" s="82"/>
      <c r="G1" s="83"/>
      <c r="H1" s="81" t="s">
        <v>52</v>
      </c>
      <c r="I1" s="84"/>
      <c r="J1" s="85"/>
      <c r="K1" s="86" t="s">
        <v>55</v>
      </c>
      <c r="L1" s="86" t="s">
        <v>224</v>
      </c>
      <c r="M1" s="86" t="s">
        <v>61</v>
      </c>
      <c r="N1" s="87" t="s">
        <v>56</v>
      </c>
      <c r="O1" s="88" t="s">
        <v>49</v>
      </c>
      <c r="P1" s="89" t="s">
        <v>49</v>
      </c>
    </row>
    <row r="2" spans="1:16" s="75" customFormat="1" ht="19.899999999999999" customHeight="1" thickBot="1">
      <c r="A2" s="91"/>
      <c r="B2" s="92" t="s">
        <v>19</v>
      </c>
      <c r="C2" s="92" t="s">
        <v>20</v>
      </c>
      <c r="D2" s="93" t="s">
        <v>21</v>
      </c>
      <c r="E2" s="94" t="s">
        <v>13</v>
      </c>
      <c r="F2" s="92" t="s">
        <v>53</v>
      </c>
      <c r="G2" s="95" t="s">
        <v>54</v>
      </c>
      <c r="H2" s="94" t="s">
        <v>13</v>
      </c>
      <c r="I2" s="92" t="s">
        <v>53</v>
      </c>
      <c r="J2" s="95" t="s">
        <v>54</v>
      </c>
      <c r="K2" s="96" t="s">
        <v>13</v>
      </c>
      <c r="L2" s="96" t="s">
        <v>13</v>
      </c>
      <c r="M2" s="96" t="s">
        <v>49</v>
      </c>
      <c r="N2" s="97"/>
      <c r="O2" s="98" t="s">
        <v>57</v>
      </c>
      <c r="P2" s="99" t="s">
        <v>58</v>
      </c>
    </row>
    <row r="3" spans="1:16" ht="14.45" customHeight="1">
      <c r="A3" s="162">
        <v>43419</v>
      </c>
      <c r="B3" s="51" t="str">
        <f>Rollover!A3</f>
        <v>Acura</v>
      </c>
      <c r="C3" s="51" t="str">
        <f>Rollover!B3</f>
        <v>RDX SUV FWD</v>
      </c>
      <c r="D3" s="10">
        <f>Rollover!C3</f>
        <v>2019</v>
      </c>
      <c r="E3" s="24">
        <f>Front!AW3</f>
        <v>4</v>
      </c>
      <c r="F3" s="51">
        <f>Front!AX3</f>
        <v>4</v>
      </c>
      <c r="G3" s="51">
        <f>Front!AY3</f>
        <v>4</v>
      </c>
      <c r="H3" s="24">
        <f>'Side MDB'!AC3</f>
        <v>5</v>
      </c>
      <c r="I3" s="24">
        <f>'Side MDB'!AD3</f>
        <v>5</v>
      </c>
      <c r="J3" s="24">
        <f>'Side MDB'!AE3</f>
        <v>5</v>
      </c>
      <c r="K3" s="100">
        <f>'Side Pole'!P3</f>
        <v>5</v>
      </c>
      <c r="L3" s="100">
        <f>'Side Pole'!S3</f>
        <v>5</v>
      </c>
      <c r="M3" s="100">
        <f>'Side Pole'!V3</f>
        <v>5</v>
      </c>
      <c r="N3" s="101">
        <f>Rollover!J3</f>
        <v>4</v>
      </c>
      <c r="O3" s="102">
        <f>ROUND(5/12*Front!AV3+4/12*'Side Pole'!U3+3/12*Rollover!I3,2)</f>
        <v>0.63</v>
      </c>
      <c r="P3" s="103">
        <f t="shared" ref="P3:P10" si="0">IF(O3&lt;0.67,5,IF(O3&lt;1,4,IF(O3&lt;1.33,3,IF(O3&lt;2.67,2,1))))</f>
        <v>5</v>
      </c>
    </row>
    <row r="4" spans="1:16" ht="14.45" customHeight="1">
      <c r="A4" s="162">
        <v>43419</v>
      </c>
      <c r="B4" s="51" t="str">
        <f>Rollover!A4</f>
        <v>Acura</v>
      </c>
      <c r="C4" s="51" t="str">
        <f>Rollover!B4</f>
        <v>RDX SUV AWD</v>
      </c>
      <c r="D4" s="10">
        <f>Rollover!C4</f>
        <v>2019</v>
      </c>
      <c r="E4" s="24">
        <f>Front!AW4</f>
        <v>4</v>
      </c>
      <c r="F4" s="51">
        <f>Front!AX4</f>
        <v>4</v>
      </c>
      <c r="G4" s="51">
        <f>Front!AY4</f>
        <v>4</v>
      </c>
      <c r="H4" s="24">
        <f>'Side MDB'!AC4</f>
        <v>5</v>
      </c>
      <c r="I4" s="24">
        <f>'Side MDB'!AD4</f>
        <v>5</v>
      </c>
      <c r="J4" s="24">
        <f>'Side MDB'!AE4</f>
        <v>5</v>
      </c>
      <c r="K4" s="100">
        <f>'Side Pole'!P4</f>
        <v>5</v>
      </c>
      <c r="L4" s="100">
        <f>'Side Pole'!S4</f>
        <v>5</v>
      </c>
      <c r="M4" s="100">
        <f>'Side Pole'!V4</f>
        <v>5</v>
      </c>
      <c r="N4" s="101">
        <f>Rollover!J4</f>
        <v>4</v>
      </c>
      <c r="O4" s="102">
        <f>ROUND(5/12*Front!AV4+4/12*'Side Pole'!U4+3/12*Rollover!I4,2)</f>
        <v>0.61</v>
      </c>
      <c r="P4" s="103">
        <f t="shared" si="0"/>
        <v>5</v>
      </c>
    </row>
    <row r="5" spans="1:16" ht="14.45" customHeight="1">
      <c r="A5" s="50">
        <v>43551</v>
      </c>
      <c r="B5" s="51" t="str">
        <f>Rollover!A5</f>
        <v>Audi</v>
      </c>
      <c r="C5" s="51" t="str">
        <f>Rollover!B5</f>
        <v>Q8 SUV AWD</v>
      </c>
      <c r="D5" s="10">
        <f>Rollover!C5</f>
        <v>2019</v>
      </c>
      <c r="E5" s="24">
        <f>Front!AW5</f>
        <v>4</v>
      </c>
      <c r="F5" s="51">
        <f>Front!AX5</f>
        <v>5</v>
      </c>
      <c r="G5" s="51">
        <f>Front!AY5</f>
        <v>5</v>
      </c>
      <c r="H5" s="24">
        <f>'Side MDB'!AC5</f>
        <v>5</v>
      </c>
      <c r="I5" s="24">
        <f>'Side MDB'!AD5</f>
        <v>5</v>
      </c>
      <c r="J5" s="24">
        <f>'Side MDB'!AE5</f>
        <v>5</v>
      </c>
      <c r="K5" s="100">
        <f>'Side Pole'!P5</f>
        <v>5</v>
      </c>
      <c r="L5" s="100">
        <f>'Side Pole'!S5</f>
        <v>5</v>
      </c>
      <c r="M5" s="100">
        <f>'Side Pole'!V5</f>
        <v>5</v>
      </c>
      <c r="N5" s="101">
        <f>Rollover!J5</f>
        <v>4</v>
      </c>
      <c r="O5" s="102">
        <f>ROUND(5/12*Front!AV5+4/12*'Side Pole'!U5+3/12*Rollover!I5,2)</f>
        <v>0.59</v>
      </c>
      <c r="P5" s="103">
        <f t="shared" si="0"/>
        <v>5</v>
      </c>
    </row>
    <row r="6" spans="1:16" ht="14.45" customHeight="1">
      <c r="A6" s="162">
        <v>43572</v>
      </c>
      <c r="B6" s="51" t="str">
        <f>Rollover!A6</f>
        <v>BMW</v>
      </c>
      <c r="C6" s="51" t="str">
        <f>Rollover!B6</f>
        <v>X3 SUV RWD</v>
      </c>
      <c r="D6" s="10">
        <f>Rollover!C6</f>
        <v>2019</v>
      </c>
      <c r="E6" s="24">
        <f>Front!AW6</f>
        <v>5</v>
      </c>
      <c r="F6" s="51">
        <f>Front!AX6</f>
        <v>5</v>
      </c>
      <c r="G6" s="51">
        <f>Front!AY6</f>
        <v>5</v>
      </c>
      <c r="H6" s="24">
        <f>'Side MDB'!AC6</f>
        <v>5</v>
      </c>
      <c r="I6" s="24">
        <f>'Side MDB'!AD6</f>
        <v>5</v>
      </c>
      <c r="J6" s="24">
        <f>'Side MDB'!AE6</f>
        <v>5</v>
      </c>
      <c r="K6" s="100">
        <f>'Side Pole'!P6</f>
        <v>5</v>
      </c>
      <c r="L6" s="100">
        <f>'Side Pole'!S6</f>
        <v>5</v>
      </c>
      <c r="M6" s="100">
        <f>'Side Pole'!V6</f>
        <v>5</v>
      </c>
      <c r="N6" s="101">
        <f>Rollover!J6</f>
        <v>4</v>
      </c>
      <c r="O6" s="102">
        <f>ROUND(5/12*Front!AV6+4/12*'Side Pole'!U6+3/12*Rollover!I6,2)</f>
        <v>0.61</v>
      </c>
      <c r="P6" s="103">
        <f t="shared" si="0"/>
        <v>5</v>
      </c>
    </row>
    <row r="7" spans="1:16" ht="14.45" customHeight="1">
      <c r="A7" s="162">
        <v>43572</v>
      </c>
      <c r="B7" s="51" t="str">
        <f>Rollover!A7</f>
        <v>BMW</v>
      </c>
      <c r="C7" s="51" t="str">
        <f>Rollover!B7</f>
        <v>X3 SUV AWD</v>
      </c>
      <c r="D7" s="10">
        <f>Rollover!C7</f>
        <v>2019</v>
      </c>
      <c r="E7" s="24">
        <f>Front!AW7</f>
        <v>5</v>
      </c>
      <c r="F7" s="51">
        <f>Front!AX7</f>
        <v>5</v>
      </c>
      <c r="G7" s="51">
        <f>Front!AY7</f>
        <v>5</v>
      </c>
      <c r="H7" s="24">
        <f>'Side MDB'!AC7</f>
        <v>5</v>
      </c>
      <c r="I7" s="24">
        <f>'Side MDB'!AD7</f>
        <v>5</v>
      </c>
      <c r="J7" s="24">
        <f>'Side MDB'!AE7</f>
        <v>5</v>
      </c>
      <c r="K7" s="100">
        <f>'Side Pole'!P7</f>
        <v>5</v>
      </c>
      <c r="L7" s="100">
        <f>'Side Pole'!S7</f>
        <v>5</v>
      </c>
      <c r="M7" s="100">
        <f>'Side Pole'!V7</f>
        <v>5</v>
      </c>
      <c r="N7" s="101">
        <f>Rollover!J7</f>
        <v>4</v>
      </c>
      <c r="O7" s="102">
        <f>ROUND(5/12*Front!AV7+4/12*'Side Pole'!U7+3/12*Rollover!I7,2)</f>
        <v>0.6</v>
      </c>
      <c r="P7" s="103">
        <f t="shared" si="0"/>
        <v>5</v>
      </c>
    </row>
    <row r="8" spans="1:16" ht="14.45" customHeight="1">
      <c r="A8" s="162">
        <v>43530</v>
      </c>
      <c r="B8" s="51" t="str">
        <f>Rollover!A8</f>
        <v>BMW</v>
      </c>
      <c r="C8" s="51" t="str">
        <f>Rollover!B8</f>
        <v>X5 SUV AWD</v>
      </c>
      <c r="D8" s="10">
        <f>Rollover!C8</f>
        <v>2019</v>
      </c>
      <c r="E8" s="24">
        <f>Front!AW8</f>
        <v>4</v>
      </c>
      <c r="F8" s="51">
        <f>Front!AX8</f>
        <v>4</v>
      </c>
      <c r="G8" s="51">
        <f>Front!AY8</f>
        <v>4</v>
      </c>
      <c r="H8" s="24">
        <f>'Side MDB'!AC8</f>
        <v>5</v>
      </c>
      <c r="I8" s="24">
        <f>'Side MDB'!AD8</f>
        <v>5</v>
      </c>
      <c r="J8" s="24">
        <f>'Side MDB'!AE8</f>
        <v>5</v>
      </c>
      <c r="K8" s="100">
        <f>'Side Pole'!P8</f>
        <v>5</v>
      </c>
      <c r="L8" s="100">
        <f>'Side Pole'!S8</f>
        <v>5</v>
      </c>
      <c r="M8" s="100">
        <f>'Side Pole'!V8</f>
        <v>5</v>
      </c>
      <c r="N8" s="101">
        <f>Rollover!J8</f>
        <v>4</v>
      </c>
      <c r="O8" s="102">
        <f>ROUND(5/12*Front!AV8+4/12*'Side Pole'!U8+3/12*Rollover!I8,2)</f>
        <v>0.7</v>
      </c>
      <c r="P8" s="103">
        <f t="shared" si="0"/>
        <v>4</v>
      </c>
    </row>
    <row r="9" spans="1:16" ht="14.45" customHeight="1">
      <c r="A9" s="162">
        <v>43578</v>
      </c>
      <c r="B9" s="51" t="str">
        <f>Rollover!A9</f>
        <v>Cadillac</v>
      </c>
      <c r="C9" s="51" t="str">
        <f>Rollover!B9</f>
        <v>XT4 SUV FWD</v>
      </c>
      <c r="D9" s="10">
        <f>Rollover!C9</f>
        <v>2019</v>
      </c>
      <c r="E9" s="24">
        <f>Front!AW9</f>
        <v>5</v>
      </c>
      <c r="F9" s="51">
        <f>Front!AX9</f>
        <v>4</v>
      </c>
      <c r="G9" s="51">
        <f>Front!AY9</f>
        <v>4</v>
      </c>
      <c r="H9" s="24">
        <f>'Side MDB'!AC9</f>
        <v>5</v>
      </c>
      <c r="I9" s="24">
        <f>'Side MDB'!AD9</f>
        <v>5</v>
      </c>
      <c r="J9" s="24">
        <f>'Side MDB'!AE9</f>
        <v>5</v>
      </c>
      <c r="K9" s="100">
        <f>'Side Pole'!P9</f>
        <v>5</v>
      </c>
      <c r="L9" s="100">
        <f>'Side Pole'!S9</f>
        <v>5</v>
      </c>
      <c r="M9" s="100">
        <f>'Side Pole'!V9</f>
        <v>5</v>
      </c>
      <c r="N9" s="101">
        <f>Rollover!J9</f>
        <v>4</v>
      </c>
      <c r="O9" s="102">
        <f>ROUND(5/12*Front!AV9+4/12*'Side Pole'!U9+3/12*Rollover!I9,2)</f>
        <v>0.63</v>
      </c>
      <c r="P9" s="103">
        <f t="shared" si="0"/>
        <v>5</v>
      </c>
    </row>
    <row r="10" spans="1:16" ht="14.45" customHeight="1">
      <c r="A10" s="162">
        <v>43578</v>
      </c>
      <c r="B10" s="51" t="str">
        <f>Rollover!A10</f>
        <v>Cadillac</v>
      </c>
      <c r="C10" s="51" t="str">
        <f>Rollover!B10</f>
        <v>XT4 SUV AWD</v>
      </c>
      <c r="D10" s="10">
        <f>Rollover!C10</f>
        <v>2019</v>
      </c>
      <c r="E10" s="24">
        <f>Front!AW10</f>
        <v>5</v>
      </c>
      <c r="F10" s="51">
        <f>Front!AX10</f>
        <v>4</v>
      </c>
      <c r="G10" s="51">
        <f>Front!AY10</f>
        <v>4</v>
      </c>
      <c r="H10" s="24">
        <f>'Side MDB'!AC10</f>
        <v>5</v>
      </c>
      <c r="I10" s="24">
        <f>'Side MDB'!AD10</f>
        <v>5</v>
      </c>
      <c r="J10" s="24">
        <f>'Side MDB'!AE10</f>
        <v>5</v>
      </c>
      <c r="K10" s="100">
        <f>'Side Pole'!P10</f>
        <v>5</v>
      </c>
      <c r="L10" s="100">
        <f>'Side Pole'!S10</f>
        <v>5</v>
      </c>
      <c r="M10" s="100">
        <f>'Side Pole'!V10</f>
        <v>5</v>
      </c>
      <c r="N10" s="101">
        <f>Rollover!J10</f>
        <v>4</v>
      </c>
      <c r="O10" s="102">
        <f>ROUND(5/12*Front!AV10+4/12*'Side Pole'!U10+3/12*Rollover!I10,2)</f>
        <v>0.61</v>
      </c>
      <c r="P10" s="103">
        <f t="shared" si="0"/>
        <v>5</v>
      </c>
    </row>
    <row r="11" spans="1:16" ht="14.45" customHeight="1">
      <c r="A11" s="50">
        <v>43432</v>
      </c>
      <c r="B11" s="51" t="str">
        <f>Rollover!A11</f>
        <v>Chevrolet</v>
      </c>
      <c r="C11" s="51" t="str">
        <f>Rollover!B11</f>
        <v>Silverado 2500 PU/EC RWD</v>
      </c>
      <c r="D11" s="10">
        <f>Rollover!C11</f>
        <v>2019</v>
      </c>
      <c r="E11" s="24">
        <f>Front!AW11</f>
        <v>2</v>
      </c>
      <c r="F11" s="51">
        <f>Front!AX11</f>
        <v>3</v>
      </c>
      <c r="G11" s="51">
        <f>Front!AY11</f>
        <v>3</v>
      </c>
      <c r="H11" s="24">
        <f>'Side MDB'!AC11</f>
        <v>5</v>
      </c>
      <c r="I11" s="24">
        <f>'Side MDB'!AD11</f>
        <v>5</v>
      </c>
      <c r="J11" s="24">
        <f>'Side MDB'!AE11</f>
        <v>5</v>
      </c>
      <c r="K11" s="100">
        <f>'Side Pole'!P11</f>
        <v>5</v>
      </c>
      <c r="L11" s="100">
        <f>'Side Pole'!S11</f>
        <v>5</v>
      </c>
      <c r="M11" s="100">
        <f>'Side Pole'!V11</f>
        <v>5</v>
      </c>
      <c r="N11" s="101">
        <f>Rollover!J11</f>
        <v>3</v>
      </c>
      <c r="O11" s="102">
        <f>ROUND(5/12*Front!AV11+4/12*'Side Pole'!U11+3/12*Rollover!I11,2)</f>
        <v>0.91</v>
      </c>
      <c r="P11" s="103">
        <f t="shared" ref="P11:P56" si="1">IF(O11&lt;0.67,5,IF(O11&lt;1,4,IF(O11&lt;1.33,3,IF(O11&lt;2.67,2,1))))</f>
        <v>4</v>
      </c>
    </row>
    <row r="12" spans="1:16" ht="14.45" customHeight="1">
      <c r="A12" s="50">
        <v>43432</v>
      </c>
      <c r="B12" s="51" t="str">
        <f>Rollover!A12</f>
        <v>Chevrolet</v>
      </c>
      <c r="C12" s="51" t="str">
        <f>Rollover!B12</f>
        <v>Silverado 2500 PU/EC 4WD</v>
      </c>
      <c r="D12" s="10">
        <f>Rollover!C12</f>
        <v>2019</v>
      </c>
      <c r="E12" s="24">
        <f>Front!AW12</f>
        <v>2</v>
      </c>
      <c r="F12" s="51">
        <f>Front!AX12</f>
        <v>3</v>
      </c>
      <c r="G12" s="51">
        <f>Front!AY12</f>
        <v>3</v>
      </c>
      <c r="H12" s="24">
        <f>'Side MDB'!AC12</f>
        <v>5</v>
      </c>
      <c r="I12" s="24">
        <f>'Side MDB'!AD12</f>
        <v>5</v>
      </c>
      <c r="J12" s="24">
        <f>'Side MDB'!AE12</f>
        <v>5</v>
      </c>
      <c r="K12" s="100">
        <f>'Side Pole'!P12</f>
        <v>5</v>
      </c>
      <c r="L12" s="100">
        <f>'Side Pole'!S12</f>
        <v>5</v>
      </c>
      <c r="M12" s="100">
        <f>'Side Pole'!V12</f>
        <v>5</v>
      </c>
      <c r="N12" s="101">
        <f>Rollover!J12</f>
        <v>3</v>
      </c>
      <c r="O12" s="102">
        <f>ROUND(5/12*Front!AV12+4/12*'Side Pole'!U12+3/12*Rollover!I12,2)</f>
        <v>0.91</v>
      </c>
      <c r="P12" s="103">
        <f t="shared" ref="P12:P28" si="2">IF(O12&lt;0.67,5,IF(O12&lt;1,4,IF(O12&lt;1.33,3,IF(O12&lt;2.67,2,1))))</f>
        <v>4</v>
      </c>
    </row>
    <row r="13" spans="1:16" ht="14.45" customHeight="1">
      <c r="A13" s="50">
        <v>43432</v>
      </c>
      <c r="B13" s="10" t="str">
        <f>Rollover!A13</f>
        <v>GMC</v>
      </c>
      <c r="C13" s="10" t="str">
        <f>Rollover!B13</f>
        <v>Sierra 2500 PU/EC RWD</v>
      </c>
      <c r="D13" s="10">
        <f>Rollover!C13</f>
        <v>2019</v>
      </c>
      <c r="E13" s="24">
        <f>Front!AW13</f>
        <v>2</v>
      </c>
      <c r="F13" s="51">
        <f>Front!AX13</f>
        <v>3</v>
      </c>
      <c r="G13" s="51">
        <f>Front!AY13</f>
        <v>3</v>
      </c>
      <c r="H13" s="24">
        <f>'Side MDB'!AC13</f>
        <v>5</v>
      </c>
      <c r="I13" s="24">
        <f>'Side MDB'!AD13</f>
        <v>5</v>
      </c>
      <c r="J13" s="24">
        <f>'Side MDB'!AE13</f>
        <v>5</v>
      </c>
      <c r="K13" s="100">
        <f>'Side Pole'!P13</f>
        <v>5</v>
      </c>
      <c r="L13" s="100">
        <f>'Side Pole'!S13</f>
        <v>5</v>
      </c>
      <c r="M13" s="100">
        <f>'Side Pole'!V13</f>
        <v>5</v>
      </c>
      <c r="N13" s="101">
        <f>Rollover!J13</f>
        <v>3</v>
      </c>
      <c r="O13" s="102">
        <f>ROUND(5/12*Front!AV13+4/12*'Side Pole'!U13+3/12*Rollover!I13,2)</f>
        <v>0.91</v>
      </c>
      <c r="P13" s="103">
        <f t="shared" si="2"/>
        <v>4</v>
      </c>
    </row>
    <row r="14" spans="1:16" ht="14.45" customHeight="1">
      <c r="A14" s="50">
        <v>43432</v>
      </c>
      <c r="B14" s="10" t="str">
        <f>Rollover!A14</f>
        <v>GMC</v>
      </c>
      <c r="C14" s="10" t="str">
        <f>Rollover!B14</f>
        <v>Sierra 2500 PU/EC 4WD</v>
      </c>
      <c r="D14" s="10">
        <f>Rollover!C14</f>
        <v>2019</v>
      </c>
      <c r="E14" s="24">
        <f>Front!AW14</f>
        <v>2</v>
      </c>
      <c r="F14" s="51">
        <f>Front!AX14</f>
        <v>3</v>
      </c>
      <c r="G14" s="51">
        <f>Front!AY14</f>
        <v>3</v>
      </c>
      <c r="H14" s="24">
        <f>'Side MDB'!AC14</f>
        <v>5</v>
      </c>
      <c r="I14" s="24">
        <f>'Side MDB'!AD14</f>
        <v>5</v>
      </c>
      <c r="J14" s="24">
        <f>'Side MDB'!AE14</f>
        <v>5</v>
      </c>
      <c r="K14" s="100">
        <f>'Side Pole'!P14</f>
        <v>5</v>
      </c>
      <c r="L14" s="100">
        <f>'Side Pole'!S14</f>
        <v>5</v>
      </c>
      <c r="M14" s="100">
        <f>'Side Pole'!V14</f>
        <v>5</v>
      </c>
      <c r="N14" s="101">
        <f>Rollover!J14</f>
        <v>3</v>
      </c>
      <c r="O14" s="102">
        <f>ROUND(5/12*Front!AV14+4/12*'Side Pole'!U14+3/12*Rollover!I14,2)</f>
        <v>0.91</v>
      </c>
      <c r="P14" s="103">
        <f t="shared" si="2"/>
        <v>4</v>
      </c>
    </row>
    <row r="15" spans="1:16" ht="14.45" customHeight="1">
      <c r="A15" s="50">
        <v>43432</v>
      </c>
      <c r="B15" s="10" t="str">
        <f>Rollover!A15</f>
        <v>Chevrolet</v>
      </c>
      <c r="C15" s="10" t="str">
        <f>Rollover!B15</f>
        <v>Silverado 2500 PU/RC RWD</v>
      </c>
      <c r="D15" s="10">
        <f>Rollover!C15</f>
        <v>2019</v>
      </c>
      <c r="E15" s="24">
        <f>Front!AW15</f>
        <v>2</v>
      </c>
      <c r="F15" s="51">
        <f>Front!AX15</f>
        <v>3</v>
      </c>
      <c r="G15" s="51">
        <f>Front!AY15</f>
        <v>3</v>
      </c>
      <c r="H15" s="24">
        <f>'Side MDB'!AC15</f>
        <v>5</v>
      </c>
      <c r="I15" s="24" t="str">
        <f>'Side MDB'!AD15</f>
        <v>N/A</v>
      </c>
      <c r="J15" s="24">
        <f>'Side MDB'!AE15</f>
        <v>5</v>
      </c>
      <c r="K15" s="100">
        <f>'Side Pole'!P15</f>
        <v>5</v>
      </c>
      <c r="L15" s="100">
        <f>'Side Pole'!S15</f>
        <v>5</v>
      </c>
      <c r="M15" s="100">
        <f>'Side Pole'!V15</f>
        <v>5</v>
      </c>
      <c r="N15" s="101">
        <f>Rollover!J15</f>
        <v>3</v>
      </c>
      <c r="O15" s="102">
        <f>ROUND(5/12*Front!AV15+4/12*'Side Pole'!U15+3/12*Rollover!I15,2)</f>
        <v>0.95</v>
      </c>
      <c r="P15" s="103">
        <f t="shared" si="2"/>
        <v>4</v>
      </c>
    </row>
    <row r="16" spans="1:16" ht="14.45" customHeight="1">
      <c r="A16" s="50">
        <v>43432</v>
      </c>
      <c r="B16" s="10" t="str">
        <f>Rollover!A16</f>
        <v>Chevrolet</v>
      </c>
      <c r="C16" s="10" t="str">
        <f>Rollover!B16</f>
        <v>Silverado 2500 PU/RC 4WD</v>
      </c>
      <c r="D16" s="10">
        <f>Rollover!C16</f>
        <v>2019</v>
      </c>
      <c r="E16" s="24">
        <f>Front!AW16</f>
        <v>2</v>
      </c>
      <c r="F16" s="51">
        <f>Front!AX16</f>
        <v>3</v>
      </c>
      <c r="G16" s="51">
        <f>Front!AY16</f>
        <v>3</v>
      </c>
      <c r="H16" s="24">
        <f>'Side MDB'!AC16</f>
        <v>5</v>
      </c>
      <c r="I16" s="24" t="str">
        <f>'Side MDB'!AD16</f>
        <v>N/A</v>
      </c>
      <c r="J16" s="24">
        <f>'Side MDB'!AE16</f>
        <v>5</v>
      </c>
      <c r="K16" s="100">
        <f>'Side Pole'!P16</f>
        <v>5</v>
      </c>
      <c r="L16" s="100">
        <f>'Side Pole'!S16</f>
        <v>5</v>
      </c>
      <c r="M16" s="100">
        <f>'Side Pole'!V16</f>
        <v>5</v>
      </c>
      <c r="N16" s="101">
        <f>Rollover!J16</f>
        <v>3</v>
      </c>
      <c r="O16" s="102">
        <f>ROUND(5/12*Front!AV16+4/12*'Side Pole'!U16+3/12*Rollover!I16,2)</f>
        <v>0.95</v>
      </c>
      <c r="P16" s="103">
        <f t="shared" si="2"/>
        <v>4</v>
      </c>
    </row>
    <row r="17" spans="1:16" ht="14.45" customHeight="1">
      <c r="A17" s="50">
        <v>43432</v>
      </c>
      <c r="B17" s="10" t="str">
        <f>Rollover!A17</f>
        <v>GMC</v>
      </c>
      <c r="C17" s="10" t="str">
        <f>Rollover!B17</f>
        <v>Sierra 2500 PU/RC RWD</v>
      </c>
      <c r="D17" s="10">
        <f>Rollover!C17</f>
        <v>2019</v>
      </c>
      <c r="E17" s="24">
        <f>Front!AW17</f>
        <v>2</v>
      </c>
      <c r="F17" s="51">
        <f>Front!AX17</f>
        <v>3</v>
      </c>
      <c r="G17" s="51">
        <f>Front!AY17</f>
        <v>3</v>
      </c>
      <c r="H17" s="24">
        <f>'Side MDB'!AC17</f>
        <v>5</v>
      </c>
      <c r="I17" s="24" t="str">
        <f>'Side MDB'!AD17</f>
        <v>N/A</v>
      </c>
      <c r="J17" s="24">
        <f>'Side MDB'!AE17</f>
        <v>5</v>
      </c>
      <c r="K17" s="100">
        <f>'Side Pole'!P17</f>
        <v>5</v>
      </c>
      <c r="L17" s="100">
        <f>'Side Pole'!S17</f>
        <v>5</v>
      </c>
      <c r="M17" s="100">
        <f>'Side Pole'!V17</f>
        <v>5</v>
      </c>
      <c r="N17" s="101">
        <f>Rollover!J17</f>
        <v>3</v>
      </c>
      <c r="O17" s="102">
        <f>ROUND(5/12*Front!AV17+4/12*'Side Pole'!U17+3/12*Rollover!I17,2)</f>
        <v>0.95</v>
      </c>
      <c r="P17" s="103">
        <f t="shared" si="2"/>
        <v>4</v>
      </c>
    </row>
    <row r="18" spans="1:16" ht="14.45" customHeight="1">
      <c r="A18" s="50">
        <v>43432</v>
      </c>
      <c r="B18" s="10" t="str">
        <f>Rollover!A18</f>
        <v>GMC</v>
      </c>
      <c r="C18" s="10" t="str">
        <f>Rollover!B18</f>
        <v>Sierra 2500 PU/RC 4WD</v>
      </c>
      <c r="D18" s="10">
        <f>Rollover!C18</f>
        <v>2019</v>
      </c>
      <c r="E18" s="24">
        <f>Front!AW18</f>
        <v>2</v>
      </c>
      <c r="F18" s="51">
        <f>Front!AX18</f>
        <v>3</v>
      </c>
      <c r="G18" s="51">
        <f>Front!AY18</f>
        <v>3</v>
      </c>
      <c r="H18" s="24">
        <f>'Side MDB'!AC18</f>
        <v>5</v>
      </c>
      <c r="I18" s="24" t="str">
        <f>'Side MDB'!AD18</f>
        <v>N/A</v>
      </c>
      <c r="J18" s="24">
        <f>'Side MDB'!AE18</f>
        <v>5</v>
      </c>
      <c r="K18" s="100">
        <f>'Side Pole'!P18</f>
        <v>5</v>
      </c>
      <c r="L18" s="100">
        <f>'Side Pole'!S18</f>
        <v>5</v>
      </c>
      <c r="M18" s="100">
        <f>'Side Pole'!V18</f>
        <v>5</v>
      </c>
      <c r="N18" s="101">
        <f>Rollover!J18</f>
        <v>3</v>
      </c>
      <c r="O18" s="102">
        <f>ROUND(5/12*Front!AV18+4/12*'Side Pole'!U18+3/12*Rollover!I18,2)</f>
        <v>0.95</v>
      </c>
      <c r="P18" s="103">
        <f t="shared" si="2"/>
        <v>4</v>
      </c>
    </row>
    <row r="19" spans="1:16" ht="14.45" customHeight="1">
      <c r="A19" s="50">
        <v>43571</v>
      </c>
      <c r="B19" s="51" t="str">
        <f>Rollover!A19</f>
        <v>Chevrolet</v>
      </c>
      <c r="C19" s="51" t="str">
        <f>Rollover!B19</f>
        <v>Suburban 1500 SUV RWD</v>
      </c>
      <c r="D19" s="10">
        <f>Rollover!C19</f>
        <v>2019</v>
      </c>
      <c r="E19" s="24">
        <f>Front!AW19</f>
        <v>4</v>
      </c>
      <c r="F19" s="51">
        <f>Front!AX19</f>
        <v>4</v>
      </c>
      <c r="G19" s="51">
        <f>Front!AY19</f>
        <v>4</v>
      </c>
      <c r="H19" s="24">
        <f>'Side MDB'!AC19</f>
        <v>5</v>
      </c>
      <c r="I19" s="24">
        <f>'Side MDB'!AD19</f>
        <v>5</v>
      </c>
      <c r="J19" s="24">
        <f>'Side MDB'!AE19</f>
        <v>5</v>
      </c>
      <c r="K19" s="100">
        <f>'Side Pole'!P19</f>
        <v>4</v>
      </c>
      <c r="L19" s="100">
        <f>'Side Pole'!S19</f>
        <v>5</v>
      </c>
      <c r="M19" s="100">
        <f>'Side Pole'!V19</f>
        <v>5</v>
      </c>
      <c r="N19" s="101">
        <f>Rollover!J19</f>
        <v>3</v>
      </c>
      <c r="O19" s="102">
        <f>ROUND(5/12*Front!AV19+4/12*'Side Pole'!U19+3/12*Rollover!I19,2)</f>
        <v>0.76</v>
      </c>
      <c r="P19" s="103">
        <f t="shared" si="2"/>
        <v>4</v>
      </c>
    </row>
    <row r="20" spans="1:16" ht="14.45" customHeight="1">
      <c r="A20" s="50">
        <v>43571</v>
      </c>
      <c r="B20" s="51" t="str">
        <f>Rollover!A20</f>
        <v>Chevrolet</v>
      </c>
      <c r="C20" s="51" t="str">
        <f>Rollover!B20</f>
        <v>Suburban 1500 SUV 4WD</v>
      </c>
      <c r="D20" s="10">
        <f>Rollover!C20</f>
        <v>2019</v>
      </c>
      <c r="E20" s="24">
        <f>Front!AW20</f>
        <v>4</v>
      </c>
      <c r="F20" s="51">
        <f>Front!AX20</f>
        <v>4</v>
      </c>
      <c r="G20" s="51">
        <f>Front!AY20</f>
        <v>4</v>
      </c>
      <c r="H20" s="24">
        <f>'Side MDB'!AC20</f>
        <v>5</v>
      </c>
      <c r="I20" s="24">
        <f>'Side MDB'!AD20</f>
        <v>5</v>
      </c>
      <c r="J20" s="24">
        <f>'Side MDB'!AE20</f>
        <v>5</v>
      </c>
      <c r="K20" s="100">
        <f>'Side Pole'!P20</f>
        <v>4</v>
      </c>
      <c r="L20" s="100">
        <f>'Side Pole'!S20</f>
        <v>5</v>
      </c>
      <c r="M20" s="100">
        <f>'Side Pole'!V20</f>
        <v>5</v>
      </c>
      <c r="N20" s="101">
        <f>Rollover!J20</f>
        <v>3</v>
      </c>
      <c r="O20" s="102">
        <f>ROUND(5/12*Front!AV20+4/12*'Side Pole'!U20+3/12*Rollover!I20,2)</f>
        <v>0.75</v>
      </c>
      <c r="P20" s="103">
        <f t="shared" si="2"/>
        <v>4</v>
      </c>
    </row>
    <row r="21" spans="1:16" ht="14.45" customHeight="1">
      <c r="A21" s="50">
        <v>43571</v>
      </c>
      <c r="B21" s="10" t="str">
        <f>Rollover!A21</f>
        <v>GMC</v>
      </c>
      <c r="C21" s="10" t="str">
        <f>Rollover!B21</f>
        <v>Yukon XL 1500 SUV RWD</v>
      </c>
      <c r="D21" s="10">
        <f>Rollover!C21</f>
        <v>2019</v>
      </c>
      <c r="E21" s="24">
        <f>Front!AW21</f>
        <v>4</v>
      </c>
      <c r="F21" s="51">
        <f>Front!AX21</f>
        <v>4</v>
      </c>
      <c r="G21" s="51">
        <f>Front!AY21</f>
        <v>4</v>
      </c>
      <c r="H21" s="24">
        <f>'Side MDB'!AC21</f>
        <v>5</v>
      </c>
      <c r="I21" s="24">
        <f>'Side MDB'!AD21</f>
        <v>5</v>
      </c>
      <c r="J21" s="24">
        <f>'Side MDB'!AE21</f>
        <v>5</v>
      </c>
      <c r="K21" s="100">
        <f>'Side Pole'!P21</f>
        <v>4</v>
      </c>
      <c r="L21" s="100">
        <f>'Side Pole'!S21</f>
        <v>5</v>
      </c>
      <c r="M21" s="100">
        <f>'Side Pole'!V21</f>
        <v>5</v>
      </c>
      <c r="N21" s="101">
        <f>Rollover!J21</f>
        <v>3</v>
      </c>
      <c r="O21" s="102">
        <f>ROUND(5/12*Front!AV21+4/12*'Side Pole'!U21+3/12*Rollover!I21,2)</f>
        <v>0.76</v>
      </c>
      <c r="P21" s="103">
        <f t="shared" si="2"/>
        <v>4</v>
      </c>
    </row>
    <row r="22" spans="1:16" ht="14.45" customHeight="1">
      <c r="A22" s="50">
        <v>43571</v>
      </c>
      <c r="B22" s="10" t="str">
        <f>Rollover!A22</f>
        <v>GMC</v>
      </c>
      <c r="C22" s="10" t="str">
        <f>Rollover!B22</f>
        <v>Yukon XL 1500 SUV 4WD</v>
      </c>
      <c r="D22" s="10">
        <f>Rollover!C22</f>
        <v>2019</v>
      </c>
      <c r="E22" s="24">
        <f>Front!AW22</f>
        <v>4</v>
      </c>
      <c r="F22" s="51">
        <f>Front!AX22</f>
        <v>4</v>
      </c>
      <c r="G22" s="51">
        <f>Front!AY22</f>
        <v>4</v>
      </c>
      <c r="H22" s="24">
        <f>'Side MDB'!AC22</f>
        <v>5</v>
      </c>
      <c r="I22" s="24">
        <f>'Side MDB'!AD22</f>
        <v>5</v>
      </c>
      <c r="J22" s="24">
        <f>'Side MDB'!AE22</f>
        <v>5</v>
      </c>
      <c r="K22" s="100">
        <f>'Side Pole'!P22</f>
        <v>4</v>
      </c>
      <c r="L22" s="100">
        <f>'Side Pole'!S22</f>
        <v>5</v>
      </c>
      <c r="M22" s="100">
        <f>'Side Pole'!V22</f>
        <v>5</v>
      </c>
      <c r="N22" s="101">
        <f>Rollover!J22</f>
        <v>3</v>
      </c>
      <c r="O22" s="102">
        <f>ROUND(5/12*Front!AV22+4/12*'Side Pole'!U22+3/12*Rollover!I22,2)</f>
        <v>0.75</v>
      </c>
      <c r="P22" s="103">
        <f t="shared" si="2"/>
        <v>4</v>
      </c>
    </row>
    <row r="23" spans="1:16" ht="14.45" customHeight="1">
      <c r="A23" s="50">
        <v>43585</v>
      </c>
      <c r="B23" s="51" t="str">
        <f>Rollover!A23</f>
        <v>Chevrolet</v>
      </c>
      <c r="C23" s="51" t="str">
        <f>Rollover!B23</f>
        <v>Tahoe SUV RWD</v>
      </c>
      <c r="D23" s="10">
        <f>Rollover!C23</f>
        <v>2019</v>
      </c>
      <c r="E23" s="24">
        <f>Front!AW23</f>
        <v>4</v>
      </c>
      <c r="F23" s="51">
        <f>Front!AX23</f>
        <v>4</v>
      </c>
      <c r="G23" s="51">
        <f>Front!AY23</f>
        <v>4</v>
      </c>
      <c r="H23" s="24">
        <f>'Side MDB'!AC23</f>
        <v>5</v>
      </c>
      <c r="I23" s="24">
        <f>'Side MDB'!AD23</f>
        <v>5</v>
      </c>
      <c r="J23" s="24">
        <f>'Side MDB'!AE23</f>
        <v>5</v>
      </c>
      <c r="K23" s="100">
        <f>'Side Pole'!P23</f>
        <v>5</v>
      </c>
      <c r="L23" s="100">
        <f>'Side Pole'!S23</f>
        <v>5</v>
      </c>
      <c r="M23" s="100">
        <f>'Side Pole'!V23</f>
        <v>5</v>
      </c>
      <c r="N23" s="101">
        <f>Rollover!J23</f>
        <v>3</v>
      </c>
      <c r="O23" s="102">
        <f>ROUND(5/12*Front!AV23+4/12*'Side Pole'!U23+3/12*Rollover!I23,2)</f>
        <v>0.84</v>
      </c>
      <c r="P23" s="103">
        <f t="shared" si="2"/>
        <v>4</v>
      </c>
    </row>
    <row r="24" spans="1:16" ht="14.45" customHeight="1">
      <c r="A24" s="50">
        <v>43585</v>
      </c>
      <c r="B24" s="51" t="str">
        <f>Rollover!A24</f>
        <v>Chevrolet</v>
      </c>
      <c r="C24" s="51" t="str">
        <f>Rollover!B24</f>
        <v>Tahoe SUV 4WD</v>
      </c>
      <c r="D24" s="10">
        <f>Rollover!C24</f>
        <v>2019</v>
      </c>
      <c r="E24" s="24">
        <f>Front!AW24</f>
        <v>4</v>
      </c>
      <c r="F24" s="51">
        <f>Front!AX24</f>
        <v>4</v>
      </c>
      <c r="G24" s="51">
        <f>Front!AY24</f>
        <v>4</v>
      </c>
      <c r="H24" s="24">
        <f>'Side MDB'!AC24</f>
        <v>5</v>
      </c>
      <c r="I24" s="24">
        <f>'Side MDB'!AD24</f>
        <v>5</v>
      </c>
      <c r="J24" s="24">
        <f>'Side MDB'!AE24</f>
        <v>5</v>
      </c>
      <c r="K24" s="100">
        <f>'Side Pole'!P24</f>
        <v>5</v>
      </c>
      <c r="L24" s="100">
        <f>'Side Pole'!S24</f>
        <v>5</v>
      </c>
      <c r="M24" s="100">
        <f>'Side Pole'!V24</f>
        <v>5</v>
      </c>
      <c r="N24" s="101">
        <f>Rollover!J24</f>
        <v>3</v>
      </c>
      <c r="O24" s="102">
        <f>ROUND(5/12*Front!AV24+4/12*'Side Pole'!U24+3/12*Rollover!I24,2)</f>
        <v>0.82</v>
      </c>
      <c r="P24" s="103">
        <f t="shared" si="2"/>
        <v>4</v>
      </c>
    </row>
    <row r="25" spans="1:16" ht="14.45" customHeight="1">
      <c r="A25" s="50">
        <v>43585</v>
      </c>
      <c r="B25" s="10" t="str">
        <f>Rollover!A25</f>
        <v>GMC</v>
      </c>
      <c r="C25" s="10" t="str">
        <f>Rollover!B25</f>
        <v>Yukon SUV RWD</v>
      </c>
      <c r="D25" s="10">
        <f>Rollover!C25</f>
        <v>2019</v>
      </c>
      <c r="E25" s="24">
        <f>Front!AW25</f>
        <v>4</v>
      </c>
      <c r="F25" s="51">
        <f>Front!AX25</f>
        <v>4</v>
      </c>
      <c r="G25" s="51">
        <f>Front!AY25</f>
        <v>4</v>
      </c>
      <c r="H25" s="24">
        <f>'Side MDB'!AC25</f>
        <v>5</v>
      </c>
      <c r="I25" s="24">
        <f>'Side MDB'!AD25</f>
        <v>5</v>
      </c>
      <c r="J25" s="24">
        <f>'Side MDB'!AE25</f>
        <v>5</v>
      </c>
      <c r="K25" s="100">
        <f>'Side Pole'!P25</f>
        <v>5</v>
      </c>
      <c r="L25" s="100">
        <f>'Side Pole'!S25</f>
        <v>5</v>
      </c>
      <c r="M25" s="100">
        <f>'Side Pole'!V25</f>
        <v>5</v>
      </c>
      <c r="N25" s="101">
        <f>Rollover!J25</f>
        <v>3</v>
      </c>
      <c r="O25" s="102">
        <f>ROUND(5/12*Front!AV25+4/12*'Side Pole'!U25+3/12*Rollover!I25,2)</f>
        <v>0.84</v>
      </c>
      <c r="P25" s="103">
        <f t="shared" si="2"/>
        <v>4</v>
      </c>
    </row>
    <row r="26" spans="1:16" ht="14.45" customHeight="1">
      <c r="A26" s="50">
        <v>43585</v>
      </c>
      <c r="B26" s="10" t="str">
        <f>Rollover!A26</f>
        <v xml:space="preserve">GMC </v>
      </c>
      <c r="C26" s="10" t="str">
        <f>Rollover!B26</f>
        <v>Yukon SUV 4WD</v>
      </c>
      <c r="D26" s="10">
        <f>Rollover!C26</f>
        <v>2019</v>
      </c>
      <c r="E26" s="24">
        <f>Front!AW26</f>
        <v>4</v>
      </c>
      <c r="F26" s="51">
        <f>Front!AX26</f>
        <v>4</v>
      </c>
      <c r="G26" s="51">
        <f>Front!AY26</f>
        <v>4</v>
      </c>
      <c r="H26" s="24">
        <f>'Side MDB'!AC26</f>
        <v>5</v>
      </c>
      <c r="I26" s="24">
        <f>'Side MDB'!AD26</f>
        <v>5</v>
      </c>
      <c r="J26" s="24">
        <f>'Side MDB'!AE26</f>
        <v>5</v>
      </c>
      <c r="K26" s="100">
        <f>'Side Pole'!P26</f>
        <v>5</v>
      </c>
      <c r="L26" s="100">
        <f>'Side Pole'!S26</f>
        <v>5</v>
      </c>
      <c r="M26" s="100">
        <f>'Side Pole'!V26</f>
        <v>5</v>
      </c>
      <c r="N26" s="101">
        <f>Rollover!J26</f>
        <v>3</v>
      </c>
      <c r="O26" s="102">
        <f>ROUND(5/12*Front!AV26+4/12*'Side Pole'!U26+3/12*Rollover!I26,2)</f>
        <v>0.82</v>
      </c>
      <c r="P26" s="103">
        <f t="shared" si="2"/>
        <v>4</v>
      </c>
    </row>
    <row r="27" spans="1:16" ht="14.45" customHeight="1">
      <c r="A27" s="50">
        <v>43517</v>
      </c>
      <c r="B27" s="51" t="str">
        <f>Rollover!A27</f>
        <v>Dodge</v>
      </c>
      <c r="C27" s="51" t="str">
        <f>Rollover!B27</f>
        <v>Grand Caravan Minivan FWD</v>
      </c>
      <c r="D27" s="10">
        <f>Rollover!C27</f>
        <v>2019</v>
      </c>
      <c r="E27" s="24">
        <f>Front!AW27</f>
        <v>4</v>
      </c>
      <c r="F27" s="51">
        <f>Front!AX27</f>
        <v>4</v>
      </c>
      <c r="G27" s="51">
        <f>Front!AY27</f>
        <v>4</v>
      </c>
      <c r="H27" s="24">
        <f>'Side MDB'!AC27</f>
        <v>5</v>
      </c>
      <c r="I27" s="24">
        <f>'Side MDB'!AD27</f>
        <v>5</v>
      </c>
      <c r="J27" s="24">
        <f>'Side MDB'!AE27</f>
        <v>5</v>
      </c>
      <c r="K27" s="100">
        <f>'Side Pole'!P27</f>
        <v>5</v>
      </c>
      <c r="L27" s="100">
        <f>'Side Pole'!S27</f>
        <v>5</v>
      </c>
      <c r="M27" s="100">
        <f>'Side Pole'!V27</f>
        <v>5</v>
      </c>
      <c r="N27" s="101">
        <f>Rollover!J27</f>
        <v>4</v>
      </c>
      <c r="O27" s="102">
        <f>ROUND(5/12*Front!AV27+4/12*'Side Pole'!U27+3/12*Rollover!I27,2)</f>
        <v>0.7</v>
      </c>
      <c r="P27" s="103">
        <f t="shared" si="2"/>
        <v>4</v>
      </c>
    </row>
    <row r="28" spans="1:16" ht="14.45" customHeight="1">
      <c r="A28" s="50">
        <v>43537</v>
      </c>
      <c r="B28" s="51" t="str">
        <f>Rollover!A28</f>
        <v>Ford</v>
      </c>
      <c r="C28" s="51" t="str">
        <f>Rollover!B28</f>
        <v>Edge SUV FWD</v>
      </c>
      <c r="D28" s="10">
        <f>Rollover!C28</f>
        <v>2019</v>
      </c>
      <c r="E28" s="24">
        <f>Front!AW28</f>
        <v>5</v>
      </c>
      <c r="F28" s="51">
        <f>Front!AX28</f>
        <v>5</v>
      </c>
      <c r="G28" s="51">
        <f>Front!AY28</f>
        <v>5</v>
      </c>
      <c r="H28" s="24">
        <f>'Side MDB'!AC28</f>
        <v>5</v>
      </c>
      <c r="I28" s="24">
        <f>'Side MDB'!AD28</f>
        <v>5</v>
      </c>
      <c r="J28" s="24">
        <f>'Side MDB'!AE28</f>
        <v>5</v>
      </c>
      <c r="K28" s="100">
        <f>'Side Pole'!P28</f>
        <v>5</v>
      </c>
      <c r="L28" s="100">
        <f>'Side Pole'!S28</f>
        <v>5</v>
      </c>
      <c r="M28" s="100">
        <f>'Side Pole'!V28</f>
        <v>5</v>
      </c>
      <c r="N28" s="101">
        <f>Rollover!J28</f>
        <v>4</v>
      </c>
      <c r="O28" s="102">
        <f>ROUND(5/12*Front!AV28+4/12*'Side Pole'!U28+3/12*Rollover!I28,2)</f>
        <v>0.61</v>
      </c>
      <c r="P28" s="103">
        <f t="shared" si="2"/>
        <v>5</v>
      </c>
    </row>
    <row r="29" spans="1:16" ht="14.45" customHeight="1">
      <c r="A29" s="50">
        <v>43537</v>
      </c>
      <c r="B29" s="51" t="str">
        <f>Rollover!A29</f>
        <v>Ford</v>
      </c>
      <c r="C29" s="51" t="str">
        <f>Rollover!B29</f>
        <v>Edge SUV AWD</v>
      </c>
      <c r="D29" s="10">
        <f>Rollover!C29</f>
        <v>2019</v>
      </c>
      <c r="E29" s="24">
        <f>Front!AW29</f>
        <v>5</v>
      </c>
      <c r="F29" s="51">
        <f>Front!AX29</f>
        <v>5</v>
      </c>
      <c r="G29" s="51">
        <f>Front!AY29</f>
        <v>5</v>
      </c>
      <c r="H29" s="24">
        <f>'Side MDB'!AC29</f>
        <v>5</v>
      </c>
      <c r="I29" s="24">
        <f>'Side MDB'!AD29</f>
        <v>5</v>
      </c>
      <c r="J29" s="24">
        <f>'Side MDB'!AE29</f>
        <v>5</v>
      </c>
      <c r="K29" s="100">
        <f>'Side Pole'!P29</f>
        <v>5</v>
      </c>
      <c r="L29" s="100">
        <f>'Side Pole'!S29</f>
        <v>5</v>
      </c>
      <c r="M29" s="100">
        <f>'Side Pole'!V29</f>
        <v>5</v>
      </c>
      <c r="N29" s="101">
        <f>Rollover!J29</f>
        <v>4</v>
      </c>
      <c r="O29" s="102">
        <f>ROUND(5/12*Front!AV29+4/12*'Side Pole'!U29+3/12*Rollover!I29,2)</f>
        <v>0.61</v>
      </c>
      <c r="P29" s="103">
        <f t="shared" si="1"/>
        <v>5</v>
      </c>
    </row>
    <row r="30" spans="1:16" ht="14.45" customHeight="1">
      <c r="A30" s="50">
        <v>43537</v>
      </c>
      <c r="B30" s="10" t="str">
        <f>Rollover!A30</f>
        <v>Lincoln</v>
      </c>
      <c r="C30" s="10" t="str">
        <f>Rollover!B30</f>
        <v>Nautilus SUV FWD</v>
      </c>
      <c r="D30" s="10">
        <f>Rollover!C30</f>
        <v>2019</v>
      </c>
      <c r="E30" s="24">
        <f>Front!AW30</f>
        <v>5</v>
      </c>
      <c r="F30" s="51">
        <f>Front!AX30</f>
        <v>5</v>
      </c>
      <c r="G30" s="51">
        <f>Front!AY30</f>
        <v>5</v>
      </c>
      <c r="H30" s="24">
        <f>'Side MDB'!AC30</f>
        <v>5</v>
      </c>
      <c r="I30" s="24">
        <f>'Side MDB'!AD30</f>
        <v>5</v>
      </c>
      <c r="J30" s="24">
        <f>'Side MDB'!AE30</f>
        <v>5</v>
      </c>
      <c r="K30" s="100">
        <f>'Side Pole'!P30</f>
        <v>5</v>
      </c>
      <c r="L30" s="100">
        <f>'Side Pole'!S30</f>
        <v>5</v>
      </c>
      <c r="M30" s="100">
        <f>'Side Pole'!V30</f>
        <v>5</v>
      </c>
      <c r="N30" s="101">
        <f>Rollover!J30</f>
        <v>4</v>
      </c>
      <c r="O30" s="102">
        <f>ROUND(5/12*Front!AV30+4/12*'Side Pole'!U30+3/12*Rollover!I30,2)</f>
        <v>0.61</v>
      </c>
      <c r="P30" s="103">
        <f t="shared" si="1"/>
        <v>5</v>
      </c>
    </row>
    <row r="31" spans="1:16" ht="14.45" customHeight="1">
      <c r="A31" s="50">
        <v>43537</v>
      </c>
      <c r="B31" s="10" t="str">
        <f>Rollover!A31</f>
        <v>Lincoln</v>
      </c>
      <c r="C31" s="10" t="str">
        <f>Rollover!B31</f>
        <v>Nautilus SUV AWD</v>
      </c>
      <c r="D31" s="10">
        <f>Rollover!C31</f>
        <v>2019</v>
      </c>
      <c r="E31" s="24">
        <f>Front!AW31</f>
        <v>5</v>
      </c>
      <c r="F31" s="51">
        <f>Front!AX31</f>
        <v>5</v>
      </c>
      <c r="G31" s="51">
        <f>Front!AY31</f>
        <v>5</v>
      </c>
      <c r="H31" s="24">
        <f>'Side MDB'!AC31</f>
        <v>5</v>
      </c>
      <c r="I31" s="24">
        <f>'Side MDB'!AD31</f>
        <v>5</v>
      </c>
      <c r="J31" s="24">
        <f>'Side MDB'!AE31</f>
        <v>5</v>
      </c>
      <c r="K31" s="100">
        <f>'Side Pole'!P31</f>
        <v>5</v>
      </c>
      <c r="L31" s="100">
        <f>'Side Pole'!S31</f>
        <v>5</v>
      </c>
      <c r="M31" s="100">
        <f>'Side Pole'!V31</f>
        <v>5</v>
      </c>
      <c r="N31" s="101">
        <f>Rollover!J31</f>
        <v>4</v>
      </c>
      <c r="O31" s="102">
        <f>ROUND(5/12*Front!AV31+4/12*'Side Pole'!U31+3/12*Rollover!I31,2)</f>
        <v>0.61</v>
      </c>
      <c r="P31" s="103">
        <f t="shared" si="1"/>
        <v>5</v>
      </c>
    </row>
    <row r="32" spans="1:16" ht="14.45" customHeight="1">
      <c r="A32" s="50">
        <v>43593</v>
      </c>
      <c r="B32" s="51" t="str">
        <f>Rollover!A32</f>
        <v>Ford</v>
      </c>
      <c r="C32" s="51" t="str">
        <f>Rollover!B32</f>
        <v>F-250 Crew Cab PU/CC 2WD</v>
      </c>
      <c r="D32" s="10">
        <f>Rollover!C32</f>
        <v>2019</v>
      </c>
      <c r="E32" s="24">
        <f>Front!AW32</f>
        <v>5</v>
      </c>
      <c r="F32" s="51">
        <f>Front!AX32</f>
        <v>5</v>
      </c>
      <c r="G32" s="51">
        <f>Front!AY32</f>
        <v>5</v>
      </c>
      <c r="H32" s="24">
        <f>'Side MDB'!AC32</f>
        <v>5</v>
      </c>
      <c r="I32" s="24">
        <f>'Side MDB'!AD32</f>
        <v>5</v>
      </c>
      <c r="J32" s="24">
        <f>'Side MDB'!AE32</f>
        <v>5</v>
      </c>
      <c r="K32" s="100">
        <f>'Side Pole'!P32</f>
        <v>5</v>
      </c>
      <c r="L32" s="100">
        <f>'Side Pole'!S32</f>
        <v>5</v>
      </c>
      <c r="M32" s="100">
        <f>'Side Pole'!V32</f>
        <v>5</v>
      </c>
      <c r="N32" s="101">
        <f>Rollover!J32</f>
        <v>4</v>
      </c>
      <c r="O32" s="102">
        <f>ROUND(5/12*Front!AV32+4/12*'Side Pole'!U32+3/12*Rollover!I32,2)</f>
        <v>0.57999999999999996</v>
      </c>
      <c r="P32" s="103">
        <f t="shared" si="1"/>
        <v>5</v>
      </c>
    </row>
    <row r="33" spans="1:16" ht="14.45" customHeight="1">
      <c r="A33" s="50">
        <v>43593</v>
      </c>
      <c r="B33" s="51" t="str">
        <f>Rollover!A33</f>
        <v>Ford</v>
      </c>
      <c r="C33" s="51" t="str">
        <f>Rollover!B33</f>
        <v>F-250 Crew Cab PU/CC 4WD</v>
      </c>
      <c r="D33" s="10">
        <f>Rollover!C33</f>
        <v>2019</v>
      </c>
      <c r="E33" s="24">
        <f>Front!AW33</f>
        <v>5</v>
      </c>
      <c r="F33" s="51">
        <f>Front!AX33</f>
        <v>5</v>
      </c>
      <c r="G33" s="51">
        <f>Front!AY33</f>
        <v>5</v>
      </c>
      <c r="H33" s="24">
        <f>'Side MDB'!AC33</f>
        <v>5</v>
      </c>
      <c r="I33" s="24">
        <f>'Side MDB'!AD33</f>
        <v>5</v>
      </c>
      <c r="J33" s="24">
        <f>'Side MDB'!AE33</f>
        <v>5</v>
      </c>
      <c r="K33" s="100">
        <f>'Side Pole'!P33</f>
        <v>5</v>
      </c>
      <c r="L33" s="100">
        <f>'Side Pole'!S33</f>
        <v>5</v>
      </c>
      <c r="M33" s="100">
        <f>'Side Pole'!V33</f>
        <v>5</v>
      </c>
      <c r="N33" s="101">
        <f>Rollover!J33</f>
        <v>3</v>
      </c>
      <c r="O33" s="102">
        <f>ROUND(5/12*Front!AV33+4/12*'Side Pole'!U33+3/12*Rollover!I33,2)</f>
        <v>0.75</v>
      </c>
      <c r="P33" s="103">
        <f>IF(O33&lt;0.67,5,IF(O33&lt;1,4,IF(O33&lt;1.33,3,IF(O33&lt;2.67,2,1))))</f>
        <v>4</v>
      </c>
    </row>
    <row r="34" spans="1:16" ht="14.45" customHeight="1">
      <c r="A34" s="162">
        <v>43368</v>
      </c>
      <c r="B34" s="51" t="str">
        <f>Rollover!A34</f>
        <v>Honda</v>
      </c>
      <c r="C34" s="51" t="str">
        <f>Rollover!B34</f>
        <v>Insight 4DR FWD</v>
      </c>
      <c r="D34" s="10">
        <f>Rollover!C34</f>
        <v>2019</v>
      </c>
      <c r="E34" s="24">
        <f>Front!AW34</f>
        <v>5</v>
      </c>
      <c r="F34" s="51">
        <f>Front!AX34</f>
        <v>5</v>
      </c>
      <c r="G34" s="51">
        <f>Front!AY34</f>
        <v>5</v>
      </c>
      <c r="H34" s="24">
        <f>'Side MDB'!AC34</f>
        <v>5</v>
      </c>
      <c r="I34" s="24">
        <f>'Side MDB'!AD34</f>
        <v>5</v>
      </c>
      <c r="J34" s="24">
        <f>'Side MDB'!AE34</f>
        <v>5</v>
      </c>
      <c r="K34" s="100">
        <f>'Side Pole'!P34</f>
        <v>5</v>
      </c>
      <c r="L34" s="100">
        <f>'Side Pole'!S34</f>
        <v>5</v>
      </c>
      <c r="M34" s="100">
        <f>'Side Pole'!V34</f>
        <v>5</v>
      </c>
      <c r="N34" s="101">
        <f>Rollover!J34</f>
        <v>5</v>
      </c>
      <c r="O34" s="102">
        <f>ROUND(5/12*Front!AV34+4/12*'Side Pole'!U34+3/12*Rollover!I34,2)</f>
        <v>0.44</v>
      </c>
      <c r="P34" s="103">
        <f t="shared" si="1"/>
        <v>5</v>
      </c>
    </row>
    <row r="35" spans="1:16" ht="14.45" customHeight="1">
      <c r="A35" s="162">
        <v>43550</v>
      </c>
      <c r="B35" s="51" t="str">
        <f>Rollover!A35</f>
        <v>Hyundai</v>
      </c>
      <c r="C35" s="51" t="str">
        <f>Rollover!B35</f>
        <v>Kona SUV FWD</v>
      </c>
      <c r="D35" s="10">
        <f>Rollover!C35</f>
        <v>2019</v>
      </c>
      <c r="E35" s="24">
        <f>Front!AW35</f>
        <v>5</v>
      </c>
      <c r="F35" s="51">
        <f>Front!AX35</f>
        <v>5</v>
      </c>
      <c r="G35" s="51">
        <f>Front!AY35</f>
        <v>5</v>
      </c>
      <c r="H35" s="24">
        <f>'Side MDB'!AC35</f>
        <v>5</v>
      </c>
      <c r="I35" s="24">
        <f>'Side MDB'!AD35</f>
        <v>5</v>
      </c>
      <c r="J35" s="24">
        <f>'Side MDB'!AE35</f>
        <v>5</v>
      </c>
      <c r="K35" s="100">
        <f>'Side Pole'!P35</f>
        <v>5</v>
      </c>
      <c r="L35" s="100">
        <f>'Side Pole'!S35</f>
        <v>5</v>
      </c>
      <c r="M35" s="100">
        <f>'Side Pole'!V35</f>
        <v>5</v>
      </c>
      <c r="N35" s="101">
        <f>Rollover!J35</f>
        <v>4</v>
      </c>
      <c r="O35" s="102">
        <f>ROUND(5/12*Front!AV35+4/12*'Side Pole'!U35+3/12*Rollover!I35,2)</f>
        <v>0.59</v>
      </c>
      <c r="P35" s="103">
        <f t="shared" si="1"/>
        <v>5</v>
      </c>
    </row>
    <row r="36" spans="1:16" ht="14.45" customHeight="1">
      <c r="A36" s="162">
        <v>43550</v>
      </c>
      <c r="B36" s="51" t="str">
        <f>Rollover!A36</f>
        <v>Hyundai</v>
      </c>
      <c r="C36" s="51" t="str">
        <f>Rollover!B36</f>
        <v>Kona SUV AWD</v>
      </c>
      <c r="D36" s="10">
        <f>Rollover!C36</f>
        <v>2019</v>
      </c>
      <c r="E36" s="24">
        <f>Front!AW36</f>
        <v>5</v>
      </c>
      <c r="F36" s="51">
        <f>Front!AX36</f>
        <v>5</v>
      </c>
      <c r="G36" s="51">
        <f>Front!AY36</f>
        <v>5</v>
      </c>
      <c r="H36" s="24">
        <f>'Side MDB'!AC36</f>
        <v>5</v>
      </c>
      <c r="I36" s="24">
        <f>'Side MDB'!AD36</f>
        <v>5</v>
      </c>
      <c r="J36" s="24">
        <f>'Side MDB'!AE36</f>
        <v>5</v>
      </c>
      <c r="K36" s="100">
        <f>'Side Pole'!P36</f>
        <v>5</v>
      </c>
      <c r="L36" s="100">
        <f>'Side Pole'!S36</f>
        <v>5</v>
      </c>
      <c r="M36" s="100">
        <f>'Side Pole'!V36</f>
        <v>5</v>
      </c>
      <c r="N36" s="101">
        <f>Rollover!J36</f>
        <v>4</v>
      </c>
      <c r="O36" s="102">
        <f>ROUND(5/12*Front!AV36+4/12*'Side Pole'!U36+3/12*Rollover!I36,2)</f>
        <v>0.57999999999999996</v>
      </c>
      <c r="P36" s="103">
        <f t="shared" si="1"/>
        <v>5</v>
      </c>
    </row>
    <row r="37" spans="1:16" ht="14.45" customHeight="1">
      <c r="A37" s="162">
        <v>43530</v>
      </c>
      <c r="B37" s="51" t="str">
        <f>Rollover!A37</f>
        <v>Hyundai</v>
      </c>
      <c r="C37" s="51" t="str">
        <f>Rollover!B37</f>
        <v>Santa Fe SUV FWD</v>
      </c>
      <c r="D37" s="10">
        <f>Rollover!C37</f>
        <v>2019</v>
      </c>
      <c r="E37" s="24">
        <f>Front!AW37</f>
        <v>4</v>
      </c>
      <c r="F37" s="51">
        <f>Front!AX37</f>
        <v>5</v>
      </c>
      <c r="G37" s="51">
        <f>Front!AY37</f>
        <v>4</v>
      </c>
      <c r="H37" s="24">
        <f>'Side MDB'!AC37</f>
        <v>5</v>
      </c>
      <c r="I37" s="24">
        <f>'Side MDB'!AD37</f>
        <v>5</v>
      </c>
      <c r="J37" s="24">
        <f>'Side MDB'!AE37</f>
        <v>5</v>
      </c>
      <c r="K37" s="100">
        <f>'Side Pole'!P37</f>
        <v>5</v>
      </c>
      <c r="L37" s="100">
        <f>'Side Pole'!S37</f>
        <v>5</v>
      </c>
      <c r="M37" s="100">
        <f>'Side Pole'!V37</f>
        <v>5</v>
      </c>
      <c r="N37" s="101">
        <f>Rollover!J37</f>
        <v>4</v>
      </c>
      <c r="O37" s="102">
        <f>ROUND(5/12*Front!AV37+4/12*'Side Pole'!U37+3/12*Rollover!I37,2)</f>
        <v>0.61</v>
      </c>
      <c r="P37" s="103">
        <f t="shared" si="1"/>
        <v>5</v>
      </c>
    </row>
    <row r="38" spans="1:16" ht="14.45" customHeight="1">
      <c r="A38" s="162">
        <v>43530</v>
      </c>
      <c r="B38" s="51" t="str">
        <f>Rollover!A38</f>
        <v>Hyundai</v>
      </c>
      <c r="C38" s="51" t="str">
        <f>Rollover!B38</f>
        <v>Santa Fe SUV AWD</v>
      </c>
      <c r="D38" s="10">
        <f>Rollover!C38</f>
        <v>2019</v>
      </c>
      <c r="E38" s="24">
        <f>Front!AW38</f>
        <v>4</v>
      </c>
      <c r="F38" s="51">
        <f>Front!AX38</f>
        <v>5</v>
      </c>
      <c r="G38" s="51">
        <f>Front!AY38</f>
        <v>4</v>
      </c>
      <c r="H38" s="24">
        <f>'Side MDB'!AC38</f>
        <v>5</v>
      </c>
      <c r="I38" s="24">
        <f>'Side MDB'!AD38</f>
        <v>5</v>
      </c>
      <c r="J38" s="24">
        <f>'Side MDB'!AE38</f>
        <v>5</v>
      </c>
      <c r="K38" s="100">
        <f>'Side Pole'!P38</f>
        <v>5</v>
      </c>
      <c r="L38" s="100">
        <f>'Side Pole'!S38</f>
        <v>5</v>
      </c>
      <c r="M38" s="100">
        <f>'Side Pole'!V38</f>
        <v>5</v>
      </c>
      <c r="N38" s="101">
        <f>Rollover!J38</f>
        <v>4</v>
      </c>
      <c r="O38" s="102">
        <f>ROUND(5/12*Front!AV38+4/12*'Side Pole'!U38+3/12*Rollover!I38,2)</f>
        <v>0.59</v>
      </c>
      <c r="P38" s="103">
        <f t="shared" si="1"/>
        <v>5</v>
      </c>
    </row>
    <row r="39" spans="1:16" ht="14.45" customHeight="1">
      <c r="A39" s="50">
        <v>43517</v>
      </c>
      <c r="B39" s="51" t="str">
        <f>Rollover!A39</f>
        <v>Jeep</v>
      </c>
      <c r="C39" s="51" t="str">
        <f>Rollover!B39</f>
        <v>Cherokee SUV FWD</v>
      </c>
      <c r="D39" s="10">
        <f>Rollover!C39</f>
        <v>2019</v>
      </c>
      <c r="E39" s="24">
        <f>Front!AW39</f>
        <v>4</v>
      </c>
      <c r="F39" s="51">
        <f>Front!AX39</f>
        <v>5</v>
      </c>
      <c r="G39" s="51">
        <f>Front!AY39</f>
        <v>4</v>
      </c>
      <c r="H39" s="24">
        <f>'Side MDB'!AC39</f>
        <v>5</v>
      </c>
      <c r="I39" s="24">
        <f>'Side MDB'!AD39</f>
        <v>5</v>
      </c>
      <c r="J39" s="24">
        <f>'Side MDB'!AE39</f>
        <v>5</v>
      </c>
      <c r="K39" s="100">
        <f>'Side Pole'!P39</f>
        <v>5</v>
      </c>
      <c r="L39" s="100">
        <f>'Side Pole'!S39</f>
        <v>5</v>
      </c>
      <c r="M39" s="100">
        <f>'Side Pole'!V39</f>
        <v>5</v>
      </c>
      <c r="N39" s="101">
        <f>Rollover!J39</f>
        <v>4</v>
      </c>
      <c r="O39" s="102">
        <f>ROUND(5/12*Front!AV39+4/12*'Side Pole'!U39+3/12*Rollover!I39,2)</f>
        <v>0.7</v>
      </c>
      <c r="P39" s="103">
        <f t="shared" si="1"/>
        <v>4</v>
      </c>
    </row>
    <row r="40" spans="1:16" ht="14.45" customHeight="1">
      <c r="A40" s="50">
        <v>43517</v>
      </c>
      <c r="B40" s="51" t="str">
        <f>Rollover!A40</f>
        <v>Jeep</v>
      </c>
      <c r="C40" s="51" t="str">
        <f>Rollover!B40</f>
        <v>Cherokee SUV 4WD</v>
      </c>
      <c r="D40" s="10">
        <f>Rollover!C40</f>
        <v>2019</v>
      </c>
      <c r="E40" s="24">
        <f>Front!AW40</f>
        <v>4</v>
      </c>
      <c r="F40" s="51">
        <f>Front!AX40</f>
        <v>5</v>
      </c>
      <c r="G40" s="51">
        <f>Front!AY40</f>
        <v>4</v>
      </c>
      <c r="H40" s="24">
        <f>'Side MDB'!AC40</f>
        <v>5</v>
      </c>
      <c r="I40" s="24">
        <f>'Side MDB'!AD40</f>
        <v>5</v>
      </c>
      <c r="J40" s="24">
        <f>'Side MDB'!AE40</f>
        <v>5</v>
      </c>
      <c r="K40" s="100">
        <f>'Side Pole'!P40</f>
        <v>5</v>
      </c>
      <c r="L40" s="100">
        <f>'Side Pole'!S40</f>
        <v>5</v>
      </c>
      <c r="M40" s="100">
        <f>'Side Pole'!V40</f>
        <v>5</v>
      </c>
      <c r="N40" s="101">
        <f>Rollover!J40</f>
        <v>4</v>
      </c>
      <c r="O40" s="102">
        <f>ROUND(5/12*Front!AV40+4/12*'Side Pole'!U40+3/12*Rollover!I40,2)</f>
        <v>0.7</v>
      </c>
      <c r="P40" s="103">
        <f t="shared" si="1"/>
        <v>4</v>
      </c>
    </row>
    <row r="41" spans="1:16" ht="14.45" customHeight="1">
      <c r="A41" s="50">
        <v>43587</v>
      </c>
      <c r="B41" s="51" t="str">
        <f>Rollover!A41</f>
        <v>Jeep</v>
      </c>
      <c r="C41" s="51" t="str">
        <f>Rollover!B41</f>
        <v>Wrangler Unlimited SUV 4WD</v>
      </c>
      <c r="D41" s="10">
        <f>Rollover!C41</f>
        <v>2019</v>
      </c>
      <c r="E41" s="24">
        <f>Front!AW41</f>
        <v>4</v>
      </c>
      <c r="F41" s="51">
        <f>Front!AX41</f>
        <v>4</v>
      </c>
      <c r="G41" s="51">
        <f>Front!AY41</f>
        <v>4</v>
      </c>
      <c r="H41" s="24" t="e">
        <f>'Side MDB'!AC41</f>
        <v>#NUM!</v>
      </c>
      <c r="I41" s="24" t="e">
        <f>'Side MDB'!AD41</f>
        <v>#NUM!</v>
      </c>
      <c r="J41" s="24" t="e">
        <f>'Side MDB'!AE41</f>
        <v>#NUM!</v>
      </c>
      <c r="K41" s="100" t="e">
        <f>'Side Pole'!P41</f>
        <v>#NUM!</v>
      </c>
      <c r="L41" s="100" t="e">
        <f>'Side Pole'!S41</f>
        <v>#NUM!</v>
      </c>
      <c r="M41" s="100" t="e">
        <f>'Side Pole'!V41</f>
        <v>#NUM!</v>
      </c>
      <c r="N41" s="101">
        <f>Rollover!J41</f>
        <v>3</v>
      </c>
      <c r="O41" s="102" t="e">
        <f>ROUND(5/12*Front!AV41+4/12*'Side Pole'!U41+3/12*Rollover!I41,2)</f>
        <v>#NUM!</v>
      </c>
      <c r="P41" s="103" t="e">
        <f t="shared" si="1"/>
        <v>#NUM!</v>
      </c>
    </row>
    <row r="42" spans="1:16" ht="14.45" customHeight="1">
      <c r="A42" s="50">
        <v>43573</v>
      </c>
      <c r="B42" s="51" t="str">
        <f>Rollover!A42</f>
        <v>Kia</v>
      </c>
      <c r="C42" s="51" t="str">
        <f>Rollover!B42</f>
        <v>Forte 4DR FWD</v>
      </c>
      <c r="D42" s="10">
        <f>Rollover!C42</f>
        <v>2019</v>
      </c>
      <c r="E42" s="24">
        <f>Front!AW42</f>
        <v>4</v>
      </c>
      <c r="F42" s="51">
        <f>Front!AX42</f>
        <v>3</v>
      </c>
      <c r="G42" s="51">
        <f>Front!AY42</f>
        <v>4</v>
      </c>
      <c r="H42" s="24">
        <f>'Side MDB'!AC42</f>
        <v>5</v>
      </c>
      <c r="I42" s="24">
        <f>'Side MDB'!AD42</f>
        <v>5</v>
      </c>
      <c r="J42" s="24">
        <f>'Side MDB'!AE42</f>
        <v>5</v>
      </c>
      <c r="K42" s="100">
        <f>'Side Pole'!P42</f>
        <v>5</v>
      </c>
      <c r="L42" s="100">
        <f>'Side Pole'!S42</f>
        <v>5</v>
      </c>
      <c r="M42" s="100">
        <f>'Side Pole'!V42</f>
        <v>5</v>
      </c>
      <c r="N42" s="101">
        <f>Rollover!J42</f>
        <v>4</v>
      </c>
      <c r="O42" s="102">
        <f>ROUND(5/12*Front!AV42+4/12*'Side Pole'!U42+3/12*Rollover!I42,2)</f>
        <v>0.71</v>
      </c>
      <c r="P42" s="103">
        <f t="shared" si="1"/>
        <v>4</v>
      </c>
    </row>
    <row r="43" spans="1:16" ht="14.45" customHeight="1">
      <c r="A43" s="50">
        <v>43543</v>
      </c>
      <c r="B43" s="51" t="str">
        <f>Rollover!A43</f>
        <v xml:space="preserve">Lexus </v>
      </c>
      <c r="C43" s="51" t="str">
        <f>Rollover!B43</f>
        <v>ES 350 4DR FWD</v>
      </c>
      <c r="D43" s="10">
        <f>Rollover!C43</f>
        <v>2019</v>
      </c>
      <c r="E43" s="24">
        <f>Front!AW43</f>
        <v>5</v>
      </c>
      <c r="F43" s="51">
        <f>Front!AX43</f>
        <v>4</v>
      </c>
      <c r="G43" s="51">
        <f>Front!AY43</f>
        <v>4</v>
      </c>
      <c r="H43" s="24">
        <f>'Side MDB'!AC43</f>
        <v>5</v>
      </c>
      <c r="I43" s="24">
        <f>'Side MDB'!AD43</f>
        <v>5</v>
      </c>
      <c r="J43" s="24">
        <f>'Side MDB'!AE43</f>
        <v>5</v>
      </c>
      <c r="K43" s="100">
        <f>'Side Pole'!P43</f>
        <v>5</v>
      </c>
      <c r="L43" s="100">
        <f>'Side Pole'!S43</f>
        <v>5</v>
      </c>
      <c r="M43" s="100">
        <f>'Side Pole'!V43</f>
        <v>5</v>
      </c>
      <c r="N43" s="101">
        <f>Rollover!J43</f>
        <v>4</v>
      </c>
      <c r="O43" s="102">
        <f>ROUND(5/12*Front!AV43+4/12*'Side Pole'!U43+3/12*Rollover!I43,2)</f>
        <v>0.52</v>
      </c>
      <c r="P43" s="103">
        <f t="shared" si="1"/>
        <v>5</v>
      </c>
    </row>
    <row r="44" spans="1:16" ht="14.45" customHeight="1">
      <c r="A44" s="50">
        <v>43543</v>
      </c>
      <c r="B44" s="10" t="str">
        <f>Rollover!A44</f>
        <v xml:space="preserve">Lexus </v>
      </c>
      <c r="C44" s="10" t="str">
        <f>Rollover!B44</f>
        <v>ES 300h 4DR FWD</v>
      </c>
      <c r="D44" s="10">
        <f>Rollover!C44</f>
        <v>2019</v>
      </c>
      <c r="E44" s="24">
        <f>Front!AW44</f>
        <v>5</v>
      </c>
      <c r="F44" s="51">
        <f>Front!AX44</f>
        <v>4</v>
      </c>
      <c r="G44" s="51">
        <f>Front!AY44</f>
        <v>4</v>
      </c>
      <c r="H44" s="24">
        <f>'Side MDB'!AC44</f>
        <v>5</v>
      </c>
      <c r="I44" s="24">
        <f>'Side MDB'!AD44</f>
        <v>5</v>
      </c>
      <c r="J44" s="24">
        <f>'Side MDB'!AE44</f>
        <v>5</v>
      </c>
      <c r="K44" s="100">
        <f>'Side Pole'!P44</f>
        <v>5</v>
      </c>
      <c r="L44" s="100">
        <f>'Side Pole'!S44</f>
        <v>5</v>
      </c>
      <c r="M44" s="100">
        <f>'Side Pole'!V44</f>
        <v>5</v>
      </c>
      <c r="N44" s="101">
        <f>Rollover!J44</f>
        <v>4</v>
      </c>
      <c r="O44" s="102">
        <f>ROUND(5/12*Front!AV44+4/12*'Side Pole'!U44+3/12*Rollover!I44,2)</f>
        <v>0.52</v>
      </c>
      <c r="P44" s="103">
        <f t="shared" si="1"/>
        <v>5</v>
      </c>
    </row>
    <row r="45" spans="1:16" ht="14.45" customHeight="1">
      <c r="A45" s="162">
        <v>43432</v>
      </c>
      <c r="B45" s="51" t="str">
        <f>Rollover!A45</f>
        <v>Nissan</v>
      </c>
      <c r="C45" s="51" t="str">
        <f>Rollover!B45</f>
        <v>Armada SUV RWD</v>
      </c>
      <c r="D45" s="10">
        <f>Rollover!C45</f>
        <v>2019</v>
      </c>
      <c r="E45" s="24">
        <f>Front!AW45</f>
        <v>2</v>
      </c>
      <c r="F45" s="51">
        <f>Front!AX45</f>
        <v>3</v>
      </c>
      <c r="G45" s="51">
        <f>Front!AY45</f>
        <v>3</v>
      </c>
      <c r="H45" s="24">
        <f>'Side MDB'!AC45</f>
        <v>5</v>
      </c>
      <c r="I45" s="24">
        <f>'Side MDB'!AD45</f>
        <v>5</v>
      </c>
      <c r="J45" s="24">
        <f>'Side MDB'!AE45</f>
        <v>5</v>
      </c>
      <c r="K45" s="100">
        <f>'Side Pole'!P45</f>
        <v>5</v>
      </c>
      <c r="L45" s="100">
        <f>'Side Pole'!S45</f>
        <v>5</v>
      </c>
      <c r="M45" s="100">
        <f>'Side Pole'!V45</f>
        <v>5</v>
      </c>
      <c r="N45" s="101">
        <f>Rollover!J45</f>
        <v>3</v>
      </c>
      <c r="O45" s="102">
        <f>ROUND(5/12*Front!AV45+4/12*'Side Pole'!U45+3/12*Rollover!I45,2)</f>
        <v>0.98</v>
      </c>
      <c r="P45" s="103">
        <f t="shared" si="1"/>
        <v>4</v>
      </c>
    </row>
    <row r="46" spans="1:16" ht="14.45" customHeight="1">
      <c r="A46" s="162">
        <v>43432</v>
      </c>
      <c r="B46" s="51" t="str">
        <f>Rollover!A46</f>
        <v>Nissan</v>
      </c>
      <c r="C46" s="51" t="str">
        <f>Rollover!B46</f>
        <v>Armada SUV AWD</v>
      </c>
      <c r="D46" s="10">
        <f>Rollover!C46</f>
        <v>2019</v>
      </c>
      <c r="E46" s="24">
        <f>Front!AW46</f>
        <v>2</v>
      </c>
      <c r="F46" s="51">
        <f>Front!AX46</f>
        <v>3</v>
      </c>
      <c r="G46" s="51">
        <f>Front!AY46</f>
        <v>3</v>
      </c>
      <c r="H46" s="24">
        <f>'Side MDB'!AC46</f>
        <v>5</v>
      </c>
      <c r="I46" s="24">
        <f>'Side MDB'!AD46</f>
        <v>5</v>
      </c>
      <c r="J46" s="24">
        <f>'Side MDB'!AE46</f>
        <v>5</v>
      </c>
      <c r="K46" s="100">
        <f>'Side Pole'!P46</f>
        <v>5</v>
      </c>
      <c r="L46" s="100">
        <f>'Side Pole'!S46</f>
        <v>5</v>
      </c>
      <c r="M46" s="100">
        <f>'Side Pole'!V46</f>
        <v>5</v>
      </c>
      <c r="N46" s="101">
        <f>Rollover!J46</f>
        <v>3</v>
      </c>
      <c r="O46" s="102">
        <f>ROUND(5/12*Front!AV46+4/12*'Side Pole'!U46+3/12*Rollover!I46,2)</f>
        <v>0.95</v>
      </c>
      <c r="P46" s="103">
        <f t="shared" si="1"/>
        <v>4</v>
      </c>
    </row>
    <row r="47" spans="1:16" ht="14.45" customHeight="1">
      <c r="A47" s="162">
        <v>43432</v>
      </c>
      <c r="B47" s="10" t="str">
        <f>Rollover!A47</f>
        <v>Infiniti</v>
      </c>
      <c r="C47" s="10" t="str">
        <f>Rollover!B47</f>
        <v>QX80 SUV RWD</v>
      </c>
      <c r="D47" s="10">
        <f>Rollover!C47</f>
        <v>2019</v>
      </c>
      <c r="E47" s="24">
        <f>Front!AW47</f>
        <v>2</v>
      </c>
      <c r="F47" s="51">
        <f>Front!AX47</f>
        <v>3</v>
      </c>
      <c r="G47" s="51">
        <f>Front!AY47</f>
        <v>3</v>
      </c>
      <c r="H47" s="24">
        <f>'Side MDB'!AC47</f>
        <v>5</v>
      </c>
      <c r="I47" s="24">
        <f>'Side MDB'!AD47</f>
        <v>5</v>
      </c>
      <c r="J47" s="24">
        <f>'Side MDB'!AE47</f>
        <v>5</v>
      </c>
      <c r="K47" s="100">
        <f>'Side Pole'!P47</f>
        <v>5</v>
      </c>
      <c r="L47" s="100">
        <f>'Side Pole'!S47</f>
        <v>5</v>
      </c>
      <c r="M47" s="100">
        <f>'Side Pole'!V47</f>
        <v>5</v>
      </c>
      <c r="N47" s="101">
        <f>Rollover!J47</f>
        <v>3</v>
      </c>
      <c r="O47" s="102">
        <f>ROUND(5/12*Front!AV47+4/12*'Side Pole'!U47+3/12*Rollover!I47,2)</f>
        <v>0.98</v>
      </c>
      <c r="P47" s="103">
        <f t="shared" si="1"/>
        <v>4</v>
      </c>
    </row>
    <row r="48" spans="1:16" ht="14.45" customHeight="1">
      <c r="A48" s="162">
        <v>43432</v>
      </c>
      <c r="B48" s="10" t="str">
        <f>Rollover!A48</f>
        <v>Infiniti</v>
      </c>
      <c r="C48" s="10" t="str">
        <f>Rollover!B48</f>
        <v>QX80 SUV AWD</v>
      </c>
      <c r="D48" s="10">
        <f>Rollover!C48</f>
        <v>2019</v>
      </c>
      <c r="E48" s="24">
        <f>Front!AW48</f>
        <v>2</v>
      </c>
      <c r="F48" s="51">
        <f>Front!AX48</f>
        <v>3</v>
      </c>
      <c r="G48" s="51">
        <f>Front!AY48</f>
        <v>3</v>
      </c>
      <c r="H48" s="24">
        <f>'Side MDB'!AC48</f>
        <v>5</v>
      </c>
      <c r="I48" s="24">
        <f>'Side MDB'!AD48</f>
        <v>5</v>
      </c>
      <c r="J48" s="24">
        <f>'Side MDB'!AE48</f>
        <v>5</v>
      </c>
      <c r="K48" s="100">
        <f>'Side Pole'!P48</f>
        <v>5</v>
      </c>
      <c r="L48" s="100">
        <f>'Side Pole'!S48</f>
        <v>5</v>
      </c>
      <c r="M48" s="100">
        <f>'Side Pole'!V48</f>
        <v>5</v>
      </c>
      <c r="N48" s="101">
        <f>Rollover!J48</f>
        <v>3</v>
      </c>
      <c r="O48" s="102">
        <f>ROUND(5/12*Front!AV48+4/12*'Side Pole'!U48+3/12*Rollover!I48,2)</f>
        <v>0.95</v>
      </c>
      <c r="P48" s="103">
        <f t="shared" si="1"/>
        <v>4</v>
      </c>
    </row>
    <row r="49" spans="1:16" ht="14.45" customHeight="1">
      <c r="A49" s="162">
        <v>43438</v>
      </c>
      <c r="B49" s="51" t="str">
        <f>Rollover!A49</f>
        <v>Nissan</v>
      </c>
      <c r="C49" s="51" t="str">
        <f>Rollover!B49</f>
        <v>Frontier Crew Cab PU/CC RWD</v>
      </c>
      <c r="D49" s="10">
        <f>Rollover!C49</f>
        <v>2019</v>
      </c>
      <c r="E49" s="24">
        <f>Front!AW49</f>
        <v>3</v>
      </c>
      <c r="F49" s="51">
        <f>Front!AX49</f>
        <v>2</v>
      </c>
      <c r="G49" s="51">
        <f>Front!AY49</f>
        <v>3</v>
      </c>
      <c r="H49" s="24">
        <f>'Side MDB'!AC49</f>
        <v>5</v>
      </c>
      <c r="I49" s="24">
        <f>'Side MDB'!AD49</f>
        <v>5</v>
      </c>
      <c r="J49" s="24">
        <f>'Side MDB'!AE49</f>
        <v>5</v>
      </c>
      <c r="K49" s="100">
        <f>'Side Pole'!P49</f>
        <v>5</v>
      </c>
      <c r="L49" s="100">
        <f>'Side Pole'!S49</f>
        <v>5</v>
      </c>
      <c r="M49" s="100">
        <f>'Side Pole'!V49</f>
        <v>5</v>
      </c>
      <c r="N49" s="101">
        <f>Rollover!J49</f>
        <v>3</v>
      </c>
      <c r="O49" s="102">
        <f>ROUND(5/12*Front!AV49+4/12*'Side Pole'!U49+3/12*Rollover!I49,2)</f>
        <v>0.95</v>
      </c>
      <c r="P49" s="103">
        <f t="shared" ref="P49" si="3">IF(O49&lt;0.67,5,IF(O49&lt;1,4,IF(O49&lt;1.33,3,IF(O49&lt;2.67,2,1))))</f>
        <v>4</v>
      </c>
    </row>
    <row r="50" spans="1:16" ht="14.45" customHeight="1">
      <c r="A50" s="162">
        <v>43438</v>
      </c>
      <c r="B50" s="51" t="str">
        <f>Rollover!A50</f>
        <v>Nissan</v>
      </c>
      <c r="C50" s="51" t="str">
        <f>Rollover!B50</f>
        <v>Frontier Crew Cab PU/CC AWD</v>
      </c>
      <c r="D50" s="10">
        <f>Rollover!C50</f>
        <v>2019</v>
      </c>
      <c r="E50" s="24">
        <f>Front!AW50</f>
        <v>3</v>
      </c>
      <c r="F50" s="51">
        <f>Front!AX50</f>
        <v>2</v>
      </c>
      <c r="G50" s="51">
        <f>Front!AY50</f>
        <v>3</v>
      </c>
      <c r="H50" s="24">
        <f>'Side MDB'!AC50</f>
        <v>5</v>
      </c>
      <c r="I50" s="24">
        <f>'Side MDB'!AD50</f>
        <v>5</v>
      </c>
      <c r="J50" s="24">
        <f>'Side MDB'!AE50</f>
        <v>5</v>
      </c>
      <c r="K50" s="100">
        <f>'Side Pole'!P50</f>
        <v>5</v>
      </c>
      <c r="L50" s="100">
        <f>'Side Pole'!S50</f>
        <v>5</v>
      </c>
      <c r="M50" s="100">
        <f>'Side Pole'!V50</f>
        <v>5</v>
      </c>
      <c r="N50" s="101">
        <f>Rollover!J50</f>
        <v>4</v>
      </c>
      <c r="O50" s="102">
        <f>ROUND(5/12*Front!AV50+4/12*'Side Pole'!U50+3/12*Rollover!I50,2)</f>
        <v>0.92</v>
      </c>
      <c r="P50" s="103">
        <f t="shared" si="1"/>
        <v>4</v>
      </c>
    </row>
    <row r="51" spans="1:16" ht="14.45" customHeight="1">
      <c r="A51" s="162">
        <v>43592</v>
      </c>
      <c r="B51" s="51" t="str">
        <f>Rollover!A51</f>
        <v>Nissan</v>
      </c>
      <c r="C51" s="51" t="str">
        <f>Rollover!B51</f>
        <v>Kicks SUV FWD</v>
      </c>
      <c r="D51" s="10">
        <f>Rollover!C51</f>
        <v>2019</v>
      </c>
      <c r="E51" s="24">
        <f>Front!AW51</f>
        <v>5</v>
      </c>
      <c r="F51" s="51">
        <f>Front!AX51</f>
        <v>4</v>
      </c>
      <c r="G51" s="51">
        <f>Front!AY51</f>
        <v>4</v>
      </c>
      <c r="H51" s="24">
        <f>'Side MDB'!AC51</f>
        <v>5</v>
      </c>
      <c r="I51" s="24">
        <f>'Side MDB'!AD51</f>
        <v>4</v>
      </c>
      <c r="J51" s="24">
        <f>'Side MDB'!AE51</f>
        <v>5</v>
      </c>
      <c r="K51" s="100">
        <f>'Side Pole'!P51</f>
        <v>5</v>
      </c>
      <c r="L51" s="100">
        <f>'Side Pole'!S51</f>
        <v>5</v>
      </c>
      <c r="M51" s="100">
        <f>'Side Pole'!V51</f>
        <v>5</v>
      </c>
      <c r="N51" s="101">
        <f>Rollover!J51</f>
        <v>4</v>
      </c>
      <c r="O51" s="102">
        <f>ROUND(5/12*Front!AV51+4/12*'Side Pole'!U51+3/12*Rollover!I51,2)</f>
        <v>0.74</v>
      </c>
      <c r="P51" s="103">
        <f t="shared" si="1"/>
        <v>4</v>
      </c>
    </row>
    <row r="52" spans="1:16" ht="14.45" customHeight="1">
      <c r="A52" s="162">
        <v>43557</v>
      </c>
      <c r="B52" s="51" t="str">
        <f>Rollover!A52</f>
        <v>Nissan</v>
      </c>
      <c r="C52" s="51" t="str">
        <f>Rollover!B52</f>
        <v>Murano SUV FWD</v>
      </c>
      <c r="D52" s="10">
        <f>Rollover!C52</f>
        <v>2019</v>
      </c>
      <c r="E52" s="24">
        <f>Front!AW52</f>
        <v>5</v>
      </c>
      <c r="F52" s="51">
        <f>Front!AX52</f>
        <v>5</v>
      </c>
      <c r="G52" s="51">
        <f>Front!AY52</f>
        <v>5</v>
      </c>
      <c r="H52" s="24">
        <f>'Side MDB'!AC52</f>
        <v>5</v>
      </c>
      <c r="I52" s="24">
        <f>'Side MDB'!AD52</f>
        <v>5</v>
      </c>
      <c r="J52" s="24">
        <f>'Side MDB'!AE52</f>
        <v>5</v>
      </c>
      <c r="K52" s="100">
        <f>'Side Pole'!P52</f>
        <v>5</v>
      </c>
      <c r="L52" s="100">
        <f>'Side Pole'!S52</f>
        <v>5</v>
      </c>
      <c r="M52" s="100">
        <f>'Side Pole'!V52</f>
        <v>5</v>
      </c>
      <c r="N52" s="101">
        <f>Rollover!J52</f>
        <v>4</v>
      </c>
      <c r="O52" s="102">
        <f>ROUND(5/12*Front!AV52+4/12*'Side Pole'!U52+3/12*Rollover!I52,2)</f>
        <v>0.57999999999999996</v>
      </c>
      <c r="P52" s="103">
        <f t="shared" si="1"/>
        <v>5</v>
      </c>
    </row>
    <row r="53" spans="1:16" ht="14.45" customHeight="1">
      <c r="A53" s="162">
        <v>43557</v>
      </c>
      <c r="B53" s="51" t="str">
        <f>Rollover!A53</f>
        <v>Nissan</v>
      </c>
      <c r="C53" s="51" t="str">
        <f>Rollover!B53</f>
        <v>Murano SUV AWD</v>
      </c>
      <c r="D53" s="10">
        <f>Rollover!C53</f>
        <v>2019</v>
      </c>
      <c r="E53" s="24">
        <f>Front!AW53</f>
        <v>5</v>
      </c>
      <c r="F53" s="51">
        <f>Front!AX53</f>
        <v>5</v>
      </c>
      <c r="G53" s="51">
        <f>Front!AY53</f>
        <v>5</v>
      </c>
      <c r="H53" s="24">
        <f>'Side MDB'!AC53</f>
        <v>5</v>
      </c>
      <c r="I53" s="24">
        <f>'Side MDB'!AD53</f>
        <v>5</v>
      </c>
      <c r="J53" s="24">
        <f>'Side MDB'!AE53</f>
        <v>5</v>
      </c>
      <c r="K53" s="100">
        <f>'Side Pole'!P53</f>
        <v>5</v>
      </c>
      <c r="L53" s="100">
        <f>'Side Pole'!S53</f>
        <v>5</v>
      </c>
      <c r="M53" s="100">
        <f>'Side Pole'!V53</f>
        <v>5</v>
      </c>
      <c r="N53" s="101">
        <f>Rollover!J53</f>
        <v>4</v>
      </c>
      <c r="O53" s="102">
        <f>ROUND(5/12*Front!AV53+4/12*'Side Pole'!U53+3/12*Rollover!I53,2)</f>
        <v>0.56000000000000005</v>
      </c>
      <c r="P53" s="103">
        <f t="shared" si="1"/>
        <v>5</v>
      </c>
    </row>
    <row r="54" spans="1:16" ht="14.45" customHeight="1">
      <c r="A54" s="162">
        <v>43447</v>
      </c>
      <c r="B54" s="51" t="str">
        <f>Rollover!A54</f>
        <v>Nissan</v>
      </c>
      <c r="C54" s="51" t="str">
        <f>Rollover!B54</f>
        <v>Versa 4DR FWD</v>
      </c>
      <c r="D54" s="10">
        <f>Rollover!C54</f>
        <v>2019</v>
      </c>
      <c r="E54" s="24">
        <f>Front!AW54</f>
        <v>4</v>
      </c>
      <c r="F54" s="51">
        <f>Front!AX54</f>
        <v>4</v>
      </c>
      <c r="G54" s="51">
        <f>Front!AY54</f>
        <v>4</v>
      </c>
      <c r="H54" s="24">
        <f>'Side MDB'!AC54</f>
        <v>4</v>
      </c>
      <c r="I54" s="24">
        <f>'Side MDB'!AD54</f>
        <v>4</v>
      </c>
      <c r="J54" s="24">
        <f>'Side MDB'!AE54</f>
        <v>4</v>
      </c>
      <c r="K54" s="100">
        <f>'Side Pole'!P54</f>
        <v>5</v>
      </c>
      <c r="L54" s="100">
        <f>'Side Pole'!S54</f>
        <v>4</v>
      </c>
      <c r="M54" s="100">
        <f>'Side Pole'!V54</f>
        <v>4</v>
      </c>
      <c r="N54" s="101">
        <f>Rollover!J54</f>
        <v>4</v>
      </c>
      <c r="O54" s="102">
        <f>ROUND(5/12*Front!AV54+4/12*'Side Pole'!U54+3/12*Rollover!I54,2)</f>
        <v>0.85</v>
      </c>
      <c r="P54" s="103">
        <f t="shared" si="1"/>
        <v>4</v>
      </c>
    </row>
    <row r="55" spans="1:16" ht="14.45" customHeight="1">
      <c r="A55" s="50">
        <v>43409</v>
      </c>
      <c r="B55" s="51" t="str">
        <f>Rollover!A55</f>
        <v>Ram</v>
      </c>
      <c r="C55" s="51" t="str">
        <f>Rollover!B55</f>
        <v>1500 Classic Quad Cab PU/EC 2WD</v>
      </c>
      <c r="D55" s="10">
        <f>Rollover!C55</f>
        <v>2019</v>
      </c>
      <c r="E55" s="24">
        <f>Front!AW55</f>
        <v>4</v>
      </c>
      <c r="F55" s="51">
        <f>Front!AX55</f>
        <v>4</v>
      </c>
      <c r="G55" s="51">
        <f>Front!AY55</f>
        <v>4</v>
      </c>
      <c r="H55" s="24">
        <f>'Side MDB'!AC55</f>
        <v>5</v>
      </c>
      <c r="I55" s="24">
        <f>'Side MDB'!AD55</f>
        <v>5</v>
      </c>
      <c r="J55" s="24">
        <f>'Side MDB'!AE55</f>
        <v>5</v>
      </c>
      <c r="K55" s="100">
        <f>'Side Pole'!P55</f>
        <v>5</v>
      </c>
      <c r="L55" s="100">
        <f>'Side Pole'!S55</f>
        <v>5</v>
      </c>
      <c r="M55" s="100">
        <f>'Side Pole'!V55</f>
        <v>5</v>
      </c>
      <c r="N55" s="101">
        <f>Rollover!J55</f>
        <v>4</v>
      </c>
      <c r="O55" s="102">
        <f>ROUND(5/12*Front!AV55+4/12*'Side Pole'!U55+3/12*Rollover!I55,2)</f>
        <v>0.68</v>
      </c>
      <c r="P55" s="103">
        <f t="shared" si="1"/>
        <v>4</v>
      </c>
    </row>
    <row r="56" spans="1:16" ht="14.45" customHeight="1">
      <c r="A56" s="50">
        <v>43409</v>
      </c>
      <c r="B56" s="51" t="str">
        <f>Rollover!A56</f>
        <v>Ram</v>
      </c>
      <c r="C56" s="51" t="str">
        <f>Rollover!B56</f>
        <v>1500 Classic Quad Cab PU/EC 4WD</v>
      </c>
      <c r="D56" s="10">
        <f>Rollover!C56</f>
        <v>2019</v>
      </c>
      <c r="E56" s="24">
        <f>Front!AW56</f>
        <v>4</v>
      </c>
      <c r="F56" s="51">
        <f>Front!AX56</f>
        <v>4</v>
      </c>
      <c r="G56" s="51">
        <f>Front!AY56</f>
        <v>4</v>
      </c>
      <c r="H56" s="24">
        <f>'Side MDB'!AC56</f>
        <v>5</v>
      </c>
      <c r="I56" s="24">
        <f>'Side MDB'!AD56</f>
        <v>5</v>
      </c>
      <c r="J56" s="24">
        <f>'Side MDB'!AE56</f>
        <v>5</v>
      </c>
      <c r="K56" s="100">
        <f>'Side Pole'!P56</f>
        <v>5</v>
      </c>
      <c r="L56" s="100">
        <f>'Side Pole'!S56</f>
        <v>5</v>
      </c>
      <c r="M56" s="100">
        <f>'Side Pole'!V56</f>
        <v>5</v>
      </c>
      <c r="N56" s="101">
        <f>Rollover!J56</f>
        <v>3</v>
      </c>
      <c r="O56" s="102">
        <f>ROUND(5/12*Front!AV56+4/12*'Side Pole'!U56+3/12*Rollover!I56,2)</f>
        <v>0.71</v>
      </c>
      <c r="P56" s="103">
        <f t="shared" si="1"/>
        <v>4</v>
      </c>
    </row>
    <row r="57" spans="1:16" ht="14.45" customHeight="1">
      <c r="A57" s="50">
        <v>43409</v>
      </c>
      <c r="B57" s="10" t="str">
        <f>Rollover!A57</f>
        <v>Ram</v>
      </c>
      <c r="C57" s="10" t="str">
        <f>Rollover!B57</f>
        <v>1500 Classic Regular Cab PU/RC 2WD</v>
      </c>
      <c r="D57" s="10">
        <f>Rollover!C57</f>
        <v>2019</v>
      </c>
      <c r="E57" s="24">
        <f>Front!AW57</f>
        <v>4</v>
      </c>
      <c r="F57" s="51">
        <f>Front!AX57</f>
        <v>4</v>
      </c>
      <c r="G57" s="51">
        <f>Front!AY57</f>
        <v>4</v>
      </c>
      <c r="H57" s="24">
        <f>'Side MDB'!AC57</f>
        <v>5</v>
      </c>
      <c r="I57" s="24" t="str">
        <f>'Side MDB'!AD57</f>
        <v>N/A</v>
      </c>
      <c r="J57" s="24">
        <f>'Side MDB'!AE57</f>
        <v>5</v>
      </c>
      <c r="K57" s="100">
        <f>'Side Pole'!P57</f>
        <v>5</v>
      </c>
      <c r="L57" s="100">
        <f>'Side Pole'!S57</f>
        <v>5</v>
      </c>
      <c r="M57" s="100">
        <f>'Side Pole'!V57</f>
        <v>5</v>
      </c>
      <c r="N57" s="101">
        <f>Rollover!J57</f>
        <v>4</v>
      </c>
      <c r="O57" s="102">
        <f>ROUND(5/12*Front!AV57+4/12*'Side Pole'!U57+3/12*Rollover!I57,2)</f>
        <v>0.71</v>
      </c>
      <c r="P57" s="103">
        <f t="shared" ref="P57:P65" si="4">IF(O57&lt;0.67,5,IF(O57&lt;1,4,IF(O57&lt;1.33,3,IF(O57&lt;2.67,2,1))))</f>
        <v>4</v>
      </c>
    </row>
    <row r="58" spans="1:16" ht="14.45" customHeight="1">
      <c r="A58" s="50">
        <v>43409</v>
      </c>
      <c r="B58" s="10" t="str">
        <f>Rollover!A58</f>
        <v>Ram</v>
      </c>
      <c r="C58" s="10" t="str">
        <f>Rollover!B58</f>
        <v>1500 Classic Regular Cab PU/RC 4WD</v>
      </c>
      <c r="D58" s="10">
        <f>Rollover!C58</f>
        <v>2019</v>
      </c>
      <c r="E58" s="24">
        <f>Front!AW58</f>
        <v>4</v>
      </c>
      <c r="F58" s="51">
        <f>Front!AX58</f>
        <v>4</v>
      </c>
      <c r="G58" s="51">
        <f>Front!AY58</f>
        <v>4</v>
      </c>
      <c r="H58" s="24">
        <f>'Side MDB'!AC58</f>
        <v>5</v>
      </c>
      <c r="I58" s="24" t="str">
        <f>'Side MDB'!AD58</f>
        <v>N/A</v>
      </c>
      <c r="J58" s="24">
        <f>'Side MDB'!AE58</f>
        <v>5</v>
      </c>
      <c r="K58" s="100">
        <f>'Side Pole'!P58</f>
        <v>5</v>
      </c>
      <c r="L58" s="100">
        <f>'Side Pole'!S58</f>
        <v>5</v>
      </c>
      <c r="M58" s="100">
        <f>'Side Pole'!V58</f>
        <v>5</v>
      </c>
      <c r="N58" s="101">
        <f>Rollover!J58</f>
        <v>3</v>
      </c>
      <c r="O58" s="102">
        <f>ROUND(5/12*Front!AV58+4/12*'Side Pole'!U58+3/12*Rollover!I58,2)</f>
        <v>0.74</v>
      </c>
      <c r="P58" s="103">
        <f t="shared" si="4"/>
        <v>4</v>
      </c>
    </row>
    <row r="59" spans="1:16" ht="14.45" customHeight="1">
      <c r="A59" s="162">
        <v>43390</v>
      </c>
      <c r="B59" s="51" t="str">
        <f>Rollover!A59</f>
        <v>Subaru</v>
      </c>
      <c r="C59" s="51" t="str">
        <f>Rollover!B59</f>
        <v>Ascent SUV AWD</v>
      </c>
      <c r="D59" s="10">
        <f>Rollover!C59</f>
        <v>2019</v>
      </c>
      <c r="E59" s="24">
        <f>Front!AW59</f>
        <v>5</v>
      </c>
      <c r="F59" s="51">
        <f>Front!AX59</f>
        <v>5</v>
      </c>
      <c r="G59" s="51">
        <f>Front!AY59</f>
        <v>5</v>
      </c>
      <c r="H59" s="24">
        <f>'Side MDB'!AC59</f>
        <v>5</v>
      </c>
      <c r="I59" s="24">
        <f>'Side MDB'!AD59</f>
        <v>5</v>
      </c>
      <c r="J59" s="24">
        <f>'Side MDB'!AE59</f>
        <v>5</v>
      </c>
      <c r="K59" s="100">
        <f>'Side Pole'!P59</f>
        <v>5</v>
      </c>
      <c r="L59" s="100">
        <f>'Side Pole'!S59</f>
        <v>5</v>
      </c>
      <c r="M59" s="100">
        <f>'Side Pole'!V59</f>
        <v>5</v>
      </c>
      <c r="N59" s="101">
        <f>Rollover!J59</f>
        <v>4</v>
      </c>
      <c r="O59" s="102">
        <f>ROUND(5/12*Front!AV59+4/12*'Side Pole'!U59+3/12*Rollover!I59,2)</f>
        <v>0.55000000000000004</v>
      </c>
      <c r="P59" s="103">
        <f t="shared" si="4"/>
        <v>5</v>
      </c>
    </row>
    <row r="60" spans="1:16" ht="14.45" customHeight="1">
      <c r="A60" s="162">
        <v>43510</v>
      </c>
      <c r="B60" s="51" t="str">
        <f>Rollover!A60</f>
        <v>Subaru</v>
      </c>
      <c r="C60" s="51" t="str">
        <f>Rollover!B60</f>
        <v>Forester SUV AWD</v>
      </c>
      <c r="D60" s="10">
        <f>Rollover!C60</f>
        <v>2019</v>
      </c>
      <c r="E60" s="24">
        <f>Front!AW60</f>
        <v>5</v>
      </c>
      <c r="F60" s="51">
        <f>Front!AX60</f>
        <v>5</v>
      </c>
      <c r="G60" s="51">
        <f>Front!AY60</f>
        <v>5</v>
      </c>
      <c r="H60" s="24">
        <f>'Side MDB'!AC60</f>
        <v>5</v>
      </c>
      <c r="I60" s="24">
        <f>'Side MDB'!AD60</f>
        <v>5</v>
      </c>
      <c r="J60" s="24">
        <f>'Side MDB'!AE60</f>
        <v>5</v>
      </c>
      <c r="K60" s="100">
        <f>'Side Pole'!P60</f>
        <v>5</v>
      </c>
      <c r="L60" s="100">
        <f>'Side Pole'!S60</f>
        <v>5</v>
      </c>
      <c r="M60" s="100">
        <f>'Side Pole'!V60</f>
        <v>5</v>
      </c>
      <c r="N60" s="101">
        <f>Rollover!J60</f>
        <v>4</v>
      </c>
      <c r="O60" s="102">
        <f>ROUND(5/12*Front!AV60+4/12*'Side Pole'!U60+3/12*Rollover!I60,2)</f>
        <v>0.61</v>
      </c>
      <c r="P60" s="103">
        <f t="shared" ref="P60:P64" si="5">IF(O60&lt;0.67,5,IF(O60&lt;1,4,IF(O60&lt;1.33,3,IF(O60&lt;2.67,2,1))))</f>
        <v>5</v>
      </c>
    </row>
    <row r="61" spans="1:16" ht="14.45" customHeight="1">
      <c r="A61" s="50">
        <v>43543</v>
      </c>
      <c r="B61" s="51" t="str">
        <f>Rollover!A61</f>
        <v>Toyota</v>
      </c>
      <c r="C61" s="51" t="str">
        <f>Rollover!B61</f>
        <v>Avalon 4DR FWD</v>
      </c>
      <c r="D61" s="10">
        <f>Rollover!C61</f>
        <v>2019</v>
      </c>
      <c r="E61" s="24">
        <f>Front!AW61</f>
        <v>4</v>
      </c>
      <c r="F61" s="51">
        <f>Front!AX61</f>
        <v>4</v>
      </c>
      <c r="G61" s="51">
        <f>Front!AY61</f>
        <v>4</v>
      </c>
      <c r="H61" s="24">
        <f>'Side MDB'!AC61</f>
        <v>5</v>
      </c>
      <c r="I61" s="24">
        <f>'Side MDB'!AD61</f>
        <v>5</v>
      </c>
      <c r="J61" s="24">
        <f>'Side MDB'!AE61</f>
        <v>5</v>
      </c>
      <c r="K61" s="100">
        <f>'Side Pole'!P61</f>
        <v>5</v>
      </c>
      <c r="L61" s="100">
        <f>'Side Pole'!S61</f>
        <v>5</v>
      </c>
      <c r="M61" s="100">
        <f>'Side Pole'!V61</f>
        <v>5</v>
      </c>
      <c r="N61" s="101">
        <f>Rollover!J61</f>
        <v>4</v>
      </c>
      <c r="O61" s="102">
        <f>ROUND(5/12*Front!AV61+4/12*'Side Pole'!U61+3/12*Rollover!I61,2)</f>
        <v>0.55000000000000004</v>
      </c>
      <c r="P61" s="103">
        <f t="shared" si="5"/>
        <v>5</v>
      </c>
    </row>
    <row r="62" spans="1:16" ht="14.45" customHeight="1">
      <c r="A62" s="50">
        <v>43543</v>
      </c>
      <c r="B62" s="10" t="str">
        <f>Rollover!A62</f>
        <v>Toyota</v>
      </c>
      <c r="C62" s="10" t="str">
        <f>Rollover!B62</f>
        <v>Avalon Hybrid 4DR FWD</v>
      </c>
      <c r="D62" s="10">
        <f>Rollover!C62</f>
        <v>2019</v>
      </c>
      <c r="E62" s="24">
        <f>Front!AW62</f>
        <v>4</v>
      </c>
      <c r="F62" s="51">
        <f>Front!AX62</f>
        <v>4</v>
      </c>
      <c r="G62" s="51">
        <f>Front!AY62</f>
        <v>4</v>
      </c>
      <c r="H62" s="24">
        <f>'Side MDB'!AC62</f>
        <v>5</v>
      </c>
      <c r="I62" s="24">
        <f>'Side MDB'!AD62</f>
        <v>5</v>
      </c>
      <c r="J62" s="24">
        <f>'Side MDB'!AE62</f>
        <v>5</v>
      </c>
      <c r="K62" s="100">
        <f>'Side Pole'!P62</f>
        <v>5</v>
      </c>
      <c r="L62" s="100">
        <f>'Side Pole'!S62</f>
        <v>5</v>
      </c>
      <c r="M62" s="100">
        <f>'Side Pole'!V62</f>
        <v>5</v>
      </c>
      <c r="N62" s="101">
        <f>Rollover!J62</f>
        <v>4</v>
      </c>
      <c r="O62" s="102">
        <f>ROUND(5/12*Front!AV62+4/12*'Side Pole'!U62+3/12*Rollover!I62,2)</f>
        <v>0.55000000000000004</v>
      </c>
      <c r="P62" s="103">
        <f t="shared" si="5"/>
        <v>5</v>
      </c>
    </row>
    <row r="63" spans="1:16" ht="14.45" customHeight="1">
      <c r="A63" s="162">
        <v>43404</v>
      </c>
      <c r="B63" s="51" t="str">
        <f>Rollover!A63</f>
        <v>Toyota</v>
      </c>
      <c r="C63" s="51" t="str">
        <f>Rollover!B63</f>
        <v>C-HR 5HB FWD</v>
      </c>
      <c r="D63" s="10">
        <f>Rollover!C63</f>
        <v>2019</v>
      </c>
      <c r="E63" s="24">
        <f>Front!AW63</f>
        <v>5</v>
      </c>
      <c r="F63" s="51">
        <f>Front!AX63</f>
        <v>4</v>
      </c>
      <c r="G63" s="51">
        <f>Front!AY63</f>
        <v>5</v>
      </c>
      <c r="H63" s="24">
        <f>'Side MDB'!AC63</f>
        <v>5</v>
      </c>
      <c r="I63" s="24">
        <f>'Side MDB'!AD63</f>
        <v>5</v>
      </c>
      <c r="J63" s="24">
        <f>'Side MDB'!AE63</f>
        <v>5</v>
      </c>
      <c r="K63" s="100">
        <f>'Side Pole'!P63</f>
        <v>5</v>
      </c>
      <c r="L63" s="100">
        <f>'Side Pole'!S63</f>
        <v>5</v>
      </c>
      <c r="M63" s="100">
        <f>'Side Pole'!V63</f>
        <v>5</v>
      </c>
      <c r="N63" s="101">
        <f>Rollover!J63</f>
        <v>4</v>
      </c>
      <c r="O63" s="102">
        <f>ROUND(5/12*Front!AV63+4/12*'Side Pole'!U63+3/12*Rollover!I63,2)</f>
        <v>0.56999999999999995</v>
      </c>
      <c r="P63" s="103">
        <f t="shared" si="5"/>
        <v>5</v>
      </c>
    </row>
    <row r="64" spans="1:16" ht="14.45" customHeight="1">
      <c r="A64" s="162">
        <v>43557</v>
      </c>
      <c r="B64" s="51" t="str">
        <f>Rollover!A64</f>
        <v>Toyota</v>
      </c>
      <c r="C64" s="51" t="str">
        <f>Rollover!B64</f>
        <v>Corolla 5HB FWD</v>
      </c>
      <c r="D64" s="10">
        <f>Rollover!C64</f>
        <v>2019</v>
      </c>
      <c r="E64" s="24">
        <f>Front!AW64</f>
        <v>5</v>
      </c>
      <c r="F64" s="51">
        <f>Front!AX64</f>
        <v>5</v>
      </c>
      <c r="G64" s="51">
        <f>Front!AY64</f>
        <v>5</v>
      </c>
      <c r="H64" s="24">
        <f>'Side MDB'!AC64</f>
        <v>5</v>
      </c>
      <c r="I64" s="24">
        <f>'Side MDB'!AD64</f>
        <v>5</v>
      </c>
      <c r="J64" s="24">
        <f>'Side MDB'!AE64</f>
        <v>5</v>
      </c>
      <c r="K64" s="100">
        <f>'Side Pole'!P64</f>
        <v>5</v>
      </c>
      <c r="L64" s="100">
        <f>'Side Pole'!S64</f>
        <v>5</v>
      </c>
      <c r="M64" s="100">
        <f>'Side Pole'!V64</f>
        <v>5</v>
      </c>
      <c r="N64" s="101">
        <f>Rollover!J64</f>
        <v>4</v>
      </c>
      <c r="O64" s="102">
        <f>ROUND(5/12*Front!AV64+4/12*'Side Pole'!U64+3/12*Rollover!I64,2)</f>
        <v>0.51</v>
      </c>
      <c r="P64" s="103">
        <f t="shared" si="5"/>
        <v>5</v>
      </c>
    </row>
    <row r="65" spans="1:16" ht="14.45" customHeight="1">
      <c r="A65" s="162">
        <v>43557</v>
      </c>
      <c r="B65" s="51" t="str">
        <f>Rollover!A65</f>
        <v xml:space="preserve">Volkswagen </v>
      </c>
      <c r="C65" s="51" t="str">
        <f>Rollover!B65</f>
        <v>Jetta 4DR FWD</v>
      </c>
      <c r="D65" s="10">
        <f>Rollover!C65</f>
        <v>2019</v>
      </c>
      <c r="E65" s="24">
        <f>Front!AW65</f>
        <v>4</v>
      </c>
      <c r="F65" s="51">
        <f>Front!AX65</f>
        <v>4</v>
      </c>
      <c r="G65" s="51">
        <f>Front!AY65</f>
        <v>4</v>
      </c>
      <c r="H65" s="24">
        <f>'Side MDB'!AC65</f>
        <v>5</v>
      </c>
      <c r="I65" s="24">
        <f>'Side MDB'!AD65</f>
        <v>5</v>
      </c>
      <c r="J65" s="24">
        <f>'Side MDB'!AE65</f>
        <v>5</v>
      </c>
      <c r="K65" s="100">
        <f>'Side Pole'!P65</f>
        <v>5</v>
      </c>
      <c r="L65" s="100">
        <f>'Side Pole'!S65</f>
        <v>5</v>
      </c>
      <c r="M65" s="100">
        <f>'Side Pole'!V65</f>
        <v>5</v>
      </c>
      <c r="N65" s="101">
        <f>Rollover!J65</f>
        <v>4</v>
      </c>
      <c r="O65" s="102">
        <f>ROUND(5/12*Front!AV65+4/12*'Side Pole'!U65+3/12*Rollover!I65,2)</f>
        <v>0.63</v>
      </c>
      <c r="P65" s="103">
        <f t="shared" si="4"/>
        <v>5</v>
      </c>
    </row>
    <row r="66" spans="1:16" ht="14.45" customHeight="1">
      <c r="B66" s="105"/>
    </row>
    <row r="67" spans="1:16" ht="14.45" customHeight="1">
      <c r="B67" s="105"/>
    </row>
    <row r="68" spans="1:16" ht="14.45" customHeight="1">
      <c r="B68" s="105"/>
      <c r="C68" s="105"/>
      <c r="D68" s="105"/>
    </row>
    <row r="69" spans="1:16" ht="14.45" customHeight="1">
      <c r="B69" s="105"/>
      <c r="C69" s="105"/>
      <c r="D69" s="105"/>
    </row>
    <row r="70" spans="1:16" ht="14.45" customHeight="1">
      <c r="B70" s="105"/>
      <c r="C70" s="105"/>
      <c r="D70" s="105"/>
    </row>
    <row r="71" spans="1:16" ht="14.45" customHeight="1">
      <c r="B71" s="105"/>
      <c r="C71" s="105"/>
      <c r="D71" s="105"/>
    </row>
    <row r="72" spans="1:16" ht="14.45" customHeight="1">
      <c r="B72" s="105"/>
      <c r="C72" s="105"/>
      <c r="D72" s="105"/>
    </row>
    <row r="73" spans="1:16" ht="14.45" customHeight="1">
      <c r="B73" s="105"/>
      <c r="C73" s="105"/>
      <c r="D73" s="105"/>
    </row>
    <row r="74" spans="1:16" ht="14.45" customHeight="1">
      <c r="B74" s="105"/>
      <c r="C74" s="105"/>
      <c r="D74" s="105"/>
      <c r="H74" s="109"/>
      <c r="I74" s="109"/>
      <c r="J74" s="109"/>
    </row>
    <row r="75" spans="1:16" ht="14.45" customHeight="1">
      <c r="H75" s="109"/>
      <c r="I75" s="109"/>
      <c r="J75" s="109"/>
    </row>
    <row r="76" spans="1:16" ht="14.45" customHeight="1">
      <c r="H76" s="109"/>
      <c r="I76" s="109"/>
      <c r="J76" s="109"/>
    </row>
    <row r="77" spans="1:16" ht="14.45" customHeight="1">
      <c r="B77" s="111"/>
      <c r="C77" s="111"/>
      <c r="D77" s="111"/>
      <c r="E77" s="112"/>
      <c r="F77" s="105"/>
      <c r="H77" s="109"/>
      <c r="I77" s="109"/>
      <c r="J77" s="109"/>
    </row>
    <row r="78" spans="1:16" ht="14.45" customHeight="1">
      <c r="B78" s="111"/>
      <c r="C78" s="111"/>
      <c r="D78" s="111"/>
      <c r="E78" s="112"/>
      <c r="F78" s="105"/>
      <c r="H78" s="109"/>
      <c r="I78" s="109"/>
      <c r="J78" s="109"/>
    </row>
    <row r="79" spans="1:16" ht="14.45" customHeight="1">
      <c r="B79" s="111"/>
      <c r="C79" s="111"/>
      <c r="D79" s="111"/>
      <c r="E79" s="112"/>
      <c r="F79" s="105"/>
      <c r="H79" s="109"/>
      <c r="I79" s="109"/>
      <c r="J79" s="109"/>
    </row>
    <row r="80" spans="1:16" ht="14.45" customHeight="1">
      <c r="B80" s="111"/>
      <c r="C80" s="111"/>
      <c r="D80" s="111"/>
      <c r="E80" s="112"/>
      <c r="F80" s="105"/>
      <c r="H80" s="109"/>
      <c r="I80" s="109"/>
      <c r="J80" s="109"/>
    </row>
    <row r="81" spans="2:10" ht="14.45" customHeight="1">
      <c r="B81" s="111"/>
      <c r="C81" s="111"/>
      <c r="D81" s="111"/>
      <c r="E81" s="112"/>
      <c r="F81" s="105"/>
      <c r="H81" s="109"/>
      <c r="I81" s="109"/>
      <c r="J81" s="109"/>
    </row>
    <row r="82" spans="2:10" ht="14.45" customHeight="1">
      <c r="B82" s="111"/>
      <c r="C82" s="111"/>
      <c r="D82" s="111"/>
      <c r="E82" s="112"/>
      <c r="F82" s="105"/>
      <c r="H82" s="109"/>
      <c r="I82" s="109"/>
      <c r="J82" s="109"/>
    </row>
    <row r="83" spans="2:10" ht="14.45" customHeight="1">
      <c r="B83" s="111"/>
      <c r="C83" s="111"/>
      <c r="D83" s="111"/>
      <c r="E83" s="112"/>
      <c r="F83" s="105"/>
    </row>
    <row r="84" spans="2:10" ht="14.45" customHeight="1">
      <c r="B84" s="111"/>
      <c r="C84" s="111"/>
      <c r="D84" s="111"/>
      <c r="E84" s="112"/>
      <c r="F84" s="105"/>
    </row>
    <row r="85" spans="2:10" ht="14.45" customHeight="1">
      <c r="B85" s="111"/>
      <c r="C85" s="111"/>
      <c r="D85" s="111"/>
      <c r="E85" s="112"/>
      <c r="F85" s="105"/>
    </row>
    <row r="86" spans="2:10" ht="14.45" customHeight="1">
      <c r="B86" s="111"/>
      <c r="C86" s="111"/>
      <c r="D86" s="111"/>
      <c r="E86" s="112"/>
      <c r="F86" s="105"/>
    </row>
    <row r="87" spans="2:10" ht="14.45" customHeight="1">
      <c r="E87" s="112"/>
      <c r="F87" s="105"/>
    </row>
    <row r="88" spans="2:10" ht="14.45" customHeight="1">
      <c r="E88" s="112"/>
      <c r="F88" s="105"/>
    </row>
    <row r="89" spans="2:10" ht="14.45" customHeight="1">
      <c r="B89" s="111"/>
      <c r="C89" s="111"/>
      <c r="D89" s="111"/>
      <c r="E89" s="112"/>
      <c r="F89" s="105"/>
    </row>
    <row r="90" spans="2:10" ht="14.45" customHeight="1">
      <c r="B90" s="111"/>
      <c r="C90" s="111"/>
      <c r="D90" s="111"/>
      <c r="E90" s="112"/>
      <c r="F90" s="105"/>
    </row>
    <row r="91" spans="2:10" ht="14.45" customHeight="1">
      <c r="B91" s="111"/>
      <c r="C91" s="111"/>
      <c r="D91" s="111"/>
      <c r="E91" s="112"/>
      <c r="F91" s="105"/>
    </row>
    <row r="92" spans="2:10" ht="14.45" customHeight="1">
      <c r="B92" s="111"/>
      <c r="C92" s="111"/>
      <c r="D92" s="111"/>
      <c r="E92" s="112"/>
      <c r="F92" s="105"/>
      <c r="H92" s="113"/>
      <c r="I92" s="113"/>
      <c r="J92" s="113"/>
    </row>
    <row r="93" spans="2:10" ht="14.45" customHeight="1">
      <c r="B93" s="111"/>
      <c r="C93" s="111"/>
      <c r="D93" s="111"/>
      <c r="F93" s="109"/>
      <c r="G93" s="109"/>
      <c r="H93" s="113"/>
      <c r="I93" s="113"/>
      <c r="J93" s="113"/>
    </row>
    <row r="94" spans="2:10" ht="14.45" customHeight="1">
      <c r="B94" s="111"/>
      <c r="C94" s="111"/>
      <c r="D94" s="111"/>
      <c r="F94" s="109"/>
      <c r="G94" s="109"/>
      <c r="H94" s="113"/>
      <c r="I94" s="113"/>
      <c r="J94" s="113"/>
    </row>
    <row r="95" spans="2:10" ht="14.45" customHeight="1">
      <c r="B95" s="114"/>
      <c r="C95" s="114"/>
      <c r="D95" s="114"/>
      <c r="E95" s="115"/>
      <c r="F95" s="109"/>
      <c r="G95" s="109"/>
      <c r="H95" s="113"/>
      <c r="I95" s="113"/>
      <c r="J95" s="113"/>
    </row>
    <row r="96" spans="2:10" ht="14.45" customHeight="1">
      <c r="B96" s="105"/>
      <c r="C96" s="105"/>
      <c r="D96" s="105"/>
      <c r="F96" s="109"/>
      <c r="G96" s="109"/>
      <c r="H96" s="113"/>
      <c r="I96" s="113"/>
      <c r="J96" s="113"/>
    </row>
    <row r="97" spans="2:10" ht="14.45" customHeight="1">
      <c r="B97" s="111"/>
      <c r="C97" s="111"/>
      <c r="D97" s="111"/>
      <c r="F97" s="109"/>
      <c r="G97" s="109"/>
      <c r="H97" s="113"/>
      <c r="I97" s="113"/>
      <c r="J97" s="113"/>
    </row>
    <row r="98" spans="2:10" ht="14.45" customHeight="1">
      <c r="B98" s="111"/>
      <c r="C98" s="111"/>
      <c r="D98" s="111"/>
      <c r="F98" s="109"/>
      <c r="G98" s="109"/>
      <c r="H98" s="113"/>
      <c r="I98" s="113"/>
      <c r="J98" s="113"/>
    </row>
    <row r="99" spans="2:10" ht="14.45" customHeight="1">
      <c r="B99" s="111"/>
      <c r="C99" s="111"/>
      <c r="D99" s="111"/>
      <c r="F99" s="109"/>
      <c r="G99" s="109"/>
      <c r="H99" s="113"/>
      <c r="I99" s="113"/>
      <c r="J99" s="113"/>
    </row>
    <row r="100" spans="2:10" ht="14.45" customHeight="1">
      <c r="B100" s="111"/>
      <c r="C100" s="111"/>
      <c r="D100" s="111"/>
      <c r="F100" s="109"/>
      <c r="G100" s="109"/>
      <c r="H100" s="113"/>
      <c r="I100" s="113"/>
      <c r="J100" s="113"/>
    </row>
    <row r="101" spans="2:10" ht="14.45" customHeight="1">
      <c r="B101" s="105"/>
      <c r="C101" s="105"/>
      <c r="D101" s="105"/>
      <c r="F101" s="109"/>
      <c r="G101" s="109"/>
      <c r="H101" s="113"/>
      <c r="I101" s="113"/>
      <c r="J101" s="113"/>
    </row>
    <row r="102" spans="2:10" ht="14.45" customHeight="1">
      <c r="F102" s="109"/>
      <c r="G102" s="109"/>
      <c r="H102" s="113"/>
      <c r="I102" s="113"/>
      <c r="J102" s="113"/>
    </row>
    <row r="103" spans="2:10" ht="14.45" customHeight="1">
      <c r="F103" s="109"/>
      <c r="G103" s="109"/>
      <c r="H103" s="113"/>
      <c r="I103" s="113"/>
      <c r="J103" s="113"/>
    </row>
  </sheetData>
  <mergeCells count="3">
    <mergeCell ref="E1:G1"/>
    <mergeCell ref="H1:J1"/>
    <mergeCell ref="A1:A2"/>
  </mergeCells>
  <phoneticPr fontId="2" type="noConversion"/>
  <pageMargins left="0.25" right="0.2" top="0.25" bottom="0.25" header="0.3" footer="0.3"/>
  <pageSetup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9</vt:i4>
      </vt:variant>
    </vt:vector>
  </HeadingPairs>
  <TitlesOfParts>
    <vt:vector size="14" baseType="lpstr">
      <vt:lpstr>Rollover</vt:lpstr>
      <vt:lpstr>Front</vt:lpstr>
      <vt:lpstr>Side MDB</vt:lpstr>
      <vt:lpstr>Side Pole</vt:lpstr>
      <vt:lpstr>Comb VSS+Overall Ratings</vt:lpstr>
      <vt:lpstr>'Comb VSS+Overall Ratings'!Print_Area</vt:lpstr>
      <vt:lpstr>Front!Print_Area</vt:lpstr>
      <vt:lpstr>'Side MDB'!Print_Area</vt:lpstr>
      <vt:lpstr>'Side Pole'!Print_Area</vt:lpstr>
      <vt:lpstr>'Comb VSS+Overall Ratings'!Print_Titles</vt:lpstr>
      <vt:lpstr>Front!Print_Titles</vt:lpstr>
      <vt:lpstr>Rollover!Print_Titles</vt:lpstr>
      <vt:lpstr>'Side MDB'!Print_Titles</vt:lpstr>
      <vt:lpstr>'Side Pole'!Print_Titles</vt:lpstr>
    </vt:vector>
  </TitlesOfParts>
  <Company>USDOT\NHTSA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Felicia McKoy</dc:creator>
  <cp:lastModifiedBy>USDOT_User</cp:lastModifiedBy>
  <cp:lastPrinted>2012-05-02T13:38:27Z</cp:lastPrinted>
  <dcterms:created xsi:type="dcterms:W3CDTF">2007-06-14T17:31:50Z</dcterms:created>
  <dcterms:modified xsi:type="dcterms:W3CDTF">2019-05-08T14:11:35Z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